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oe_1\OneDrive\Escritorio\CARPETA_DOCUMENTOS\Medidor_luz\"/>
    </mc:Choice>
  </mc:AlternateContent>
  <xr:revisionPtr revIDLastSave="0" documentId="13_ncr:1_{BC78B416-B166-4454-A309-33A82AF99907}" xr6:coauthVersionLast="47" xr6:coauthVersionMax="47" xr10:uidLastSave="{00000000-0000-0000-0000-000000000000}"/>
  <bookViews>
    <workbookView xWindow="-120" yWindow="-120" windowWidth="20730" windowHeight="11160" activeTab="2" xr2:uid="{C865B4DD-369A-4084-BC7E-08CFD21576B4}"/>
  </bookViews>
  <sheets>
    <sheet name="Gráfico1" sheetId="22" r:id="rId1"/>
    <sheet name="REGISTRO" sheetId="5" r:id="rId2"/>
    <sheet name="RECIBO DE LUZ" sheetId="8" r:id="rId3"/>
    <sheet name="REPORTE" sheetId="3" r:id="rId4"/>
    <sheet name="HISTORICO" sheetId="2" state="hidden" r:id="rId5"/>
    <sheet name="ANALISIS (2)" sheetId="20" r:id="rId6"/>
    <sheet name="Hoja1" sheetId="21" r:id="rId7"/>
  </sheets>
  <definedNames>
    <definedName name="_xlnm._FilterDatabase" localSheetId="1" hidden="1">REGISTRO!$A$4:$A$88</definedName>
    <definedName name="columna">HISTORICO!$J$4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C209" i="5"/>
  <c r="F209" i="5"/>
  <c r="C210" i="5"/>
  <c r="F210" i="5"/>
  <c r="H209" i="5" s="1"/>
  <c r="C211" i="5"/>
  <c r="F211" i="5"/>
  <c r="G211" i="5" s="1"/>
  <c r="C212" i="5"/>
  <c r="C213" i="5"/>
  <c r="F213" i="5"/>
  <c r="C214" i="5"/>
  <c r="F214" i="5"/>
  <c r="H213" i="5" s="1"/>
  <c r="C215" i="5"/>
  <c r="F215" i="5"/>
  <c r="H215" i="5" s="1"/>
  <c r="C216" i="5"/>
  <c r="C217" i="5"/>
  <c r="F217" i="5"/>
  <c r="C218" i="5"/>
  <c r="G218" i="5" s="1"/>
  <c r="F218" i="5"/>
  <c r="H217" i="5" s="1"/>
  <c r="C219" i="5"/>
  <c r="F219" i="5"/>
  <c r="C220" i="5"/>
  <c r="C221" i="5"/>
  <c r="F221" i="5"/>
  <c r="C222" i="5"/>
  <c r="G222" i="5" s="1"/>
  <c r="F222" i="5"/>
  <c r="H221" i="5" s="1"/>
  <c r="C223" i="5"/>
  <c r="F223" i="5"/>
  <c r="H223" i="5"/>
  <c r="C224" i="5"/>
  <c r="C225" i="5"/>
  <c r="F225" i="5"/>
  <c r="C226" i="5"/>
  <c r="F226" i="5"/>
  <c r="H225" i="5" s="1"/>
  <c r="H226" i="5"/>
  <c r="C227" i="5"/>
  <c r="F227" i="5"/>
  <c r="G227" i="5" s="1"/>
  <c r="C228" i="5"/>
  <c r="C229" i="5"/>
  <c r="F229" i="5"/>
  <c r="C230" i="5"/>
  <c r="F230" i="5"/>
  <c r="G230" i="5" s="1"/>
  <c r="C231" i="5"/>
  <c r="F231" i="5"/>
  <c r="H231" i="5"/>
  <c r="C232" i="5"/>
  <c r="F205" i="5"/>
  <c r="F206" i="5"/>
  <c r="F207" i="5"/>
  <c r="F201" i="5"/>
  <c r="F202" i="5"/>
  <c r="F203" i="5"/>
  <c r="B56" i="8"/>
  <c r="P56" i="8"/>
  <c r="B54" i="8"/>
  <c r="P54" i="8"/>
  <c r="B55" i="8"/>
  <c r="P55" i="8"/>
  <c r="N52" i="8"/>
  <c r="I50" i="3"/>
  <c r="O50" i="3"/>
  <c r="O52" i="3" s="1"/>
  <c r="I52" i="3" s="1"/>
  <c r="L38" i="3"/>
  <c r="G226" i="5" l="1"/>
  <c r="G210" i="5"/>
  <c r="G219" i="5"/>
  <c r="H218" i="5"/>
  <c r="H214" i="5"/>
  <c r="H210" i="5"/>
  <c r="F224" i="5"/>
  <c r="G224" i="5" s="1"/>
  <c r="H222" i="5"/>
  <c r="G214" i="5"/>
  <c r="F232" i="5"/>
  <c r="F216" i="5"/>
  <c r="H229" i="5"/>
  <c r="H230" i="5"/>
  <c r="G223" i="5"/>
  <c r="F228" i="5"/>
  <c r="H228" i="5" s="1"/>
  <c r="H219" i="5"/>
  <c r="F220" i="5"/>
  <c r="H220" i="5" s="1"/>
  <c r="H211" i="5"/>
  <c r="F212" i="5"/>
  <c r="H212" i="5" s="1"/>
  <c r="F204" i="5"/>
  <c r="G231" i="5"/>
  <c r="G215" i="5"/>
  <c r="G228" i="5"/>
  <c r="H227" i="5"/>
  <c r="F208" i="5"/>
  <c r="J31" i="3"/>
  <c r="K31" i="3"/>
  <c r="L31" i="3" s="1"/>
  <c r="L44" i="3" s="1"/>
  <c r="I32" i="3"/>
  <c r="C185" i="5"/>
  <c r="F185" i="5"/>
  <c r="C186" i="5"/>
  <c r="F186" i="5"/>
  <c r="C187" i="5"/>
  <c r="F187" i="5"/>
  <c r="C188" i="5"/>
  <c r="C189" i="5"/>
  <c r="F189" i="5"/>
  <c r="C190" i="5"/>
  <c r="F190" i="5"/>
  <c r="C191" i="5"/>
  <c r="F191" i="5"/>
  <c r="C192" i="5"/>
  <c r="C193" i="5"/>
  <c r="F193" i="5"/>
  <c r="C194" i="5"/>
  <c r="F194" i="5"/>
  <c r="C195" i="5"/>
  <c r="F195" i="5"/>
  <c r="C196" i="5"/>
  <c r="C197" i="5"/>
  <c r="F197" i="5"/>
  <c r="C198" i="5"/>
  <c r="F198" i="5"/>
  <c r="C199" i="5"/>
  <c r="F199" i="5"/>
  <c r="C200" i="5"/>
  <c r="C201" i="5"/>
  <c r="C202" i="5"/>
  <c r="G202" i="5" s="1"/>
  <c r="C203" i="5"/>
  <c r="G203" i="5" s="1"/>
  <c r="C204" i="5"/>
  <c r="G204" i="5" s="1"/>
  <c r="C205" i="5"/>
  <c r="C206" i="5"/>
  <c r="G206" i="5" s="1"/>
  <c r="C207" i="5"/>
  <c r="G207" i="5" s="1"/>
  <c r="C208" i="5"/>
  <c r="B47" i="8"/>
  <c r="B48" i="8"/>
  <c r="B49" i="8"/>
  <c r="B50" i="8"/>
  <c r="B51" i="8"/>
  <c r="B52" i="8"/>
  <c r="B53" i="8"/>
  <c r="B45" i="8"/>
  <c r="B46" i="8"/>
  <c r="P45" i="8"/>
  <c r="P46" i="8"/>
  <c r="P47" i="8"/>
  <c r="P48" i="8"/>
  <c r="P49" i="8"/>
  <c r="P50" i="8"/>
  <c r="P51" i="8"/>
  <c r="P52" i="8"/>
  <c r="P53" i="8"/>
  <c r="C169" i="5"/>
  <c r="F169" i="5"/>
  <c r="C170" i="5"/>
  <c r="F170" i="5"/>
  <c r="C171" i="5"/>
  <c r="F171" i="5"/>
  <c r="C172" i="5"/>
  <c r="C173" i="5"/>
  <c r="F173" i="5"/>
  <c r="C174" i="5"/>
  <c r="F174" i="5"/>
  <c r="C175" i="5"/>
  <c r="F175" i="5"/>
  <c r="C176" i="5"/>
  <c r="C177" i="5"/>
  <c r="F177" i="5"/>
  <c r="C178" i="5"/>
  <c r="F178" i="5"/>
  <c r="C179" i="5"/>
  <c r="F179" i="5"/>
  <c r="C180" i="5"/>
  <c r="C181" i="5"/>
  <c r="F181" i="5"/>
  <c r="C182" i="5"/>
  <c r="F182" i="5"/>
  <c r="C183" i="5"/>
  <c r="F183" i="5"/>
  <c r="C184" i="5"/>
  <c r="F165" i="5"/>
  <c r="F166" i="5"/>
  <c r="F167" i="5"/>
  <c r="C161" i="5"/>
  <c r="F161" i="5"/>
  <c r="C162" i="5"/>
  <c r="F162" i="5"/>
  <c r="C163" i="5"/>
  <c r="F163" i="5"/>
  <c r="C164" i="5"/>
  <c r="A2" i="21"/>
  <c r="B2" i="21"/>
  <c r="C2" i="21"/>
  <c r="D2" i="21"/>
  <c r="E2" i="21"/>
  <c r="F2" i="21"/>
  <c r="H2" i="21"/>
  <c r="I2" i="21"/>
  <c r="M2" i="21"/>
  <c r="N2" i="21"/>
  <c r="O2" i="21"/>
  <c r="P2" i="21"/>
  <c r="R2" i="21"/>
  <c r="U2" i="21"/>
  <c r="V2" i="21"/>
  <c r="W2" i="21"/>
  <c r="X2" i="21"/>
  <c r="Y2" i="21"/>
  <c r="A3" i="21"/>
  <c r="B3" i="21"/>
  <c r="C3" i="21"/>
  <c r="E3" i="21"/>
  <c r="F3" i="21"/>
  <c r="H3" i="21"/>
  <c r="I3" i="21"/>
  <c r="M3" i="21"/>
  <c r="N3" i="21"/>
  <c r="O3" i="21"/>
  <c r="P3" i="21"/>
  <c r="R3" i="21"/>
  <c r="U3" i="21"/>
  <c r="V3" i="21"/>
  <c r="W3" i="21"/>
  <c r="X3" i="21"/>
  <c r="Y3" i="21"/>
  <c r="A4" i="21"/>
  <c r="B4" i="21"/>
  <c r="C4" i="21"/>
  <c r="E4" i="21"/>
  <c r="F4" i="21"/>
  <c r="H4" i="21"/>
  <c r="I4" i="21"/>
  <c r="M4" i="21"/>
  <c r="N4" i="21"/>
  <c r="O4" i="21"/>
  <c r="P4" i="21"/>
  <c r="R4" i="21"/>
  <c r="U4" i="21"/>
  <c r="V4" i="21"/>
  <c r="W4" i="21"/>
  <c r="X4" i="21"/>
  <c r="Y4" i="21"/>
  <c r="A5" i="21"/>
  <c r="B5" i="21"/>
  <c r="C5" i="21"/>
  <c r="E5" i="21"/>
  <c r="F5" i="21"/>
  <c r="H5" i="21"/>
  <c r="I5" i="21"/>
  <c r="M5" i="21"/>
  <c r="N5" i="21"/>
  <c r="O5" i="21"/>
  <c r="P5" i="21"/>
  <c r="R5" i="21"/>
  <c r="U5" i="21"/>
  <c r="V5" i="21"/>
  <c r="W5" i="21"/>
  <c r="X5" i="21"/>
  <c r="Y5" i="21"/>
  <c r="A6" i="21"/>
  <c r="B6" i="21"/>
  <c r="C6" i="21"/>
  <c r="E6" i="21"/>
  <c r="F6" i="21"/>
  <c r="H6" i="21"/>
  <c r="I6" i="21"/>
  <c r="M6" i="21"/>
  <c r="N6" i="21"/>
  <c r="O6" i="21"/>
  <c r="P6" i="21"/>
  <c r="R6" i="21"/>
  <c r="U6" i="21"/>
  <c r="V6" i="21"/>
  <c r="W6" i="21"/>
  <c r="X6" i="21"/>
  <c r="Y6" i="21"/>
  <c r="A7" i="21"/>
  <c r="B7" i="21"/>
  <c r="C7" i="21"/>
  <c r="E7" i="21"/>
  <c r="F7" i="21"/>
  <c r="H7" i="21"/>
  <c r="I7" i="21"/>
  <c r="K7" i="21"/>
  <c r="L7" i="21"/>
  <c r="M7" i="21"/>
  <c r="N7" i="21"/>
  <c r="O7" i="21"/>
  <c r="P7" i="21"/>
  <c r="Q7" i="21"/>
  <c r="R7" i="21"/>
  <c r="U7" i="21"/>
  <c r="V7" i="21"/>
  <c r="W7" i="21"/>
  <c r="X7" i="21"/>
  <c r="Y7" i="21"/>
  <c r="A8" i="21"/>
  <c r="B8" i="21"/>
  <c r="C8" i="21"/>
  <c r="E8" i="21"/>
  <c r="F8" i="21"/>
  <c r="H8" i="21"/>
  <c r="I8" i="21"/>
  <c r="M8" i="21"/>
  <c r="N8" i="21"/>
  <c r="O8" i="21"/>
  <c r="P8" i="21"/>
  <c r="R8" i="21"/>
  <c r="U8" i="21"/>
  <c r="V8" i="21"/>
  <c r="W8" i="21"/>
  <c r="X8" i="21"/>
  <c r="Y8" i="21"/>
  <c r="A9" i="21"/>
  <c r="B9" i="21"/>
  <c r="C9" i="21"/>
  <c r="E9" i="21"/>
  <c r="F9" i="21"/>
  <c r="H9" i="21"/>
  <c r="I9" i="21"/>
  <c r="M9" i="21"/>
  <c r="N9" i="21"/>
  <c r="O9" i="21"/>
  <c r="P9" i="21"/>
  <c r="R9" i="21"/>
  <c r="U9" i="21"/>
  <c r="V9" i="21"/>
  <c r="W9" i="21"/>
  <c r="X9" i="21"/>
  <c r="Y9" i="21"/>
  <c r="A10" i="21"/>
  <c r="B10" i="21"/>
  <c r="C10" i="21"/>
  <c r="E10" i="21"/>
  <c r="F10" i="21"/>
  <c r="H10" i="21"/>
  <c r="I10" i="21"/>
  <c r="M10" i="21"/>
  <c r="N10" i="21"/>
  <c r="O10" i="21"/>
  <c r="P10" i="21"/>
  <c r="R10" i="21"/>
  <c r="U10" i="21"/>
  <c r="V10" i="21"/>
  <c r="W10" i="21"/>
  <c r="X10" i="21"/>
  <c r="Y10" i="21"/>
  <c r="A11" i="21"/>
  <c r="B11" i="21"/>
  <c r="C11" i="21"/>
  <c r="E11" i="21"/>
  <c r="F11" i="21"/>
  <c r="H11" i="21"/>
  <c r="I11" i="21"/>
  <c r="M11" i="21"/>
  <c r="N11" i="21"/>
  <c r="O11" i="21"/>
  <c r="P11" i="21"/>
  <c r="R11" i="21"/>
  <c r="U11" i="21"/>
  <c r="V11" i="21"/>
  <c r="W11" i="21"/>
  <c r="X11" i="21"/>
  <c r="Y11" i="21"/>
  <c r="A12" i="21"/>
  <c r="B12" i="21"/>
  <c r="C12" i="21"/>
  <c r="E12" i="21"/>
  <c r="F12" i="21"/>
  <c r="H12" i="21"/>
  <c r="I12" i="21"/>
  <c r="M12" i="21"/>
  <c r="N12" i="21"/>
  <c r="O12" i="21"/>
  <c r="P12" i="21"/>
  <c r="R12" i="21"/>
  <c r="U12" i="21"/>
  <c r="V12" i="21"/>
  <c r="W12" i="21"/>
  <c r="X12" i="21"/>
  <c r="Y12" i="21"/>
  <c r="A13" i="21"/>
  <c r="B13" i="21"/>
  <c r="C13" i="21"/>
  <c r="E13" i="21"/>
  <c r="F13" i="21"/>
  <c r="H13" i="21"/>
  <c r="I13" i="21"/>
  <c r="M13" i="21"/>
  <c r="N13" i="21"/>
  <c r="O13" i="21"/>
  <c r="P13" i="21"/>
  <c r="R13" i="21"/>
  <c r="U13" i="21"/>
  <c r="V13" i="21"/>
  <c r="W13" i="21"/>
  <c r="X13" i="21"/>
  <c r="Y13" i="21"/>
  <c r="A14" i="21"/>
  <c r="B14" i="21"/>
  <c r="C14" i="21"/>
  <c r="E14" i="21"/>
  <c r="F14" i="21"/>
  <c r="H14" i="21"/>
  <c r="I14" i="21"/>
  <c r="M14" i="21"/>
  <c r="N14" i="21"/>
  <c r="O14" i="21"/>
  <c r="P14" i="21"/>
  <c r="R14" i="21"/>
  <c r="U14" i="21"/>
  <c r="V14" i="21"/>
  <c r="W14" i="21"/>
  <c r="X14" i="21"/>
  <c r="Y14" i="21"/>
  <c r="A15" i="21"/>
  <c r="B15" i="21"/>
  <c r="C15" i="21"/>
  <c r="E15" i="21"/>
  <c r="F15" i="21"/>
  <c r="H15" i="21"/>
  <c r="I15" i="21"/>
  <c r="M15" i="21"/>
  <c r="N15" i="21"/>
  <c r="O15" i="21"/>
  <c r="P15" i="21"/>
  <c r="R15" i="21"/>
  <c r="U15" i="21"/>
  <c r="V15" i="21"/>
  <c r="W15" i="21"/>
  <c r="X15" i="21"/>
  <c r="Y15" i="21"/>
  <c r="A16" i="21"/>
  <c r="B16" i="21"/>
  <c r="C16" i="21"/>
  <c r="E16" i="21"/>
  <c r="F16" i="21"/>
  <c r="H16" i="21"/>
  <c r="I16" i="21"/>
  <c r="M16" i="21"/>
  <c r="N16" i="21"/>
  <c r="O16" i="21"/>
  <c r="P16" i="21"/>
  <c r="R16" i="21"/>
  <c r="U16" i="21"/>
  <c r="V16" i="21"/>
  <c r="W16" i="21"/>
  <c r="X16" i="21"/>
  <c r="Y16" i="21"/>
  <c r="A17" i="21"/>
  <c r="B17" i="21"/>
  <c r="C17" i="21"/>
  <c r="E17" i="21"/>
  <c r="F17" i="21"/>
  <c r="H17" i="21"/>
  <c r="I17" i="21"/>
  <c r="M17" i="21"/>
  <c r="N17" i="21"/>
  <c r="O17" i="21"/>
  <c r="P17" i="21"/>
  <c r="R17" i="21"/>
  <c r="U17" i="21"/>
  <c r="V17" i="21"/>
  <c r="W17" i="21"/>
  <c r="X17" i="21"/>
  <c r="Y17" i="21"/>
  <c r="A18" i="21"/>
  <c r="B18" i="21"/>
  <c r="C18" i="21"/>
  <c r="E18" i="21"/>
  <c r="F18" i="21"/>
  <c r="H18" i="21"/>
  <c r="I18" i="21"/>
  <c r="M18" i="21"/>
  <c r="N18" i="21"/>
  <c r="O18" i="21"/>
  <c r="P18" i="21"/>
  <c r="R18" i="21"/>
  <c r="U18" i="21"/>
  <c r="V18" i="21"/>
  <c r="W18" i="21"/>
  <c r="X18" i="21"/>
  <c r="Y18" i="21"/>
  <c r="A19" i="21"/>
  <c r="B19" i="21"/>
  <c r="C19" i="21"/>
  <c r="E19" i="21"/>
  <c r="F19" i="21"/>
  <c r="H19" i="21"/>
  <c r="I19" i="21"/>
  <c r="M19" i="21"/>
  <c r="N19" i="21"/>
  <c r="O19" i="21"/>
  <c r="P19" i="21"/>
  <c r="R19" i="21"/>
  <c r="U19" i="21"/>
  <c r="V19" i="21"/>
  <c r="W19" i="21"/>
  <c r="X19" i="21"/>
  <c r="Y19" i="21"/>
  <c r="A20" i="21"/>
  <c r="B20" i="21"/>
  <c r="C20" i="21"/>
  <c r="E20" i="21"/>
  <c r="F20" i="21"/>
  <c r="H20" i="21"/>
  <c r="I20" i="21"/>
  <c r="M20" i="21"/>
  <c r="N20" i="21"/>
  <c r="O20" i="21"/>
  <c r="P20" i="21"/>
  <c r="R20" i="21"/>
  <c r="U20" i="21"/>
  <c r="V20" i="21"/>
  <c r="W20" i="21"/>
  <c r="X20" i="21"/>
  <c r="Y20" i="21"/>
  <c r="A21" i="21"/>
  <c r="B21" i="21"/>
  <c r="C21" i="21"/>
  <c r="E21" i="21"/>
  <c r="F21" i="21"/>
  <c r="H21" i="21"/>
  <c r="I21" i="21"/>
  <c r="M21" i="21"/>
  <c r="N21" i="21"/>
  <c r="O21" i="21"/>
  <c r="R21" i="21"/>
  <c r="U21" i="21"/>
  <c r="V21" i="21"/>
  <c r="W21" i="21"/>
  <c r="X21" i="21"/>
  <c r="Y21" i="21"/>
  <c r="A22" i="21"/>
  <c r="B22" i="21"/>
  <c r="D22" i="21"/>
  <c r="E22" i="21"/>
  <c r="F22" i="21"/>
  <c r="H22" i="21"/>
  <c r="I22" i="21"/>
  <c r="M22" i="21"/>
  <c r="N22" i="21"/>
  <c r="O22" i="21"/>
  <c r="R22" i="21"/>
  <c r="U22" i="21"/>
  <c r="V22" i="21"/>
  <c r="W22" i="21"/>
  <c r="X22" i="21"/>
  <c r="Y22" i="21"/>
  <c r="A23" i="21"/>
  <c r="B23" i="21"/>
  <c r="D23" i="21"/>
  <c r="E23" i="21"/>
  <c r="F23" i="21"/>
  <c r="H23" i="21"/>
  <c r="I23" i="21"/>
  <c r="M23" i="21"/>
  <c r="N23" i="21"/>
  <c r="O23" i="21"/>
  <c r="R23" i="21"/>
  <c r="U23" i="21"/>
  <c r="V23" i="21"/>
  <c r="W23" i="21"/>
  <c r="X23" i="21"/>
  <c r="Y23" i="21"/>
  <c r="A24" i="21"/>
  <c r="B24" i="21"/>
  <c r="C24" i="21"/>
  <c r="E24" i="21"/>
  <c r="F24" i="21"/>
  <c r="H24" i="21"/>
  <c r="M24" i="21"/>
  <c r="N24" i="21"/>
  <c r="O24" i="21"/>
  <c r="R24" i="21"/>
  <c r="U24" i="21"/>
  <c r="V24" i="21"/>
  <c r="W24" i="21"/>
  <c r="X24" i="21"/>
  <c r="Y24" i="21"/>
  <c r="A25" i="21"/>
  <c r="B25" i="21"/>
  <c r="C25" i="21"/>
  <c r="E25" i="21"/>
  <c r="F25" i="21"/>
  <c r="H25" i="21"/>
  <c r="I25" i="21"/>
  <c r="M25" i="21"/>
  <c r="N25" i="21"/>
  <c r="O25" i="21"/>
  <c r="R25" i="21"/>
  <c r="U25" i="21"/>
  <c r="V25" i="21"/>
  <c r="W25" i="21"/>
  <c r="X25" i="21"/>
  <c r="Y25" i="21"/>
  <c r="A26" i="21"/>
  <c r="B26" i="21"/>
  <c r="C26" i="21"/>
  <c r="E26" i="21"/>
  <c r="F26" i="21"/>
  <c r="H26" i="21"/>
  <c r="I26" i="21"/>
  <c r="M26" i="21"/>
  <c r="N26" i="21"/>
  <c r="O26" i="21"/>
  <c r="R26" i="21"/>
  <c r="U26" i="21"/>
  <c r="V26" i="21"/>
  <c r="W26" i="21"/>
  <c r="X26" i="21"/>
  <c r="Y26" i="21"/>
  <c r="A27" i="21"/>
  <c r="B27" i="21"/>
  <c r="C27" i="21"/>
  <c r="E27" i="21"/>
  <c r="F27" i="21"/>
  <c r="H27" i="21"/>
  <c r="I27" i="21"/>
  <c r="M27" i="21"/>
  <c r="N27" i="21"/>
  <c r="O27" i="21"/>
  <c r="R27" i="21"/>
  <c r="U27" i="21"/>
  <c r="V27" i="21"/>
  <c r="W27" i="21"/>
  <c r="X27" i="21"/>
  <c r="Y27" i="21"/>
  <c r="A28" i="21"/>
  <c r="B28" i="21"/>
  <c r="C28" i="21"/>
  <c r="E28" i="21"/>
  <c r="F28" i="21"/>
  <c r="H28" i="21"/>
  <c r="I28" i="21"/>
  <c r="M28" i="21"/>
  <c r="N28" i="21"/>
  <c r="O28" i="21"/>
  <c r="R28" i="21"/>
  <c r="U28" i="21"/>
  <c r="V28" i="21"/>
  <c r="W28" i="21"/>
  <c r="X28" i="21"/>
  <c r="Y28" i="21"/>
  <c r="A29" i="21"/>
  <c r="B29" i="21"/>
  <c r="C29" i="21"/>
  <c r="E29" i="21"/>
  <c r="F29" i="21"/>
  <c r="H29" i="21"/>
  <c r="I29" i="21"/>
  <c r="M29" i="21"/>
  <c r="N29" i="21"/>
  <c r="O29" i="21"/>
  <c r="R29" i="21"/>
  <c r="U29" i="21"/>
  <c r="V29" i="21"/>
  <c r="W29" i="21"/>
  <c r="X29" i="21"/>
  <c r="Y29" i="21"/>
  <c r="A30" i="21"/>
  <c r="B30" i="21"/>
  <c r="C30" i="21"/>
  <c r="E30" i="21"/>
  <c r="F30" i="21"/>
  <c r="H30" i="21"/>
  <c r="I30" i="21"/>
  <c r="M30" i="21"/>
  <c r="N30" i="21"/>
  <c r="O30" i="21"/>
  <c r="R30" i="21"/>
  <c r="U30" i="21"/>
  <c r="V30" i="21"/>
  <c r="W30" i="21"/>
  <c r="X30" i="21"/>
  <c r="Y30" i="21"/>
  <c r="A31" i="21"/>
  <c r="B31" i="21"/>
  <c r="C31" i="21"/>
  <c r="E31" i="21"/>
  <c r="F31" i="21"/>
  <c r="H31" i="21"/>
  <c r="I31" i="21"/>
  <c r="M31" i="21"/>
  <c r="N31" i="21"/>
  <c r="O31" i="21"/>
  <c r="R31" i="21"/>
  <c r="U31" i="21"/>
  <c r="V31" i="21"/>
  <c r="W31" i="21"/>
  <c r="X31" i="21"/>
  <c r="Y31" i="21"/>
  <c r="A32" i="21"/>
  <c r="B32" i="21"/>
  <c r="C32" i="21"/>
  <c r="E32" i="21"/>
  <c r="F32" i="21"/>
  <c r="H32" i="21"/>
  <c r="I32" i="21"/>
  <c r="M32" i="21"/>
  <c r="N32" i="21"/>
  <c r="O32" i="21"/>
  <c r="R32" i="21"/>
  <c r="U32" i="21"/>
  <c r="V32" i="21"/>
  <c r="W32" i="21"/>
  <c r="X32" i="21"/>
  <c r="Y32" i="21"/>
  <c r="A33" i="21"/>
  <c r="B33" i="21"/>
  <c r="C33" i="21"/>
  <c r="E33" i="21"/>
  <c r="F33" i="21"/>
  <c r="H33" i="21"/>
  <c r="I33" i="21"/>
  <c r="M33" i="21"/>
  <c r="N33" i="21"/>
  <c r="O33" i="21"/>
  <c r="R33" i="21"/>
  <c r="U33" i="21"/>
  <c r="V33" i="21"/>
  <c r="W33" i="21"/>
  <c r="X33" i="21"/>
  <c r="Y33" i="21"/>
  <c r="A34" i="21"/>
  <c r="B34" i="21"/>
  <c r="C34" i="21"/>
  <c r="E34" i="21"/>
  <c r="F34" i="21"/>
  <c r="H34" i="21"/>
  <c r="I34" i="21"/>
  <c r="M34" i="21"/>
  <c r="N34" i="21"/>
  <c r="O34" i="21"/>
  <c r="R34" i="21"/>
  <c r="U34" i="21"/>
  <c r="V34" i="21"/>
  <c r="W34" i="21"/>
  <c r="X34" i="21"/>
  <c r="Y34" i="21"/>
  <c r="A35" i="21"/>
  <c r="B35" i="21"/>
  <c r="C35" i="21"/>
  <c r="E35" i="21"/>
  <c r="F35" i="21"/>
  <c r="H35" i="21"/>
  <c r="I35" i="21"/>
  <c r="M35" i="21"/>
  <c r="N35" i="21"/>
  <c r="O35" i="21"/>
  <c r="R35" i="21"/>
  <c r="U35" i="21"/>
  <c r="V35" i="21"/>
  <c r="W35" i="21"/>
  <c r="X35" i="21"/>
  <c r="Y35" i="21"/>
  <c r="A36" i="21"/>
  <c r="B36" i="21"/>
  <c r="C36" i="21"/>
  <c r="E36" i="21"/>
  <c r="F36" i="21"/>
  <c r="H36" i="21"/>
  <c r="I36" i="21"/>
  <c r="M36" i="21"/>
  <c r="N36" i="21"/>
  <c r="O36" i="21"/>
  <c r="R36" i="21"/>
  <c r="U36" i="21"/>
  <c r="V36" i="21"/>
  <c r="W36" i="21"/>
  <c r="X36" i="21"/>
  <c r="Y36" i="21"/>
  <c r="A37" i="21"/>
  <c r="E37" i="21"/>
  <c r="F37" i="21"/>
  <c r="H37" i="21"/>
  <c r="I37" i="21"/>
  <c r="M37" i="21"/>
  <c r="N37" i="21"/>
  <c r="O37" i="21"/>
  <c r="R37" i="21"/>
  <c r="U37" i="21"/>
  <c r="V37" i="21"/>
  <c r="W37" i="21"/>
  <c r="X37" i="21"/>
  <c r="Y37" i="21"/>
  <c r="A38" i="21"/>
  <c r="E38" i="21"/>
  <c r="F38" i="21"/>
  <c r="H38" i="21"/>
  <c r="I38" i="21"/>
  <c r="M38" i="21"/>
  <c r="N38" i="21"/>
  <c r="O38" i="21"/>
  <c r="R38" i="21"/>
  <c r="U38" i="21"/>
  <c r="V38" i="21"/>
  <c r="W38" i="21"/>
  <c r="X38" i="21"/>
  <c r="A39" i="21"/>
  <c r="E39" i="21"/>
  <c r="F39" i="21"/>
  <c r="H39" i="21"/>
  <c r="I39" i="21"/>
  <c r="M39" i="21"/>
  <c r="N39" i="21"/>
  <c r="O39" i="21"/>
  <c r="R39" i="21"/>
  <c r="U39" i="21"/>
  <c r="V39" i="21"/>
  <c r="W39" i="21"/>
  <c r="X39" i="21"/>
  <c r="Y39" i="21"/>
  <c r="A40" i="21"/>
  <c r="E40" i="21"/>
  <c r="F40" i="21"/>
  <c r="H40" i="21"/>
  <c r="I40" i="21"/>
  <c r="M40" i="21"/>
  <c r="N40" i="21"/>
  <c r="O40" i="21"/>
  <c r="R40" i="21"/>
  <c r="U40" i="21"/>
  <c r="V40" i="21"/>
  <c r="W40" i="21"/>
  <c r="X40" i="21"/>
  <c r="Y40" i="21"/>
  <c r="O1" i="21"/>
  <c r="P1" i="21"/>
  <c r="Q1" i="21"/>
  <c r="R1" i="21"/>
  <c r="S1" i="21"/>
  <c r="T1" i="21"/>
  <c r="U1" i="21"/>
  <c r="V1" i="21"/>
  <c r="W1" i="21"/>
  <c r="X1" i="21"/>
  <c r="Y1" i="21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A1" i="21"/>
  <c r="F157" i="5"/>
  <c r="F158" i="5"/>
  <c r="F159" i="5"/>
  <c r="C153" i="5"/>
  <c r="F153" i="5"/>
  <c r="C154" i="5"/>
  <c r="F154" i="5"/>
  <c r="C155" i="5"/>
  <c r="F155" i="5"/>
  <c r="C156" i="5"/>
  <c r="S9" i="8"/>
  <c r="S7" i="21" s="1"/>
  <c r="G9" i="3"/>
  <c r="G8" i="3"/>
  <c r="G19" i="3"/>
  <c r="G18" i="3"/>
  <c r="Y40" i="8"/>
  <c r="Y38" i="21" s="1"/>
  <c r="F15" i="3"/>
  <c r="G15" i="3"/>
  <c r="C149" i="5"/>
  <c r="F149" i="5"/>
  <c r="C150" i="5"/>
  <c r="F150" i="5"/>
  <c r="C151" i="5"/>
  <c r="F151" i="5"/>
  <c r="C152" i="5"/>
  <c r="C168" i="5"/>
  <c r="C167" i="5"/>
  <c r="C166" i="5"/>
  <c r="C165" i="5"/>
  <c r="B40" i="8"/>
  <c r="B38" i="21" s="1"/>
  <c r="B41" i="8"/>
  <c r="B39" i="21" s="1"/>
  <c r="B42" i="8"/>
  <c r="B40" i="21" s="1"/>
  <c r="B43" i="8"/>
  <c r="B44" i="8"/>
  <c r="P42" i="8"/>
  <c r="P40" i="21" s="1"/>
  <c r="P43" i="8"/>
  <c r="P44" i="8"/>
  <c r="B39" i="8"/>
  <c r="B37" i="21" s="1"/>
  <c r="C148" i="5"/>
  <c r="F147" i="5"/>
  <c r="C147" i="5"/>
  <c r="F146" i="5"/>
  <c r="C146" i="5"/>
  <c r="F145" i="5"/>
  <c r="C145" i="5"/>
  <c r="C160" i="5"/>
  <c r="C159" i="5"/>
  <c r="C158" i="5"/>
  <c r="C157" i="5"/>
  <c r="C144" i="5"/>
  <c r="C143" i="5"/>
  <c r="C142" i="5"/>
  <c r="C141" i="5"/>
  <c r="C137" i="5"/>
  <c r="C138" i="5"/>
  <c r="C139" i="5"/>
  <c r="C140" i="5"/>
  <c r="F141" i="5"/>
  <c r="F142" i="5"/>
  <c r="F143" i="5"/>
  <c r="D37" i="8"/>
  <c r="G37" i="8" s="1"/>
  <c r="J37" i="8" s="1"/>
  <c r="J35" i="21" s="1"/>
  <c r="P37" i="8"/>
  <c r="P35" i="21" s="1"/>
  <c r="D38" i="8"/>
  <c r="G38" i="8" s="1"/>
  <c r="G36" i="21" s="1"/>
  <c r="P38" i="8"/>
  <c r="P36" i="21" s="1"/>
  <c r="P39" i="8"/>
  <c r="P37" i="21" s="1"/>
  <c r="P40" i="8"/>
  <c r="P38" i="21" s="1"/>
  <c r="P41" i="8"/>
  <c r="P39" i="21" s="1"/>
  <c r="B137" i="5"/>
  <c r="F137" i="5"/>
  <c r="F138" i="5"/>
  <c r="F139" i="5"/>
  <c r="D36" i="8"/>
  <c r="G36" i="8" s="1"/>
  <c r="J36" i="8" s="1"/>
  <c r="J34" i="21" s="1"/>
  <c r="P36" i="8"/>
  <c r="P34" i="21" s="1"/>
  <c r="B133" i="5"/>
  <c r="C133" i="5"/>
  <c r="F133" i="5"/>
  <c r="C134" i="5"/>
  <c r="F134" i="5"/>
  <c r="C135" i="5"/>
  <c r="F135" i="5"/>
  <c r="C136" i="5"/>
  <c r="B129" i="5"/>
  <c r="C129" i="5"/>
  <c r="F129" i="5"/>
  <c r="C130" i="5"/>
  <c r="F130" i="5"/>
  <c r="C131" i="5"/>
  <c r="F131" i="5"/>
  <c r="C132" i="5"/>
  <c r="D34" i="8"/>
  <c r="G34" i="8" s="1"/>
  <c r="G32" i="21" s="1"/>
  <c r="P34" i="8"/>
  <c r="P32" i="21" s="1"/>
  <c r="D35" i="8"/>
  <c r="G35" i="8" s="1"/>
  <c r="G33" i="21" s="1"/>
  <c r="P35" i="8"/>
  <c r="P33" i="21" s="1"/>
  <c r="B125" i="5"/>
  <c r="C125" i="5"/>
  <c r="C126" i="5"/>
  <c r="C127" i="5"/>
  <c r="C128" i="5"/>
  <c r="F125" i="5"/>
  <c r="F126" i="5"/>
  <c r="F127" i="5"/>
  <c r="D33" i="8"/>
  <c r="G33" i="8" s="1"/>
  <c r="G31" i="21" s="1"/>
  <c r="P33" i="8"/>
  <c r="P31" i="21" s="1"/>
  <c r="B121" i="5"/>
  <c r="C121" i="5"/>
  <c r="F121" i="5"/>
  <c r="C122" i="5"/>
  <c r="F122" i="5"/>
  <c r="C123" i="5"/>
  <c r="F123" i="5"/>
  <c r="C124" i="5"/>
  <c r="B117" i="5"/>
  <c r="C117" i="5"/>
  <c r="F117" i="5"/>
  <c r="C118" i="5"/>
  <c r="F118" i="5"/>
  <c r="C119" i="5"/>
  <c r="F119" i="5"/>
  <c r="C120" i="5"/>
  <c r="I226" i="5" l="1"/>
  <c r="H224" i="5"/>
  <c r="I224" i="5" s="1"/>
  <c r="I228" i="5"/>
  <c r="G221" i="5"/>
  <c r="I221" i="5" s="1"/>
  <c r="G216" i="5"/>
  <c r="G213" i="5" s="1"/>
  <c r="I213" i="5" s="1"/>
  <c r="H216" i="5"/>
  <c r="G232" i="5"/>
  <c r="H232" i="5"/>
  <c r="I227" i="5"/>
  <c r="G225" i="5"/>
  <c r="I225" i="5" s="1"/>
  <c r="G220" i="5"/>
  <c r="G201" i="5"/>
  <c r="G208" i="5"/>
  <c r="G212" i="5"/>
  <c r="G194" i="5"/>
  <c r="G198" i="5"/>
  <c r="G199" i="5"/>
  <c r="G178" i="5"/>
  <c r="G183" i="5"/>
  <c r="G182" i="5"/>
  <c r="G190" i="5"/>
  <c r="G186" i="5"/>
  <c r="G187" i="5"/>
  <c r="G163" i="5"/>
  <c r="G171" i="5"/>
  <c r="G179" i="5"/>
  <c r="G175" i="5"/>
  <c r="G195" i="5"/>
  <c r="G191" i="5"/>
  <c r="F200" i="5"/>
  <c r="F196" i="5"/>
  <c r="F192" i="5"/>
  <c r="F188" i="5"/>
  <c r="F180" i="5"/>
  <c r="G180" i="5" s="1"/>
  <c r="F172" i="5"/>
  <c r="G172" i="5" s="1"/>
  <c r="G170" i="5"/>
  <c r="F184" i="5"/>
  <c r="G184" i="5" s="1"/>
  <c r="F176" i="5"/>
  <c r="G176" i="5" s="1"/>
  <c r="G174" i="5"/>
  <c r="G155" i="5"/>
  <c r="G150" i="5"/>
  <c r="G143" i="5"/>
  <c r="G162" i="5"/>
  <c r="G167" i="5"/>
  <c r="J35" i="8"/>
  <c r="J33" i="21" s="1"/>
  <c r="D34" i="21"/>
  <c r="G166" i="5"/>
  <c r="F168" i="5"/>
  <c r="G154" i="5"/>
  <c r="G134" i="5"/>
  <c r="G159" i="5"/>
  <c r="G151" i="5"/>
  <c r="F128" i="5"/>
  <c r="G128" i="5" s="1"/>
  <c r="F164" i="5"/>
  <c r="G164" i="5" s="1"/>
  <c r="J34" i="8"/>
  <c r="J32" i="21" s="1"/>
  <c r="D31" i="21"/>
  <c r="J33" i="8"/>
  <c r="J31" i="21" s="1"/>
  <c r="D36" i="21"/>
  <c r="G35" i="21"/>
  <c r="D33" i="21"/>
  <c r="G16" i="3"/>
  <c r="J38" i="8"/>
  <c r="J36" i="21" s="1"/>
  <c r="D35" i="21"/>
  <c r="G34" i="21"/>
  <c r="F16" i="3"/>
  <c r="D32" i="21"/>
  <c r="F160" i="5"/>
  <c r="G160" i="5" s="1"/>
  <c r="G158" i="5"/>
  <c r="F156" i="5"/>
  <c r="F152" i="5"/>
  <c r="G152" i="5" s="1"/>
  <c r="G142" i="5"/>
  <c r="G146" i="5"/>
  <c r="F148" i="5"/>
  <c r="G148" i="5" s="1"/>
  <c r="G147" i="5"/>
  <c r="F144" i="5"/>
  <c r="G144" i="5" s="1"/>
  <c r="K37" i="8"/>
  <c r="K35" i="21" s="1"/>
  <c r="G135" i="5"/>
  <c r="F140" i="5"/>
  <c r="G140" i="5" s="1"/>
  <c r="G139" i="5"/>
  <c r="G138" i="5"/>
  <c r="F136" i="5"/>
  <c r="G136" i="5" s="1"/>
  <c r="K36" i="8"/>
  <c r="G127" i="5"/>
  <c r="F132" i="5"/>
  <c r="G132" i="5" s="1"/>
  <c r="G131" i="5"/>
  <c r="G130" i="5"/>
  <c r="G123" i="5"/>
  <c r="G122" i="5"/>
  <c r="K35" i="8"/>
  <c r="K34" i="8"/>
  <c r="G126" i="5"/>
  <c r="F124" i="5"/>
  <c r="G124" i="5" s="1"/>
  <c r="K33" i="8"/>
  <c r="F120" i="5"/>
  <c r="G120" i="5" s="1"/>
  <c r="G119" i="5"/>
  <c r="G118" i="5"/>
  <c r="B113" i="5"/>
  <c r="C113" i="5"/>
  <c r="F113" i="5"/>
  <c r="C114" i="5"/>
  <c r="F114" i="5"/>
  <c r="C115" i="5"/>
  <c r="F115" i="5"/>
  <c r="C116" i="5"/>
  <c r="I222" i="5" l="1"/>
  <c r="I223" i="5"/>
  <c r="I230" i="5"/>
  <c r="I215" i="5"/>
  <c r="G205" i="5"/>
  <c r="I216" i="5"/>
  <c r="I214" i="5"/>
  <c r="I231" i="5"/>
  <c r="I232" i="5"/>
  <c r="G229" i="5"/>
  <c r="I229" i="5" s="1"/>
  <c r="I212" i="5"/>
  <c r="G209" i="5"/>
  <c r="I209" i="5" s="1"/>
  <c r="I210" i="5"/>
  <c r="I218" i="5"/>
  <c r="G217" i="5"/>
  <c r="I217" i="5" s="1"/>
  <c r="I219" i="5"/>
  <c r="I220" i="5"/>
  <c r="I211" i="5"/>
  <c r="G177" i="5"/>
  <c r="G196" i="5"/>
  <c r="G200" i="5"/>
  <c r="G197" i="5" s="1"/>
  <c r="G188" i="5"/>
  <c r="G192" i="5"/>
  <c r="G169" i="5"/>
  <c r="G173" i="5"/>
  <c r="G181" i="5"/>
  <c r="G149" i="5"/>
  <c r="G161" i="5"/>
  <c r="G168" i="5"/>
  <c r="G165" i="5" s="1"/>
  <c r="K38" i="8"/>
  <c r="S38" i="8" s="1"/>
  <c r="S36" i="21" s="1"/>
  <c r="S34" i="8"/>
  <c r="S32" i="21" s="1"/>
  <c r="K32" i="21"/>
  <c r="S35" i="8"/>
  <c r="S33" i="21" s="1"/>
  <c r="K33" i="21"/>
  <c r="S36" i="8"/>
  <c r="S34" i="21" s="1"/>
  <c r="K34" i="21"/>
  <c r="K36" i="21"/>
  <c r="S33" i="8"/>
  <c r="S31" i="21" s="1"/>
  <c r="K31" i="21"/>
  <c r="S37" i="8"/>
  <c r="G157" i="5"/>
  <c r="G156" i="5"/>
  <c r="L33" i="8"/>
  <c r="G145" i="5"/>
  <c r="G137" i="5"/>
  <c r="G141" i="5"/>
  <c r="L37" i="8"/>
  <c r="L35" i="21" s="1"/>
  <c r="L36" i="8"/>
  <c r="G133" i="5"/>
  <c r="G129" i="5"/>
  <c r="L34" i="8"/>
  <c r="L35" i="8"/>
  <c r="G125" i="5"/>
  <c r="G121" i="5"/>
  <c r="G117" i="5"/>
  <c r="G115" i="5"/>
  <c r="G114" i="5"/>
  <c r="F116" i="5"/>
  <c r="B109" i="5"/>
  <c r="C109" i="5"/>
  <c r="F109" i="5"/>
  <c r="C110" i="5"/>
  <c r="F110" i="5"/>
  <c r="C111" i="5"/>
  <c r="F111" i="5"/>
  <c r="C112" i="5"/>
  <c r="L38" i="8" l="1"/>
  <c r="G193" i="5"/>
  <c r="G189" i="5"/>
  <c r="G185" i="5"/>
  <c r="H125" i="5"/>
  <c r="I125" i="5" s="1"/>
  <c r="H121" i="5"/>
  <c r="I121" i="5" s="1"/>
  <c r="T38" i="8"/>
  <c r="T36" i="21" s="1"/>
  <c r="H129" i="5"/>
  <c r="I129" i="5" s="1"/>
  <c r="L33" i="21"/>
  <c r="Q35" i="8"/>
  <c r="Q33" i="21" s="1"/>
  <c r="H141" i="5"/>
  <c r="I141" i="5" s="1"/>
  <c r="L36" i="21"/>
  <c r="Q38" i="8"/>
  <c r="Q36" i="21" s="1"/>
  <c r="L32" i="21"/>
  <c r="Q34" i="8"/>
  <c r="Q32" i="21" s="1"/>
  <c r="T37" i="8"/>
  <c r="T35" i="21" s="1"/>
  <c r="S35" i="21"/>
  <c r="T36" i="8"/>
  <c r="T35" i="8"/>
  <c r="L31" i="21"/>
  <c r="Q33" i="8"/>
  <c r="Q31" i="21" s="1"/>
  <c r="T33" i="8"/>
  <c r="H133" i="5"/>
  <c r="I133" i="5" s="1"/>
  <c r="L34" i="21"/>
  <c r="Q36" i="8"/>
  <c r="Q34" i="21" s="1"/>
  <c r="T34" i="8"/>
  <c r="H137" i="5"/>
  <c r="I137" i="5" s="1"/>
  <c r="Q37" i="8"/>
  <c r="Q35" i="21" s="1"/>
  <c r="G153" i="5"/>
  <c r="H142" i="5"/>
  <c r="H144" i="5"/>
  <c r="I144" i="5" s="1"/>
  <c r="H143" i="5"/>
  <c r="G116" i="5"/>
  <c r="G111" i="5"/>
  <c r="G110" i="5"/>
  <c r="F112" i="5"/>
  <c r="F105" i="5"/>
  <c r="F106" i="5"/>
  <c r="F107" i="5"/>
  <c r="B105" i="5"/>
  <c r="C105" i="5"/>
  <c r="C106" i="5"/>
  <c r="C107" i="5"/>
  <c r="C108" i="5"/>
  <c r="D30" i="8"/>
  <c r="P30" i="8"/>
  <c r="P28" i="21" s="1"/>
  <c r="D31" i="8"/>
  <c r="P31" i="8"/>
  <c r="P29" i="21" s="1"/>
  <c r="D32" i="8"/>
  <c r="P32" i="8"/>
  <c r="P30" i="21" s="1"/>
  <c r="D29" i="8"/>
  <c r="P29" i="8"/>
  <c r="P27" i="21" s="1"/>
  <c r="G31" i="8" l="1"/>
  <c r="D29" i="21"/>
  <c r="H140" i="5"/>
  <c r="I140" i="5" s="1"/>
  <c r="G32" i="8"/>
  <c r="D30" i="21"/>
  <c r="H138" i="5"/>
  <c r="H139" i="5"/>
  <c r="G30" i="8"/>
  <c r="D28" i="21"/>
  <c r="G29" i="8"/>
  <c r="D27" i="21"/>
  <c r="H123" i="5"/>
  <c r="T31" i="21"/>
  <c r="H122" i="5"/>
  <c r="H124" i="5"/>
  <c r="H126" i="5"/>
  <c r="T32" i="21"/>
  <c r="H128" i="5"/>
  <c r="I128" i="5" s="1"/>
  <c r="H127" i="5"/>
  <c r="H134" i="5"/>
  <c r="T34" i="21"/>
  <c r="H136" i="5"/>
  <c r="I136" i="5" s="1"/>
  <c r="H135" i="5"/>
  <c r="T33" i="21"/>
  <c r="H132" i="5"/>
  <c r="I132" i="5" s="1"/>
  <c r="H130" i="5"/>
  <c r="H131" i="5"/>
  <c r="F108" i="5"/>
  <c r="G108" i="5" s="1"/>
  <c r="I143" i="5"/>
  <c r="I142" i="5"/>
  <c r="G113" i="5"/>
  <c r="G107" i="5"/>
  <c r="G112" i="5"/>
  <c r="G106" i="5"/>
  <c r="D28" i="8"/>
  <c r="P28" i="8"/>
  <c r="P26" i="21" s="1"/>
  <c r="B101" i="5"/>
  <c r="C101" i="5"/>
  <c r="F101" i="5"/>
  <c r="C102" i="5"/>
  <c r="F102" i="5"/>
  <c r="C103" i="5"/>
  <c r="F103" i="5"/>
  <c r="C104" i="5"/>
  <c r="I130" i="5" l="1"/>
  <c r="I131" i="5"/>
  <c r="I139" i="5"/>
  <c r="I127" i="5"/>
  <c r="I138" i="5"/>
  <c r="I135" i="5"/>
  <c r="G28" i="21"/>
  <c r="J30" i="8"/>
  <c r="G28" i="8"/>
  <c r="D26" i="21"/>
  <c r="J32" i="8"/>
  <c r="G30" i="21"/>
  <c r="J29" i="8"/>
  <c r="G27" i="21"/>
  <c r="G29" i="21"/>
  <c r="J31" i="8"/>
  <c r="I126" i="5"/>
  <c r="I123" i="5"/>
  <c r="I124" i="5"/>
  <c r="I122" i="5"/>
  <c r="I134" i="5"/>
  <c r="G109" i="5"/>
  <c r="G105" i="5"/>
  <c r="F104" i="5"/>
  <c r="G104" i="5" s="1"/>
  <c r="G103" i="5"/>
  <c r="G102" i="5"/>
  <c r="I26" i="8"/>
  <c r="I24" i="21" s="1"/>
  <c r="B97" i="5"/>
  <c r="C97" i="5"/>
  <c r="F97" i="5"/>
  <c r="C98" i="5"/>
  <c r="F98" i="5"/>
  <c r="C99" i="5"/>
  <c r="F99" i="5"/>
  <c r="C100" i="5"/>
  <c r="P25" i="8"/>
  <c r="P23" i="21" s="1"/>
  <c r="P26" i="8"/>
  <c r="P24" i="21" s="1"/>
  <c r="P27" i="8"/>
  <c r="P25" i="21" s="1"/>
  <c r="D27" i="8"/>
  <c r="J27" i="21" l="1"/>
  <c r="K29" i="8"/>
  <c r="L29" i="8" s="1"/>
  <c r="J30" i="21"/>
  <c r="K32" i="8"/>
  <c r="J28" i="8"/>
  <c r="G26" i="21"/>
  <c r="J29" i="21"/>
  <c r="K31" i="8"/>
  <c r="J28" i="21"/>
  <c r="K30" i="8"/>
  <c r="G27" i="8"/>
  <c r="D25" i="21"/>
  <c r="G98" i="5"/>
  <c r="G101" i="5"/>
  <c r="G99" i="5"/>
  <c r="F100" i="5"/>
  <c r="G100" i="5" s="1"/>
  <c r="F93" i="5"/>
  <c r="F94" i="5"/>
  <c r="F95" i="5"/>
  <c r="B93" i="5"/>
  <c r="C93" i="5"/>
  <c r="C94" i="5"/>
  <c r="C95" i="5"/>
  <c r="C96" i="5"/>
  <c r="G95" i="5" l="1"/>
  <c r="L27" i="21"/>
  <c r="Q29" i="8"/>
  <c r="Q27" i="21" s="1"/>
  <c r="J26" i="21"/>
  <c r="K28" i="8"/>
  <c r="L32" i="8"/>
  <c r="K30" i="21"/>
  <c r="S32" i="8"/>
  <c r="J27" i="8"/>
  <c r="G25" i="21"/>
  <c r="L30" i="8"/>
  <c r="S30" i="8"/>
  <c r="K28" i="21"/>
  <c r="S29" i="8"/>
  <c r="K27" i="21"/>
  <c r="K29" i="21"/>
  <c r="S31" i="8"/>
  <c r="L31" i="8"/>
  <c r="G97" i="5"/>
  <c r="G94" i="5"/>
  <c r="F96" i="5"/>
  <c r="F91" i="5"/>
  <c r="B89" i="5"/>
  <c r="C89" i="5"/>
  <c r="F89" i="5"/>
  <c r="C90" i="5"/>
  <c r="F90" i="5"/>
  <c r="C91" i="5"/>
  <c r="C92" i="5"/>
  <c r="P24" i="8"/>
  <c r="P22" i="21" s="1"/>
  <c r="P23" i="8"/>
  <c r="P21" i="21" s="1"/>
  <c r="C24" i="8"/>
  <c r="G25" i="8"/>
  <c r="S30" i="21" l="1"/>
  <c r="T32" i="8"/>
  <c r="H117" i="5"/>
  <c r="I117" i="5" s="1"/>
  <c r="L30" i="21"/>
  <c r="Q32" i="8"/>
  <c r="Q30" i="21" s="1"/>
  <c r="J25" i="21"/>
  <c r="K27" i="8"/>
  <c r="L28" i="8"/>
  <c r="K26" i="21"/>
  <c r="S28" i="8"/>
  <c r="S27" i="21"/>
  <c r="T29" i="8"/>
  <c r="H105" i="5"/>
  <c r="I105" i="5" s="1"/>
  <c r="G23" i="21"/>
  <c r="J25" i="8"/>
  <c r="J23" i="21" s="1"/>
  <c r="S28" i="21"/>
  <c r="T30" i="8"/>
  <c r="H109" i="5"/>
  <c r="I109" i="5" s="1"/>
  <c r="S29" i="21"/>
  <c r="T31" i="8"/>
  <c r="H113" i="5"/>
  <c r="I113" i="5" s="1"/>
  <c r="C25" i="8"/>
  <c r="C22" i="21"/>
  <c r="L28" i="21"/>
  <c r="Q30" i="8"/>
  <c r="Q28" i="21" s="1"/>
  <c r="L29" i="21"/>
  <c r="Q31" i="8"/>
  <c r="Q29" i="21" s="1"/>
  <c r="F92" i="5"/>
  <c r="G96" i="5"/>
  <c r="G93" i="5" s="1"/>
  <c r="G90" i="5"/>
  <c r="G91" i="5"/>
  <c r="K25" i="8" l="1"/>
  <c r="S25" i="8" s="1"/>
  <c r="S23" i="21" s="1"/>
  <c r="L25" i="8"/>
  <c r="L23" i="21" s="1"/>
  <c r="D26" i="8"/>
  <c r="D24" i="21" s="1"/>
  <c r="C23" i="21"/>
  <c r="S27" i="8"/>
  <c r="K25" i="21"/>
  <c r="H107" i="5"/>
  <c r="H106" i="5"/>
  <c r="T27" i="21"/>
  <c r="H108" i="5"/>
  <c r="I108" i="5" s="1"/>
  <c r="T29" i="21"/>
  <c r="H114" i="5"/>
  <c r="H116" i="5"/>
  <c r="I116" i="5" s="1"/>
  <c r="H115" i="5"/>
  <c r="K23" i="21"/>
  <c r="H112" i="5"/>
  <c r="I112" i="5" s="1"/>
  <c r="H110" i="5"/>
  <c r="T28" i="21"/>
  <c r="H111" i="5"/>
  <c r="S26" i="21"/>
  <c r="T28" i="8"/>
  <c r="H101" i="5"/>
  <c r="I101" i="5" s="1"/>
  <c r="T30" i="21"/>
  <c r="H119" i="5"/>
  <c r="H118" i="5"/>
  <c r="H120" i="5"/>
  <c r="I120" i="5" s="1"/>
  <c r="L26" i="21"/>
  <c r="Q28" i="8"/>
  <c r="Q26" i="21" s="1"/>
  <c r="L27" i="8"/>
  <c r="G92" i="5"/>
  <c r="G89" i="5" s="1"/>
  <c r="F81" i="5"/>
  <c r="F86" i="5"/>
  <c r="F87" i="5"/>
  <c r="G24" i="8"/>
  <c r="D23" i="8"/>
  <c r="D21" i="21" s="1"/>
  <c r="F85" i="5"/>
  <c r="B85" i="5"/>
  <c r="C85" i="5"/>
  <c r="C86" i="5"/>
  <c r="C87" i="5"/>
  <c r="C88" i="5"/>
  <c r="Q25" i="8" l="1"/>
  <c r="Q23" i="21" s="1"/>
  <c r="H89" i="5"/>
  <c r="I89" i="5" s="1"/>
  <c r="T25" i="8"/>
  <c r="T23" i="21"/>
  <c r="I106" i="5"/>
  <c r="I119" i="5"/>
  <c r="I107" i="5"/>
  <c r="G87" i="5"/>
  <c r="I115" i="5"/>
  <c r="I114" i="5"/>
  <c r="L25" i="21"/>
  <c r="Q27" i="8"/>
  <c r="Q25" i="21" s="1"/>
  <c r="H103" i="5"/>
  <c r="H104" i="5"/>
  <c r="I104" i="5" s="1"/>
  <c r="H102" i="5"/>
  <c r="T26" i="21"/>
  <c r="S25" i="21"/>
  <c r="H97" i="5"/>
  <c r="I97" i="5" s="1"/>
  <c r="T27" i="8"/>
  <c r="J24" i="8"/>
  <c r="J22" i="21" s="1"/>
  <c r="G22" i="21"/>
  <c r="I111" i="5"/>
  <c r="I118" i="5"/>
  <c r="I110" i="5"/>
  <c r="G86" i="5"/>
  <c r="F88" i="5"/>
  <c r="K24" i="8"/>
  <c r="H92" i="5" l="1"/>
  <c r="I92" i="5" s="1"/>
  <c r="H90" i="5"/>
  <c r="H91" i="5"/>
  <c r="I102" i="5"/>
  <c r="I103" i="5"/>
  <c r="H99" i="5"/>
  <c r="T25" i="21"/>
  <c r="H98" i="5"/>
  <c r="H100" i="5"/>
  <c r="I100" i="5" s="1"/>
  <c r="K22" i="21"/>
  <c r="S24" i="8"/>
  <c r="S22" i="21" s="1"/>
  <c r="G88" i="5"/>
  <c r="L24" i="8"/>
  <c r="G23" i="3"/>
  <c r="I7" i="3" s="1"/>
  <c r="F23" i="3"/>
  <c r="I6" i="3" s="1"/>
  <c r="G7" i="3"/>
  <c r="G6" i="3"/>
  <c r="G4" i="3"/>
  <c r="G3" i="3"/>
  <c r="I90" i="5" l="1"/>
  <c r="I91" i="5"/>
  <c r="I98" i="5"/>
  <c r="I99" i="5"/>
  <c r="T24" i="8"/>
  <c r="T22" i="21" s="1"/>
  <c r="H85" i="5"/>
  <c r="L22" i="21"/>
  <c r="Q24" i="8"/>
  <c r="Q22" i="21" s="1"/>
  <c r="I22" i="3"/>
  <c r="H86" i="5"/>
  <c r="H87" i="5"/>
  <c r="H88" i="5"/>
  <c r="I88" i="5" s="1"/>
  <c r="G85" i="5"/>
  <c r="F7" i="3"/>
  <c r="F3" i="3"/>
  <c r="F4" i="3"/>
  <c r="F6" i="3"/>
  <c r="B81" i="5"/>
  <c r="C81" i="5"/>
  <c r="C82" i="5"/>
  <c r="F82" i="5"/>
  <c r="C83" i="5"/>
  <c r="F83" i="5"/>
  <c r="C84" i="5"/>
  <c r="C80" i="5"/>
  <c r="C79" i="5"/>
  <c r="C78" i="5"/>
  <c r="C77" i="5"/>
  <c r="I85" i="5" l="1"/>
  <c r="I86" i="5"/>
  <c r="I87" i="5"/>
  <c r="G82" i="5"/>
  <c r="G83" i="5"/>
  <c r="F84" i="5"/>
  <c r="G84" i="5" s="1"/>
  <c r="F9" i="5"/>
  <c r="F10" i="5"/>
  <c r="F11" i="5"/>
  <c r="F13" i="5"/>
  <c r="F14" i="5"/>
  <c r="F15" i="5"/>
  <c r="F17" i="5"/>
  <c r="F18" i="5"/>
  <c r="F19" i="5"/>
  <c r="F21" i="5"/>
  <c r="F22" i="5"/>
  <c r="F23" i="5"/>
  <c r="F25" i="5"/>
  <c r="F26" i="5"/>
  <c r="H25" i="5" s="1"/>
  <c r="F27" i="5"/>
  <c r="F29" i="5"/>
  <c r="F30" i="5"/>
  <c r="F31" i="5"/>
  <c r="F33" i="5"/>
  <c r="F34" i="5"/>
  <c r="F35" i="5"/>
  <c r="F37" i="5"/>
  <c r="F38" i="5"/>
  <c r="F39" i="5"/>
  <c r="F41" i="5"/>
  <c r="F42" i="5"/>
  <c r="F43" i="5"/>
  <c r="F45" i="5"/>
  <c r="F46" i="5"/>
  <c r="F47" i="5"/>
  <c r="F49" i="5"/>
  <c r="F50" i="5"/>
  <c r="F51" i="5"/>
  <c r="F53" i="5"/>
  <c r="F54" i="5"/>
  <c r="F55" i="5"/>
  <c r="F57" i="5"/>
  <c r="F58" i="5"/>
  <c r="F59" i="5"/>
  <c r="F61" i="5"/>
  <c r="F62" i="5"/>
  <c r="F63" i="5"/>
  <c r="F65" i="5"/>
  <c r="F66" i="5"/>
  <c r="F67" i="5"/>
  <c r="F69" i="5"/>
  <c r="F70" i="5"/>
  <c r="F71" i="5"/>
  <c r="F73" i="5"/>
  <c r="F74" i="5"/>
  <c r="F75" i="5"/>
  <c r="F77" i="5"/>
  <c r="F78" i="5"/>
  <c r="F79" i="5"/>
  <c r="F5" i="5"/>
  <c r="F6" i="5"/>
  <c r="F7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D6" i="8"/>
  <c r="D4" i="21" s="1"/>
  <c r="D7" i="8"/>
  <c r="D5" i="21" s="1"/>
  <c r="D8" i="8"/>
  <c r="D6" i="21" s="1"/>
  <c r="D9" i="8"/>
  <c r="D7" i="21" s="1"/>
  <c r="D10" i="8"/>
  <c r="D8" i="21" s="1"/>
  <c r="D11" i="8"/>
  <c r="D9" i="21" s="1"/>
  <c r="D12" i="8"/>
  <c r="D10" i="21" s="1"/>
  <c r="D13" i="8"/>
  <c r="D11" i="21" s="1"/>
  <c r="D14" i="8"/>
  <c r="D12" i="21" s="1"/>
  <c r="D15" i="8"/>
  <c r="D13" i="21" s="1"/>
  <c r="D16" i="8"/>
  <c r="D14" i="21" s="1"/>
  <c r="D17" i="8"/>
  <c r="D15" i="21" s="1"/>
  <c r="D18" i="8"/>
  <c r="D16" i="21" s="1"/>
  <c r="D19" i="8"/>
  <c r="D17" i="21" s="1"/>
  <c r="D20" i="8"/>
  <c r="D18" i="21" s="1"/>
  <c r="D21" i="8"/>
  <c r="D19" i="21" s="1"/>
  <c r="D22" i="8"/>
  <c r="D5" i="8"/>
  <c r="D3" i="21" s="1"/>
  <c r="N98" i="2"/>
  <c r="B101" i="2"/>
  <c r="B102" i="2" s="1"/>
  <c r="C101" i="2"/>
  <c r="C102" i="2" s="1"/>
  <c r="I100" i="2" s="1"/>
  <c r="I102" i="2" s="1"/>
  <c r="H101" i="2"/>
  <c r="I101" i="2"/>
  <c r="J101" i="2"/>
  <c r="N102" i="2"/>
  <c r="F12" i="5" l="1"/>
  <c r="C56" i="8"/>
  <c r="C55" i="8"/>
  <c r="C54" i="8"/>
  <c r="D101" i="2"/>
  <c r="D102" i="2" s="1"/>
  <c r="J100" i="2" s="1"/>
  <c r="J102" i="2" s="1"/>
  <c r="C51" i="8"/>
  <c r="C52" i="8"/>
  <c r="C50" i="8"/>
  <c r="C53" i="8"/>
  <c r="C49" i="8"/>
  <c r="C48" i="8"/>
  <c r="C47" i="8"/>
  <c r="C46" i="8"/>
  <c r="C45" i="8"/>
  <c r="G22" i="8"/>
  <c r="D20" i="21"/>
  <c r="C44" i="8"/>
  <c r="C43" i="8"/>
  <c r="C42" i="8"/>
  <c r="C40" i="21" s="1"/>
  <c r="C41" i="8"/>
  <c r="C39" i="21" s="1"/>
  <c r="C40" i="8"/>
  <c r="C38" i="21" s="1"/>
  <c r="C39" i="8"/>
  <c r="T9" i="8"/>
  <c r="T7" i="21" s="1"/>
  <c r="F80" i="5"/>
  <c r="G80" i="5" s="1"/>
  <c r="G10" i="5"/>
  <c r="G23" i="8"/>
  <c r="G81" i="5"/>
  <c r="G66" i="5"/>
  <c r="G31" i="5"/>
  <c r="G27" i="5"/>
  <c r="G54" i="5"/>
  <c r="G35" i="5"/>
  <c r="G14" i="5"/>
  <c r="F76" i="5"/>
  <c r="G76" i="5" s="1"/>
  <c r="G67" i="5"/>
  <c r="F60" i="5"/>
  <c r="G60" i="5" s="1"/>
  <c r="G51" i="5"/>
  <c r="F44" i="5"/>
  <c r="G44" i="5" s="1"/>
  <c r="F28" i="5"/>
  <c r="G12" i="5"/>
  <c r="G50" i="5"/>
  <c r="F8" i="5"/>
  <c r="G8" i="5" s="1"/>
  <c r="G75" i="5"/>
  <c r="F68" i="5"/>
  <c r="G68" i="5" s="1"/>
  <c r="G59" i="5"/>
  <c r="F52" i="5"/>
  <c r="G52" i="5" s="1"/>
  <c r="F36" i="5"/>
  <c r="G36" i="5" s="1"/>
  <c r="G22" i="5"/>
  <c r="F20" i="5"/>
  <c r="G20" i="5" s="1"/>
  <c r="G78" i="5"/>
  <c r="G62" i="5"/>
  <c r="G46" i="5"/>
  <c r="G30" i="5"/>
  <c r="F64" i="5"/>
  <c r="G64" i="5" s="1"/>
  <c r="F48" i="5"/>
  <c r="G48" i="5" s="1"/>
  <c r="F32" i="5"/>
  <c r="G32" i="5" s="1"/>
  <c r="F16" i="5"/>
  <c r="G16" i="5" s="1"/>
  <c r="G71" i="5"/>
  <c r="G39" i="5"/>
  <c r="G19" i="5"/>
  <c r="G18" i="5"/>
  <c r="G79" i="5"/>
  <c r="G74" i="5"/>
  <c r="F72" i="5"/>
  <c r="G72" i="5" s="1"/>
  <c r="G63" i="5"/>
  <c r="G58" i="5"/>
  <c r="F56" i="5"/>
  <c r="G56" i="5" s="1"/>
  <c r="G42" i="5"/>
  <c r="F40" i="5"/>
  <c r="G40" i="5" s="1"/>
  <c r="F24" i="5"/>
  <c r="G24" i="5" s="1"/>
  <c r="G38" i="5"/>
  <c r="G34" i="5"/>
  <c r="G26" i="5"/>
  <c r="G6" i="5"/>
  <c r="G70" i="5"/>
  <c r="G7" i="5"/>
  <c r="G55" i="5"/>
  <c r="G23" i="5"/>
  <c r="G11" i="5"/>
  <c r="G47" i="5"/>
  <c r="G43" i="5"/>
  <c r="G15" i="5"/>
  <c r="H100" i="2"/>
  <c r="H102" i="2" s="1"/>
  <c r="E102" i="2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N26" i="2"/>
  <c r="G20" i="8"/>
  <c r="D56" i="8" l="1"/>
  <c r="G56" i="8" s="1"/>
  <c r="J56" i="8" s="1"/>
  <c r="D54" i="8"/>
  <c r="G54" i="8" s="1"/>
  <c r="J54" i="8" s="1"/>
  <c r="D55" i="8"/>
  <c r="G55" i="8" s="1"/>
  <c r="J55" i="8" s="1"/>
  <c r="D52" i="8"/>
  <c r="G52" i="8" s="1"/>
  <c r="J52" i="8" s="1"/>
  <c r="K52" i="8" s="1"/>
  <c r="S52" i="8" s="1"/>
  <c r="D53" i="8"/>
  <c r="G53" i="8" s="1"/>
  <c r="J53" i="8" s="1"/>
  <c r="K53" i="8" s="1"/>
  <c r="S53" i="8" s="1"/>
  <c r="H201" i="5" s="1"/>
  <c r="I201" i="5" s="1"/>
  <c r="D50" i="8"/>
  <c r="G50" i="8" s="1"/>
  <c r="J50" i="8" s="1"/>
  <c r="D45" i="8"/>
  <c r="G45" i="8" s="1"/>
  <c r="J45" i="8" s="1"/>
  <c r="D51" i="8"/>
  <c r="G51" i="8" s="1"/>
  <c r="J51" i="8" s="1"/>
  <c r="D46" i="8"/>
  <c r="G46" i="8" s="1"/>
  <c r="J46" i="8" s="1"/>
  <c r="D47" i="8"/>
  <c r="G47" i="8" s="1"/>
  <c r="J47" i="8" s="1"/>
  <c r="D49" i="8"/>
  <c r="G49" i="8" s="1"/>
  <c r="J49" i="8" s="1"/>
  <c r="D48" i="8"/>
  <c r="G48" i="8" s="1"/>
  <c r="J48" i="8" s="1"/>
  <c r="J12" i="8"/>
  <c r="J10" i="21" s="1"/>
  <c r="G10" i="21"/>
  <c r="G9" i="21"/>
  <c r="J11" i="8"/>
  <c r="J9" i="21" s="1"/>
  <c r="J4" i="8"/>
  <c r="J2" i="21" s="1"/>
  <c r="G2" i="21"/>
  <c r="G17" i="21"/>
  <c r="J19" i="8"/>
  <c r="J17" i="21" s="1"/>
  <c r="J13" i="8"/>
  <c r="J11" i="21" s="1"/>
  <c r="G11" i="21"/>
  <c r="G21" i="21"/>
  <c r="J23" i="8"/>
  <c r="J21" i="21" s="1"/>
  <c r="G13" i="21"/>
  <c r="J15" i="8"/>
  <c r="J13" i="21" s="1"/>
  <c r="J5" i="8"/>
  <c r="J3" i="21" s="1"/>
  <c r="G3" i="21"/>
  <c r="G12" i="21"/>
  <c r="J14" i="8"/>
  <c r="J12" i="21" s="1"/>
  <c r="G6" i="21"/>
  <c r="J8" i="8"/>
  <c r="J6" i="21" s="1"/>
  <c r="J16" i="8"/>
  <c r="J14" i="21" s="1"/>
  <c r="G14" i="21"/>
  <c r="J9" i="8"/>
  <c r="J7" i="21" s="1"/>
  <c r="G7" i="21"/>
  <c r="G15" i="21"/>
  <c r="J17" i="8"/>
  <c r="J15" i="21" s="1"/>
  <c r="J6" i="8"/>
  <c r="J4" i="21" s="1"/>
  <c r="G4" i="21"/>
  <c r="G5" i="21"/>
  <c r="J7" i="8"/>
  <c r="J5" i="21" s="1"/>
  <c r="J20" i="8"/>
  <c r="J18" i="21" s="1"/>
  <c r="G18" i="21"/>
  <c r="G8" i="21"/>
  <c r="J10" i="8"/>
  <c r="J8" i="21" s="1"/>
  <c r="G16" i="21"/>
  <c r="J18" i="8"/>
  <c r="J16" i="21" s="1"/>
  <c r="G20" i="21"/>
  <c r="J22" i="8"/>
  <c r="D39" i="8"/>
  <c r="C37" i="21"/>
  <c r="D42" i="8"/>
  <c r="D41" i="8"/>
  <c r="D43" i="8"/>
  <c r="D44" i="8"/>
  <c r="D40" i="8"/>
  <c r="H28" i="5"/>
  <c r="H26" i="5"/>
  <c r="H27" i="5"/>
  <c r="G49" i="5"/>
  <c r="G65" i="5"/>
  <c r="G28" i="5"/>
  <c r="G69" i="5"/>
  <c r="G61" i="5"/>
  <c r="G77" i="5"/>
  <c r="G33" i="5"/>
  <c r="G73" i="5"/>
  <c r="G29" i="5"/>
  <c r="G53" i="5"/>
  <c r="G9" i="5"/>
  <c r="G17" i="5"/>
  <c r="G57" i="5"/>
  <c r="G5" i="5"/>
  <c r="G41" i="5"/>
  <c r="G21" i="5"/>
  <c r="G37" i="5"/>
  <c r="G45" i="5"/>
  <c r="G13" i="5"/>
  <c r="G21" i="8"/>
  <c r="V4" i="2"/>
  <c r="V8" i="2" s="1"/>
  <c r="N94" i="2"/>
  <c r="U4" i="2" s="1"/>
  <c r="B97" i="2"/>
  <c r="B98" i="2" s="1"/>
  <c r="K56" i="8" l="1"/>
  <c r="S56" i="8" s="1"/>
  <c r="T56" i="8" s="1"/>
  <c r="T53" i="8"/>
  <c r="K55" i="8"/>
  <c r="S55" i="8" s="1"/>
  <c r="T55" i="8" s="1"/>
  <c r="K54" i="8"/>
  <c r="S54" i="8" s="1"/>
  <c r="T52" i="8"/>
  <c r="H199" i="5" s="1"/>
  <c r="H197" i="5"/>
  <c r="I197" i="5" s="1"/>
  <c r="K45" i="8"/>
  <c r="S45" i="8" s="1"/>
  <c r="H169" i="5" s="1"/>
  <c r="I169" i="5" s="1"/>
  <c r="K51" i="8"/>
  <c r="S51" i="8" s="1"/>
  <c r="K50" i="8"/>
  <c r="S50" i="8" s="1"/>
  <c r="L53" i="8"/>
  <c r="Q53" i="8" s="1"/>
  <c r="L52" i="8"/>
  <c r="Q52" i="8" s="1"/>
  <c r="K46" i="8"/>
  <c r="S46" i="8" s="1"/>
  <c r="K48" i="8"/>
  <c r="S48" i="8" s="1"/>
  <c r="K47" i="8"/>
  <c r="S47" i="8" s="1"/>
  <c r="K49" i="8"/>
  <c r="S49" i="8" s="1"/>
  <c r="K10" i="8"/>
  <c r="S10" i="8" s="1"/>
  <c r="S8" i="21" s="1"/>
  <c r="K14" i="8"/>
  <c r="S14" i="8" s="1"/>
  <c r="H45" i="5" s="1"/>
  <c r="I45" i="5" s="1"/>
  <c r="T14" i="8"/>
  <c r="T12" i="21" s="1"/>
  <c r="K4" i="8"/>
  <c r="J20" i="21"/>
  <c r="K22" i="8"/>
  <c r="K6" i="8"/>
  <c r="K16" i="8"/>
  <c r="K5" i="8"/>
  <c r="K13" i="8"/>
  <c r="J21" i="8"/>
  <c r="J19" i="21" s="1"/>
  <c r="G19" i="21"/>
  <c r="K20" i="8"/>
  <c r="K11" i="8"/>
  <c r="K17" i="8"/>
  <c r="K8" i="8"/>
  <c r="L10" i="8"/>
  <c r="Q10" i="8" s="1"/>
  <c r="Q8" i="21" s="1"/>
  <c r="K12" i="21"/>
  <c r="K8" i="21"/>
  <c r="K18" i="8"/>
  <c r="K15" i="8"/>
  <c r="K19" i="8"/>
  <c r="K7" i="8"/>
  <c r="K12" i="8"/>
  <c r="L8" i="21"/>
  <c r="G43" i="8"/>
  <c r="G41" i="8"/>
  <c r="D39" i="21"/>
  <c r="G42" i="8"/>
  <c r="G40" i="21" s="1"/>
  <c r="D40" i="21"/>
  <c r="G44" i="8"/>
  <c r="G40" i="8"/>
  <c r="D38" i="21"/>
  <c r="G39" i="8"/>
  <c r="D37" i="21"/>
  <c r="F12" i="3"/>
  <c r="H47" i="5"/>
  <c r="I28" i="5"/>
  <c r="K23" i="8"/>
  <c r="I27" i="5"/>
  <c r="I26" i="5"/>
  <c r="G25" i="5"/>
  <c r="K21" i="8"/>
  <c r="V9" i="2"/>
  <c r="V18" i="2" s="1"/>
  <c r="V19" i="2" s="1"/>
  <c r="C97" i="2"/>
  <c r="C98" i="2" s="1"/>
  <c r="I96" i="2" s="1"/>
  <c r="N90" i="2"/>
  <c r="B93" i="2"/>
  <c r="B94" i="2" s="1"/>
  <c r="H92" i="2" s="1"/>
  <c r="C93" i="2"/>
  <c r="C94" i="2" s="1"/>
  <c r="I92" i="2" s="1"/>
  <c r="T54" i="8" l="1"/>
  <c r="H207" i="5" s="1"/>
  <c r="H205" i="5"/>
  <c r="I205" i="5" s="1"/>
  <c r="L56" i="8"/>
  <c r="Q56" i="8" s="1"/>
  <c r="H202" i="5"/>
  <c r="H203" i="5"/>
  <c r="H204" i="5"/>
  <c r="I204" i="5" s="1"/>
  <c r="L54" i="8"/>
  <c r="Q54" i="8" s="1"/>
  <c r="L55" i="8"/>
  <c r="Q55" i="8" s="1"/>
  <c r="H200" i="5"/>
  <c r="H198" i="5"/>
  <c r="T51" i="8"/>
  <c r="H196" i="5" s="1"/>
  <c r="I196" i="5" s="1"/>
  <c r="H193" i="5"/>
  <c r="I193" i="5" s="1"/>
  <c r="T50" i="8"/>
  <c r="H192" i="5" s="1"/>
  <c r="I192" i="5" s="1"/>
  <c r="H189" i="5"/>
  <c r="I189" i="5" s="1"/>
  <c r="T45" i="8"/>
  <c r="H170" i="5" s="1"/>
  <c r="T49" i="8"/>
  <c r="H187" i="5" s="1"/>
  <c r="H185" i="5"/>
  <c r="I185" i="5" s="1"/>
  <c r="T47" i="8"/>
  <c r="H179" i="5" s="1"/>
  <c r="H177" i="5"/>
  <c r="I177" i="5" s="1"/>
  <c r="T48" i="8"/>
  <c r="H184" i="5" s="1"/>
  <c r="I184" i="5" s="1"/>
  <c r="H181" i="5"/>
  <c r="I181" i="5" s="1"/>
  <c r="L14" i="8"/>
  <c r="L12" i="21" s="1"/>
  <c r="T46" i="8"/>
  <c r="H175" i="5" s="1"/>
  <c r="H173" i="5"/>
  <c r="I173" i="5" s="1"/>
  <c r="L49" i="8"/>
  <c r="Q49" i="8" s="1"/>
  <c r="L50" i="8"/>
  <c r="Q50" i="8" s="1"/>
  <c r="L46" i="8"/>
  <c r="Q46" i="8" s="1"/>
  <c r="L51" i="8"/>
  <c r="Q51" i="8" s="1"/>
  <c r="L45" i="8"/>
  <c r="Q45" i="8" s="1"/>
  <c r="L48" i="8"/>
  <c r="Q48" i="8" s="1"/>
  <c r="L47" i="8"/>
  <c r="Q47" i="8" s="1"/>
  <c r="H46" i="5"/>
  <c r="H29" i="5"/>
  <c r="I29" i="5" s="1"/>
  <c r="S12" i="21"/>
  <c r="D93" i="2"/>
  <c r="D94" i="2" s="1"/>
  <c r="J92" i="2" s="1"/>
  <c r="H48" i="5"/>
  <c r="I48" i="5" s="1"/>
  <c r="T10" i="8"/>
  <c r="D97" i="2"/>
  <c r="S19" i="8"/>
  <c r="K17" i="21"/>
  <c r="L19" i="8"/>
  <c r="K4" i="21"/>
  <c r="L6" i="8"/>
  <c r="S6" i="8"/>
  <c r="L15" i="8"/>
  <c r="S15" i="8"/>
  <c r="K13" i="21"/>
  <c r="S11" i="8"/>
  <c r="K9" i="21"/>
  <c r="L11" i="8"/>
  <c r="L22" i="8"/>
  <c r="S22" i="8"/>
  <c r="K20" i="21"/>
  <c r="S18" i="8"/>
  <c r="K16" i="21"/>
  <c r="L18" i="8"/>
  <c r="L20" i="8"/>
  <c r="S20" i="8"/>
  <c r="K18" i="21"/>
  <c r="K2" i="21"/>
  <c r="S4" i="8"/>
  <c r="Q14" i="8"/>
  <c r="Q12" i="21" s="1"/>
  <c r="L12" i="8"/>
  <c r="S12" i="8"/>
  <c r="K10" i="21"/>
  <c r="S13" i="8"/>
  <c r="K11" i="21"/>
  <c r="L13" i="8"/>
  <c r="L7" i="8"/>
  <c r="K5" i="21"/>
  <c r="S7" i="8"/>
  <c r="K6" i="21"/>
  <c r="S8" i="8"/>
  <c r="L8" i="8"/>
  <c r="L5" i="8"/>
  <c r="K3" i="21"/>
  <c r="S5" i="8"/>
  <c r="L4" i="8"/>
  <c r="L17" i="8"/>
  <c r="S17" i="8"/>
  <c r="K15" i="21"/>
  <c r="L16" i="8"/>
  <c r="K14" i="21"/>
  <c r="S16" i="8"/>
  <c r="S21" i="8"/>
  <c r="S19" i="21" s="1"/>
  <c r="K19" i="21"/>
  <c r="J42" i="8"/>
  <c r="K42" i="8" s="1"/>
  <c r="K40" i="21" s="1"/>
  <c r="K21" i="21"/>
  <c r="S23" i="8"/>
  <c r="S21" i="21" s="1"/>
  <c r="J44" i="8"/>
  <c r="J39" i="8"/>
  <c r="G37" i="21"/>
  <c r="J40" i="8"/>
  <c r="J38" i="21" s="1"/>
  <c r="G38" i="21"/>
  <c r="J41" i="8"/>
  <c r="G39" i="21"/>
  <c r="J43" i="8"/>
  <c r="L23" i="8"/>
  <c r="I25" i="5"/>
  <c r="L21" i="8"/>
  <c r="I97" i="2"/>
  <c r="I98" i="2" s="1"/>
  <c r="J97" i="2"/>
  <c r="H97" i="2"/>
  <c r="V12" i="2"/>
  <c r="V16" i="2" s="1"/>
  <c r="D98" i="2"/>
  <c r="J96" i="2" s="1"/>
  <c r="H96" i="2"/>
  <c r="U8" i="2"/>
  <c r="U9" i="2" s="1"/>
  <c r="U18" i="2" s="1"/>
  <c r="U19" i="2" s="1"/>
  <c r="N50" i="2"/>
  <c r="N42" i="2"/>
  <c r="N38" i="2"/>
  <c r="N34" i="2"/>
  <c r="N46" i="2"/>
  <c r="N54" i="2"/>
  <c r="N58" i="2"/>
  <c r="N62" i="2"/>
  <c r="N66" i="2"/>
  <c r="N70" i="2"/>
  <c r="N74" i="2"/>
  <c r="N78" i="2"/>
  <c r="N82" i="2"/>
  <c r="N86" i="2"/>
  <c r="N30" i="2"/>
  <c r="J46" i="2"/>
  <c r="J47" i="2" s="1"/>
  <c r="I46" i="2"/>
  <c r="H46" i="2"/>
  <c r="B89" i="2"/>
  <c r="B90" i="2" s="1"/>
  <c r="C89" i="2"/>
  <c r="T4" i="2"/>
  <c r="T8" i="2" s="1"/>
  <c r="T9" i="2" s="1"/>
  <c r="H208" i="5" l="1"/>
  <c r="H206" i="5"/>
  <c r="I203" i="5"/>
  <c r="I202" i="5"/>
  <c r="H172" i="5"/>
  <c r="I172" i="5" s="1"/>
  <c r="I198" i="5"/>
  <c r="I199" i="5"/>
  <c r="I200" i="5"/>
  <c r="H194" i="5"/>
  <c r="I194" i="5" s="1"/>
  <c r="H195" i="5"/>
  <c r="I195" i="5" s="1"/>
  <c r="H171" i="5"/>
  <c r="H190" i="5"/>
  <c r="I190" i="5" s="1"/>
  <c r="H191" i="5"/>
  <c r="I191" i="5" s="1"/>
  <c r="H188" i="5"/>
  <c r="H186" i="5"/>
  <c r="H180" i="5"/>
  <c r="H178" i="5"/>
  <c r="H182" i="5"/>
  <c r="I182" i="5" s="1"/>
  <c r="H183" i="5"/>
  <c r="I183" i="5" s="1"/>
  <c r="H98" i="2"/>
  <c r="H176" i="5"/>
  <c r="H174" i="5"/>
  <c r="I46" i="5"/>
  <c r="I47" i="5"/>
  <c r="T8" i="21"/>
  <c r="H32" i="5"/>
  <c r="I32" i="5" s="1"/>
  <c r="H30" i="5"/>
  <c r="H31" i="5"/>
  <c r="J40" i="21"/>
  <c r="L2" i="21"/>
  <c r="Q4" i="8"/>
  <c r="Q2" i="21" s="1"/>
  <c r="S3" i="21"/>
  <c r="T5" i="8"/>
  <c r="H9" i="5"/>
  <c r="I9" i="5" s="1"/>
  <c r="L5" i="21"/>
  <c r="Q7" i="8"/>
  <c r="Q5" i="21" s="1"/>
  <c r="S2" i="21"/>
  <c r="T4" i="8"/>
  <c r="H5" i="5"/>
  <c r="L13" i="21"/>
  <c r="Q15" i="8"/>
  <c r="Q13" i="21" s="1"/>
  <c r="S14" i="21"/>
  <c r="T16" i="8"/>
  <c r="H53" i="5"/>
  <c r="I53" i="5" s="1"/>
  <c r="Q13" i="8"/>
  <c r="Q11" i="21" s="1"/>
  <c r="L11" i="21"/>
  <c r="S20" i="21"/>
  <c r="T22" i="8"/>
  <c r="H77" i="5"/>
  <c r="I77" i="5" s="1"/>
  <c r="S4" i="21"/>
  <c r="T6" i="8"/>
  <c r="H13" i="5"/>
  <c r="I13" i="5" s="1"/>
  <c r="S13" i="21"/>
  <c r="T15" i="8"/>
  <c r="H49" i="5"/>
  <c r="I49" i="5" s="1"/>
  <c r="T21" i="8"/>
  <c r="T19" i="21" s="1"/>
  <c r="Q5" i="8"/>
  <c r="Q3" i="21" s="1"/>
  <c r="L3" i="21"/>
  <c r="L20" i="21"/>
  <c r="Q22" i="8"/>
  <c r="Q20" i="21" s="1"/>
  <c r="Q6" i="8"/>
  <c r="Q4" i="21" s="1"/>
  <c r="L4" i="21"/>
  <c r="Q16" i="8"/>
  <c r="Q14" i="21" s="1"/>
  <c r="L14" i="21"/>
  <c r="L6" i="21"/>
  <c r="Q8" i="8"/>
  <c r="Q6" i="21" s="1"/>
  <c r="S11" i="21"/>
  <c r="T13" i="8"/>
  <c r="H41" i="5"/>
  <c r="I41" i="5" s="1"/>
  <c r="S18" i="21"/>
  <c r="T20" i="8"/>
  <c r="H69" i="5"/>
  <c r="I69" i="5" s="1"/>
  <c r="L9" i="21"/>
  <c r="Q11" i="8"/>
  <c r="Q9" i="21" s="1"/>
  <c r="S6" i="21"/>
  <c r="T8" i="8"/>
  <c r="H21" i="5"/>
  <c r="I21" i="5" s="1"/>
  <c r="L18" i="21"/>
  <c r="Q20" i="8"/>
  <c r="Q18" i="21" s="1"/>
  <c r="Q19" i="8"/>
  <c r="Q17" i="21" s="1"/>
  <c r="L17" i="21"/>
  <c r="S16" i="21"/>
  <c r="T18" i="8"/>
  <c r="H61" i="5"/>
  <c r="I61" i="5" s="1"/>
  <c r="S15" i="21"/>
  <c r="T17" i="8"/>
  <c r="H57" i="5"/>
  <c r="I57" i="5" s="1"/>
  <c r="S10" i="21"/>
  <c r="T12" i="8"/>
  <c r="H37" i="5"/>
  <c r="I37" i="5" s="1"/>
  <c r="L16" i="21"/>
  <c r="Q18" i="8"/>
  <c r="Q16" i="21" s="1"/>
  <c r="S9" i="21"/>
  <c r="T11" i="8"/>
  <c r="H33" i="5"/>
  <c r="I33" i="5" s="1"/>
  <c r="L15" i="21"/>
  <c r="Q17" i="8"/>
  <c r="Q15" i="21" s="1"/>
  <c r="S5" i="21"/>
  <c r="H17" i="5"/>
  <c r="I17" i="5" s="1"/>
  <c r="T7" i="8"/>
  <c r="Q12" i="8"/>
  <c r="Q10" i="21" s="1"/>
  <c r="L10" i="21"/>
  <c r="S17" i="21"/>
  <c r="T19" i="8"/>
  <c r="H65" i="5"/>
  <c r="I65" i="5" s="1"/>
  <c r="L42" i="8"/>
  <c r="Q42" i="8" s="1"/>
  <c r="Q40" i="21" s="1"/>
  <c r="Q21" i="8"/>
  <c r="Q19" i="21" s="1"/>
  <c r="L19" i="21"/>
  <c r="S42" i="8"/>
  <c r="S40" i="21" s="1"/>
  <c r="H81" i="5"/>
  <c r="I81" i="5" s="1"/>
  <c r="L21" i="21"/>
  <c r="Q23" i="8"/>
  <c r="Q21" i="21" s="1"/>
  <c r="J37" i="21"/>
  <c r="K39" i="8"/>
  <c r="L39" i="8" s="1"/>
  <c r="K43" i="8"/>
  <c r="K44" i="8"/>
  <c r="K40" i="8"/>
  <c r="K38" i="21" s="1"/>
  <c r="J39" i="21"/>
  <c r="K41" i="8"/>
  <c r="G12" i="3"/>
  <c r="G14" i="3"/>
  <c r="H73" i="5"/>
  <c r="I73" i="5" s="1"/>
  <c r="T23" i="8"/>
  <c r="T21" i="21" s="1"/>
  <c r="J98" i="2"/>
  <c r="J99" i="2" s="1"/>
  <c r="I93" i="2"/>
  <c r="H93" i="2"/>
  <c r="H94" i="2" s="1"/>
  <c r="E98" i="2"/>
  <c r="T18" i="2"/>
  <c r="T19" i="2" s="1"/>
  <c r="I47" i="2"/>
  <c r="C90" i="2"/>
  <c r="I88" i="2" s="1"/>
  <c r="H47" i="2"/>
  <c r="J93" i="2"/>
  <c r="J94" i="2" s="1"/>
  <c r="J95" i="2" s="1"/>
  <c r="I94" i="2"/>
  <c r="E94" i="2"/>
  <c r="U12" i="2"/>
  <c r="U16" i="2" s="1"/>
  <c r="T12" i="2"/>
  <c r="T16" i="2" s="1"/>
  <c r="D89" i="2"/>
  <c r="H88" i="2"/>
  <c r="B85" i="2"/>
  <c r="B86" i="2" s="1"/>
  <c r="H84" i="2" s="1"/>
  <c r="C85" i="2"/>
  <c r="C86" i="2" s="1"/>
  <c r="I84" i="2" s="1"/>
  <c r="S4" i="2"/>
  <c r="S8" i="2" s="1"/>
  <c r="L7" i="3" l="1"/>
  <c r="I206" i="5"/>
  <c r="I207" i="5"/>
  <c r="I208" i="5"/>
  <c r="K7" i="3"/>
  <c r="J7" i="3"/>
  <c r="I171" i="5"/>
  <c r="I170" i="5"/>
  <c r="I186" i="5"/>
  <c r="I187" i="5"/>
  <c r="I188" i="5"/>
  <c r="I178" i="5"/>
  <c r="I179" i="5"/>
  <c r="I180" i="5"/>
  <c r="H74" i="5"/>
  <c r="I174" i="5"/>
  <c r="H75" i="5"/>
  <c r="H76" i="5"/>
  <c r="I76" i="5" s="1"/>
  <c r="I176" i="5"/>
  <c r="I175" i="5"/>
  <c r="I5" i="5"/>
  <c r="I30" i="5"/>
  <c r="K47" i="2"/>
  <c r="H99" i="2"/>
  <c r="I31" i="5"/>
  <c r="I99" i="2"/>
  <c r="T42" i="8"/>
  <c r="H159" i="5" s="1"/>
  <c r="L40" i="21"/>
  <c r="T6" i="21"/>
  <c r="H24" i="5"/>
  <c r="I24" i="5" s="1"/>
  <c r="H22" i="5"/>
  <c r="H23" i="5"/>
  <c r="T11" i="21"/>
  <c r="H42" i="5"/>
  <c r="H44" i="5"/>
  <c r="I44" i="5" s="1"/>
  <c r="H43" i="5"/>
  <c r="T16" i="21"/>
  <c r="H64" i="5"/>
  <c r="I64" i="5" s="1"/>
  <c r="H62" i="5"/>
  <c r="H63" i="5"/>
  <c r="T4" i="21"/>
  <c r="H14" i="5"/>
  <c r="H15" i="5"/>
  <c r="H16" i="5"/>
  <c r="I16" i="5" s="1"/>
  <c r="T14" i="21"/>
  <c r="H56" i="5"/>
  <c r="I56" i="5" s="1"/>
  <c r="H54" i="5"/>
  <c r="H55" i="5"/>
  <c r="T5" i="21"/>
  <c r="H19" i="5"/>
  <c r="H20" i="5"/>
  <c r="I20" i="5" s="1"/>
  <c r="H18" i="5"/>
  <c r="T10" i="21"/>
  <c r="H39" i="5"/>
  <c r="H38" i="5"/>
  <c r="H40" i="5"/>
  <c r="I40" i="5" s="1"/>
  <c r="T3" i="21"/>
  <c r="H11" i="5"/>
  <c r="H10" i="5"/>
  <c r="H12" i="5"/>
  <c r="I12" i="5" s="1"/>
  <c r="T17" i="21"/>
  <c r="H68" i="5"/>
  <c r="I68" i="5" s="1"/>
  <c r="H66" i="5"/>
  <c r="H67" i="5"/>
  <c r="T20" i="21"/>
  <c r="H78" i="5"/>
  <c r="H79" i="5"/>
  <c r="H80" i="5"/>
  <c r="I80" i="5" s="1"/>
  <c r="T18" i="21"/>
  <c r="H72" i="5"/>
  <c r="I72" i="5" s="1"/>
  <c r="H70" i="5"/>
  <c r="H71" i="5"/>
  <c r="H157" i="5"/>
  <c r="I157" i="5" s="1"/>
  <c r="T9" i="21"/>
  <c r="H36" i="5"/>
  <c r="I36" i="5" s="1"/>
  <c r="H34" i="5"/>
  <c r="H35" i="5"/>
  <c r="T15" i="21"/>
  <c r="H60" i="5"/>
  <c r="I60" i="5" s="1"/>
  <c r="H58" i="5"/>
  <c r="H59" i="5"/>
  <c r="T13" i="21"/>
  <c r="H51" i="5"/>
  <c r="H52" i="5"/>
  <c r="I52" i="5" s="1"/>
  <c r="H50" i="5"/>
  <c r="T2" i="21"/>
  <c r="H6" i="5"/>
  <c r="H8" i="5"/>
  <c r="I8" i="5" s="1"/>
  <c r="H7" i="5"/>
  <c r="S44" i="8"/>
  <c r="H165" i="5" s="1"/>
  <c r="I165" i="5" s="1"/>
  <c r="L44" i="8"/>
  <c r="S43" i="8"/>
  <c r="H161" i="5" s="1"/>
  <c r="I161" i="5" s="1"/>
  <c r="L43" i="8"/>
  <c r="S41" i="8"/>
  <c r="K39" i="21"/>
  <c r="L41" i="8"/>
  <c r="Q39" i="8"/>
  <c r="Q37" i="21" s="1"/>
  <c r="L37" i="21"/>
  <c r="S40" i="8"/>
  <c r="H149" i="5" s="1"/>
  <c r="I149" i="5" s="1"/>
  <c r="S39" i="8"/>
  <c r="K37" i="21"/>
  <c r="L40" i="8"/>
  <c r="L38" i="21" s="1"/>
  <c r="H84" i="5"/>
  <c r="I84" i="5" s="1"/>
  <c r="H83" i="5"/>
  <c r="H82" i="5"/>
  <c r="H95" i="2"/>
  <c r="H89" i="2"/>
  <c r="H90" i="2" s="1"/>
  <c r="I89" i="2"/>
  <c r="I90" i="2" s="1"/>
  <c r="J89" i="2"/>
  <c r="D90" i="2"/>
  <c r="E90" i="2" s="1"/>
  <c r="I95" i="2"/>
  <c r="S9" i="2"/>
  <c r="S18" i="2" s="1"/>
  <c r="S19" i="2" s="1"/>
  <c r="D85" i="2"/>
  <c r="R4" i="2"/>
  <c r="R8" i="2" s="1"/>
  <c r="B81" i="2"/>
  <c r="B82" i="2" s="1"/>
  <c r="C81" i="2"/>
  <c r="I74" i="5" l="1"/>
  <c r="I75" i="5"/>
  <c r="H158" i="5"/>
  <c r="G11" i="3"/>
  <c r="H160" i="5"/>
  <c r="I159" i="5" s="1"/>
  <c r="T40" i="21"/>
  <c r="F11" i="3"/>
  <c r="K99" i="2"/>
  <c r="I19" i="5"/>
  <c r="I42" i="5"/>
  <c r="I58" i="5"/>
  <c r="I34" i="5"/>
  <c r="I18" i="5"/>
  <c r="I43" i="5"/>
  <c r="I71" i="5"/>
  <c r="I67" i="5"/>
  <c r="I55" i="5"/>
  <c r="I63" i="5"/>
  <c r="I23" i="5"/>
  <c r="I51" i="5"/>
  <c r="I79" i="5"/>
  <c r="I10" i="5"/>
  <c r="I15" i="5"/>
  <c r="I78" i="5"/>
  <c r="I11" i="5"/>
  <c r="I14" i="5"/>
  <c r="I7" i="5"/>
  <c r="I59" i="5"/>
  <c r="I6" i="5"/>
  <c r="I70" i="5"/>
  <c r="I66" i="5"/>
  <c r="I38" i="5"/>
  <c r="I54" i="5"/>
  <c r="I62" i="5"/>
  <c r="I22" i="5"/>
  <c r="I39" i="5"/>
  <c r="Q40" i="8"/>
  <c r="Q38" i="21" s="1"/>
  <c r="I50" i="5"/>
  <c r="I35" i="5"/>
  <c r="Q43" i="8"/>
  <c r="S37" i="21"/>
  <c r="T39" i="8"/>
  <c r="H145" i="5"/>
  <c r="I145" i="5" s="1"/>
  <c r="T43" i="8"/>
  <c r="H163" i="5" s="1"/>
  <c r="T40" i="8"/>
  <c r="S38" i="21"/>
  <c r="Q41" i="8"/>
  <c r="Q39" i="21" s="1"/>
  <c r="L39" i="21"/>
  <c r="Q44" i="8"/>
  <c r="S39" i="21"/>
  <c r="T41" i="8"/>
  <c r="H153" i="5"/>
  <c r="I153" i="5" s="1"/>
  <c r="T44" i="8"/>
  <c r="H167" i="5" s="1"/>
  <c r="I82" i="5"/>
  <c r="I83" i="5"/>
  <c r="J88" i="2"/>
  <c r="J90" i="2" s="1"/>
  <c r="J91" i="2" s="1"/>
  <c r="D86" i="2"/>
  <c r="J84" i="2" s="1"/>
  <c r="C82" i="2"/>
  <c r="I80" i="2" s="1"/>
  <c r="K95" i="2"/>
  <c r="J85" i="2"/>
  <c r="I85" i="2"/>
  <c r="I86" i="2" s="1"/>
  <c r="H85" i="2"/>
  <c r="H86" i="2" s="1"/>
  <c r="S12" i="2"/>
  <c r="S16" i="2" s="1"/>
  <c r="R9" i="2"/>
  <c r="R12" i="2" s="1"/>
  <c r="R16" i="2" s="1"/>
  <c r="H80" i="2"/>
  <c r="D81" i="2"/>
  <c r="C77" i="2"/>
  <c r="B77" i="2"/>
  <c r="B78" i="2" s="1"/>
  <c r="Q4" i="2"/>
  <c r="Q8" i="2" s="1"/>
  <c r="I160" i="5" l="1"/>
  <c r="I158" i="5"/>
  <c r="I91" i="2"/>
  <c r="G21" i="3"/>
  <c r="H168" i="5"/>
  <c r="I168" i="5" s="1"/>
  <c r="H166" i="5"/>
  <c r="H164" i="5"/>
  <c r="I163" i="5" s="1"/>
  <c r="H162" i="5"/>
  <c r="F21" i="3"/>
  <c r="H151" i="5"/>
  <c r="T38" i="21"/>
  <c r="H150" i="5"/>
  <c r="H152" i="5"/>
  <c r="I152" i="5" s="1"/>
  <c r="H155" i="5"/>
  <c r="T39" i="21"/>
  <c r="H154" i="5"/>
  <c r="H156" i="5"/>
  <c r="I156" i="5" s="1"/>
  <c r="T37" i="21"/>
  <c r="H146" i="5"/>
  <c r="H147" i="5"/>
  <c r="H148" i="5"/>
  <c r="I148" i="5" s="1"/>
  <c r="E86" i="2"/>
  <c r="H91" i="2"/>
  <c r="C78" i="2"/>
  <c r="I76" i="2" s="1"/>
  <c r="J86" i="2"/>
  <c r="J87" i="2" s="1"/>
  <c r="D82" i="2"/>
  <c r="J80" i="2" s="1"/>
  <c r="D77" i="2"/>
  <c r="Q9" i="2"/>
  <c r="Q18" i="2" s="1"/>
  <c r="Q19" i="2" s="1"/>
  <c r="R18" i="2"/>
  <c r="R19" i="2" s="1"/>
  <c r="H76" i="2"/>
  <c r="C73" i="2"/>
  <c r="B73" i="2"/>
  <c r="E82" i="2" l="1"/>
  <c r="K91" i="2"/>
  <c r="I166" i="5"/>
  <c r="I167" i="5"/>
  <c r="I162" i="5"/>
  <c r="I164" i="5"/>
  <c r="L6" i="3" s="1"/>
  <c r="I155" i="5"/>
  <c r="I154" i="5"/>
  <c r="I147" i="5"/>
  <c r="I150" i="5"/>
  <c r="J6" i="3" s="1"/>
  <c r="I146" i="5"/>
  <c r="I151" i="5"/>
  <c r="K6" i="3" s="1"/>
  <c r="H87" i="2"/>
  <c r="D78" i="2"/>
  <c r="J76" i="2" s="1"/>
  <c r="B74" i="2"/>
  <c r="H72" i="2" s="1"/>
  <c r="I87" i="2"/>
  <c r="C74" i="2"/>
  <c r="I72" i="2" s="1"/>
  <c r="Q12" i="2"/>
  <c r="Q16" i="2" s="1"/>
  <c r="I81" i="2"/>
  <c r="I82" i="2" s="1"/>
  <c r="J81" i="2"/>
  <c r="J82" i="2" s="1"/>
  <c r="H81" i="2"/>
  <c r="H82" i="2" s="1"/>
  <c r="H77" i="2"/>
  <c r="H78" i="2" s="1"/>
  <c r="I77" i="2"/>
  <c r="I78" i="2" s="1"/>
  <c r="J77" i="2"/>
  <c r="D73" i="2"/>
  <c r="P4" i="2"/>
  <c r="P8" i="2" s="1"/>
  <c r="P9" i="2" s="1"/>
  <c r="P18" i="2" s="1"/>
  <c r="P19" i="2" s="1"/>
  <c r="B69" i="2"/>
  <c r="C69" i="2"/>
  <c r="K87" i="2" l="1"/>
  <c r="E78" i="2"/>
  <c r="C70" i="2"/>
  <c r="I68" i="2" s="1"/>
  <c r="D74" i="2"/>
  <c r="E74" i="2" s="1"/>
  <c r="B70" i="2"/>
  <c r="H68" i="2" s="1"/>
  <c r="J78" i="2"/>
  <c r="J79" i="2" s="1"/>
  <c r="H83" i="2"/>
  <c r="J83" i="2"/>
  <c r="I83" i="2"/>
  <c r="D69" i="2"/>
  <c r="H73" i="2"/>
  <c r="H74" i="2" s="1"/>
  <c r="I73" i="2"/>
  <c r="I74" i="2" s="1"/>
  <c r="J73" i="2"/>
  <c r="P12" i="2"/>
  <c r="P16" i="2" s="1"/>
  <c r="O4" i="2"/>
  <c r="O8" i="2" s="1"/>
  <c r="O9" i="2" s="1"/>
  <c r="O18" i="2" s="1"/>
  <c r="O19" i="2" s="1"/>
  <c r="H69" i="2" s="1"/>
  <c r="B65" i="2"/>
  <c r="B66" i="2" s="1"/>
  <c r="C65" i="2"/>
  <c r="I79" i="2" l="1"/>
  <c r="H79" i="2"/>
  <c r="H70" i="2"/>
  <c r="J72" i="2"/>
  <c r="J74" i="2" s="1"/>
  <c r="C66" i="2"/>
  <c r="I64" i="2" s="1"/>
  <c r="D70" i="2"/>
  <c r="J68" i="2" s="1"/>
  <c r="K79" i="2"/>
  <c r="K83" i="2"/>
  <c r="I69" i="2"/>
  <c r="I70" i="2" s="1"/>
  <c r="J69" i="2"/>
  <c r="O12" i="2"/>
  <c r="O16" i="2" s="1"/>
  <c r="D65" i="2"/>
  <c r="N4" i="2"/>
  <c r="N8" i="2" s="1"/>
  <c r="N9" i="2" s="1"/>
  <c r="N18" i="2" s="1"/>
  <c r="N19" i="2" s="1"/>
  <c r="H64" i="2"/>
  <c r="B61" i="2"/>
  <c r="B62" i="2" s="1"/>
  <c r="C61" i="2"/>
  <c r="E70" i="2" l="1"/>
  <c r="I75" i="2"/>
  <c r="H75" i="2"/>
  <c r="J75" i="2"/>
  <c r="J70" i="2"/>
  <c r="H71" i="2" s="1"/>
  <c r="C62" i="2"/>
  <c r="I60" i="2" s="1"/>
  <c r="D66" i="2"/>
  <c r="J64" i="2" s="1"/>
  <c r="I71" i="2"/>
  <c r="I65" i="2"/>
  <c r="I66" i="2" s="1"/>
  <c r="J65" i="2"/>
  <c r="H65" i="2"/>
  <c r="H66" i="2" s="1"/>
  <c r="D61" i="2"/>
  <c r="M4" i="2"/>
  <c r="M8" i="2" s="1"/>
  <c r="M9" i="2" s="1"/>
  <c r="M18" i="2" s="1"/>
  <c r="M19" i="2" s="1"/>
  <c r="I61" i="2" s="1"/>
  <c r="N12" i="2"/>
  <c r="N16" i="2" s="1"/>
  <c r="H60" i="2"/>
  <c r="B57" i="2"/>
  <c r="C57" i="2"/>
  <c r="L4" i="2"/>
  <c r="L8" i="2" s="1"/>
  <c r="L9" i="2" s="1"/>
  <c r="L18" i="2" s="1"/>
  <c r="L19" i="2" s="1"/>
  <c r="H57" i="2" s="1"/>
  <c r="K4" i="2"/>
  <c r="E66" i="2" l="1"/>
  <c r="K75" i="2"/>
  <c r="I62" i="2"/>
  <c r="J71" i="2"/>
  <c r="K71" i="2" s="1"/>
  <c r="C58" i="2"/>
  <c r="I56" i="2" s="1"/>
  <c r="J66" i="2"/>
  <c r="J67" i="2" s="1"/>
  <c r="B58" i="2"/>
  <c r="H56" i="2" s="1"/>
  <c r="H58" i="2" s="1"/>
  <c r="D62" i="2"/>
  <c r="J60" i="2" s="1"/>
  <c r="M12" i="2"/>
  <c r="M16" i="2" s="1"/>
  <c r="H61" i="2"/>
  <c r="H62" i="2" s="1"/>
  <c r="J61" i="2"/>
  <c r="J57" i="2"/>
  <c r="I57" i="2"/>
  <c r="D57" i="2"/>
  <c r="L12" i="2"/>
  <c r="L16" i="2" s="1"/>
  <c r="K8" i="2"/>
  <c r="K9" i="2" s="1"/>
  <c r="K18" i="2" s="1"/>
  <c r="K19" i="2" s="1"/>
  <c r="I53" i="2" s="1"/>
  <c r="B53" i="2"/>
  <c r="C53" i="2"/>
  <c r="I67" i="2" l="1"/>
  <c r="H67" i="2"/>
  <c r="K67" i="2" s="1"/>
  <c r="E62" i="2"/>
  <c r="I58" i="2"/>
  <c r="C54" i="2"/>
  <c r="I52" i="2" s="1"/>
  <c r="I54" i="2" s="1"/>
  <c r="B54" i="2"/>
  <c r="H52" i="2" s="1"/>
  <c r="D58" i="2"/>
  <c r="J56" i="2" s="1"/>
  <c r="J58" i="2" s="1"/>
  <c r="J62" i="2"/>
  <c r="J63" i="2" s="1"/>
  <c r="H53" i="2"/>
  <c r="J53" i="2"/>
  <c r="K12" i="2"/>
  <c r="K16" i="2" s="1"/>
  <c r="D53" i="2"/>
  <c r="E58" i="2" l="1"/>
  <c r="H63" i="2"/>
  <c r="I63" i="2"/>
  <c r="K63" i="2" s="1"/>
  <c r="I59" i="2"/>
  <c r="J59" i="2"/>
  <c r="H59" i="2"/>
  <c r="D54" i="2"/>
  <c r="J52" i="2" s="1"/>
  <c r="J54" i="2" s="1"/>
  <c r="H54" i="2"/>
  <c r="C25" i="2"/>
  <c r="C26" i="2" s="1"/>
  <c r="B25" i="2"/>
  <c r="B26" i="2" s="1"/>
  <c r="D4" i="2"/>
  <c r="E4" i="2"/>
  <c r="G4" i="2"/>
  <c r="B37" i="2"/>
  <c r="B38" i="2" s="1"/>
  <c r="B45" i="2"/>
  <c r="B46" i="2" s="1"/>
  <c r="B49" i="2"/>
  <c r="B50" i="2" s="1"/>
  <c r="C49" i="2"/>
  <c r="C50" i="2" s="1"/>
  <c r="H55" i="2" l="1"/>
  <c r="E54" i="2"/>
  <c r="K59" i="2"/>
  <c r="J55" i="2"/>
  <c r="I55" i="2"/>
  <c r="J4" i="2"/>
  <c r="J8" i="2" s="1"/>
  <c r="I48" i="2"/>
  <c r="H48" i="2"/>
  <c r="D49" i="2"/>
  <c r="D50" i="2" s="1"/>
  <c r="C45" i="2"/>
  <c r="C46" i="2" s="1"/>
  <c r="K55" i="2" l="1"/>
  <c r="J9" i="2"/>
  <c r="J18" i="2" s="1"/>
  <c r="J19" i="2" s="1"/>
  <c r="I18" i="2"/>
  <c r="I19" i="2" s="1"/>
  <c r="D45" i="2"/>
  <c r="D46" i="2" s="1"/>
  <c r="J48" i="2"/>
  <c r="H4" i="2"/>
  <c r="C41" i="2"/>
  <c r="C42" i="2" s="1"/>
  <c r="B41" i="2"/>
  <c r="B42" i="2" s="1"/>
  <c r="J12" i="2" l="1"/>
  <c r="J16" i="2" s="1"/>
  <c r="H49" i="2"/>
  <c r="H50" i="2" s="1"/>
  <c r="I49" i="2"/>
  <c r="I50" i="2" s="1"/>
  <c r="J49" i="2"/>
  <c r="J50" i="2" s="1"/>
  <c r="J51" i="2" s="1"/>
  <c r="I40" i="2"/>
  <c r="E46" i="2"/>
  <c r="E50" i="2"/>
  <c r="D41" i="2"/>
  <c r="D42" i="2" s="1"/>
  <c r="H8" i="2"/>
  <c r="H9" i="2" s="1"/>
  <c r="H18" i="2" s="1"/>
  <c r="H19" i="2" s="1"/>
  <c r="H40" i="2"/>
  <c r="H51" i="2" l="1"/>
  <c r="I51" i="2"/>
  <c r="J40" i="2"/>
  <c r="H12" i="2"/>
  <c r="H16" i="2" s="1"/>
  <c r="I41" i="2"/>
  <c r="I42" i="2" s="1"/>
  <c r="H41" i="2"/>
  <c r="H42" i="2" s="1"/>
  <c r="J41" i="2"/>
  <c r="K51" i="2" l="1"/>
  <c r="E42" i="2"/>
  <c r="J42" i="2"/>
  <c r="J43" i="2" s="1"/>
  <c r="I43" i="2" l="1"/>
  <c r="H43" i="2"/>
  <c r="K43" i="2" l="1"/>
  <c r="G8" i="2"/>
  <c r="G9" i="2" l="1"/>
  <c r="G12" i="2" s="1"/>
  <c r="C37" i="2"/>
  <c r="C38" i="2" s="1"/>
  <c r="F4" i="2"/>
  <c r="C33" i="2"/>
  <c r="C34" i="2" s="1"/>
  <c r="B33" i="2"/>
  <c r="B34" i="2" s="1"/>
  <c r="E8" i="2"/>
  <c r="C29" i="2"/>
  <c r="B29" i="2"/>
  <c r="B30" i="2" s="1"/>
  <c r="I24" i="2"/>
  <c r="I32" i="2" l="1"/>
  <c r="C30" i="2"/>
  <c r="I28" i="2" s="1"/>
  <c r="I36" i="2"/>
  <c r="D29" i="2"/>
  <c r="D37" i="2"/>
  <c r="D38" i="2" s="1"/>
  <c r="D33" i="2"/>
  <c r="D34" i="2" s="1"/>
  <c r="D25" i="2"/>
  <c r="F8" i="2"/>
  <c r="F9" i="2" s="1"/>
  <c r="F18" i="2" s="1"/>
  <c r="F19" i="2" s="1"/>
  <c r="G18" i="2"/>
  <c r="G19" i="2" s="1"/>
  <c r="H28" i="2"/>
  <c r="H24" i="2"/>
  <c r="E9" i="2"/>
  <c r="E18" i="2" s="1"/>
  <c r="E19" i="2" s="1"/>
  <c r="H32" i="2"/>
  <c r="D8" i="2"/>
  <c r="D26" i="2" l="1"/>
  <c r="J24" i="2" s="1"/>
  <c r="D30" i="2"/>
  <c r="E30" i="2" s="1"/>
  <c r="E34" i="2"/>
  <c r="E38" i="2"/>
  <c r="E26" i="2"/>
  <c r="H36" i="2"/>
  <c r="J37" i="2"/>
  <c r="I37" i="2"/>
  <c r="I38" i="2" s="1"/>
  <c r="H37" i="2"/>
  <c r="F12" i="2"/>
  <c r="F16" i="2" s="1"/>
  <c r="E12" i="2"/>
  <c r="E16" i="2" s="1"/>
  <c r="H29" i="2"/>
  <c r="H30" i="2" s="1"/>
  <c r="I29" i="2"/>
  <c r="I30" i="2" s="1"/>
  <c r="J29" i="2"/>
  <c r="J33" i="2"/>
  <c r="H33" i="2"/>
  <c r="H34" i="2" s="1"/>
  <c r="I33" i="2"/>
  <c r="I34" i="2" s="1"/>
  <c r="D9" i="2"/>
  <c r="D18" i="2" s="1"/>
  <c r="D19" i="2" s="1"/>
  <c r="G16" i="2"/>
  <c r="J28" i="2" l="1"/>
  <c r="J30" i="2" s="1"/>
  <c r="J31" i="2" s="1"/>
  <c r="J32" i="2"/>
  <c r="J34" i="2" s="1"/>
  <c r="D12" i="2"/>
  <c r="D16" i="2" s="1"/>
  <c r="J36" i="2"/>
  <c r="J38" i="2" s="1"/>
  <c r="J39" i="2" s="1"/>
  <c r="H38" i="2"/>
  <c r="J25" i="2"/>
  <c r="J26" i="2" s="1"/>
  <c r="J27" i="2" s="1"/>
  <c r="I25" i="2"/>
  <c r="I26" i="2" s="1"/>
  <c r="H25" i="2"/>
  <c r="H26" i="2" s="1"/>
  <c r="H39" i="2" l="1"/>
  <c r="I39" i="2"/>
  <c r="I31" i="2"/>
  <c r="H31" i="2"/>
  <c r="J35" i="2"/>
  <c r="H35" i="2"/>
  <c r="I35" i="2"/>
  <c r="I27" i="2"/>
  <c r="H27" i="2"/>
  <c r="K39" i="2" l="1"/>
  <c r="K35" i="2"/>
  <c r="K31" i="2"/>
  <c r="K27" i="2"/>
  <c r="G26" i="8"/>
  <c r="G24" i="21" l="1"/>
  <c r="J26" i="8"/>
  <c r="J24" i="21" s="1"/>
  <c r="F5" i="3"/>
  <c r="K26" i="8"/>
  <c r="G5" i="3"/>
  <c r="S26" i="8" l="1"/>
  <c r="S24" i="21" s="1"/>
  <c r="K24" i="21"/>
  <c r="F24" i="3"/>
  <c r="F25" i="3" s="1"/>
  <c r="G24" i="3"/>
  <c r="G25" i="3" s="1"/>
  <c r="L26" i="8"/>
  <c r="T26" i="8" l="1"/>
  <c r="T24" i="21" s="1"/>
  <c r="L24" i="21"/>
  <c r="Q26" i="8"/>
  <c r="Q24" i="21" s="1"/>
  <c r="H93" i="5"/>
  <c r="I93" i="5" s="1"/>
  <c r="H95" i="5"/>
  <c r="H94" i="5"/>
  <c r="H96" i="5"/>
  <c r="I96" i="5" s="1"/>
  <c r="I95" i="5" l="1"/>
  <c r="I94" i="5"/>
  <c r="L25" i="3" l="1"/>
  <c r="L24" i="3"/>
  <c r="M6" i="3" l="1"/>
  <c r="K24" i="3"/>
  <c r="K25" i="3"/>
  <c r="M7" i="3"/>
  <c r="J24" i="3"/>
  <c r="J25" i="3"/>
  <c r="M25" i="3" l="1"/>
  <c r="M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YOEL</author>
    <author>Asus</author>
    <author>Admin</author>
  </authors>
  <commentList>
    <comment ref="E30" authorId="0" shapeId="0" xr:uid="{3801494C-BB23-4EF8-9EF0-D98DC76893E7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fecha 22/2/19
</t>
        </r>
      </text>
    </comment>
    <comment ref="B65" authorId="1" shapeId="0" xr:uid="{BD70D6D0-604E-4E2C-9610-1AC28CAA58DD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  kwh</t>
        </r>
      </text>
    </comment>
    <comment ref="E102" authorId="2" shapeId="0" xr:uid="{9A09DC5D-FA25-4C1A-994E-29406162A4B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lectura:23</t>
        </r>
      </text>
    </comment>
    <comment ref="E103" authorId="2" shapeId="0" xr:uid="{022750F4-77E7-4D90-B9A8-9C6E5B1EF2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lectura:23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Admin</author>
    <author>tc={726EDD9C-6656-46EA-8C6A-73EC62015894}</author>
    <author>tc={92978E00-125F-4A74-9B2D-0AF864F51672}</author>
    <author>Usuario</author>
    <author>YOEL ALDAIR CAROCANCHA ARMAS</author>
  </authors>
  <commentList>
    <comment ref="B19" authorId="0" shapeId="0" xr:uid="{A636C3FB-5678-4F04-A2E3-A3B1A6B12E88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  kwh</t>
        </r>
      </text>
    </comment>
    <comment ref="H26" authorId="0" shapeId="0" xr:uid="{F3D45B04-A575-43CF-8077-5C4114A67C1E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arreglo forzado
</t>
        </r>
      </text>
    </comment>
    <comment ref="H30" authorId="1" shapeId="0" xr:uid="{B39A7BD5-E325-4418-9D94-AC40B52384DC}">
      <text>
        <r>
          <rPr>
            <b/>
            <sz val="9"/>
            <color indexed="81"/>
            <rFont val="Tahoma"/>
            <family val="2"/>
          </rPr>
          <t xml:space="preserve">INTERES COMPENSATORIO
</t>
        </r>
      </text>
    </comment>
    <comment ref="N30" authorId="1" shapeId="0" xr:uid="{D6BF65EB-555C-451E-874F-F47C0C6EDBF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DL 25844 CAL_SUM 2020-08
</t>
        </r>
      </text>
    </comment>
    <comment ref="H34" authorId="1" shapeId="0" xr:uid="{73C96E8F-D7AB-452A-BC4F-6A2E12AF2CF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copmpensatorio
</t>
        </r>
      </text>
    </comment>
    <comment ref="H35" authorId="1" shapeId="0" xr:uid="{800C0BA1-09FC-43C0-AB10-E6BF92306F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copmpensatorio
</t>
        </r>
      </text>
    </comment>
    <comment ref="H38" authorId="1" shapeId="0" xr:uid="{9BD25467-B343-4516-A81D-FA1E9C93636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copmpensatorio
</t>
        </r>
      </text>
    </comment>
    <comment ref="N38" authorId="1" shapeId="0" xr:uid="{FE4D0026-E74E-425E-9358-814DDA5DFB1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DEUDA ANTERIO+ MORA
416.04
</t>
        </r>
      </text>
    </comment>
    <comment ref="H39" authorId="1" shapeId="0" xr:uid="{62546FD6-CBFB-40F9-8032-60BB1202677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compensatorio</t>
        </r>
      </text>
    </comment>
    <comment ref="N39" authorId="1" shapeId="0" xr:uid="{A14A225E-91C1-42A7-A0B3-F9A18F0692B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DEUDA ANTERIO+ MORA
398.50 + 0.12
</t>
        </r>
      </text>
    </comment>
    <comment ref="H40" authorId="1" shapeId="0" xr:uid="{BFFB564A-E1B2-4E35-BF91-1F11D65AFE3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compensatorio</t>
        </r>
      </text>
    </comment>
    <comment ref="N40" authorId="1" shapeId="0" xr:uid="{CA298FBC-9F29-41FD-BCAD-915FF3A932C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DEUDA ANTERIO+ MORA
402.99 + 0.15</t>
        </r>
      </text>
    </comment>
    <comment ref="H41" authorId="1" shapeId="0" xr:uid="{A91DDF4A-46A5-405A-80A7-954855128AD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compensatorio</t>
        </r>
      </text>
    </comment>
    <comment ref="N41" authorId="1" shapeId="0" xr:uid="{CC1928D3-1302-4AD6-AA0D-D91144DCE75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RECARGO POR MORA
</t>
        </r>
      </text>
    </comment>
    <comment ref="H43" authorId="1" shapeId="0" xr:uid="{4EE74B13-A606-4752-85FA-BD2B2EE34E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compensatorio</t>
        </r>
      </text>
    </comment>
    <comment ref="N43" authorId="1" shapeId="0" xr:uid="{846BBA99-2263-4E9E-A941-723784F8514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DL 25844 CAL_SUM 2021-08
</t>
        </r>
      </text>
    </comment>
    <comment ref="N47" authorId="2" shapeId="0" xr:uid="{726EDD9C-6656-46EA-8C6A-73EC6201589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RECARGO POR MORA</t>
        </r>
      </text>
    </comment>
    <comment ref="H48" authorId="1" shapeId="0" xr:uid="{313DE6E0-4E2B-4C9A-8F5D-7F857C56111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compensatorio</t>
        </r>
      </text>
    </comment>
    <comment ref="N48" authorId="3" shapeId="0" xr:uid="{92978E00-125F-4A74-9B2D-0AF864F5167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DL 25844 Cal_Sum 2022-02</t>
        </r>
      </text>
    </comment>
    <comment ref="H50" authorId="1" shapeId="0" xr:uid="{127C0A71-0114-4979-8011-EB627E46922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compensatorio</t>
        </r>
      </text>
    </comment>
    <comment ref="X50" authorId="4" shapeId="0" xr:uid="{D9ACE0F4-6DCD-4A45-94B1-710009EF4677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Cambio precios 2020-2021 </t>
        </r>
      </text>
    </comment>
    <comment ref="H51" authorId="1" shapeId="0" xr:uid="{770208E6-6939-4ED6-BDF0-02F1F16E307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compensatorio</t>
        </r>
      </text>
    </comment>
    <comment ref="H52" authorId="1" shapeId="0" xr:uid="{B1477D01-7CFF-4382-B688-46DDC80146E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interes compensatorio</t>
        </r>
      </text>
    </comment>
    <comment ref="N52" authorId="1" shapeId="0" xr:uid="{2982036B-CA2C-45FE-BA5D-E91C80048A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RECARGO POR MORA
+
DS 020 CAL_SUM 2022-06</t>
        </r>
      </text>
    </comment>
    <comment ref="N53" authorId="5" shapeId="0" xr:uid="{FB9FA319-4E3F-44CC-812E-EF6A23D97A7B}">
      <text>
        <r>
          <rPr>
            <b/>
            <sz val="9"/>
            <color indexed="81"/>
            <rFont val="Tahoma"/>
            <charset val="1"/>
          </rPr>
          <t>YOEL ALDAIR CAROCANCHA ARMAS: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YOEL</author>
  </authors>
  <commentList>
    <comment ref="D18" authorId="0" shapeId="0" xr:uid="{92FE10D4-F04F-483C-8919-D571817B5E64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REPRESENTA LA CANTIDAD A PAGAR POR CONSUMOS ADICIONALES DE ENERGIA (ALLUMBRADO,IMPUESTOS,ETC.)</t>
        </r>
      </text>
    </comment>
    <comment ref="O23" authorId="0" shapeId="0" xr:uid="{771192F0-F41A-438D-8244-FC335E8E096F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E26" authorId="0" shapeId="0" xr:uid="{9919AF81-7058-455D-A679-B639695D5570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CONSUMO TOTAL DE LA CASA EN ENERGIA (S/.)
</t>
        </r>
      </text>
    </comment>
    <comment ref="N26" authorId="0" shapeId="0" xr:uid="{4345C6AB-BE09-4F25-838B-7D5493A2DA6D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CONSUMO DE KWH  RESPECTO AL MES ANTERIOR</t>
        </r>
      </text>
    </comment>
    <comment ref="O27" authorId="0" shapeId="0" xr:uid="{25567497-7F76-400E-A536-01E2BDE50176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N30" authorId="0" shapeId="0" xr:uid="{1B74C71E-BD94-402B-B67A-4934280DBF49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CONSUMO EN ENERGIA MENSUAL CON RESPECTO AL MES ANTERIOR</t>
        </r>
      </text>
    </comment>
    <comment ref="O31" authorId="0" shapeId="0" xr:uid="{7795E9D1-402B-4B0A-BB02-BF3E1F238D6D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N34" authorId="0" shapeId="0" xr:uid="{7F053A43-6252-46B2-8D76-1977739A50F2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CONSUMO EN ENERGIA MENSUAL CON RESPECTO AL MES ANTERIOR</t>
        </r>
      </text>
    </comment>
    <comment ref="O35" authorId="0" shapeId="0" xr:uid="{C4BF9751-6161-4AA4-9F1D-3FB957BC6B20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N38" authorId="0" shapeId="0" xr:uid="{C23C32EC-586A-45F1-8F51-DD0F77AFEFFC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CONSUMO EN ENERGIA MENSUAL CON RESPECTO AL MES ANTERIOR</t>
        </r>
      </text>
    </comment>
    <comment ref="O39" authorId="0" shapeId="0" xr:uid="{1C445D89-B629-4D7D-A8A1-6FF1B791AAC7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N42" authorId="0" shapeId="0" xr:uid="{E25C32B3-B25B-4C50-B6F7-12D8BADCE294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CONSUMO EN ENERGIA MENSUAL CON RESPECTO AL MES ANTERIOR</t>
        </r>
      </text>
    </comment>
    <comment ref="O43" authorId="0" shapeId="0" xr:uid="{05AD1213-F00F-4E5F-B8C4-E6E014E18231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44" authorId="0" shapeId="0" xr:uid="{33EE2BD6-1713-4CC2-B861-D05CC201D77A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falta confirmar que esa fue la lectura el el P:U S/. kWh
</t>
        </r>
      </text>
    </comment>
    <comment ref="O47" authorId="0" shapeId="0" xr:uid="{3A433CFF-E735-4BE9-ADF3-5340C98AE85B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B48" authorId="0" shapeId="0" xr:uid="{B01149B5-9B50-4D75-BD69-149264B3DBDB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fecha 22/2/19
</t>
        </r>
      </text>
    </comment>
    <comment ref="O51" authorId="0" shapeId="0" xr:uid="{D5F8D72A-131A-4381-AF90-2FC77524AC31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55" authorId="0" shapeId="0" xr:uid="{FAAF006A-8C3E-4246-AA2C-B35A1B792441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59" authorId="0" shapeId="0" xr:uid="{B093CD38-726C-4653-80C8-D71B3282B4B6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63" authorId="0" shapeId="0" xr:uid="{60DE24A8-49DB-4366-8134-61FB028A5053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67" authorId="0" shapeId="0" xr:uid="{C05E085A-35A1-42CF-8042-4FDBA8CD5725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71" authorId="0" shapeId="0" xr:uid="{E5D45A60-D6C0-4013-AC56-3DD6B32610A1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75" authorId="0" shapeId="0" xr:uid="{76C53E2D-2E08-48FD-95B8-0DFB2BC6B974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79" authorId="0" shapeId="0" xr:uid="{A05AF089-E95E-4059-B04E-94CBC8E32522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83" authorId="0" shapeId="0" xr:uid="{9CEA15FF-7636-444B-9347-9494AC785F68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87" authorId="0" shapeId="0" xr:uid="{DAFD6637-DFF6-4468-A152-49DD0F9D972F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  <comment ref="O91" authorId="0" shapeId="0" xr:uid="{DEA5A10E-CDFE-455A-9198-5DC882BA994B}">
      <text>
        <r>
          <rPr>
            <b/>
            <sz val="9"/>
            <color indexed="81"/>
            <rFont val="Tahoma"/>
            <family val="2"/>
          </rPr>
          <t>YOEL:</t>
        </r>
        <r>
          <rPr>
            <sz val="9"/>
            <color indexed="81"/>
            <rFont val="Tahoma"/>
            <family val="2"/>
          </rPr>
          <t xml:space="preserve">
PRECIO UNITARIO
</t>
        </r>
      </text>
    </comment>
  </commentList>
</comments>
</file>

<file path=xl/sharedStrings.xml><?xml version="1.0" encoding="utf-8"?>
<sst xmlns="http://schemas.openxmlformats.org/spreadsheetml/2006/main" count="600" uniqueCount="116">
  <si>
    <t>APORTE DE LEY :</t>
  </si>
  <si>
    <t>IGV:</t>
  </si>
  <si>
    <t>TOTAL MES ACTUAL</t>
  </si>
  <si>
    <t>LECTURA</t>
  </si>
  <si>
    <t>interes de convenio</t>
  </si>
  <si>
    <t>alumbrado publico</t>
  </si>
  <si>
    <t>subtotal mes actual</t>
  </si>
  <si>
    <t>reposicion y mantenimiento</t>
  </si>
  <si>
    <t xml:space="preserve">cargo fijo </t>
  </si>
  <si>
    <t>cargo de energia</t>
  </si>
  <si>
    <t>cuota de convenio</t>
  </si>
  <si>
    <t>TOTAL A PAGAR :</t>
  </si>
  <si>
    <t>JULIO</t>
  </si>
  <si>
    <t>AGOSTO</t>
  </si>
  <si>
    <t>NOEMI</t>
  </si>
  <si>
    <t>ANDY</t>
  </si>
  <si>
    <t>OCTUBRE</t>
  </si>
  <si>
    <t>( kWh)</t>
  </si>
  <si>
    <t>SETIEMBRE</t>
  </si>
  <si>
    <t>NOVIEMBRE</t>
  </si>
  <si>
    <t>DICIEMBRE</t>
  </si>
  <si>
    <t>CONSUMO DE ENERGIA ADICIONAL</t>
  </si>
  <si>
    <t>C.E.A. PERCAPITA</t>
  </si>
  <si>
    <t>C.E.A</t>
  </si>
  <si>
    <t>FORMATO DEL RECIBO DE LUZ</t>
  </si>
  <si>
    <t>MAYO</t>
  </si>
  <si>
    <t>JUNIO</t>
  </si>
  <si>
    <t>ENERO</t>
  </si>
  <si>
    <t>FEBRERO</t>
  </si>
  <si>
    <t>MARZO</t>
  </si>
  <si>
    <t>ABRIL</t>
  </si>
  <si>
    <t>TOTAL</t>
  </si>
  <si>
    <t>WILMER</t>
  </si>
  <si>
    <t>SOLES</t>
  </si>
  <si>
    <t>%</t>
  </si>
  <si>
    <t>VARIACION  RESPECTO AL MES ANTERIOR</t>
  </si>
  <si>
    <t>CONSUMO E.</t>
  </si>
  <si>
    <t>IMPORTE A PAGAR POR PERSONA</t>
  </si>
  <si>
    <t xml:space="preserve">CONSUMO DE ENERGIA </t>
  </si>
  <si>
    <t>S/. kWh</t>
  </si>
  <si>
    <t>C. INDIVIDUAL</t>
  </si>
  <si>
    <t>MONTO A PAGAR</t>
  </si>
  <si>
    <t>CONSUMO ENERGIA(S/.)</t>
  </si>
  <si>
    <t>VAR. LECTURA</t>
  </si>
  <si>
    <t xml:space="preserve">LECTURA </t>
  </si>
  <si>
    <t>KWh</t>
  </si>
  <si>
    <t>C.E.ADICIONAL</t>
  </si>
  <si>
    <t>X PAGAR</t>
  </si>
  <si>
    <t>APORTE DE LEY:</t>
  </si>
  <si>
    <t>MES</t>
  </si>
  <si>
    <t>C.E.A. INDIVID.</t>
  </si>
  <si>
    <t>REPOSICIÓN Y MANTENIM.</t>
  </si>
  <si>
    <t>SUBTOTAL</t>
  </si>
  <si>
    <t>IGV</t>
  </si>
  <si>
    <t>ITEM</t>
  </si>
  <si>
    <t>Total general</t>
  </si>
  <si>
    <t>Suma de X PAGAR</t>
  </si>
  <si>
    <t>MES2</t>
  </si>
  <si>
    <t>FECHA</t>
  </si>
  <si>
    <t>DETALLE DEL CONSUMO DE ENERGIA</t>
  </si>
  <si>
    <t>REDONDEO</t>
  </si>
  <si>
    <t>C.E.A. INDIVIDUAL</t>
  </si>
  <si>
    <t>Alumbrado publico</t>
  </si>
  <si>
    <t>Interes de convenio</t>
  </si>
  <si>
    <t>Cargo de energia</t>
  </si>
  <si>
    <t xml:space="preserve">Cargo fijo </t>
  </si>
  <si>
    <t>Reposicion y mantenimiento</t>
  </si>
  <si>
    <t>Subtotal mes actual</t>
  </si>
  <si>
    <t>Cuota de convenio</t>
  </si>
  <si>
    <t>COR-Fus. o interr (s/r)</t>
  </si>
  <si>
    <t>REP-Fus. o interrup(s/r)</t>
  </si>
  <si>
    <t>OTROS CARGOS</t>
  </si>
  <si>
    <t>Cambio precios 2017-2020</t>
  </si>
  <si>
    <t>I.G.V. 18% Refact.</t>
  </si>
  <si>
    <t>El consumo de energia adicional representa el monto que se tiene que pagar por de alumbrado publico. Importe establecido por ley. Asi mismo, los costos del mes actual y anterior para su comparación.</t>
  </si>
  <si>
    <t>2055232-9</t>
  </si>
  <si>
    <t>N° SUMINISTRO
ENEL</t>
  </si>
  <si>
    <t>N° SUMINISTRO
SEDAPAL</t>
  </si>
  <si>
    <t>N° SUMINISTRO
CALIDA</t>
  </si>
  <si>
    <t>RECIBO PAGO CLARO</t>
  </si>
  <si>
    <t>TERRENO</t>
  </si>
  <si>
    <t>JUNTA</t>
  </si>
  <si>
    <t>BCP</t>
  </si>
  <si>
    <t>IBK</t>
  </si>
  <si>
    <t>MAMA</t>
  </si>
  <si>
    <t>METRO</t>
  </si>
  <si>
    <t>MAYORSA</t>
  </si>
  <si>
    <t>ULTIMO</t>
  </si>
  <si>
    <t>PRESTAMO</t>
  </si>
  <si>
    <t>TOTAL COMPRAS</t>
  </si>
  <si>
    <t>DEUDA</t>
  </si>
  <si>
    <t>IPHONE</t>
  </si>
  <si>
    <t>PREST.ZENAY</t>
  </si>
  <si>
    <t>PREST.BBVA</t>
  </si>
  <si>
    <t>FINANC. AUTO</t>
  </si>
  <si>
    <t>AGORA INT.</t>
  </si>
  <si>
    <t>QAPAQ INT.</t>
  </si>
  <si>
    <t>SN</t>
  </si>
  <si>
    <t>VENCIMIENTO</t>
  </si>
  <si>
    <t>TEA</t>
  </si>
  <si>
    <t>P VIDA</t>
  </si>
  <si>
    <t>X 3.50</t>
  </si>
  <si>
    <t>DEGRAVAMEN</t>
  </si>
  <si>
    <t>MEMBRESIA</t>
  </si>
  <si>
    <t>bus</t>
  </si>
  <si>
    <t>taxi</t>
  </si>
  <si>
    <t>tour cajamarca</t>
  </si>
  <si>
    <t>pedro ruiz</t>
  </si>
  <si>
    <t>restau/movil</t>
  </si>
  <si>
    <t>caja-chacha</t>
  </si>
  <si>
    <t>CARGO FIJO</t>
  </si>
  <si>
    <t>CARGO ENERGIA</t>
  </si>
  <si>
    <t>INTERES CONVENIO</t>
  </si>
  <si>
    <t>ALUMBRADO PUBLICO</t>
  </si>
  <si>
    <t>REDONDEO 2</t>
  </si>
  <si>
    <t>KWh S/.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</si>
</sst>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.000"/>
    <numFmt numFmtId="166" formatCode="0.0000"/>
    <numFmt numFmtId="167" formatCode="_-[$S/-280A]* #,##0.00_-;\-[$S/-280A]* #,##0.00_-;_-[$S/-280A]* &quot;-&quot;??_-;_-@_-"/>
    <numFmt numFmtId="168" formatCode="_-* #,##0.0000_-;\-* #,##0.0000_-;_-* &quot;-&quot;??_-;_-@_-"/>
    <numFmt numFmtId="169" formatCode="_-&quot;S/&quot;* #,##0.0_-;\-&quot;S/&quot;* #,##0.0_-;_-&quot;S/&quot;* &quot;-&quot;??_-;_-@_-"/>
  </numFmts>
  <fonts count="5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u/>
      <sz val="12"/>
      <color rgb="FF7030A0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mbria"/>
      <family val="1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50F2DF"/>
      <name val="Calibri"/>
      <family val="2"/>
      <scheme val="minor"/>
    </font>
    <font>
      <b/>
      <sz val="24"/>
      <color rgb="FF50F2DF"/>
      <name val="Times New Roman"/>
      <family val="1"/>
    </font>
    <font>
      <b/>
      <sz val="10"/>
      <color rgb="FF50F2DF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b/>
      <sz val="16"/>
      <color rgb="FF50F2DF"/>
      <name val="Times New Roman"/>
      <family val="1"/>
    </font>
    <font>
      <sz val="11"/>
      <color rgb="FF50F2DF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50F2DF"/>
      <name val="Times New Roman"/>
      <family val="1"/>
    </font>
    <font>
      <b/>
      <i/>
      <sz val="12"/>
      <color rgb="FF50F2DF"/>
      <name val="Times New Roman"/>
      <family val="1"/>
    </font>
    <font>
      <b/>
      <i/>
      <sz val="16"/>
      <color rgb="FF50F2DF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3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50F2D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50F2DF"/>
      <name val="Calibri"/>
      <family val="2"/>
      <scheme val="minor"/>
    </font>
    <font>
      <b/>
      <i/>
      <sz val="11"/>
      <color rgb="FF50F2DF"/>
      <name val="Calibri"/>
      <family val="2"/>
      <scheme val="minor"/>
    </font>
    <font>
      <b/>
      <sz val="11"/>
      <color theme="0"/>
      <name val="Aparajita"/>
      <family val="1"/>
    </font>
    <font>
      <b/>
      <sz val="12"/>
      <color theme="0"/>
      <name val="Aparajita"/>
      <family val="1"/>
    </font>
    <font>
      <sz val="11"/>
      <color theme="1"/>
      <name val="Aparajita"/>
      <family val="1"/>
    </font>
    <font>
      <sz val="12"/>
      <color theme="1"/>
      <name val="Aparajita"/>
      <family val="1"/>
    </font>
    <font>
      <b/>
      <sz val="12"/>
      <name val="Aparajita"/>
      <family val="1"/>
    </font>
    <font>
      <b/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rgb="FFFF0000"/>
      <name val="Aparajita"/>
      <family val="1"/>
    </font>
    <font>
      <b/>
      <sz val="11"/>
      <color rgb="FFFF0000"/>
      <name val="Aparajita"/>
      <family val="1"/>
    </font>
    <font>
      <b/>
      <sz val="10"/>
      <color rgb="FFFF0000"/>
      <name val="Calibri"/>
      <family val="2"/>
      <scheme val="minor"/>
    </font>
    <font>
      <b/>
      <sz val="14"/>
      <name val="Aparajita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30D"/>
        <bgColor indexed="64"/>
      </patternFill>
    </fill>
    <fill>
      <patternFill patternType="solid">
        <fgColor rgb="FFFF603B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25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166" fontId="0" fillId="0" borderId="0" xfId="0" applyNumberFormat="1"/>
    <xf numFmtId="1" fontId="0" fillId="0" borderId="0" xfId="0" applyNumberFormat="1"/>
    <xf numFmtId="0" fontId="9" fillId="0" borderId="9" xfId="0" applyFont="1" applyBorder="1"/>
    <xf numFmtId="0" fontId="9" fillId="0" borderId="0" xfId="0" applyFont="1"/>
    <xf numFmtId="0" fontId="0" fillId="0" borderId="10" xfId="0" applyBorder="1"/>
    <xf numFmtId="0" fontId="0" fillId="0" borderId="14" xfId="0" applyBorder="1" applyAlignment="1">
      <alignment horizontal="center"/>
    </xf>
    <xf numFmtId="0" fontId="2" fillId="0" borderId="0" xfId="0" applyFont="1"/>
    <xf numFmtId="0" fontId="15" fillId="13" borderId="6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15" fillId="12" borderId="6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2" fontId="6" fillId="0" borderId="14" xfId="0" applyNumberFormat="1" applyFon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0" fontId="0" fillId="13" borderId="14" xfId="0" applyFill="1" applyBorder="1"/>
    <xf numFmtId="0" fontId="0" fillId="13" borderId="16" xfId="0" applyFill="1" applyBorder="1"/>
    <xf numFmtId="0" fontId="14" fillId="13" borderId="1" xfId="0" applyFont="1" applyFill="1" applyBorder="1" applyAlignment="1">
      <alignment horizontal="center"/>
    </xf>
    <xf numFmtId="2" fontId="17" fillId="15" borderId="16" xfId="0" applyNumberFormat="1" applyFont="1" applyFill="1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2" fontId="16" fillId="2" borderId="1" xfId="0" applyNumberFormat="1" applyFont="1" applyFill="1" applyBorder="1" applyAlignment="1">
      <alignment horizontal="center"/>
    </xf>
    <xf numFmtId="2" fontId="13" fillId="15" borderId="16" xfId="0" applyNumberFormat="1" applyFont="1" applyFill="1" applyBorder="1" applyAlignment="1">
      <alignment horizontal="right" vertical="center"/>
    </xf>
    <xf numFmtId="0" fontId="0" fillId="13" borderId="17" xfId="0" applyFill="1" applyBorder="1"/>
    <xf numFmtId="2" fontId="16" fillId="13" borderId="1" xfId="0" applyNumberFormat="1" applyFont="1" applyFill="1" applyBorder="1" applyAlignment="1">
      <alignment horizontal="right" vertical="center"/>
    </xf>
    <xf numFmtId="0" fontId="0" fillId="0" borderId="18" xfId="0" applyBorder="1"/>
    <xf numFmtId="0" fontId="14" fillId="14" borderId="1" xfId="0" applyFont="1" applyFill="1" applyBorder="1" applyAlignment="1">
      <alignment horizontal="center"/>
    </xf>
    <xf numFmtId="2" fontId="16" fillId="14" borderId="1" xfId="0" applyNumberFormat="1" applyFont="1" applyFill="1" applyBorder="1" applyAlignment="1">
      <alignment horizontal="right" vertical="center"/>
    </xf>
    <xf numFmtId="0" fontId="0" fillId="14" borderId="14" xfId="0" applyFill="1" applyBorder="1"/>
    <xf numFmtId="2" fontId="17" fillId="19" borderId="16" xfId="0" applyNumberFormat="1" applyFont="1" applyFill="1" applyBorder="1" applyAlignment="1">
      <alignment horizontal="right" vertical="center"/>
    </xf>
    <xf numFmtId="0" fontId="6" fillId="16" borderId="14" xfId="0" applyFont="1" applyFill="1" applyBorder="1" applyAlignment="1">
      <alignment horizontal="center"/>
    </xf>
    <xf numFmtId="0" fontId="6" fillId="16" borderId="19" xfId="0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/>
    </xf>
    <xf numFmtId="0" fontId="17" fillId="15" borderId="6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/>
    </xf>
    <xf numFmtId="0" fontId="17" fillId="15" borderId="8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2" fontId="2" fillId="5" borderId="14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4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2" fillId="4" borderId="1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applyFont="1" applyBorder="1"/>
    <xf numFmtId="2" fontId="6" fillId="0" borderId="14" xfId="0" applyNumberFormat="1" applyFont="1" applyBorder="1"/>
    <xf numFmtId="0" fontId="6" fillId="0" borderId="15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19" fillId="7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4" xfId="0" applyFont="1" applyFill="1" applyBorder="1"/>
    <xf numFmtId="0" fontId="5" fillId="7" borderId="1" xfId="0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right" vertical="center"/>
    </xf>
    <xf numFmtId="0" fontId="20" fillId="7" borderId="6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3" fontId="6" fillId="0" borderId="14" xfId="3" applyFont="1" applyBorder="1" applyAlignment="1">
      <alignment horizontal="left"/>
    </xf>
    <xf numFmtId="43" fontId="0" fillId="0" borderId="0" xfId="3" applyFont="1"/>
    <xf numFmtId="43" fontId="7" fillId="3" borderId="3" xfId="3" applyFont="1" applyFill="1" applyBorder="1" applyAlignment="1">
      <alignment horizontal="center"/>
    </xf>
    <xf numFmtId="43" fontId="17" fillId="15" borderId="6" xfId="3" applyFont="1" applyFill="1" applyBorder="1" applyAlignment="1">
      <alignment horizontal="center"/>
    </xf>
    <xf numFmtId="43" fontId="0" fillId="0" borderId="17" xfId="3" applyFont="1" applyBorder="1" applyAlignment="1">
      <alignment horizontal="center"/>
    </xf>
    <xf numFmtId="43" fontId="0" fillId="0" borderId="14" xfId="3" applyFont="1" applyBorder="1" applyAlignment="1">
      <alignment horizontal="center"/>
    </xf>
    <xf numFmtId="43" fontId="2" fillId="2" borderId="14" xfId="3" applyFont="1" applyFill="1" applyBorder="1" applyAlignment="1">
      <alignment horizontal="center"/>
    </xf>
    <xf numFmtId="43" fontId="2" fillId="5" borderId="14" xfId="3" applyFont="1" applyFill="1" applyBorder="1" applyAlignment="1">
      <alignment horizontal="center"/>
    </xf>
    <xf numFmtId="43" fontId="0" fillId="9" borderId="14" xfId="3" applyFont="1" applyFill="1" applyBorder="1" applyAlignment="1">
      <alignment horizontal="center"/>
    </xf>
    <xf numFmtId="43" fontId="2" fillId="4" borderId="14" xfId="3" applyFont="1" applyFill="1" applyBorder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 applyBorder="1" applyAlignment="1">
      <alignment horizontal="center"/>
    </xf>
    <xf numFmtId="43" fontId="0" fillId="2" borderId="1" xfId="3" applyFont="1" applyFill="1" applyBorder="1" applyAlignment="1">
      <alignment horizontal="center"/>
    </xf>
    <xf numFmtId="43" fontId="0" fillId="0" borderId="0" xfId="3" applyFont="1" applyBorder="1"/>
    <xf numFmtId="43" fontId="0" fillId="2" borderId="0" xfId="3" applyFont="1" applyFill="1" applyBorder="1" applyAlignment="1">
      <alignment horizontal="center"/>
    </xf>
    <xf numFmtId="0" fontId="0" fillId="20" borderId="0" xfId="0" applyFill="1" applyAlignment="1">
      <alignment horizontal="center" vertical="center"/>
    </xf>
    <xf numFmtId="164" fontId="0" fillId="20" borderId="0" xfId="2" applyFont="1" applyFill="1" applyAlignment="1">
      <alignment horizontal="center" vertical="center"/>
    </xf>
    <xf numFmtId="164" fontId="0" fillId="20" borderId="0" xfId="2" applyFont="1" applyFill="1"/>
    <xf numFmtId="164" fontId="0" fillId="0" borderId="0" xfId="2" applyFont="1"/>
    <xf numFmtId="164" fontId="1" fillId="10" borderId="21" xfId="2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21" fillId="23" borderId="21" xfId="0" applyFont="1" applyFill="1" applyBorder="1" applyAlignment="1">
      <alignment horizontal="center" vertical="center" wrapText="1"/>
    </xf>
    <xf numFmtId="0" fontId="23" fillId="23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20" borderId="0" xfId="0" applyFill="1" applyAlignment="1">
      <alignment horizontal="left" vertical="top"/>
    </xf>
    <xf numFmtId="0" fontId="0" fillId="20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5" fillId="23" borderId="21" xfId="0" applyFont="1" applyFill="1" applyBorder="1" applyAlignment="1">
      <alignment horizontal="center" vertical="center" wrapText="1"/>
    </xf>
    <xf numFmtId="0" fontId="26" fillId="23" borderId="21" xfId="0" applyFont="1" applyFill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27" fillId="23" borderId="21" xfId="0" applyFont="1" applyFill="1" applyBorder="1" applyAlignment="1">
      <alignment horizontal="center" vertical="center"/>
    </xf>
    <xf numFmtId="43" fontId="27" fillId="23" borderId="21" xfId="3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2" fillId="23" borderId="21" xfId="0" applyFont="1" applyFill="1" applyBorder="1" applyAlignment="1">
      <alignment horizontal="left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7" fontId="28" fillId="23" borderId="21" xfId="0" applyNumberFormat="1" applyFont="1" applyFill="1" applyBorder="1" applyAlignment="1">
      <alignment horizontal="left"/>
    </xf>
    <xf numFmtId="17" fontId="29" fillId="23" borderId="21" xfId="0" applyNumberFormat="1" applyFont="1" applyFill="1" applyBorder="1" applyAlignment="1">
      <alignment horizontal="left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1" xfId="0" applyBorder="1"/>
    <xf numFmtId="0" fontId="1" fillId="10" borderId="0" xfId="0" applyFont="1" applyFill="1" applyAlignment="1">
      <alignment horizontal="center" vertical="center"/>
    </xf>
    <xf numFmtId="17" fontId="1" fillId="10" borderId="25" xfId="0" applyNumberFormat="1" applyFont="1" applyFill="1" applyBorder="1" applyAlignment="1">
      <alignment horizontal="left" vertical="top"/>
    </xf>
    <xf numFmtId="0" fontId="32" fillId="22" borderId="22" xfId="0" applyFont="1" applyFill="1" applyBorder="1" applyAlignment="1">
      <alignment horizontal="center" vertical="center"/>
    </xf>
    <xf numFmtId="17" fontId="1" fillId="10" borderId="21" xfId="0" applyNumberFormat="1" applyFont="1" applyFill="1" applyBorder="1" applyAlignment="1">
      <alignment horizontal="center" vertical="center"/>
    </xf>
    <xf numFmtId="0" fontId="26" fillId="23" borderId="24" xfId="0" applyFont="1" applyFill="1" applyBorder="1" applyAlignment="1">
      <alignment horizontal="center" vertical="center" wrapText="1"/>
    </xf>
    <xf numFmtId="0" fontId="26" fillId="23" borderId="25" xfId="0" applyFont="1" applyFill="1" applyBorder="1" applyAlignment="1">
      <alignment horizontal="center" vertical="center" wrapText="1"/>
    </xf>
    <xf numFmtId="0" fontId="0" fillId="25" borderId="0" xfId="2" applyNumberFormat="1" applyFont="1" applyFill="1" applyAlignment="1">
      <alignment horizontal="center" vertical="center"/>
    </xf>
    <xf numFmtId="164" fontId="0" fillId="25" borderId="0" xfId="2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left" vertical="top"/>
    </xf>
    <xf numFmtId="0" fontId="0" fillId="25" borderId="0" xfId="0" applyFill="1"/>
    <xf numFmtId="0" fontId="1" fillId="10" borderId="27" xfId="0" applyFont="1" applyFill="1" applyBorder="1" applyAlignment="1">
      <alignment horizontal="center" vertical="center"/>
    </xf>
    <xf numFmtId="0" fontId="0" fillId="25" borderId="27" xfId="0" applyFill="1" applyBorder="1"/>
    <xf numFmtId="0" fontId="0" fillId="0" borderId="0" xfId="0" pivotButton="1" applyAlignment="1">
      <alignment horizontal="center" vertical="center" wrapText="1"/>
    </xf>
    <xf numFmtId="0" fontId="0" fillId="25" borderId="28" xfId="0" applyFill="1" applyBorder="1"/>
    <xf numFmtId="0" fontId="0" fillId="20" borderId="29" xfId="0" applyFill="1" applyBorder="1" applyAlignment="1">
      <alignment horizontal="left" vertical="top"/>
    </xf>
    <xf numFmtId="0" fontId="0" fillId="20" borderId="30" xfId="2" applyNumberFormat="1" applyFon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17" fontId="1" fillId="10" borderId="31" xfId="0" applyNumberFormat="1" applyFont="1" applyFill="1" applyBorder="1" applyAlignment="1">
      <alignment horizontal="center" vertical="center"/>
    </xf>
    <xf numFmtId="0" fontId="32" fillId="22" borderId="32" xfId="0" applyFont="1" applyFill="1" applyBorder="1" applyAlignment="1">
      <alignment horizontal="center" vertical="center"/>
    </xf>
    <xf numFmtId="164" fontId="0" fillId="20" borderId="0" xfId="2" applyFont="1" applyFill="1" applyBorder="1" applyAlignment="1">
      <alignment horizontal="center" vertical="center"/>
    </xf>
    <xf numFmtId="17" fontId="0" fillId="0" borderId="14" xfId="0" applyNumberFormat="1" applyBorder="1" applyAlignment="1">
      <alignment horizontal="center"/>
    </xf>
    <xf numFmtId="0" fontId="0" fillId="20" borderId="0" xfId="0" applyFill="1"/>
    <xf numFmtId="0" fontId="36" fillId="23" borderId="24" xfId="0" applyFont="1" applyFill="1" applyBorder="1" applyAlignment="1">
      <alignment horizontal="center" vertical="center" wrapText="1"/>
    </xf>
    <xf numFmtId="0" fontId="35" fillId="28" borderId="24" xfId="0" applyFont="1" applyFill="1" applyBorder="1" applyAlignment="1">
      <alignment horizontal="center" vertical="center" wrapText="1"/>
    </xf>
    <xf numFmtId="43" fontId="0" fillId="0" borderId="0" xfId="0" applyNumberFormat="1"/>
    <xf numFmtId="0" fontId="24" fillId="30" borderId="0" xfId="0" applyFont="1" applyFill="1" applyAlignment="1">
      <alignment horizontal="center" vertical="center"/>
    </xf>
    <xf numFmtId="168" fontId="24" fillId="0" borderId="15" xfId="3" applyNumberFormat="1" applyFont="1" applyFill="1" applyBorder="1" applyAlignment="1">
      <alignment horizontal="center" vertical="center"/>
    </xf>
    <xf numFmtId="17" fontId="38" fillId="26" borderId="0" xfId="0" applyNumberFormat="1" applyFont="1" applyFill="1" applyAlignment="1">
      <alignment vertical="center"/>
    </xf>
    <xf numFmtId="0" fontId="39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/>
    </xf>
    <xf numFmtId="17" fontId="21" fillId="26" borderId="0" xfId="0" applyNumberFormat="1" applyFont="1" applyFill="1" applyAlignment="1">
      <alignment vertical="center"/>
    </xf>
    <xf numFmtId="43" fontId="44" fillId="27" borderId="0" xfId="3" applyFont="1" applyFill="1" applyBorder="1" applyAlignment="1">
      <alignment horizontal="center"/>
    </xf>
    <xf numFmtId="0" fontId="42" fillId="20" borderId="0" xfId="0" applyFont="1" applyFill="1"/>
    <xf numFmtId="43" fontId="43" fillId="24" borderId="0" xfId="3" applyFont="1" applyFill="1" applyBorder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17" fontId="19" fillId="31" borderId="21" xfId="0" applyNumberFormat="1" applyFont="1" applyFill="1" applyBorder="1" applyAlignment="1">
      <alignment horizontal="center"/>
    </xf>
    <xf numFmtId="164" fontId="6" fillId="24" borderId="21" xfId="2" applyFont="1" applyFill="1" applyBorder="1"/>
    <xf numFmtId="17" fontId="41" fillId="31" borderId="21" xfId="0" applyNumberFormat="1" applyFont="1" applyFill="1" applyBorder="1" applyAlignment="1">
      <alignment horizontal="center"/>
    </xf>
    <xf numFmtId="167" fontId="17" fillId="24" borderId="21" xfId="0" applyNumberFormat="1" applyFont="1" applyFill="1" applyBorder="1" applyAlignment="1">
      <alignment horizontal="right" vertical="center"/>
    </xf>
    <xf numFmtId="10" fontId="17" fillId="24" borderId="21" xfId="1" applyNumberFormat="1" applyFont="1" applyFill="1" applyBorder="1" applyAlignment="1">
      <alignment horizontal="right" vertical="center"/>
    </xf>
    <xf numFmtId="164" fontId="44" fillId="27" borderId="21" xfId="2" applyFont="1" applyFill="1" applyBorder="1" applyAlignment="1">
      <alignment horizontal="center"/>
    </xf>
    <xf numFmtId="0" fontId="24" fillId="0" borderId="15" xfId="3" applyNumberFormat="1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4" borderId="19" xfId="0" applyFont="1" applyFill="1" applyBorder="1" applyAlignment="1">
      <alignment horizontal="center" vertical="center"/>
    </xf>
    <xf numFmtId="17" fontId="37" fillId="0" borderId="14" xfId="0" applyNumberFormat="1" applyFont="1" applyBorder="1" applyAlignment="1">
      <alignment horizontal="center"/>
    </xf>
    <xf numFmtId="0" fontId="37" fillId="20" borderId="0" xfId="0" applyFont="1" applyFill="1"/>
    <xf numFmtId="0" fontId="37" fillId="0" borderId="0" xfId="0" applyFont="1"/>
    <xf numFmtId="43" fontId="24" fillId="30" borderId="0" xfId="3" applyFont="1" applyFill="1" applyBorder="1" applyAlignment="1">
      <alignment horizontal="center" vertical="center"/>
    </xf>
    <xf numFmtId="43" fontId="47" fillId="2" borderId="33" xfId="3" applyFont="1" applyFill="1" applyBorder="1" applyAlignment="1">
      <alignment horizontal="center"/>
    </xf>
    <xf numFmtId="43" fontId="48" fillId="2" borderId="25" xfId="3" applyFont="1" applyFill="1" applyBorder="1" applyAlignment="1">
      <alignment horizontal="center"/>
    </xf>
    <xf numFmtId="43" fontId="48" fillId="2" borderId="36" xfId="3" applyFont="1" applyFill="1" applyBorder="1" applyAlignment="1">
      <alignment horizontal="center"/>
    </xf>
    <xf numFmtId="0" fontId="49" fillId="2" borderId="23" xfId="0" applyFont="1" applyFill="1" applyBorder="1" applyAlignment="1">
      <alignment horizontal="left"/>
    </xf>
    <xf numFmtId="0" fontId="49" fillId="2" borderId="33" xfId="0" applyFont="1" applyFill="1" applyBorder="1" applyAlignment="1">
      <alignment horizontal="left"/>
    </xf>
    <xf numFmtId="0" fontId="49" fillId="2" borderId="0" xfId="0" applyFont="1" applyFill="1" applyAlignment="1">
      <alignment horizontal="left"/>
    </xf>
    <xf numFmtId="0" fontId="6" fillId="20" borderId="0" xfId="0" applyFont="1" applyFill="1"/>
    <xf numFmtId="43" fontId="47" fillId="2" borderId="23" xfId="3" applyFont="1" applyFill="1" applyBorder="1" applyAlignment="1">
      <alignment horizontal="center"/>
    </xf>
    <xf numFmtId="0" fontId="49" fillId="2" borderId="24" xfId="0" applyFont="1" applyFill="1" applyBorder="1" applyAlignment="1">
      <alignment horizontal="left"/>
    </xf>
    <xf numFmtId="0" fontId="49" fillId="2" borderId="35" xfId="0" applyFont="1" applyFill="1" applyBorder="1" applyAlignment="1">
      <alignment horizontal="left"/>
    </xf>
    <xf numFmtId="169" fontId="0" fillId="0" borderId="0" xfId="2" applyNumberFormat="1" applyFont="1"/>
    <xf numFmtId="169" fontId="26" fillId="23" borderId="21" xfId="2" applyNumberFormat="1" applyFont="1" applyFill="1" applyBorder="1" applyAlignment="1">
      <alignment horizontal="center" vertical="center" wrapText="1"/>
    </xf>
    <xf numFmtId="169" fontId="1" fillId="21" borderId="21" xfId="2" applyNumberFormat="1" applyFont="1" applyFill="1" applyBorder="1"/>
    <xf numFmtId="169" fontId="0" fillId="25" borderId="0" xfId="2" applyNumberFormat="1" applyFont="1" applyFill="1"/>
    <xf numFmtId="169" fontId="0" fillId="20" borderId="0" xfId="2" applyNumberFormat="1" applyFont="1" applyFill="1"/>
    <xf numFmtId="169" fontId="0" fillId="20" borderId="0" xfId="2" applyNumberFormat="1" applyFont="1" applyFill="1" applyBorder="1"/>
    <xf numFmtId="169" fontId="0" fillId="0" borderId="0" xfId="2" applyNumberFormat="1" applyFont="1" applyFill="1" applyAlignment="1">
      <alignment horizontal="left" vertical="center"/>
    </xf>
    <xf numFmtId="169" fontId="31" fillId="8" borderId="24" xfId="2" applyNumberFormat="1" applyFont="1" applyFill="1" applyBorder="1" applyAlignment="1">
      <alignment horizontal="center" vertical="center" wrapText="1"/>
    </xf>
    <xf numFmtId="169" fontId="31" fillId="3" borderId="24" xfId="2" applyNumberFormat="1" applyFont="1" applyFill="1" applyBorder="1" applyAlignment="1">
      <alignment horizontal="center"/>
    </xf>
    <xf numFmtId="169" fontId="31" fillId="32" borderId="24" xfId="2" applyNumberFormat="1" applyFont="1" applyFill="1" applyBorder="1" applyAlignment="1">
      <alignment horizontal="center"/>
    </xf>
    <xf numFmtId="169" fontId="19" fillId="3" borderId="21" xfId="2" applyNumberFormat="1" applyFont="1" applyFill="1" applyBorder="1" applyAlignment="1">
      <alignment horizontal="center"/>
    </xf>
    <xf numFmtId="164" fontId="37" fillId="29" borderId="0" xfId="2" applyFont="1" applyFill="1" applyBorder="1" applyAlignment="1">
      <alignment horizontal="center"/>
    </xf>
    <xf numFmtId="164" fontId="12" fillId="29" borderId="0" xfId="2" applyFont="1" applyFill="1" applyBorder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0" fillId="0" borderId="0" xfId="0" pivotButton="1" applyNumberFormat="1" applyAlignment="1">
      <alignment horizontal="center" vertical="center" wrapText="1"/>
    </xf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64" fontId="50" fillId="27" borderId="21" xfId="2" applyFont="1" applyFill="1" applyBorder="1" applyAlignment="1">
      <alignment horizontal="right"/>
    </xf>
    <xf numFmtId="10" fontId="50" fillId="27" borderId="21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9" fontId="12" fillId="2" borderId="0" xfId="2" applyNumberFormat="1" applyFont="1" applyFill="1" applyBorder="1" applyAlignment="1">
      <alignment horizontal="center"/>
    </xf>
    <xf numFmtId="169" fontId="37" fillId="2" borderId="0" xfId="2" applyNumberFormat="1" applyFont="1" applyFill="1" applyBorder="1" applyAlignment="1">
      <alignment horizontal="center"/>
    </xf>
    <xf numFmtId="0" fontId="0" fillId="2" borderId="0" xfId="0" applyFill="1"/>
    <xf numFmtId="0" fontId="0" fillId="0" borderId="37" xfId="0" applyBorder="1"/>
    <xf numFmtId="0" fontId="0" fillId="0" borderId="0" xfId="0" applyAlignment="1">
      <alignment horizontal="right"/>
    </xf>
    <xf numFmtId="43" fontId="0" fillId="0" borderId="37" xfId="3" applyFont="1" applyBorder="1"/>
    <xf numFmtId="43" fontId="5" fillId="3" borderId="0" xfId="0" applyNumberFormat="1" applyFont="1" applyFill="1"/>
    <xf numFmtId="43" fontId="0" fillId="2" borderId="0" xfId="3" applyFont="1" applyFill="1"/>
    <xf numFmtId="43" fontId="0" fillId="33" borderId="0" xfId="3" applyFont="1" applyFill="1"/>
    <xf numFmtId="16" fontId="0" fillId="0" borderId="0" xfId="0" applyNumberFormat="1" applyAlignment="1">
      <alignment horizontal="right"/>
    </xf>
    <xf numFmtId="10" fontId="0" fillId="0" borderId="0" xfId="0" applyNumberFormat="1"/>
    <xf numFmtId="0" fontId="0" fillId="3" borderId="0" xfId="0" applyFill="1"/>
    <xf numFmtId="16" fontId="0" fillId="0" borderId="0" xfId="0" applyNumberFormat="1"/>
    <xf numFmtId="17" fontId="33" fillId="24" borderId="14" xfId="0" applyNumberFormat="1" applyFont="1" applyFill="1" applyBorder="1" applyAlignment="1">
      <alignment horizontal="center" vertical="center" textRotation="90" wrapText="1"/>
    </xf>
    <xf numFmtId="0" fontId="33" fillId="24" borderId="14" xfId="0" applyFont="1" applyFill="1" applyBorder="1" applyAlignment="1">
      <alignment horizontal="center" vertical="center" textRotation="90" wrapText="1"/>
    </xf>
    <xf numFmtId="0" fontId="34" fillId="20" borderId="0" xfId="0" applyFont="1" applyFill="1" applyAlignment="1">
      <alignment horizontal="center"/>
    </xf>
    <xf numFmtId="0" fontId="30" fillId="23" borderId="23" xfId="0" applyFont="1" applyFill="1" applyBorder="1" applyAlignment="1">
      <alignment horizontal="center" vertical="center" wrapText="1"/>
    </xf>
    <xf numFmtId="0" fontId="45" fillId="30" borderId="21" xfId="0" applyFont="1" applyFill="1" applyBorder="1" applyAlignment="1">
      <alignment horizontal="justify" vertical="center" wrapText="1"/>
    </xf>
    <xf numFmtId="17" fontId="46" fillId="31" borderId="31" xfId="0" applyNumberFormat="1" applyFont="1" applyFill="1" applyBorder="1" applyAlignment="1">
      <alignment horizontal="center" vertical="center"/>
    </xf>
    <xf numFmtId="17" fontId="46" fillId="31" borderId="34" xfId="0" applyNumberFormat="1" applyFont="1" applyFill="1" applyBorder="1" applyAlignment="1">
      <alignment horizontal="center" vertical="center"/>
    </xf>
    <xf numFmtId="0" fontId="40" fillId="31" borderId="21" xfId="0" applyFont="1" applyFill="1" applyBorder="1" applyAlignment="1">
      <alignment horizontal="center" vertical="center"/>
    </xf>
    <xf numFmtId="0" fontId="0" fillId="24" borderId="0" xfId="0" applyFill="1" applyAlignment="1">
      <alignment horizontal="left"/>
    </xf>
    <xf numFmtId="0" fontId="5" fillId="31" borderId="21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/>
    </xf>
    <xf numFmtId="0" fontId="5" fillId="31" borderId="24" xfId="0" applyFont="1" applyFill="1" applyBorder="1" applyAlignment="1">
      <alignment horizontal="center" vertical="center"/>
    </xf>
    <xf numFmtId="0" fontId="5" fillId="31" borderId="33" xfId="0" applyFont="1" applyFill="1" applyBorder="1" applyAlignment="1">
      <alignment horizontal="center" vertical="center"/>
    </xf>
    <xf numFmtId="0" fontId="5" fillId="31" borderId="2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textRotation="90"/>
    </xf>
    <xf numFmtId="0" fontId="5" fillId="7" borderId="9" xfId="0" applyFont="1" applyFill="1" applyBorder="1" applyAlignment="1">
      <alignment horizontal="center" vertical="center" textRotation="90"/>
    </xf>
    <xf numFmtId="0" fontId="5" fillId="7" borderId="3" xfId="0" applyFont="1" applyFill="1" applyBorder="1" applyAlignment="1">
      <alignment horizontal="center" vertical="center" textRotation="90"/>
    </xf>
    <xf numFmtId="0" fontId="5" fillId="7" borderId="11" xfId="0" applyFont="1" applyFill="1" applyBorder="1" applyAlignment="1">
      <alignment horizontal="center" vertical="center" textRotation="90"/>
    </xf>
    <xf numFmtId="0" fontId="5" fillId="7" borderId="12" xfId="0" applyFont="1" applyFill="1" applyBorder="1" applyAlignment="1">
      <alignment horizontal="center" vertical="center" textRotation="90"/>
    </xf>
    <xf numFmtId="0" fontId="5" fillId="7" borderId="13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 vertical="center" textRotation="90"/>
    </xf>
    <xf numFmtId="0" fontId="14" fillId="13" borderId="9" xfId="0" applyFont="1" applyFill="1" applyBorder="1" applyAlignment="1">
      <alignment horizontal="center" vertical="center" textRotation="90"/>
    </xf>
    <xf numFmtId="0" fontId="14" fillId="13" borderId="3" xfId="0" applyFont="1" applyFill="1" applyBorder="1" applyAlignment="1">
      <alignment horizontal="center" vertical="center" textRotation="90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4" fillId="12" borderId="2" xfId="0" applyFont="1" applyFill="1" applyBorder="1" applyAlignment="1">
      <alignment horizontal="center" vertical="center" textRotation="90"/>
    </xf>
    <xf numFmtId="0" fontId="14" fillId="12" borderId="9" xfId="0" applyFont="1" applyFill="1" applyBorder="1" applyAlignment="1">
      <alignment horizontal="center" vertical="center" textRotation="90"/>
    </xf>
    <xf numFmtId="0" fontId="14" fillId="12" borderId="3" xfId="0" applyFont="1" applyFill="1" applyBorder="1" applyAlignment="1">
      <alignment horizontal="center" vertical="center" textRotation="90"/>
    </xf>
    <xf numFmtId="0" fontId="14" fillId="12" borderId="11" xfId="0" applyFont="1" applyFill="1" applyBorder="1" applyAlignment="1">
      <alignment horizontal="center" vertical="center" textRotation="90"/>
    </xf>
    <xf numFmtId="0" fontId="14" fillId="12" borderId="12" xfId="0" applyFont="1" applyFill="1" applyBorder="1" applyAlignment="1">
      <alignment horizontal="center" vertical="center" textRotation="90"/>
    </xf>
    <xf numFmtId="0" fontId="14" fillId="12" borderId="13" xfId="0" applyFont="1" applyFill="1" applyBorder="1" applyAlignment="1">
      <alignment horizontal="center" vertical="center" textRotation="90"/>
    </xf>
    <xf numFmtId="0" fontId="14" fillId="13" borderId="11" xfId="0" applyFont="1" applyFill="1" applyBorder="1" applyAlignment="1">
      <alignment horizontal="center" vertical="center" textRotation="90"/>
    </xf>
    <xf numFmtId="0" fontId="14" fillId="13" borderId="12" xfId="0" applyFont="1" applyFill="1" applyBorder="1" applyAlignment="1">
      <alignment horizontal="center" vertical="center" textRotation="90"/>
    </xf>
    <xf numFmtId="0" fontId="14" fillId="13" borderId="13" xfId="0" applyFont="1" applyFill="1" applyBorder="1" applyAlignment="1">
      <alignment horizontal="center" vertical="center" textRotation="90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" fillId="11" borderId="7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24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64" formatCode="_-&quot;S/&quot;* #,##0.00_-;\-&quot;S/&quot;* #,##0.00_-;_-&quot;S/&quot;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wrapText="1"/>
    </dxf>
    <dxf>
      <alignment wrapText="0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&quot;S/&quot;* #,##0.0_-;\-&quot;S/&quot;* #,##0.0_-;_-&quot;S/&quot;* &quot;-&quot;??_-;_-@_-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theme="4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outline="0">
        <left style="thin">
          <color theme="0"/>
        </left>
        <right style="thin">
          <color theme="4" tint="-0.249977111117893"/>
        </right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thin">
          <color theme="0"/>
        </right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F2DF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F603B"/>
      <color rgb="FFFF630D"/>
      <color rgb="FFFFCD2F"/>
      <color rgb="FF0000FF"/>
      <color rgb="FFFC6B60"/>
      <color rgb="FFFFBDBD"/>
      <color rgb="FFFF8F8F"/>
      <color rgb="FF50F2DF"/>
      <color rgb="FFEAF3FA"/>
      <color rgb="FF13E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REGISTRO!$I$4</c:f>
              <c:strCache>
                <c:ptCount val="1"/>
                <c:pt idx="0">
                  <c:v> X PAGAR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REGISTRO!$C$5:$C$191</c:f>
              <c:numCache>
                <c:formatCode>mmm\-yy</c:formatCode>
                <c:ptCount val="187"/>
                <c:pt idx="0">
                  <c:v>43313</c:v>
                </c:pt>
                <c:pt idx="1">
                  <c:v>43313</c:v>
                </c:pt>
                <c:pt idx="2">
                  <c:v>43313</c:v>
                </c:pt>
                <c:pt idx="3">
                  <c:v>43313</c:v>
                </c:pt>
                <c:pt idx="4">
                  <c:v>43344</c:v>
                </c:pt>
                <c:pt idx="5">
                  <c:v>43344</c:v>
                </c:pt>
                <c:pt idx="6">
                  <c:v>43344</c:v>
                </c:pt>
                <c:pt idx="7">
                  <c:v>43344</c:v>
                </c:pt>
                <c:pt idx="8">
                  <c:v>43374</c:v>
                </c:pt>
                <c:pt idx="9">
                  <c:v>43374</c:v>
                </c:pt>
                <c:pt idx="10">
                  <c:v>43374</c:v>
                </c:pt>
                <c:pt idx="11">
                  <c:v>43374</c:v>
                </c:pt>
                <c:pt idx="12">
                  <c:v>43405</c:v>
                </c:pt>
                <c:pt idx="13">
                  <c:v>43405</c:v>
                </c:pt>
                <c:pt idx="14">
                  <c:v>43405</c:v>
                </c:pt>
                <c:pt idx="15">
                  <c:v>43405</c:v>
                </c:pt>
                <c:pt idx="16">
                  <c:v>43435</c:v>
                </c:pt>
                <c:pt idx="17">
                  <c:v>43435</c:v>
                </c:pt>
                <c:pt idx="18">
                  <c:v>43435</c:v>
                </c:pt>
                <c:pt idx="19">
                  <c:v>43435</c:v>
                </c:pt>
                <c:pt idx="20">
                  <c:v>43466</c:v>
                </c:pt>
                <c:pt idx="21">
                  <c:v>43466</c:v>
                </c:pt>
                <c:pt idx="22">
                  <c:v>43466</c:v>
                </c:pt>
                <c:pt idx="23">
                  <c:v>43466</c:v>
                </c:pt>
                <c:pt idx="24">
                  <c:v>43497</c:v>
                </c:pt>
                <c:pt idx="25">
                  <c:v>43497</c:v>
                </c:pt>
                <c:pt idx="26">
                  <c:v>43497</c:v>
                </c:pt>
                <c:pt idx="27">
                  <c:v>43497</c:v>
                </c:pt>
                <c:pt idx="28">
                  <c:v>43525</c:v>
                </c:pt>
                <c:pt idx="29">
                  <c:v>43525</c:v>
                </c:pt>
                <c:pt idx="30">
                  <c:v>43525</c:v>
                </c:pt>
                <c:pt idx="31">
                  <c:v>43525</c:v>
                </c:pt>
                <c:pt idx="32">
                  <c:v>43556</c:v>
                </c:pt>
                <c:pt idx="33">
                  <c:v>43556</c:v>
                </c:pt>
                <c:pt idx="34">
                  <c:v>43556</c:v>
                </c:pt>
                <c:pt idx="35">
                  <c:v>43556</c:v>
                </c:pt>
                <c:pt idx="36">
                  <c:v>43586</c:v>
                </c:pt>
                <c:pt idx="37">
                  <c:v>43586</c:v>
                </c:pt>
                <c:pt idx="38">
                  <c:v>43586</c:v>
                </c:pt>
                <c:pt idx="39">
                  <c:v>43586</c:v>
                </c:pt>
                <c:pt idx="40">
                  <c:v>43617</c:v>
                </c:pt>
                <c:pt idx="41">
                  <c:v>43617</c:v>
                </c:pt>
                <c:pt idx="42">
                  <c:v>43617</c:v>
                </c:pt>
                <c:pt idx="43">
                  <c:v>43617</c:v>
                </c:pt>
                <c:pt idx="44">
                  <c:v>43647</c:v>
                </c:pt>
                <c:pt idx="45">
                  <c:v>43647</c:v>
                </c:pt>
                <c:pt idx="46">
                  <c:v>43647</c:v>
                </c:pt>
                <c:pt idx="47">
                  <c:v>43647</c:v>
                </c:pt>
                <c:pt idx="48">
                  <c:v>43678</c:v>
                </c:pt>
                <c:pt idx="49">
                  <c:v>43678</c:v>
                </c:pt>
                <c:pt idx="50">
                  <c:v>43678</c:v>
                </c:pt>
                <c:pt idx="51">
                  <c:v>43678</c:v>
                </c:pt>
                <c:pt idx="52">
                  <c:v>43709</c:v>
                </c:pt>
                <c:pt idx="53">
                  <c:v>43709</c:v>
                </c:pt>
                <c:pt idx="54">
                  <c:v>43709</c:v>
                </c:pt>
                <c:pt idx="55">
                  <c:v>43709</c:v>
                </c:pt>
                <c:pt idx="56">
                  <c:v>43739</c:v>
                </c:pt>
                <c:pt idx="57">
                  <c:v>43739</c:v>
                </c:pt>
                <c:pt idx="58">
                  <c:v>43739</c:v>
                </c:pt>
                <c:pt idx="59">
                  <c:v>43739</c:v>
                </c:pt>
                <c:pt idx="60">
                  <c:v>43770</c:v>
                </c:pt>
                <c:pt idx="61">
                  <c:v>43770</c:v>
                </c:pt>
                <c:pt idx="62">
                  <c:v>43770</c:v>
                </c:pt>
                <c:pt idx="63">
                  <c:v>43770</c:v>
                </c:pt>
                <c:pt idx="64">
                  <c:v>43800</c:v>
                </c:pt>
                <c:pt idx="65">
                  <c:v>43800</c:v>
                </c:pt>
                <c:pt idx="66">
                  <c:v>43800</c:v>
                </c:pt>
                <c:pt idx="67">
                  <c:v>43800</c:v>
                </c:pt>
                <c:pt idx="68">
                  <c:v>43831</c:v>
                </c:pt>
                <c:pt idx="69">
                  <c:v>43831</c:v>
                </c:pt>
                <c:pt idx="70">
                  <c:v>43831</c:v>
                </c:pt>
                <c:pt idx="71">
                  <c:v>43831</c:v>
                </c:pt>
                <c:pt idx="72">
                  <c:v>43862</c:v>
                </c:pt>
                <c:pt idx="73">
                  <c:v>43862</c:v>
                </c:pt>
                <c:pt idx="74">
                  <c:v>43862</c:v>
                </c:pt>
                <c:pt idx="75">
                  <c:v>43862</c:v>
                </c:pt>
                <c:pt idx="76">
                  <c:v>43891</c:v>
                </c:pt>
                <c:pt idx="77">
                  <c:v>43891</c:v>
                </c:pt>
                <c:pt idx="78">
                  <c:v>43891</c:v>
                </c:pt>
                <c:pt idx="79">
                  <c:v>43891</c:v>
                </c:pt>
                <c:pt idx="80">
                  <c:v>43922</c:v>
                </c:pt>
                <c:pt idx="81">
                  <c:v>43922</c:v>
                </c:pt>
                <c:pt idx="82">
                  <c:v>43922</c:v>
                </c:pt>
                <c:pt idx="83">
                  <c:v>43922</c:v>
                </c:pt>
                <c:pt idx="84">
                  <c:v>43952</c:v>
                </c:pt>
                <c:pt idx="85">
                  <c:v>43952</c:v>
                </c:pt>
                <c:pt idx="86">
                  <c:v>43952</c:v>
                </c:pt>
                <c:pt idx="87">
                  <c:v>43952</c:v>
                </c:pt>
                <c:pt idx="88">
                  <c:v>43983</c:v>
                </c:pt>
                <c:pt idx="89">
                  <c:v>43983</c:v>
                </c:pt>
                <c:pt idx="90">
                  <c:v>43983</c:v>
                </c:pt>
                <c:pt idx="91">
                  <c:v>43983</c:v>
                </c:pt>
                <c:pt idx="92">
                  <c:v>44013</c:v>
                </c:pt>
                <c:pt idx="93">
                  <c:v>44013</c:v>
                </c:pt>
                <c:pt idx="94">
                  <c:v>44013</c:v>
                </c:pt>
                <c:pt idx="95">
                  <c:v>44013</c:v>
                </c:pt>
                <c:pt idx="96">
                  <c:v>44044</c:v>
                </c:pt>
                <c:pt idx="97">
                  <c:v>44044</c:v>
                </c:pt>
                <c:pt idx="98">
                  <c:v>44044</c:v>
                </c:pt>
                <c:pt idx="99">
                  <c:v>44044</c:v>
                </c:pt>
                <c:pt idx="100">
                  <c:v>44075</c:v>
                </c:pt>
                <c:pt idx="101">
                  <c:v>44075</c:v>
                </c:pt>
                <c:pt idx="102">
                  <c:v>44075</c:v>
                </c:pt>
                <c:pt idx="103">
                  <c:v>44075</c:v>
                </c:pt>
                <c:pt idx="104">
                  <c:v>44105</c:v>
                </c:pt>
                <c:pt idx="105">
                  <c:v>44105</c:v>
                </c:pt>
                <c:pt idx="106">
                  <c:v>44105</c:v>
                </c:pt>
                <c:pt idx="107">
                  <c:v>44105</c:v>
                </c:pt>
                <c:pt idx="108">
                  <c:v>44136</c:v>
                </c:pt>
                <c:pt idx="109">
                  <c:v>44136</c:v>
                </c:pt>
                <c:pt idx="110">
                  <c:v>44136</c:v>
                </c:pt>
                <c:pt idx="111">
                  <c:v>44136</c:v>
                </c:pt>
                <c:pt idx="112">
                  <c:v>44166</c:v>
                </c:pt>
                <c:pt idx="113">
                  <c:v>44166</c:v>
                </c:pt>
                <c:pt idx="114">
                  <c:v>44166</c:v>
                </c:pt>
                <c:pt idx="115">
                  <c:v>44166</c:v>
                </c:pt>
                <c:pt idx="116">
                  <c:v>44197</c:v>
                </c:pt>
                <c:pt idx="117">
                  <c:v>44197</c:v>
                </c:pt>
                <c:pt idx="118">
                  <c:v>44197</c:v>
                </c:pt>
                <c:pt idx="119">
                  <c:v>44197</c:v>
                </c:pt>
                <c:pt idx="120">
                  <c:v>44228</c:v>
                </c:pt>
                <c:pt idx="121">
                  <c:v>44228</c:v>
                </c:pt>
                <c:pt idx="122">
                  <c:v>44228</c:v>
                </c:pt>
                <c:pt idx="123">
                  <c:v>44228</c:v>
                </c:pt>
                <c:pt idx="124">
                  <c:v>44256</c:v>
                </c:pt>
                <c:pt idx="125">
                  <c:v>44256</c:v>
                </c:pt>
                <c:pt idx="126">
                  <c:v>44256</c:v>
                </c:pt>
                <c:pt idx="127">
                  <c:v>44256</c:v>
                </c:pt>
                <c:pt idx="128">
                  <c:v>44287</c:v>
                </c:pt>
                <c:pt idx="129">
                  <c:v>44287</c:v>
                </c:pt>
                <c:pt idx="130">
                  <c:v>44287</c:v>
                </c:pt>
                <c:pt idx="131">
                  <c:v>44287</c:v>
                </c:pt>
                <c:pt idx="132">
                  <c:v>44317</c:v>
                </c:pt>
                <c:pt idx="133">
                  <c:v>44317</c:v>
                </c:pt>
                <c:pt idx="134">
                  <c:v>44317</c:v>
                </c:pt>
                <c:pt idx="135">
                  <c:v>44317</c:v>
                </c:pt>
                <c:pt idx="136">
                  <c:v>44348</c:v>
                </c:pt>
                <c:pt idx="137">
                  <c:v>44348</c:v>
                </c:pt>
                <c:pt idx="138">
                  <c:v>44348</c:v>
                </c:pt>
                <c:pt idx="139">
                  <c:v>44348</c:v>
                </c:pt>
                <c:pt idx="140">
                  <c:v>44378</c:v>
                </c:pt>
                <c:pt idx="141">
                  <c:v>44378</c:v>
                </c:pt>
                <c:pt idx="142">
                  <c:v>44378</c:v>
                </c:pt>
                <c:pt idx="143">
                  <c:v>44378</c:v>
                </c:pt>
                <c:pt idx="144">
                  <c:v>44409</c:v>
                </c:pt>
                <c:pt idx="145">
                  <c:v>44409</c:v>
                </c:pt>
                <c:pt idx="146">
                  <c:v>44409</c:v>
                </c:pt>
                <c:pt idx="147">
                  <c:v>44409</c:v>
                </c:pt>
                <c:pt idx="148">
                  <c:v>44440</c:v>
                </c:pt>
                <c:pt idx="149">
                  <c:v>44440</c:v>
                </c:pt>
                <c:pt idx="150">
                  <c:v>44440</c:v>
                </c:pt>
                <c:pt idx="151">
                  <c:v>44440</c:v>
                </c:pt>
                <c:pt idx="152">
                  <c:v>44470</c:v>
                </c:pt>
                <c:pt idx="153">
                  <c:v>44470</c:v>
                </c:pt>
                <c:pt idx="154">
                  <c:v>44470</c:v>
                </c:pt>
                <c:pt idx="155">
                  <c:v>44470</c:v>
                </c:pt>
                <c:pt idx="156">
                  <c:v>44501</c:v>
                </c:pt>
                <c:pt idx="157">
                  <c:v>44501</c:v>
                </c:pt>
                <c:pt idx="158">
                  <c:v>44501</c:v>
                </c:pt>
                <c:pt idx="159">
                  <c:v>44501</c:v>
                </c:pt>
                <c:pt idx="160">
                  <c:v>44531</c:v>
                </c:pt>
                <c:pt idx="161">
                  <c:v>44531</c:v>
                </c:pt>
                <c:pt idx="162">
                  <c:v>44531</c:v>
                </c:pt>
                <c:pt idx="163">
                  <c:v>44531</c:v>
                </c:pt>
                <c:pt idx="164">
                  <c:v>44562</c:v>
                </c:pt>
                <c:pt idx="165">
                  <c:v>44562</c:v>
                </c:pt>
                <c:pt idx="166">
                  <c:v>44562</c:v>
                </c:pt>
                <c:pt idx="167">
                  <c:v>44562</c:v>
                </c:pt>
                <c:pt idx="168">
                  <c:v>44593</c:v>
                </c:pt>
                <c:pt idx="169">
                  <c:v>44593</c:v>
                </c:pt>
                <c:pt idx="170">
                  <c:v>44593</c:v>
                </c:pt>
                <c:pt idx="171">
                  <c:v>44593</c:v>
                </c:pt>
                <c:pt idx="172">
                  <c:v>44621</c:v>
                </c:pt>
                <c:pt idx="173">
                  <c:v>44621</c:v>
                </c:pt>
                <c:pt idx="174">
                  <c:v>44621</c:v>
                </c:pt>
                <c:pt idx="175">
                  <c:v>44621</c:v>
                </c:pt>
                <c:pt idx="176">
                  <c:v>44652</c:v>
                </c:pt>
                <c:pt idx="177">
                  <c:v>44652</c:v>
                </c:pt>
                <c:pt idx="178">
                  <c:v>44652</c:v>
                </c:pt>
                <c:pt idx="179">
                  <c:v>44652</c:v>
                </c:pt>
                <c:pt idx="180">
                  <c:v>44682</c:v>
                </c:pt>
                <c:pt idx="181">
                  <c:v>44682</c:v>
                </c:pt>
                <c:pt idx="182">
                  <c:v>44682</c:v>
                </c:pt>
                <c:pt idx="183">
                  <c:v>44682</c:v>
                </c:pt>
                <c:pt idx="184">
                  <c:v>44713</c:v>
                </c:pt>
                <c:pt idx="185">
                  <c:v>44713</c:v>
                </c:pt>
                <c:pt idx="186">
                  <c:v>44713</c:v>
                </c:pt>
              </c:numCache>
            </c:numRef>
          </c:cat>
          <c:val>
            <c:numRef>
              <c:f>REGISTRO!$I$5:$I$191</c:f>
              <c:numCache>
                <c:formatCode>_-"S/"* #,##0.0_-;\-"S/"* #,##0.0_-;_-"S/"* "-"??_-;_-@_-</c:formatCode>
                <c:ptCount val="187"/>
                <c:pt idx="0">
                  <c:v>230.35</c:v>
                </c:pt>
                <c:pt idx="1">
                  <c:v>102.55</c:v>
                </c:pt>
                <c:pt idx="2">
                  <c:v>95.95</c:v>
                </c:pt>
                <c:pt idx="3">
                  <c:v>31.86</c:v>
                </c:pt>
                <c:pt idx="4">
                  <c:v>238.64235799999997</c:v>
                </c:pt>
                <c:pt idx="5">
                  <c:v>122.13</c:v>
                </c:pt>
                <c:pt idx="6">
                  <c:v>88.14</c:v>
                </c:pt>
                <c:pt idx="7">
                  <c:v>28.38</c:v>
                </c:pt>
                <c:pt idx="8">
                  <c:v>289.28386399999999</c:v>
                </c:pt>
                <c:pt idx="9">
                  <c:v>134.94</c:v>
                </c:pt>
                <c:pt idx="10">
                  <c:v>117.69</c:v>
                </c:pt>
                <c:pt idx="11">
                  <c:v>36.65</c:v>
                </c:pt>
                <c:pt idx="12">
                  <c:v>290.68031000000008</c:v>
                </c:pt>
                <c:pt idx="13">
                  <c:v>132</c:v>
                </c:pt>
                <c:pt idx="14">
                  <c:v>130.99</c:v>
                </c:pt>
                <c:pt idx="15">
                  <c:v>27.69</c:v>
                </c:pt>
                <c:pt idx="16">
                  <c:v>310.58513599999998</c:v>
                </c:pt>
                <c:pt idx="17">
                  <c:v>135.22</c:v>
                </c:pt>
                <c:pt idx="18">
                  <c:v>149.93</c:v>
                </c:pt>
                <c:pt idx="19">
                  <c:v>25.44</c:v>
                </c:pt>
                <c:pt idx="20">
                  <c:v>390.09993599999996</c:v>
                </c:pt>
                <c:pt idx="21">
                  <c:v>160.82</c:v>
                </c:pt>
                <c:pt idx="22">
                  <c:v>192.51</c:v>
                </c:pt>
                <c:pt idx="23">
                  <c:v>36.770000000000003</c:v>
                </c:pt>
                <c:pt idx="24">
                  <c:v>407.66438799999997</c:v>
                </c:pt>
                <c:pt idx="25">
                  <c:v>173.09</c:v>
                </c:pt>
                <c:pt idx="26">
                  <c:v>215.34</c:v>
                </c:pt>
                <c:pt idx="27">
                  <c:v>19.239999999999998</c:v>
                </c:pt>
                <c:pt idx="28">
                  <c:v>402.79287600000004</c:v>
                </c:pt>
                <c:pt idx="29">
                  <c:v>159.47</c:v>
                </c:pt>
                <c:pt idx="30">
                  <c:v>184.61</c:v>
                </c:pt>
                <c:pt idx="31">
                  <c:v>58.72</c:v>
                </c:pt>
                <c:pt idx="32">
                  <c:v>339.14089200000001</c:v>
                </c:pt>
                <c:pt idx="33">
                  <c:v>147.94</c:v>
                </c:pt>
                <c:pt idx="34">
                  <c:v>163.43</c:v>
                </c:pt>
                <c:pt idx="35">
                  <c:v>27.77</c:v>
                </c:pt>
                <c:pt idx="36">
                  <c:v>345.52873399999999</c:v>
                </c:pt>
                <c:pt idx="37">
                  <c:v>143.84</c:v>
                </c:pt>
                <c:pt idx="38">
                  <c:v>162.52000000000001</c:v>
                </c:pt>
                <c:pt idx="39">
                  <c:v>39.159999999999997</c:v>
                </c:pt>
                <c:pt idx="40">
                  <c:v>268.655688</c:v>
                </c:pt>
                <c:pt idx="41">
                  <c:v>112.94</c:v>
                </c:pt>
                <c:pt idx="42">
                  <c:v>145.47</c:v>
                </c:pt>
                <c:pt idx="43">
                  <c:v>10.24</c:v>
                </c:pt>
                <c:pt idx="44">
                  <c:v>283.57857999999999</c:v>
                </c:pt>
                <c:pt idx="45">
                  <c:v>102.68</c:v>
                </c:pt>
                <c:pt idx="46">
                  <c:v>139.49</c:v>
                </c:pt>
                <c:pt idx="47">
                  <c:v>41.41</c:v>
                </c:pt>
                <c:pt idx="48">
                  <c:v>299.71796000000001</c:v>
                </c:pt>
                <c:pt idx="49">
                  <c:v>114.8</c:v>
                </c:pt>
                <c:pt idx="50">
                  <c:v>151.44</c:v>
                </c:pt>
                <c:pt idx="51">
                  <c:v>33.479999999999997</c:v>
                </c:pt>
                <c:pt idx="52">
                  <c:v>277.20773200000002</c:v>
                </c:pt>
                <c:pt idx="53">
                  <c:v>109.59</c:v>
                </c:pt>
                <c:pt idx="54">
                  <c:v>138.38999999999999</c:v>
                </c:pt>
                <c:pt idx="55">
                  <c:v>29.23</c:v>
                </c:pt>
                <c:pt idx="56">
                  <c:v>303.81754000000001</c:v>
                </c:pt>
                <c:pt idx="57">
                  <c:v>116.09</c:v>
                </c:pt>
                <c:pt idx="58">
                  <c:v>161.09</c:v>
                </c:pt>
                <c:pt idx="59">
                  <c:v>26.64</c:v>
                </c:pt>
                <c:pt idx="60">
                  <c:v>369.28585999999996</c:v>
                </c:pt>
                <c:pt idx="61">
                  <c:v>134.77000000000001</c:v>
                </c:pt>
                <c:pt idx="62">
                  <c:v>194.57</c:v>
                </c:pt>
                <c:pt idx="63">
                  <c:v>39.94</c:v>
                </c:pt>
                <c:pt idx="64">
                  <c:v>311.03180599999996</c:v>
                </c:pt>
                <c:pt idx="65">
                  <c:v>129.36000000000001</c:v>
                </c:pt>
                <c:pt idx="66">
                  <c:v>152.19</c:v>
                </c:pt>
                <c:pt idx="67">
                  <c:v>29.48</c:v>
                </c:pt>
                <c:pt idx="68">
                  <c:v>374.38941199999999</c:v>
                </c:pt>
                <c:pt idx="69">
                  <c:v>146.79</c:v>
                </c:pt>
                <c:pt idx="70">
                  <c:v>205.42</c:v>
                </c:pt>
                <c:pt idx="71">
                  <c:v>22.18</c:v>
                </c:pt>
                <c:pt idx="72">
                  <c:v>388.06449199999997</c:v>
                </c:pt>
                <c:pt idx="73">
                  <c:v>145.94999999999999</c:v>
                </c:pt>
                <c:pt idx="74">
                  <c:v>187.85</c:v>
                </c:pt>
                <c:pt idx="75">
                  <c:v>54.27</c:v>
                </c:pt>
                <c:pt idx="76">
                  <c:v>387.99220800000001</c:v>
                </c:pt>
                <c:pt idx="77">
                  <c:v>141.18</c:v>
                </c:pt>
                <c:pt idx="78">
                  <c:v>205.77</c:v>
                </c:pt>
                <c:pt idx="79">
                  <c:v>41.04</c:v>
                </c:pt>
                <c:pt idx="80">
                  <c:v>380.99848000000003</c:v>
                </c:pt>
                <c:pt idx="81">
                  <c:v>151.27000000000001</c:v>
                </c:pt>
                <c:pt idx="82">
                  <c:v>207.65</c:v>
                </c:pt>
                <c:pt idx="83">
                  <c:v>22.08</c:v>
                </c:pt>
                <c:pt idx="84">
                  <c:v>334.49715200000003</c:v>
                </c:pt>
                <c:pt idx="85">
                  <c:v>126.59</c:v>
                </c:pt>
                <c:pt idx="86">
                  <c:v>176.95</c:v>
                </c:pt>
                <c:pt idx="87">
                  <c:v>30.96</c:v>
                </c:pt>
                <c:pt idx="88">
                  <c:v>434.99642000000006</c:v>
                </c:pt>
                <c:pt idx="89">
                  <c:v>167.26</c:v>
                </c:pt>
                <c:pt idx="90">
                  <c:v>213.23</c:v>
                </c:pt>
                <c:pt idx="91">
                  <c:v>54.51</c:v>
                </c:pt>
                <c:pt idx="92">
                  <c:v>322.50838799999997</c:v>
                </c:pt>
                <c:pt idx="93">
                  <c:v>127.9</c:v>
                </c:pt>
                <c:pt idx="94">
                  <c:v>163.6</c:v>
                </c:pt>
                <c:pt idx="95">
                  <c:v>31</c:v>
                </c:pt>
                <c:pt idx="96">
                  <c:v>311.49679800000001</c:v>
                </c:pt>
                <c:pt idx="97">
                  <c:v>136.5</c:v>
                </c:pt>
                <c:pt idx="98">
                  <c:v>160.19999999999999</c:v>
                </c:pt>
                <c:pt idx="99">
                  <c:v>14.8</c:v>
                </c:pt>
                <c:pt idx="100">
                  <c:v>325.49680799999999</c:v>
                </c:pt>
                <c:pt idx="101">
                  <c:v>130.18</c:v>
                </c:pt>
                <c:pt idx="102">
                  <c:v>149.62</c:v>
                </c:pt>
                <c:pt idx="103">
                  <c:v>45.69</c:v>
                </c:pt>
                <c:pt idx="104">
                  <c:v>320.99650000000003</c:v>
                </c:pt>
                <c:pt idx="105">
                  <c:v>130.27000000000001</c:v>
                </c:pt>
                <c:pt idx="106">
                  <c:v>159.44999999999999</c:v>
                </c:pt>
                <c:pt idx="107">
                  <c:v>31.28</c:v>
                </c:pt>
                <c:pt idx="108">
                  <c:v>335.497456</c:v>
                </c:pt>
                <c:pt idx="109">
                  <c:v>135.71</c:v>
                </c:pt>
                <c:pt idx="110">
                  <c:v>171.66</c:v>
                </c:pt>
                <c:pt idx="111">
                  <c:v>28.13</c:v>
                </c:pt>
                <c:pt idx="112">
                  <c:v>354.49533600000001</c:v>
                </c:pt>
                <c:pt idx="113">
                  <c:v>153.54</c:v>
                </c:pt>
                <c:pt idx="114">
                  <c:v>171.88</c:v>
                </c:pt>
                <c:pt idx="115">
                  <c:v>29.07</c:v>
                </c:pt>
                <c:pt idx="116">
                  <c:v>453.99531199999996</c:v>
                </c:pt>
                <c:pt idx="117">
                  <c:v>172.58</c:v>
                </c:pt>
                <c:pt idx="118">
                  <c:v>232.35</c:v>
                </c:pt>
                <c:pt idx="119">
                  <c:v>49.06</c:v>
                </c:pt>
                <c:pt idx="120">
                  <c:v>428.54282000000001</c:v>
                </c:pt>
                <c:pt idx="121">
                  <c:v>143.91</c:v>
                </c:pt>
                <c:pt idx="122">
                  <c:v>243.33</c:v>
                </c:pt>
                <c:pt idx="123">
                  <c:v>41.3</c:v>
                </c:pt>
                <c:pt idx="124">
                  <c:v>455.49489999999997</c:v>
                </c:pt>
                <c:pt idx="125">
                  <c:v>158.63999999999999</c:v>
                </c:pt>
                <c:pt idx="126">
                  <c:v>234.88</c:v>
                </c:pt>
                <c:pt idx="127">
                  <c:v>61.97</c:v>
                </c:pt>
                <c:pt idx="128">
                  <c:v>476.97047999999995</c:v>
                </c:pt>
                <c:pt idx="129">
                  <c:v>159.51</c:v>
                </c:pt>
                <c:pt idx="130">
                  <c:v>264.2</c:v>
                </c:pt>
                <c:pt idx="131">
                  <c:v>53.26</c:v>
                </c:pt>
                <c:pt idx="132">
                  <c:v>416.00570999999997</c:v>
                </c:pt>
                <c:pt idx="133">
                  <c:v>158.05000000000001</c:v>
                </c:pt>
                <c:pt idx="134">
                  <c:v>209.44</c:v>
                </c:pt>
                <c:pt idx="135">
                  <c:v>48.52</c:v>
                </c:pt>
                <c:pt idx="136">
                  <c:v>398.48974200000004</c:v>
                </c:pt>
                <c:pt idx="137">
                  <c:v>147.85</c:v>
                </c:pt>
                <c:pt idx="138">
                  <c:v>215.86</c:v>
                </c:pt>
                <c:pt idx="139">
                  <c:v>34.78</c:v>
                </c:pt>
                <c:pt idx="140">
                  <c:v>402.99309</c:v>
                </c:pt>
                <c:pt idx="141">
                  <c:v>151.54</c:v>
                </c:pt>
                <c:pt idx="142">
                  <c:v>189.08</c:v>
                </c:pt>
                <c:pt idx="143">
                  <c:v>62.37</c:v>
                </c:pt>
                <c:pt idx="144">
                  <c:v>404.49975000000006</c:v>
                </c:pt>
                <c:pt idx="145">
                  <c:v>153.02000000000001</c:v>
                </c:pt>
                <c:pt idx="146">
                  <c:v>205.01</c:v>
                </c:pt>
                <c:pt idx="147">
                  <c:v>46.47</c:v>
                </c:pt>
                <c:pt idx="148">
                  <c:v>441.99906799999997</c:v>
                </c:pt>
                <c:pt idx="149">
                  <c:v>161.13999999999999</c:v>
                </c:pt>
                <c:pt idx="150">
                  <c:v>227.39</c:v>
                </c:pt>
                <c:pt idx="151">
                  <c:v>53.47</c:v>
                </c:pt>
                <c:pt idx="152">
                  <c:v>366.99167</c:v>
                </c:pt>
                <c:pt idx="153">
                  <c:v>128.72</c:v>
                </c:pt>
                <c:pt idx="154">
                  <c:v>193.64</c:v>
                </c:pt>
                <c:pt idx="155">
                  <c:v>44.63</c:v>
                </c:pt>
                <c:pt idx="156">
                  <c:v>387.99292200000002</c:v>
                </c:pt>
                <c:pt idx="157">
                  <c:v>132.62</c:v>
                </c:pt>
                <c:pt idx="158">
                  <c:v>210.9</c:v>
                </c:pt>
                <c:pt idx="159">
                  <c:v>44.48</c:v>
                </c:pt>
                <c:pt idx="160">
                  <c:v>385.99760000000003</c:v>
                </c:pt>
                <c:pt idx="161">
                  <c:v>134.51</c:v>
                </c:pt>
                <c:pt idx="162">
                  <c:v>210.6</c:v>
                </c:pt>
                <c:pt idx="163">
                  <c:v>40.880000000000003</c:v>
                </c:pt>
                <c:pt idx="164">
                  <c:v>481.49456800000002</c:v>
                </c:pt>
                <c:pt idx="165">
                  <c:v>166.93</c:v>
                </c:pt>
                <c:pt idx="166">
                  <c:v>265.08999999999997</c:v>
                </c:pt>
                <c:pt idx="167">
                  <c:v>49.48</c:v>
                </c:pt>
                <c:pt idx="168">
                  <c:v>467.99614399999996</c:v>
                </c:pt>
                <c:pt idx="169">
                  <c:v>190.6</c:v>
                </c:pt>
                <c:pt idx="170">
                  <c:v>246.25</c:v>
                </c:pt>
                <c:pt idx="171">
                  <c:v>31.15</c:v>
                </c:pt>
                <c:pt idx="172">
                  <c:v>499.998062</c:v>
                </c:pt>
                <c:pt idx="173">
                  <c:v>206.62</c:v>
                </c:pt>
                <c:pt idx="174">
                  <c:v>235.22</c:v>
                </c:pt>
                <c:pt idx="175">
                  <c:v>58.15</c:v>
                </c:pt>
                <c:pt idx="176">
                  <c:v>378.92966999999999</c:v>
                </c:pt>
                <c:pt idx="177">
                  <c:v>151.36000000000001</c:v>
                </c:pt>
                <c:pt idx="178">
                  <c:v>206</c:v>
                </c:pt>
                <c:pt idx="179">
                  <c:v>21.58</c:v>
                </c:pt>
                <c:pt idx="180">
                  <c:v>573.50499600000012</c:v>
                </c:pt>
                <c:pt idx="181">
                  <c:v>215.04</c:v>
                </c:pt>
                <c:pt idx="182">
                  <c:v>310.89999999999998</c:v>
                </c:pt>
                <c:pt idx="183">
                  <c:v>47.57</c:v>
                </c:pt>
                <c:pt idx="184">
                  <c:v>648.58490399999994</c:v>
                </c:pt>
                <c:pt idx="185">
                  <c:v>213.64</c:v>
                </c:pt>
                <c:pt idx="186">
                  <c:v>385.14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B-4D1F-8A67-A03944A3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95855"/>
        <c:axId val="1598197935"/>
      </c:lineChart>
      <c:dateAx>
        <c:axId val="15981958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8197935"/>
        <c:crosses val="autoZero"/>
        <c:auto val="1"/>
        <c:lblOffset val="100"/>
        <c:baseTimeUnit val="months"/>
      </c:dateAx>
      <c:valAx>
        <c:axId val="15981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S/&quot;* #,##0.0_-;\-&quot;S/&quot;* #,##0.0_-;_-&quot;S/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819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FORMATO DEL RECIBO DE LUZ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'RECIBO DE LUZ'!$L$3</c:f>
              <c:strCache>
                <c:ptCount val="1"/>
                <c:pt idx="0">
                  <c:v>TOTAL MES ACTUAL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'RECIBO DE LUZ'!$A$4:$A$41</c:f>
              <c:numCache>
                <c:formatCode>mmm\-yy</c:formatCode>
                <c:ptCount val="38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  <c:pt idx="18">
                  <c:v>43862</c:v>
                </c:pt>
                <c:pt idx="19">
                  <c:v>43891</c:v>
                </c:pt>
                <c:pt idx="20">
                  <c:v>43922</c:v>
                </c:pt>
                <c:pt idx="21">
                  <c:v>43952</c:v>
                </c:pt>
                <c:pt idx="22">
                  <c:v>43983</c:v>
                </c:pt>
                <c:pt idx="23">
                  <c:v>44013</c:v>
                </c:pt>
                <c:pt idx="24">
                  <c:v>44044</c:v>
                </c:pt>
                <c:pt idx="25">
                  <c:v>44075</c:v>
                </c:pt>
                <c:pt idx="26">
                  <c:v>44105</c:v>
                </c:pt>
                <c:pt idx="27">
                  <c:v>44136</c:v>
                </c:pt>
                <c:pt idx="28">
                  <c:v>44166</c:v>
                </c:pt>
                <c:pt idx="29">
                  <c:v>44197</c:v>
                </c:pt>
                <c:pt idx="30">
                  <c:v>44228</c:v>
                </c:pt>
                <c:pt idx="31">
                  <c:v>44256</c:v>
                </c:pt>
                <c:pt idx="32">
                  <c:v>44287</c:v>
                </c:pt>
                <c:pt idx="33">
                  <c:v>44317</c:v>
                </c:pt>
                <c:pt idx="34">
                  <c:v>44348</c:v>
                </c:pt>
                <c:pt idx="35">
                  <c:v>44378</c:v>
                </c:pt>
                <c:pt idx="36">
                  <c:v>44409</c:v>
                </c:pt>
                <c:pt idx="37">
                  <c:v>44440</c:v>
                </c:pt>
              </c:numCache>
            </c:numRef>
          </c:cat>
          <c:val>
            <c:numRef>
              <c:f>'RECIBO DE LUZ'!$L$4:$L$41</c:f>
              <c:numCache>
                <c:formatCode>_(* #,##0.00_);_(* \(#,##0.00\);_(* "-"??_);_(@_)</c:formatCode>
                <c:ptCount val="38"/>
                <c:pt idx="0">
                  <c:v>193.37368000000004</c:v>
                </c:pt>
                <c:pt idx="1">
                  <c:v>201.15235799999999</c:v>
                </c:pt>
                <c:pt idx="2">
                  <c:v>250.743864</c:v>
                </c:pt>
                <c:pt idx="3">
                  <c:v>251.64031</c:v>
                </c:pt>
                <c:pt idx="4">
                  <c:v>270.875136</c:v>
                </c:pt>
                <c:pt idx="5">
                  <c:v>270.875136</c:v>
                </c:pt>
                <c:pt idx="6">
                  <c:v>366.24438800000007</c:v>
                </c:pt>
                <c:pt idx="7">
                  <c:v>361.37287600000008</c:v>
                </c:pt>
                <c:pt idx="8">
                  <c:v>297.50089200000002</c:v>
                </c:pt>
                <c:pt idx="9">
                  <c:v>303.30873399999996</c:v>
                </c:pt>
                <c:pt idx="10">
                  <c:v>265.39568800000001</c:v>
                </c:pt>
                <c:pt idx="11">
                  <c:v>280.16858000000002</c:v>
                </c:pt>
                <c:pt idx="12">
                  <c:v>296.08796000000001</c:v>
                </c:pt>
                <c:pt idx="13">
                  <c:v>273.82773200000003</c:v>
                </c:pt>
                <c:pt idx="14">
                  <c:v>300.07754</c:v>
                </c:pt>
                <c:pt idx="15">
                  <c:v>365.00585999999998</c:v>
                </c:pt>
                <c:pt idx="16">
                  <c:v>305.75180599999999</c:v>
                </c:pt>
                <c:pt idx="17">
                  <c:v>369.96941200000003</c:v>
                </c:pt>
                <c:pt idx="18">
                  <c:v>383.664492</c:v>
                </c:pt>
                <c:pt idx="19">
                  <c:v>383.41220800000002</c:v>
                </c:pt>
                <c:pt idx="20">
                  <c:v>380.82848000000007</c:v>
                </c:pt>
                <c:pt idx="21">
                  <c:v>334.79715199999998</c:v>
                </c:pt>
                <c:pt idx="22">
                  <c:v>421.04642000000007</c:v>
                </c:pt>
                <c:pt idx="23">
                  <c:v>318.80838799999992</c:v>
                </c:pt>
                <c:pt idx="24">
                  <c:v>307.65679800000004</c:v>
                </c:pt>
                <c:pt idx="25">
                  <c:v>322.01680799999997</c:v>
                </c:pt>
                <c:pt idx="26">
                  <c:v>325.29650000000004</c:v>
                </c:pt>
                <c:pt idx="27">
                  <c:v>332.02745599999997</c:v>
                </c:pt>
                <c:pt idx="28">
                  <c:v>350.39533599999999</c:v>
                </c:pt>
                <c:pt idx="29">
                  <c:v>448.44531200000006</c:v>
                </c:pt>
                <c:pt idx="30">
                  <c:v>423.97282000000007</c:v>
                </c:pt>
                <c:pt idx="31">
                  <c:v>450.23489999999993</c:v>
                </c:pt>
                <c:pt idx="32">
                  <c:v>471.57047999999998</c:v>
                </c:pt>
                <c:pt idx="33">
                  <c:v>410.97570999999999</c:v>
                </c:pt>
                <c:pt idx="34">
                  <c:v>394.26974200000006</c:v>
                </c:pt>
                <c:pt idx="35">
                  <c:v>398.10308999999995</c:v>
                </c:pt>
                <c:pt idx="36">
                  <c:v>383.18434999999999</c:v>
                </c:pt>
                <c:pt idx="37">
                  <c:v>436.839068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E0E-4B0F-82F0-CDE1E2C6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dropLines>
        <c:smooth val="0"/>
        <c:axId val="399818664"/>
        <c:axId val="399821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'RECIBO DE LUZ'!$E$3</c15:sqref>
                        </c15:formulaRef>
                      </c:ext>
                    </c:extLst>
                    <c:strCache>
                      <c:ptCount val="1"/>
                      <c:pt idx="0">
                        <c:v>REPOSICIÓN Y MANTENIM.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'RECIBO DE LUZ'!$E$4:$E$41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1.33</c:v>
                      </c:pt>
                      <c:pt idx="1">
                        <c:v>1.33</c:v>
                      </c:pt>
                      <c:pt idx="2">
                        <c:v>1.33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1.35</c:v>
                      </c:pt>
                      <c:pt idx="6">
                        <c:v>1.35</c:v>
                      </c:pt>
                      <c:pt idx="7">
                        <c:v>1.35</c:v>
                      </c:pt>
                      <c:pt idx="8">
                        <c:v>1.35</c:v>
                      </c:pt>
                      <c:pt idx="9">
                        <c:v>1.35</c:v>
                      </c:pt>
                      <c:pt idx="10">
                        <c:v>1.35</c:v>
                      </c:pt>
                      <c:pt idx="11">
                        <c:v>1.35</c:v>
                      </c:pt>
                      <c:pt idx="12">
                        <c:v>1.35</c:v>
                      </c:pt>
                      <c:pt idx="13">
                        <c:v>1.34</c:v>
                      </c:pt>
                      <c:pt idx="14">
                        <c:v>1.32</c:v>
                      </c:pt>
                      <c:pt idx="15">
                        <c:v>1.35</c:v>
                      </c:pt>
                      <c:pt idx="16">
                        <c:v>2.35</c:v>
                      </c:pt>
                      <c:pt idx="17">
                        <c:v>1.35</c:v>
                      </c:pt>
                      <c:pt idx="18">
                        <c:v>1.35</c:v>
                      </c:pt>
                      <c:pt idx="19">
                        <c:v>1.35</c:v>
                      </c:pt>
                      <c:pt idx="20">
                        <c:v>1.35</c:v>
                      </c:pt>
                      <c:pt idx="21">
                        <c:v>1.35</c:v>
                      </c:pt>
                      <c:pt idx="22">
                        <c:v>1.35</c:v>
                      </c:pt>
                      <c:pt idx="23">
                        <c:v>1.35</c:v>
                      </c:pt>
                      <c:pt idx="24">
                        <c:v>1.36</c:v>
                      </c:pt>
                      <c:pt idx="25">
                        <c:v>1.36</c:v>
                      </c:pt>
                      <c:pt idx="26">
                        <c:v>1.36</c:v>
                      </c:pt>
                      <c:pt idx="27">
                        <c:v>1.36</c:v>
                      </c:pt>
                      <c:pt idx="28">
                        <c:v>1.37</c:v>
                      </c:pt>
                      <c:pt idx="29">
                        <c:v>1.37</c:v>
                      </c:pt>
                      <c:pt idx="30">
                        <c:v>1.38</c:v>
                      </c:pt>
                      <c:pt idx="31">
                        <c:v>1.4</c:v>
                      </c:pt>
                      <c:pt idx="32">
                        <c:v>1.41</c:v>
                      </c:pt>
                      <c:pt idx="33">
                        <c:v>1.44</c:v>
                      </c:pt>
                      <c:pt idx="34">
                        <c:v>1.44</c:v>
                      </c:pt>
                      <c:pt idx="35">
                        <c:v>1.46</c:v>
                      </c:pt>
                      <c:pt idx="36">
                        <c:v>1.49</c:v>
                      </c:pt>
                      <c:pt idx="37">
                        <c:v>1.52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0E-4B0F-82F0-CDE1E2C68A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LUZ'!$F$3</c15:sqref>
                        </c15:formulaRef>
                      </c:ext>
                    </c:extLst>
                    <c:strCache>
                      <c:ptCount val="1"/>
                      <c:pt idx="0">
                        <c:v>CARGO FIJO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LUZ'!$F$4:$F$41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2.61</c:v>
                      </c:pt>
                      <c:pt idx="1">
                        <c:v>2.61</c:v>
                      </c:pt>
                      <c:pt idx="2">
                        <c:v>2.61</c:v>
                      </c:pt>
                      <c:pt idx="3">
                        <c:v>2.64</c:v>
                      </c:pt>
                      <c:pt idx="4">
                        <c:v>2.69</c:v>
                      </c:pt>
                      <c:pt idx="5">
                        <c:v>2.69</c:v>
                      </c:pt>
                      <c:pt idx="6">
                        <c:v>2.69</c:v>
                      </c:pt>
                      <c:pt idx="7">
                        <c:v>2.69</c:v>
                      </c:pt>
                      <c:pt idx="8">
                        <c:v>2.68</c:v>
                      </c:pt>
                      <c:pt idx="9">
                        <c:v>2.68</c:v>
                      </c:pt>
                      <c:pt idx="10">
                        <c:v>2.68</c:v>
                      </c:pt>
                      <c:pt idx="11">
                        <c:v>2.68</c:v>
                      </c:pt>
                      <c:pt idx="12">
                        <c:v>2.68</c:v>
                      </c:pt>
                      <c:pt idx="13">
                        <c:v>2.69</c:v>
                      </c:pt>
                      <c:pt idx="14">
                        <c:v>2.7</c:v>
                      </c:pt>
                      <c:pt idx="15">
                        <c:v>2.69</c:v>
                      </c:pt>
                      <c:pt idx="16">
                        <c:v>3.69</c:v>
                      </c:pt>
                      <c:pt idx="17">
                        <c:v>2.69</c:v>
                      </c:pt>
                      <c:pt idx="18">
                        <c:v>2.69</c:v>
                      </c:pt>
                      <c:pt idx="19">
                        <c:v>2.69</c:v>
                      </c:pt>
                      <c:pt idx="20">
                        <c:v>2.69</c:v>
                      </c:pt>
                      <c:pt idx="21">
                        <c:v>2.69</c:v>
                      </c:pt>
                      <c:pt idx="22">
                        <c:v>2.69</c:v>
                      </c:pt>
                      <c:pt idx="23">
                        <c:v>2.69</c:v>
                      </c:pt>
                      <c:pt idx="24">
                        <c:v>2.66</c:v>
                      </c:pt>
                      <c:pt idx="25">
                        <c:v>2.66</c:v>
                      </c:pt>
                      <c:pt idx="26">
                        <c:v>2.66</c:v>
                      </c:pt>
                      <c:pt idx="27">
                        <c:v>2.67</c:v>
                      </c:pt>
                      <c:pt idx="28">
                        <c:v>2.69</c:v>
                      </c:pt>
                      <c:pt idx="29">
                        <c:v>2.69</c:v>
                      </c:pt>
                      <c:pt idx="30">
                        <c:v>2.71</c:v>
                      </c:pt>
                      <c:pt idx="31">
                        <c:v>2.74</c:v>
                      </c:pt>
                      <c:pt idx="32">
                        <c:v>2.77</c:v>
                      </c:pt>
                      <c:pt idx="33">
                        <c:v>2.82</c:v>
                      </c:pt>
                      <c:pt idx="34">
                        <c:v>2.83</c:v>
                      </c:pt>
                      <c:pt idx="35">
                        <c:v>2.87</c:v>
                      </c:pt>
                      <c:pt idx="36">
                        <c:v>2.92</c:v>
                      </c:pt>
                      <c:pt idx="37">
                        <c:v>2.97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E0E-4B0F-82F0-CDE1E2C68A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LUZ'!$G$3</c15:sqref>
                        </c15:formulaRef>
                      </c:ext>
                    </c:extLst>
                    <c:strCache>
                      <c:ptCount val="1"/>
                      <c:pt idx="0">
                        <c:v>CARGO ENERGIA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LUZ'!$G$4:$G$41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8"/>
                      <c:pt idx="0">
                        <c:v>144.66600000000003</c:v>
                      </c:pt>
                      <c:pt idx="1">
                        <c:v>150.66809999999998</c:v>
                      </c:pt>
                      <c:pt idx="2">
                        <c:v>190.7448</c:v>
                      </c:pt>
                      <c:pt idx="3">
                        <c:v>194.69450000000001</c:v>
                      </c:pt>
                      <c:pt idx="4">
                        <c:v>210.99519999999998</c:v>
                      </c:pt>
                      <c:pt idx="5">
                        <c:v>290.51</c:v>
                      </c:pt>
                      <c:pt idx="6">
                        <c:v>270.96660000000003</c:v>
                      </c:pt>
                      <c:pt idx="7">
                        <c:v>277.07820000000004</c:v>
                      </c:pt>
                      <c:pt idx="8">
                        <c:v>231.79940000000002</c:v>
                      </c:pt>
                      <c:pt idx="9">
                        <c:v>239.63129999999998</c:v>
                      </c:pt>
                      <c:pt idx="10">
                        <c:v>206.88159999999999</c:v>
                      </c:pt>
                      <c:pt idx="11">
                        <c:v>216.601</c:v>
                      </c:pt>
                      <c:pt idx="12">
                        <c:v>229.39200000000002</c:v>
                      </c:pt>
                      <c:pt idx="13">
                        <c:v>210.52740000000003</c:v>
                      </c:pt>
                      <c:pt idx="14">
                        <c:v>235.583</c:v>
                      </c:pt>
                      <c:pt idx="15">
                        <c:v>277.28699999999998</c:v>
                      </c:pt>
                      <c:pt idx="16">
                        <c:v>239.77169999999998</c:v>
                      </c:pt>
                      <c:pt idx="17">
                        <c:v>284.29340000000002</c:v>
                      </c:pt>
                      <c:pt idx="18">
                        <c:v>296.5994</c:v>
                      </c:pt>
                      <c:pt idx="19">
                        <c:v>297.78559999999999</c:v>
                      </c:pt>
                      <c:pt idx="20">
                        <c:v>295.596</c:v>
                      </c:pt>
                      <c:pt idx="21">
                        <c:v>266.03640000000001</c:v>
                      </c:pt>
                      <c:pt idx="22">
                        <c:v>300.38900000000001</c:v>
                      </c:pt>
                      <c:pt idx="23">
                        <c:v>249.33659999999998</c:v>
                      </c:pt>
                      <c:pt idx="24">
                        <c:v>240.95610000000002</c:v>
                      </c:pt>
                      <c:pt idx="25">
                        <c:v>252.07560000000001</c:v>
                      </c:pt>
                      <c:pt idx="26">
                        <c:v>257.53500000000003</c:v>
                      </c:pt>
                      <c:pt idx="27">
                        <c:v>263.22919999999999</c:v>
                      </c:pt>
                      <c:pt idx="28">
                        <c:v>279.23520000000002</c:v>
                      </c:pt>
                      <c:pt idx="29">
                        <c:v>347.97840000000002</c:v>
                      </c:pt>
                      <c:pt idx="30">
                        <c:v>328.44900000000001</c:v>
                      </c:pt>
                      <c:pt idx="31">
                        <c:v>351.64499999999998</c:v>
                      </c:pt>
                      <c:pt idx="32">
                        <c:v>368.77600000000001</c:v>
                      </c:pt>
                      <c:pt idx="33">
                        <c:v>316.02449999999999</c:v>
                      </c:pt>
                      <c:pt idx="34">
                        <c:v>298.20690000000002</c:v>
                      </c:pt>
                      <c:pt idx="35">
                        <c:v>297.35550000000001</c:v>
                      </c:pt>
                      <c:pt idx="36">
                        <c:v>290.98250000000002</c:v>
                      </c:pt>
                      <c:pt idx="37">
                        <c:v>330.62259999999998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0E-4B0F-82F0-CDE1E2C68A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LUZ'!$H$3</c15:sqref>
                        </c15:formulaRef>
                      </c:ext>
                    </c:extLst>
                    <c:strCache>
                      <c:ptCount val="1"/>
                      <c:pt idx="0">
                        <c:v>INTERES CONVENIO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LUZ'!$H$4:$H$41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4.2699999999999996</c:v>
                      </c:pt>
                      <c:pt idx="1">
                        <c:v>3.86</c:v>
                      </c:pt>
                      <c:pt idx="2">
                        <c:v>3.46</c:v>
                      </c:pt>
                      <c:pt idx="3">
                        <c:v>3.04</c:v>
                      </c:pt>
                      <c:pt idx="4">
                        <c:v>2.62</c:v>
                      </c:pt>
                      <c:pt idx="5">
                        <c:v>2.62</c:v>
                      </c:pt>
                      <c:pt idx="6">
                        <c:v>1.77</c:v>
                      </c:pt>
                      <c:pt idx="7">
                        <c:v>1.33</c:v>
                      </c:pt>
                      <c:pt idx="8">
                        <c:v>0.89</c:v>
                      </c:pt>
                      <c:pt idx="9">
                        <c:v>0.43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36.28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0.12</c:v>
                      </c:pt>
                      <c:pt idx="27">
                        <c:v>0.12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0.16</c:v>
                      </c:pt>
                      <c:pt idx="31">
                        <c:v>0.56999999999999995</c:v>
                      </c:pt>
                      <c:pt idx="32">
                        <c:v>0.78</c:v>
                      </c:pt>
                      <c:pt idx="33">
                        <c:v>0</c:v>
                      </c:pt>
                      <c:pt idx="34">
                        <c:v>0.85</c:v>
                      </c:pt>
                      <c:pt idx="35">
                        <c:v>1.39</c:v>
                      </c:pt>
                      <c:pt idx="36">
                        <c:v>1.06</c:v>
                      </c:pt>
                      <c:pt idx="37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0E-4B0F-82F0-CDE1E2C68A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LUZ'!$I$3</c15:sqref>
                        </c15:formulaRef>
                      </c:ext>
                    </c:extLst>
                    <c:strCache>
                      <c:ptCount val="1"/>
                      <c:pt idx="0">
                        <c:v>ALUMBRADO PUBLICO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LUZ'!$I$4:$I$41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14.35</c:v>
                      </c:pt>
                      <c:pt idx="3">
                        <c:v>11.55</c:v>
                      </c:pt>
                      <c:pt idx="4">
                        <c:v>11.9</c:v>
                      </c:pt>
                      <c:pt idx="5">
                        <c:v>11.9</c:v>
                      </c:pt>
                      <c:pt idx="6">
                        <c:v>33.6</c:v>
                      </c:pt>
                      <c:pt idx="7">
                        <c:v>23.8</c:v>
                      </c:pt>
                      <c:pt idx="8">
                        <c:v>15.4</c:v>
                      </c:pt>
                      <c:pt idx="9">
                        <c:v>12.95</c:v>
                      </c:pt>
                      <c:pt idx="10">
                        <c:v>14</c:v>
                      </c:pt>
                      <c:pt idx="11">
                        <c:v>16.8</c:v>
                      </c:pt>
                      <c:pt idx="12">
                        <c:v>17.5</c:v>
                      </c:pt>
                      <c:pt idx="13">
                        <c:v>17.5</c:v>
                      </c:pt>
                      <c:pt idx="14">
                        <c:v>14.7</c:v>
                      </c:pt>
                      <c:pt idx="15">
                        <c:v>28</c:v>
                      </c:pt>
                      <c:pt idx="16">
                        <c:v>13.3</c:v>
                      </c:pt>
                      <c:pt idx="17">
                        <c:v>25.2</c:v>
                      </c:pt>
                      <c:pt idx="18">
                        <c:v>24.5</c:v>
                      </c:pt>
                      <c:pt idx="19">
                        <c:v>23.1</c:v>
                      </c:pt>
                      <c:pt idx="20">
                        <c:v>23.1</c:v>
                      </c:pt>
                      <c:pt idx="21">
                        <c:v>13.65</c:v>
                      </c:pt>
                      <c:pt idx="22">
                        <c:v>16.11</c:v>
                      </c:pt>
                      <c:pt idx="23">
                        <c:v>16.8</c:v>
                      </c:pt>
                      <c:pt idx="24">
                        <c:v>15.75</c:v>
                      </c:pt>
                      <c:pt idx="25">
                        <c:v>16.8</c:v>
                      </c:pt>
                      <c:pt idx="26">
                        <c:v>14</c:v>
                      </c:pt>
                      <c:pt idx="27">
                        <c:v>14</c:v>
                      </c:pt>
                      <c:pt idx="28">
                        <c:v>13.65</c:v>
                      </c:pt>
                      <c:pt idx="29">
                        <c:v>28</c:v>
                      </c:pt>
                      <c:pt idx="30">
                        <c:v>26.6</c:v>
                      </c:pt>
                      <c:pt idx="31">
                        <c:v>25.2</c:v>
                      </c:pt>
                      <c:pt idx="32">
                        <c:v>25.9</c:v>
                      </c:pt>
                      <c:pt idx="33">
                        <c:v>28</c:v>
                      </c:pt>
                      <c:pt idx="34">
                        <c:v>30.8</c:v>
                      </c:pt>
                      <c:pt idx="35">
                        <c:v>34.299999999999997</c:v>
                      </c:pt>
                      <c:pt idx="36">
                        <c:v>16.45</c:v>
                      </c:pt>
                      <c:pt idx="37">
                        <c:v>34.299999999999997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0E-4B0F-82F0-CDE1E2C68A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LUZ'!$J$3</c15:sqref>
                        </c15:formulaRef>
                      </c:ext>
                    </c:extLst>
                    <c:strCache>
                      <c:ptCount val="1"/>
                      <c:pt idx="0">
                        <c:v>SUBTOTAL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LUZ'!$J$4:$J$41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8"/>
                      <c:pt idx="0">
                        <c:v>163.87600000000003</c:v>
                      </c:pt>
                      <c:pt idx="1">
                        <c:v>170.46809999999999</c:v>
                      </c:pt>
                      <c:pt idx="2">
                        <c:v>212.4948</c:v>
                      </c:pt>
                      <c:pt idx="3">
                        <c:v>213.25450000000001</c:v>
                      </c:pt>
                      <c:pt idx="4">
                        <c:v>229.55519999999999</c:v>
                      </c:pt>
                      <c:pt idx="5">
                        <c:v>309.07</c:v>
                      </c:pt>
                      <c:pt idx="6">
                        <c:v>310.37660000000005</c:v>
                      </c:pt>
                      <c:pt idx="7">
                        <c:v>306.24820000000005</c:v>
                      </c:pt>
                      <c:pt idx="8">
                        <c:v>252.11940000000001</c:v>
                      </c:pt>
                      <c:pt idx="9">
                        <c:v>257.04129999999998</c:v>
                      </c:pt>
                      <c:pt idx="10">
                        <c:v>224.91159999999999</c:v>
                      </c:pt>
                      <c:pt idx="11">
                        <c:v>237.43100000000001</c:v>
                      </c:pt>
                      <c:pt idx="12">
                        <c:v>250.92200000000003</c:v>
                      </c:pt>
                      <c:pt idx="13">
                        <c:v>232.05740000000003</c:v>
                      </c:pt>
                      <c:pt idx="14">
                        <c:v>254.303</c:v>
                      </c:pt>
                      <c:pt idx="15">
                        <c:v>309.327</c:v>
                      </c:pt>
                      <c:pt idx="16">
                        <c:v>259.11169999999998</c:v>
                      </c:pt>
                      <c:pt idx="17">
                        <c:v>313.53340000000003</c:v>
                      </c:pt>
                      <c:pt idx="18">
                        <c:v>325.13940000000002</c:v>
                      </c:pt>
                      <c:pt idx="19">
                        <c:v>324.92560000000003</c:v>
                      </c:pt>
                      <c:pt idx="20">
                        <c:v>322.73600000000005</c:v>
                      </c:pt>
                      <c:pt idx="21">
                        <c:v>283.72640000000001</c:v>
                      </c:pt>
                      <c:pt idx="22">
                        <c:v>356.81900000000007</c:v>
                      </c:pt>
                      <c:pt idx="23">
                        <c:v>270.17659999999995</c:v>
                      </c:pt>
                      <c:pt idx="24">
                        <c:v>260.72610000000003</c:v>
                      </c:pt>
                      <c:pt idx="25">
                        <c:v>272.8956</c:v>
                      </c:pt>
                      <c:pt idx="26">
                        <c:v>275.67500000000001</c:v>
                      </c:pt>
                      <c:pt idx="27">
                        <c:v>281.37919999999997</c:v>
                      </c:pt>
                      <c:pt idx="28">
                        <c:v>296.9452</c:v>
                      </c:pt>
                      <c:pt idx="29">
                        <c:v>380.03840000000002</c:v>
                      </c:pt>
                      <c:pt idx="30">
                        <c:v>359.29900000000004</c:v>
                      </c:pt>
                      <c:pt idx="31">
                        <c:v>381.55499999999995</c:v>
                      </c:pt>
                      <c:pt idx="32">
                        <c:v>399.63599999999997</c:v>
                      </c:pt>
                      <c:pt idx="33">
                        <c:v>348.28449999999998</c:v>
                      </c:pt>
                      <c:pt idx="34">
                        <c:v>334.12690000000003</c:v>
                      </c:pt>
                      <c:pt idx="35">
                        <c:v>337.37549999999999</c:v>
                      </c:pt>
                      <c:pt idx="36">
                        <c:v>324.73250000000002</c:v>
                      </c:pt>
                      <c:pt idx="37">
                        <c:v>370.20260000000002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0E-4B0F-82F0-CDE1E2C68AF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LUZ'!$K$3</c15:sqref>
                        </c15:formulaRef>
                      </c:ext>
                    </c:extLst>
                    <c:strCache>
                      <c:ptCount val="1"/>
                      <c:pt idx="0">
                        <c:v>IGV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LUZ'!$K$4:$K$41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8"/>
                      <c:pt idx="0">
                        <c:v>29.497680000000006</c:v>
                      </c:pt>
                      <c:pt idx="1">
                        <c:v>30.684257999999996</c:v>
                      </c:pt>
                      <c:pt idx="2">
                        <c:v>38.249063999999997</c:v>
                      </c:pt>
                      <c:pt idx="3">
                        <c:v>38.385809999999999</c:v>
                      </c:pt>
                      <c:pt idx="4">
                        <c:v>41.319935999999998</c:v>
                      </c:pt>
                      <c:pt idx="5">
                        <c:v>41.319935999999998</c:v>
                      </c:pt>
                      <c:pt idx="6">
                        <c:v>55.867788000000004</c:v>
                      </c:pt>
                      <c:pt idx="7">
                        <c:v>55.124676000000008</c:v>
                      </c:pt>
                      <c:pt idx="8">
                        <c:v>45.381492000000001</c:v>
                      </c:pt>
                      <c:pt idx="9">
                        <c:v>46.267433999999994</c:v>
                      </c:pt>
                      <c:pt idx="10">
                        <c:v>40.484088</c:v>
                      </c:pt>
                      <c:pt idx="11">
                        <c:v>42.737580000000001</c:v>
                      </c:pt>
                      <c:pt idx="12">
                        <c:v>45.165960000000005</c:v>
                      </c:pt>
                      <c:pt idx="13">
                        <c:v>41.770332000000003</c:v>
                      </c:pt>
                      <c:pt idx="14">
                        <c:v>45.774539999999995</c:v>
                      </c:pt>
                      <c:pt idx="15">
                        <c:v>55.67886</c:v>
                      </c:pt>
                      <c:pt idx="16">
                        <c:v>46.640105999999996</c:v>
                      </c:pt>
                      <c:pt idx="17">
                        <c:v>56.436012000000005</c:v>
                      </c:pt>
                      <c:pt idx="18">
                        <c:v>58.525092000000001</c:v>
                      </c:pt>
                      <c:pt idx="19">
                        <c:v>58.486608000000004</c:v>
                      </c:pt>
                      <c:pt idx="20">
                        <c:v>58.092480000000009</c:v>
                      </c:pt>
                      <c:pt idx="21">
                        <c:v>51.070751999999999</c:v>
                      </c:pt>
                      <c:pt idx="22">
                        <c:v>64.227420000000009</c:v>
                      </c:pt>
                      <c:pt idx="23">
                        <c:v>48.631787999999986</c:v>
                      </c:pt>
                      <c:pt idx="24">
                        <c:v>46.930698000000007</c:v>
                      </c:pt>
                      <c:pt idx="25">
                        <c:v>49.121207999999996</c:v>
                      </c:pt>
                      <c:pt idx="26">
                        <c:v>49.621499999999997</c:v>
                      </c:pt>
                      <c:pt idx="27">
                        <c:v>50.648255999999989</c:v>
                      </c:pt>
                      <c:pt idx="28">
                        <c:v>53.450136000000001</c:v>
                      </c:pt>
                      <c:pt idx="29">
                        <c:v>68.406912000000005</c:v>
                      </c:pt>
                      <c:pt idx="30">
                        <c:v>64.673820000000006</c:v>
                      </c:pt>
                      <c:pt idx="31">
                        <c:v>68.679899999999989</c:v>
                      </c:pt>
                      <c:pt idx="32">
                        <c:v>71.934479999999994</c:v>
                      </c:pt>
                      <c:pt idx="33">
                        <c:v>62.691209999999991</c:v>
                      </c:pt>
                      <c:pt idx="34">
                        <c:v>60.142842000000002</c:v>
                      </c:pt>
                      <c:pt idx="35">
                        <c:v>60.727589999999992</c:v>
                      </c:pt>
                      <c:pt idx="36">
                        <c:v>58.45185</c:v>
                      </c:pt>
                      <c:pt idx="37">
                        <c:v>66.636468000000008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E0E-4B0F-82F0-CDE1E2C68AF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LUZ'!$M$3</c15:sqref>
                        </c15:formulaRef>
                      </c:ext>
                    </c:extLst>
                    <c:strCache>
                      <c:ptCount val="1"/>
                      <c:pt idx="0">
                        <c:v>APORTE DE LEY: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LUZ'!$M$4:$M$41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2.37</c:v>
                      </c:pt>
                      <c:pt idx="1">
                        <c:v>2.4700000000000002</c:v>
                      </c:pt>
                      <c:pt idx="2">
                        <c:v>3.12</c:v>
                      </c:pt>
                      <c:pt idx="3">
                        <c:v>3.2</c:v>
                      </c:pt>
                      <c:pt idx="4">
                        <c:v>3.45</c:v>
                      </c:pt>
                      <c:pt idx="5">
                        <c:v>3.45</c:v>
                      </c:pt>
                      <c:pt idx="6">
                        <c:v>4.3099999999999996</c:v>
                      </c:pt>
                      <c:pt idx="7">
                        <c:v>4.3099999999999996</c:v>
                      </c:pt>
                      <c:pt idx="8">
                        <c:v>3.65</c:v>
                      </c:pt>
                      <c:pt idx="9">
                        <c:v>3.77</c:v>
                      </c:pt>
                      <c:pt idx="10">
                        <c:v>3.26</c:v>
                      </c:pt>
                      <c:pt idx="11">
                        <c:v>3.41</c:v>
                      </c:pt>
                      <c:pt idx="12">
                        <c:v>3.63</c:v>
                      </c:pt>
                      <c:pt idx="13">
                        <c:v>3.38</c:v>
                      </c:pt>
                      <c:pt idx="14">
                        <c:v>3.74</c:v>
                      </c:pt>
                      <c:pt idx="15">
                        <c:v>4.28</c:v>
                      </c:pt>
                      <c:pt idx="16">
                        <c:v>5.28</c:v>
                      </c:pt>
                      <c:pt idx="17">
                        <c:v>4.42</c:v>
                      </c:pt>
                      <c:pt idx="18">
                        <c:v>4.63</c:v>
                      </c:pt>
                      <c:pt idx="19">
                        <c:v>4.68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13.66</c:v>
                      </c:pt>
                      <c:pt idx="23">
                        <c:v>3.84</c:v>
                      </c:pt>
                      <c:pt idx="24">
                        <c:v>3.67</c:v>
                      </c:pt>
                      <c:pt idx="25">
                        <c:v>3.79</c:v>
                      </c:pt>
                      <c:pt idx="26">
                        <c:v>3.87</c:v>
                      </c:pt>
                      <c:pt idx="27">
                        <c:v>3.9</c:v>
                      </c:pt>
                      <c:pt idx="28">
                        <c:v>4.0599999999999996</c:v>
                      </c:pt>
                      <c:pt idx="29">
                        <c:v>5.17</c:v>
                      </c:pt>
                      <c:pt idx="30">
                        <c:v>4.88</c:v>
                      </c:pt>
                      <c:pt idx="31">
                        <c:v>5.24</c:v>
                      </c:pt>
                      <c:pt idx="32">
                        <c:v>5.46</c:v>
                      </c:pt>
                      <c:pt idx="33">
                        <c:v>4.71</c:v>
                      </c:pt>
                      <c:pt idx="34">
                        <c:v>4.51</c:v>
                      </c:pt>
                      <c:pt idx="35">
                        <c:v>4.46</c:v>
                      </c:pt>
                      <c:pt idx="36">
                        <c:v>4.29</c:v>
                      </c:pt>
                      <c:pt idx="37">
                        <c:v>4.74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0E-4B0F-82F0-CDE1E2C68AF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LUZ'!$N$3</c15:sqref>
                        </c15:formulaRef>
                      </c:ext>
                    </c:extLst>
                    <c:strCache>
                      <c:ptCount val="1"/>
                      <c:pt idx="0">
                        <c:v>cuota de convenio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LUZ'!$N$4:$N$41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34.61</c:v>
                      </c:pt>
                      <c:pt idx="1">
                        <c:v>35.020000000000003</c:v>
                      </c:pt>
                      <c:pt idx="2">
                        <c:v>35.42</c:v>
                      </c:pt>
                      <c:pt idx="3">
                        <c:v>35.840000000000003</c:v>
                      </c:pt>
                      <c:pt idx="4">
                        <c:v>36.26</c:v>
                      </c:pt>
                      <c:pt idx="5">
                        <c:v>36.26</c:v>
                      </c:pt>
                      <c:pt idx="6">
                        <c:v>37.11</c:v>
                      </c:pt>
                      <c:pt idx="7">
                        <c:v>37.11</c:v>
                      </c:pt>
                      <c:pt idx="8">
                        <c:v>37.99</c:v>
                      </c:pt>
                      <c:pt idx="9">
                        <c:v>38.450000000000003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-8.59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0.03</c:v>
                      </c:pt>
                      <c:pt idx="35">
                        <c:v>0.12</c:v>
                      </c:pt>
                      <c:pt idx="36">
                        <c:v>0.15</c:v>
                      </c:pt>
                      <c:pt idx="37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E0E-4B0F-82F0-CDE1E2C68AF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LUZ'!$O$3</c15:sqref>
                        </c15:formulaRef>
                      </c:ext>
                    </c:extLst>
                    <c:strCache>
                      <c:ptCount val="1"/>
                      <c:pt idx="0">
                        <c:v>REDONDEO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LUZ'!$O$4:$O$41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-0.23</c:v>
                      </c:pt>
                      <c:pt idx="19">
                        <c:v>-0.33</c:v>
                      </c:pt>
                      <c:pt idx="20">
                        <c:v>-0.16</c:v>
                      </c:pt>
                      <c:pt idx="21">
                        <c:v>-0.46</c:v>
                      </c:pt>
                      <c:pt idx="22">
                        <c:v>-0.17</c:v>
                      </c:pt>
                      <c:pt idx="23">
                        <c:v>-0.31</c:v>
                      </c:pt>
                      <c:pt idx="24">
                        <c:v>-0.14000000000000001</c:v>
                      </c:pt>
                      <c:pt idx="25">
                        <c:v>-0.45</c:v>
                      </c:pt>
                      <c:pt idx="26">
                        <c:v>-0.03</c:v>
                      </c:pt>
                      <c:pt idx="27">
                        <c:v>-0.46</c:v>
                      </c:pt>
                      <c:pt idx="28">
                        <c:v>-0.42</c:v>
                      </c:pt>
                      <c:pt idx="29">
                        <c:v>-0.04</c:v>
                      </c:pt>
                      <c:pt idx="30">
                        <c:v>-0.39</c:v>
                      </c:pt>
                      <c:pt idx="31">
                        <c:v>-0.37</c:v>
                      </c:pt>
                      <c:pt idx="32">
                        <c:v>-0.43</c:v>
                      </c:pt>
                      <c:pt idx="33">
                        <c:v>-0.11</c:v>
                      </c:pt>
                      <c:pt idx="34">
                        <c:v>-0.43</c:v>
                      </c:pt>
                      <c:pt idx="35">
                        <c:v>-0.12</c:v>
                      </c:pt>
                      <c:pt idx="36">
                        <c:v>-0.39</c:v>
                      </c:pt>
                      <c:pt idx="37">
                        <c:v>-0.01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E0E-4B0F-82F0-CDE1E2C68AF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LUZ'!$P$3</c15:sqref>
                        </c15:formulaRef>
                      </c:ext>
                    </c:extLst>
                    <c:strCache>
                      <c:ptCount val="1"/>
                      <c:pt idx="0">
                        <c:v>REDONDEO 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LUZ'!$P$4:$P$41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0.23</c:v>
                      </c:pt>
                      <c:pt idx="20">
                        <c:v>0.33</c:v>
                      </c:pt>
                      <c:pt idx="21">
                        <c:v>0.16</c:v>
                      </c:pt>
                      <c:pt idx="22">
                        <c:v>0.46</c:v>
                      </c:pt>
                      <c:pt idx="23">
                        <c:v>0.17</c:v>
                      </c:pt>
                      <c:pt idx="24">
                        <c:v>0.31</c:v>
                      </c:pt>
                      <c:pt idx="25">
                        <c:v>0.14000000000000001</c:v>
                      </c:pt>
                      <c:pt idx="26">
                        <c:v>0.45</c:v>
                      </c:pt>
                      <c:pt idx="27">
                        <c:v>0.03</c:v>
                      </c:pt>
                      <c:pt idx="28">
                        <c:v>0.46</c:v>
                      </c:pt>
                      <c:pt idx="29">
                        <c:v>0.42</c:v>
                      </c:pt>
                      <c:pt idx="30">
                        <c:v>0.04</c:v>
                      </c:pt>
                      <c:pt idx="31">
                        <c:v>0.39</c:v>
                      </c:pt>
                      <c:pt idx="32">
                        <c:v>0.37</c:v>
                      </c:pt>
                      <c:pt idx="33">
                        <c:v>0.43</c:v>
                      </c:pt>
                      <c:pt idx="34">
                        <c:v>0.11</c:v>
                      </c:pt>
                      <c:pt idx="35">
                        <c:v>0.43</c:v>
                      </c:pt>
                      <c:pt idx="36">
                        <c:v>0.12</c:v>
                      </c:pt>
                      <c:pt idx="37">
                        <c:v>0.39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E0E-4B0F-82F0-CDE1E2C68AF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LUZ'!$Q$3</c15:sqref>
                        </c15:formulaRef>
                      </c:ext>
                    </c:extLst>
                    <c:strCache>
                      <c:ptCount val="1"/>
                      <c:pt idx="0">
                        <c:v> TOTAL A PAGAR :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LUZ'!$A$4:$A$41</c15:sqref>
                        </c15:formulaRef>
                      </c:ext>
                    </c:extLst>
                    <c:numCache>
                      <c:formatCode>mmm\-yy</c:formatCode>
                      <c:ptCount val="38"/>
                      <c:pt idx="0">
                        <c:v>43313</c:v>
                      </c:pt>
                      <c:pt idx="1">
                        <c:v>43344</c:v>
                      </c:pt>
                      <c:pt idx="2">
                        <c:v>43374</c:v>
                      </c:pt>
                      <c:pt idx="3">
                        <c:v>43405</c:v>
                      </c:pt>
                      <c:pt idx="4">
                        <c:v>43435</c:v>
                      </c:pt>
                      <c:pt idx="5">
                        <c:v>43466</c:v>
                      </c:pt>
                      <c:pt idx="6">
                        <c:v>43497</c:v>
                      </c:pt>
                      <c:pt idx="7">
                        <c:v>43525</c:v>
                      </c:pt>
                      <c:pt idx="8">
                        <c:v>43556</c:v>
                      </c:pt>
                      <c:pt idx="9">
                        <c:v>43586</c:v>
                      </c:pt>
                      <c:pt idx="10">
                        <c:v>43617</c:v>
                      </c:pt>
                      <c:pt idx="11">
                        <c:v>43647</c:v>
                      </c:pt>
                      <c:pt idx="12">
                        <c:v>43678</c:v>
                      </c:pt>
                      <c:pt idx="13">
                        <c:v>43709</c:v>
                      </c:pt>
                      <c:pt idx="14">
                        <c:v>43739</c:v>
                      </c:pt>
                      <c:pt idx="15">
                        <c:v>43770</c:v>
                      </c:pt>
                      <c:pt idx="16">
                        <c:v>43800</c:v>
                      </c:pt>
                      <c:pt idx="17">
                        <c:v>43831</c:v>
                      </c:pt>
                      <c:pt idx="18">
                        <c:v>43862</c:v>
                      </c:pt>
                      <c:pt idx="19">
                        <c:v>43891</c:v>
                      </c:pt>
                      <c:pt idx="20">
                        <c:v>43922</c:v>
                      </c:pt>
                      <c:pt idx="21">
                        <c:v>43952</c:v>
                      </c:pt>
                      <c:pt idx="22">
                        <c:v>43983</c:v>
                      </c:pt>
                      <c:pt idx="23">
                        <c:v>44013</c:v>
                      </c:pt>
                      <c:pt idx="24">
                        <c:v>44044</c:v>
                      </c:pt>
                      <c:pt idx="25">
                        <c:v>44075</c:v>
                      </c:pt>
                      <c:pt idx="26">
                        <c:v>44105</c:v>
                      </c:pt>
                      <c:pt idx="27">
                        <c:v>44136</c:v>
                      </c:pt>
                      <c:pt idx="28">
                        <c:v>44166</c:v>
                      </c:pt>
                      <c:pt idx="29">
                        <c:v>44197</c:v>
                      </c:pt>
                      <c:pt idx="30">
                        <c:v>44228</c:v>
                      </c:pt>
                      <c:pt idx="31">
                        <c:v>44256</c:v>
                      </c:pt>
                      <c:pt idx="32">
                        <c:v>44287</c:v>
                      </c:pt>
                      <c:pt idx="33">
                        <c:v>44317</c:v>
                      </c:pt>
                      <c:pt idx="34">
                        <c:v>44348</c:v>
                      </c:pt>
                      <c:pt idx="35">
                        <c:v>44378</c:v>
                      </c:pt>
                      <c:pt idx="36">
                        <c:v>44409</c:v>
                      </c:pt>
                      <c:pt idx="37">
                        <c:v>44440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'RECIBO DE LUZ'!$Q$4:$Q$41</c15:sqref>
                        </c15:formulaRef>
                      </c:ext>
                    </c:extLst>
                    <c:numCache>
                      <c:formatCode>_-"S/"* #,##0.0_-;\-"S/"* #,##0.0_-;_-"S/"* "-"??_-;_-@_-</c:formatCode>
                      <c:ptCount val="38"/>
                      <c:pt idx="0">
                        <c:v>230.35368000000005</c:v>
                      </c:pt>
                      <c:pt idx="1">
                        <c:v>238.642358</c:v>
                      </c:pt>
                      <c:pt idx="2">
                        <c:v>289.28386399999999</c:v>
                      </c:pt>
                      <c:pt idx="3">
                        <c:v>290.68030999999996</c:v>
                      </c:pt>
                      <c:pt idx="4">
                        <c:v>310.58513599999998</c:v>
                      </c:pt>
                      <c:pt idx="5">
                        <c:v>310.58513599999998</c:v>
                      </c:pt>
                      <c:pt idx="6">
                        <c:v>407.66438800000009</c:v>
                      </c:pt>
                      <c:pt idx="7">
                        <c:v>402.79287600000009</c:v>
                      </c:pt>
                      <c:pt idx="8">
                        <c:v>339.14089200000001</c:v>
                      </c:pt>
                      <c:pt idx="9">
                        <c:v>345.52873399999993</c:v>
                      </c:pt>
                      <c:pt idx="10">
                        <c:v>268.655688</c:v>
                      </c:pt>
                      <c:pt idx="11">
                        <c:v>283.57858000000004</c:v>
                      </c:pt>
                      <c:pt idx="12">
                        <c:v>299.71796000000001</c:v>
                      </c:pt>
                      <c:pt idx="13">
                        <c:v>277.20773200000002</c:v>
                      </c:pt>
                      <c:pt idx="14">
                        <c:v>303.81754000000001</c:v>
                      </c:pt>
                      <c:pt idx="15">
                        <c:v>369.28585999999996</c:v>
                      </c:pt>
                      <c:pt idx="16">
                        <c:v>311.03180599999996</c:v>
                      </c:pt>
                      <c:pt idx="17">
                        <c:v>374.38941200000005</c:v>
                      </c:pt>
                      <c:pt idx="18">
                        <c:v>388.06449199999997</c:v>
                      </c:pt>
                      <c:pt idx="19">
                        <c:v>388.00220800000005</c:v>
                      </c:pt>
                      <c:pt idx="20">
                        <c:v>380.99848000000003</c:v>
                      </c:pt>
                      <c:pt idx="21">
                        <c:v>334.49715200000003</c:v>
                      </c:pt>
                      <c:pt idx="22">
                        <c:v>434.99642000000006</c:v>
                      </c:pt>
                      <c:pt idx="23">
                        <c:v>322.25838799999991</c:v>
                      </c:pt>
                      <c:pt idx="24">
                        <c:v>311.49679800000007</c:v>
                      </c:pt>
                      <c:pt idx="25">
                        <c:v>325.49680799999999</c:v>
                      </c:pt>
                      <c:pt idx="26">
                        <c:v>320.99650000000008</c:v>
                      </c:pt>
                      <c:pt idx="27">
                        <c:v>335.49745599999994</c:v>
                      </c:pt>
                      <c:pt idx="28">
                        <c:v>354.49533599999995</c:v>
                      </c:pt>
                      <c:pt idx="29">
                        <c:v>453.99531200000007</c:v>
                      </c:pt>
                      <c:pt idx="30">
                        <c:v>428.54282000000012</c:v>
                      </c:pt>
                      <c:pt idx="31">
                        <c:v>455.49489999999992</c:v>
                      </c:pt>
                      <c:pt idx="32">
                        <c:v>476.97047999999995</c:v>
                      </c:pt>
                      <c:pt idx="33">
                        <c:v>416.00570999999997</c:v>
                      </c:pt>
                      <c:pt idx="34">
                        <c:v>398.48974200000004</c:v>
                      </c:pt>
                      <c:pt idx="35">
                        <c:v>402.99308999999994</c:v>
                      </c:pt>
                      <c:pt idx="36">
                        <c:v>404.49975000000001</c:v>
                      </c:pt>
                      <c:pt idx="37">
                        <c:v>441.99906800000002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E0E-4B0F-82F0-CDE1E2C68AF0}"/>
                  </c:ext>
                </c:extLst>
              </c15:ser>
            </c15:filteredLineSeries>
          </c:ext>
        </c:extLst>
      </c:lineChart>
      <c:dateAx>
        <c:axId val="39981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9821944"/>
        <c:crosses val="autoZero"/>
        <c:auto val="0"/>
        <c:lblOffset val="100"/>
        <c:baseTimeUnit val="months"/>
        <c:minorUnit val="1"/>
        <c:minorTimeUnit val="years"/>
      </c:dateAx>
      <c:valAx>
        <c:axId val="399821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9818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C00000"/>
                </a:solidFill>
                <a:latin typeface="+mj-lt"/>
                <a:ea typeface="+mj-ea"/>
                <a:cs typeface="+mj-cs"/>
              </a:defRPr>
            </a:pPr>
            <a:r>
              <a:rPr lang="es-PE" b="1">
                <a:solidFill>
                  <a:srgbClr val="C00000"/>
                </a:solidFill>
              </a:rPr>
              <a:t>A PAGAR POR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C00000"/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REPORTE!$I$7</c:f>
              <c:strCache>
                <c:ptCount val="1"/>
                <c:pt idx="0">
                  <c:v>Oct-22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REPORTE!$J$5:$L$5</c:f>
              <c:strCache>
                <c:ptCount val="3"/>
                <c:pt idx="0">
                  <c:v>NOEMI</c:v>
                </c:pt>
                <c:pt idx="1">
                  <c:v>WILMER</c:v>
                </c:pt>
                <c:pt idx="2">
                  <c:v>ANDY</c:v>
                </c:pt>
              </c:strCache>
            </c:strRef>
          </c:cat>
          <c:val>
            <c:numRef>
              <c:f>REPORTE!$J$7:$L$7</c:f>
              <c:numCache>
                <c:formatCode>_-"S/"* #,##0.00_-;\-"S/"* #,##0.00_-;_-"S/"* "-"??_-;_-@_-</c:formatCode>
                <c:ptCount val="3"/>
                <c:pt idx="0">
                  <c:v>208.75</c:v>
                </c:pt>
                <c:pt idx="1">
                  <c:v>268.02</c:v>
                </c:pt>
                <c:pt idx="2">
                  <c:v>69.22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7-49C4-ABD8-D9305513634A}"/>
            </c:ext>
          </c:extLst>
        </c:ser>
        <c:ser>
          <c:idx val="1"/>
          <c:order val="1"/>
          <c:tx>
            <c:strRef>
              <c:f>REPORTE!$I$6</c:f>
              <c:strCache>
                <c:ptCount val="1"/>
                <c:pt idx="0">
                  <c:v>Set-22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REPORTE!$J$5:$L$5</c:f>
              <c:strCache>
                <c:ptCount val="3"/>
                <c:pt idx="0">
                  <c:v>NOEMI</c:v>
                </c:pt>
                <c:pt idx="1">
                  <c:v>WILMER</c:v>
                </c:pt>
                <c:pt idx="2">
                  <c:v>ANDY</c:v>
                </c:pt>
              </c:strCache>
            </c:strRef>
          </c:cat>
          <c:val>
            <c:numRef>
              <c:f>REPORTE!$J$6:$L$6</c:f>
              <c:numCache>
                <c:formatCode>_-"S/"* #,##0.00_-;\-"S/"* #,##0.00_-;_-"S/"* "-"??_-;_-@_-</c:formatCode>
                <c:ptCount val="3"/>
                <c:pt idx="0">
                  <c:v>197.58</c:v>
                </c:pt>
                <c:pt idx="1">
                  <c:v>246.53</c:v>
                </c:pt>
                <c:pt idx="2">
                  <c:v>23.39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7-49C4-ABD8-D93055136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42090288"/>
        <c:axId val="642090616"/>
      </c:barChart>
      <c:catAx>
        <c:axId val="6420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2090616"/>
        <c:crosses val="autoZero"/>
        <c:auto val="1"/>
        <c:lblAlgn val="ctr"/>
        <c:lblOffset val="100"/>
        <c:noMultiLvlLbl val="0"/>
      </c:catAx>
      <c:valAx>
        <c:axId val="6420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S/&quot;* #,##0.00_-;\-&quot;S/&quot;* #,##0.00_-;_-&quot;S/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209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>
            <a:outerShdw dist="50800" dir="5760000" algn="ctr" rotWithShape="0">
              <a:srgbClr val="000000">
                <a:alpha val="0"/>
              </a:srgbClr>
            </a:outerShd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109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152400">
        <a:schemeClr val="accent1">
          <a:alpha val="40000"/>
        </a:schemeClr>
      </a:glo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C00000"/>
                </a:solidFill>
                <a:latin typeface="+mj-lt"/>
                <a:ea typeface="+mj-ea"/>
                <a:cs typeface="+mj-cs"/>
              </a:defRPr>
            </a:pPr>
            <a:r>
              <a:rPr lang="es-PE">
                <a:solidFill>
                  <a:srgbClr val="C00000"/>
                </a:solidFill>
              </a:rPr>
              <a:t>TOTAL</a:t>
            </a:r>
            <a:r>
              <a:rPr lang="es-PE" baseline="0">
                <a:solidFill>
                  <a:srgbClr val="C00000"/>
                </a:solidFill>
              </a:rPr>
              <a:t> A PAGAR</a:t>
            </a:r>
            <a:endParaRPr lang="es-PE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C00000"/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REPORTE!$I$7</c:f>
              <c:strCache>
                <c:ptCount val="1"/>
                <c:pt idx="0">
                  <c:v>Oct-22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REPORTE!$M$5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REPORTE!$M$7</c:f>
              <c:numCache>
                <c:formatCode>_-"S/"* #,##0.0_-;\-"S/"* #,##0.0_-;_-"S/"* "-"??_-;_-@_-</c:formatCode>
                <c:ptCount val="1"/>
                <c:pt idx="0">
                  <c:v>545.99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158-AB6B-B84FD9F067FD}"/>
            </c:ext>
          </c:extLst>
        </c:ser>
        <c:ser>
          <c:idx val="1"/>
          <c:order val="1"/>
          <c:tx>
            <c:strRef>
              <c:f>REPORTE!$I$6</c:f>
              <c:strCache>
                <c:ptCount val="1"/>
                <c:pt idx="0">
                  <c:v>Set-22</c:v>
                </c:pt>
              </c:strCache>
            </c:strRef>
          </c:tx>
          <c:spPr>
            <a:solidFill>
              <a:srgbClr val="FFCD2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REPORTE!$M$5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REPORTE!$M$6</c:f>
              <c:numCache>
                <c:formatCode>_-"S/"* #,##0.0_-;\-"S/"* #,##0.0_-;_-"S/"* "-"??_-;_-@_-</c:formatCode>
                <c:ptCount val="1"/>
                <c:pt idx="0">
                  <c:v>467.5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0-4158-AB6B-B84FD9F06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42090288"/>
        <c:axId val="642090616"/>
      </c:barChart>
      <c:catAx>
        <c:axId val="6420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2090616"/>
        <c:crossesAt val="200"/>
        <c:auto val="1"/>
        <c:lblAlgn val="ctr"/>
        <c:lblOffset val="100"/>
        <c:noMultiLvlLbl val="0"/>
      </c:catAx>
      <c:valAx>
        <c:axId val="64209061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_-&quot;S/&quot;* #,##0.0_-;\-&quot;S/&quot;* #,##0.0_-;_-&quot;S/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2090288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>
      <a:glow rad="114300">
        <a:schemeClr val="accent1">
          <a:alpha val="40000"/>
        </a:schemeClr>
      </a:glo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CONSUMO GENERAL DE ENERGIA EN EL HOGAR POR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HISTORICO!$H$23</c:f>
              <c:strCache>
                <c:ptCount val="1"/>
                <c:pt idx="0">
                  <c:v>NOEMI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HISTORICO!$G$24:$G$95</c15:sqref>
                  </c15:fullRef>
                </c:ext>
              </c:extLst>
              <c:f>(HISTORICO!$G$27,HISTORICO!$G$31,HISTORICO!$G$35,HISTORICO!$G$39,HISTORICO!$G$43,HISTORICO!$G$47,HISTORICO!$G$51,HISTORICO!$G$55,HISTORICO!$G$59,HISTORICO!$G$63,HISTORICO!$G$67,HISTORICO!$G$71,HISTORICO!$G$75,HISTORICO!$G$79,HISTORICO!$G$83,HISTORICO!$G$87,HISTORICO!$G$91,HISTORICO!$G$95)</c:f>
              <c:strCache>
                <c:ptCount val="18"/>
                <c:pt idx="0">
                  <c:v>AGOSTO</c:v>
                </c:pt>
                <c:pt idx="1">
                  <c:v>SETIEMBRE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  <c:pt idx="6">
                  <c:v>FEBRERO</c:v>
                </c:pt>
                <c:pt idx="7">
                  <c:v>MARZO</c:v>
                </c:pt>
                <c:pt idx="8">
                  <c:v>ABRIL</c:v>
                </c:pt>
                <c:pt idx="9">
                  <c:v>MAYO</c:v>
                </c:pt>
                <c:pt idx="10">
                  <c:v>JUNIO</c:v>
                </c:pt>
                <c:pt idx="11">
                  <c:v>JULIO</c:v>
                </c:pt>
                <c:pt idx="12">
                  <c:v>AGOSTO</c:v>
                </c:pt>
                <c:pt idx="13">
                  <c:v>SETIEMBRE</c:v>
                </c:pt>
                <c:pt idx="14">
                  <c:v>OCTUBRE</c:v>
                </c:pt>
                <c:pt idx="15">
                  <c:v>NOVIEMBRE</c:v>
                </c:pt>
                <c:pt idx="16">
                  <c:v>DICIEMBRE</c:v>
                </c:pt>
                <c:pt idx="17">
                  <c:v>ENERO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HISTORICO!$H$24:$H$95</c15:sqref>
                  </c15:fullRef>
                </c:ext>
              </c:extLst>
              <c:f>(HISTORICO!$H$27,HISTORICO!$H$31,HISTORICO!$H$35,HISTORICO!$H$39,HISTORICO!$H$43,HISTORICO!$H$47,HISTORICO!$H$51,HISTORICO!$H$55,HISTORICO!$H$59,HISTORICO!$H$63,HISTORICO!$H$67,HISTORICO!$H$71,HISTORICO!$H$75,HISTORICO!$H$79,HISTORICO!$H$83,HISTORICO!$H$87,HISTORICO!$H$91,HISTORICO!$H$95)</c:f>
              <c:numCache>
                <c:formatCode>0.00</c:formatCode>
                <c:ptCount val="18"/>
                <c:pt idx="0">
                  <c:v>102.54861333333335</c:v>
                </c:pt>
                <c:pt idx="1">
                  <c:v>122.12777022222222</c:v>
                </c:pt>
                <c:pt idx="2">
                  <c:v>134.94003955555553</c:v>
                </c:pt>
                <c:pt idx="3">
                  <c:v>132.00069333333334</c:v>
                </c:pt>
                <c:pt idx="4">
                  <c:v>135.22006044444441</c:v>
                </c:pt>
                <c:pt idx="5">
                  <c:v>135.22006044444441</c:v>
                </c:pt>
                <c:pt idx="6">
                  <c:v>173.08510577777778</c:v>
                </c:pt>
                <c:pt idx="7">
                  <c:v>159.46548933333335</c:v>
                </c:pt>
                <c:pt idx="8">
                  <c:v>147.94009644444444</c:v>
                </c:pt>
                <c:pt idx="9">
                  <c:v>143.84312622222222</c:v>
                </c:pt>
                <c:pt idx="10">
                  <c:v>112.94488355555556</c:v>
                </c:pt>
                <c:pt idx="11">
                  <c:v>102.669736</c:v>
                </c:pt>
                <c:pt idx="12">
                  <c:v>114.79998222222223</c:v>
                </c:pt>
                <c:pt idx="13">
                  <c:v>109.58723644444444</c:v>
                </c:pt>
                <c:pt idx="14">
                  <c:v>116.0892622222222</c:v>
                </c:pt>
                <c:pt idx="15">
                  <c:v>134.76724888888887</c:v>
                </c:pt>
                <c:pt idx="16">
                  <c:v>129.35592488888886</c:v>
                </c:pt>
                <c:pt idx="17">
                  <c:v>146.79097200000001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598-A8F2-0098C67F9AB4}"/>
            </c:ext>
          </c:extLst>
        </c:ser>
        <c:ser>
          <c:idx val="1"/>
          <c:order val="1"/>
          <c:tx>
            <c:strRef>
              <c:f>HISTORICO!$I$23</c:f>
              <c:strCache>
                <c:ptCount val="1"/>
                <c:pt idx="0">
                  <c:v>WILMER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HISTORICO!$G$24:$G$95</c15:sqref>
                  </c15:fullRef>
                </c:ext>
              </c:extLst>
              <c:f>(HISTORICO!$G$27,HISTORICO!$G$31,HISTORICO!$G$35,HISTORICO!$G$39,HISTORICO!$G$43,HISTORICO!$G$47,HISTORICO!$G$51,HISTORICO!$G$55,HISTORICO!$G$59,HISTORICO!$G$63,HISTORICO!$G$67,HISTORICO!$G$71,HISTORICO!$G$75,HISTORICO!$G$79,HISTORICO!$G$83,HISTORICO!$G$87,HISTORICO!$G$91,HISTORICO!$G$95)</c:f>
              <c:strCache>
                <c:ptCount val="18"/>
                <c:pt idx="0">
                  <c:v>AGOSTO</c:v>
                </c:pt>
                <c:pt idx="1">
                  <c:v>SETIEMBRE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  <c:pt idx="6">
                  <c:v>FEBRERO</c:v>
                </c:pt>
                <c:pt idx="7">
                  <c:v>MARZO</c:v>
                </c:pt>
                <c:pt idx="8">
                  <c:v>ABRIL</c:v>
                </c:pt>
                <c:pt idx="9">
                  <c:v>MAYO</c:v>
                </c:pt>
                <c:pt idx="10">
                  <c:v>JUNIO</c:v>
                </c:pt>
                <c:pt idx="11">
                  <c:v>JULIO</c:v>
                </c:pt>
                <c:pt idx="12">
                  <c:v>AGOSTO</c:v>
                </c:pt>
                <c:pt idx="13">
                  <c:v>SETIEMBRE</c:v>
                </c:pt>
                <c:pt idx="14">
                  <c:v>OCTUBRE</c:v>
                </c:pt>
                <c:pt idx="15">
                  <c:v>NOVIEMBRE</c:v>
                </c:pt>
                <c:pt idx="16">
                  <c:v>DICIEMBRE</c:v>
                </c:pt>
                <c:pt idx="17">
                  <c:v>ENERO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HISTORICO!$I$24:$I$95</c15:sqref>
                  </c15:fullRef>
                </c:ext>
              </c:extLst>
              <c:f>(HISTORICO!$I$27,HISTORICO!$I$31,HISTORICO!$I$35,HISTORICO!$I$39,HISTORICO!$I$43,HISTORICO!$I$47,HISTORICO!$I$51,HISTORICO!$I$55,HISTORICO!$I$59,HISTORICO!$I$63,HISTORICO!$I$67,HISTORICO!$I$71,HISTORICO!$I$75,HISTORICO!$I$79,HISTORICO!$I$83,HISTORICO!$I$87,HISTORICO!$I$91,HISTORICO!$I$95)</c:f>
              <c:numCache>
                <c:formatCode>0.00</c:formatCode>
                <c:ptCount val="18"/>
                <c:pt idx="0">
                  <c:v>95.949813333333339</c:v>
                </c:pt>
                <c:pt idx="1">
                  <c:v>88.138670222222217</c:v>
                </c:pt>
                <c:pt idx="2">
                  <c:v>117.69183955555553</c:v>
                </c:pt>
                <c:pt idx="3">
                  <c:v>130.98929333333336</c:v>
                </c:pt>
                <c:pt idx="4">
                  <c:v>149.92886044444441</c:v>
                </c:pt>
                <c:pt idx="5">
                  <c:v>149.92886044444441</c:v>
                </c:pt>
                <c:pt idx="6">
                  <c:v>215.34110577777778</c:v>
                </c:pt>
                <c:pt idx="7">
                  <c:v>184.60578933333335</c:v>
                </c:pt>
                <c:pt idx="8">
                  <c:v>163.42899644444444</c:v>
                </c:pt>
                <c:pt idx="9">
                  <c:v>162.52262622222221</c:v>
                </c:pt>
                <c:pt idx="10">
                  <c:v>145.47008355555556</c:v>
                </c:pt>
                <c:pt idx="11">
                  <c:v>139.481236</c:v>
                </c:pt>
                <c:pt idx="12">
                  <c:v>151.43898222222222</c:v>
                </c:pt>
                <c:pt idx="13">
                  <c:v>138.39073644444446</c:v>
                </c:pt>
                <c:pt idx="14">
                  <c:v>161.08826222222223</c:v>
                </c:pt>
                <c:pt idx="15">
                  <c:v>194.57424888888889</c:v>
                </c:pt>
                <c:pt idx="16">
                  <c:v>152.19132488888886</c:v>
                </c:pt>
                <c:pt idx="17">
                  <c:v>205.41957200000002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4-4598-A8F2-0098C67F9AB4}"/>
            </c:ext>
          </c:extLst>
        </c:ser>
        <c:ser>
          <c:idx val="2"/>
          <c:order val="2"/>
          <c:tx>
            <c:strRef>
              <c:f>HISTORICO!$J$23</c:f>
              <c:strCache>
                <c:ptCount val="1"/>
                <c:pt idx="0">
                  <c:v>ANDY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HISTORICO!$G$24:$G$95</c15:sqref>
                  </c15:fullRef>
                </c:ext>
              </c:extLst>
              <c:f>(HISTORICO!$G$27,HISTORICO!$G$31,HISTORICO!$G$35,HISTORICO!$G$39,HISTORICO!$G$43,HISTORICO!$G$47,HISTORICO!$G$51,HISTORICO!$G$55,HISTORICO!$G$59,HISTORICO!$G$63,HISTORICO!$G$67,HISTORICO!$G$71,HISTORICO!$G$75,HISTORICO!$G$79,HISTORICO!$G$83,HISTORICO!$G$87,HISTORICO!$G$91,HISTORICO!$G$95)</c:f>
              <c:strCache>
                <c:ptCount val="18"/>
                <c:pt idx="0">
                  <c:v>AGOSTO</c:v>
                </c:pt>
                <c:pt idx="1">
                  <c:v>SETIEMBRE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  <c:pt idx="6">
                  <c:v>FEBRERO</c:v>
                </c:pt>
                <c:pt idx="7">
                  <c:v>MARZO</c:v>
                </c:pt>
                <c:pt idx="8">
                  <c:v>ABRIL</c:v>
                </c:pt>
                <c:pt idx="9">
                  <c:v>MAYO</c:v>
                </c:pt>
                <c:pt idx="10">
                  <c:v>JUNIO</c:v>
                </c:pt>
                <c:pt idx="11">
                  <c:v>JULIO</c:v>
                </c:pt>
                <c:pt idx="12">
                  <c:v>AGOSTO</c:v>
                </c:pt>
                <c:pt idx="13">
                  <c:v>SETIEMBRE</c:v>
                </c:pt>
                <c:pt idx="14">
                  <c:v>OCTUBRE</c:v>
                </c:pt>
                <c:pt idx="15">
                  <c:v>NOVIEMBRE</c:v>
                </c:pt>
                <c:pt idx="16">
                  <c:v>DICIEMBRE</c:v>
                </c:pt>
                <c:pt idx="17">
                  <c:v>ENERO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HISTORICO!$J$24:$J$95</c15:sqref>
                  </c15:fullRef>
                </c:ext>
              </c:extLst>
              <c:f>(HISTORICO!$J$27,HISTORICO!$J$31,HISTORICO!$J$35,HISTORICO!$J$39,HISTORICO!$J$43,HISTORICO!$J$47,HISTORICO!$J$51,HISTORICO!$J$55,HISTORICO!$J$59,HISTORICO!$J$63,HISTORICO!$J$67,HISTORICO!$J$71,HISTORICO!$J$75,HISTORICO!$J$79,HISTORICO!$J$83,HISTORICO!$J$87,HISTORICO!$J$91,HISTORICO!$J$95)</c:f>
              <c:numCache>
                <c:formatCode>0.00</c:formatCode>
                <c:ptCount val="18"/>
                <c:pt idx="0">
                  <c:v>31.855253333333337</c:v>
                </c:pt>
                <c:pt idx="1">
                  <c:v>28.375917555555557</c:v>
                </c:pt>
                <c:pt idx="2">
                  <c:v>36.651984888888883</c:v>
                </c:pt>
                <c:pt idx="3">
                  <c:v>27.690323333333339</c:v>
                </c:pt>
                <c:pt idx="4">
                  <c:v>25.43621511111111</c:v>
                </c:pt>
                <c:pt idx="5">
                  <c:v>25.43621511111111</c:v>
                </c:pt>
                <c:pt idx="6">
                  <c:v>19.238176444444445</c:v>
                </c:pt>
                <c:pt idx="7">
                  <c:v>58.721597333333342</c:v>
                </c:pt>
                <c:pt idx="8">
                  <c:v>27.771799111111111</c:v>
                </c:pt>
                <c:pt idx="9">
                  <c:v>39.162981555555554</c:v>
                </c:pt>
                <c:pt idx="10">
                  <c:v>10.240720888888889</c:v>
                </c:pt>
                <c:pt idx="11">
                  <c:v>41.405684000000001</c:v>
                </c:pt>
                <c:pt idx="12">
                  <c:v>33.478995555555557</c:v>
                </c:pt>
                <c:pt idx="13">
                  <c:v>29.229759111111111</c:v>
                </c:pt>
                <c:pt idx="14">
                  <c:v>26.640015555555554</c:v>
                </c:pt>
                <c:pt idx="15">
                  <c:v>39.944362222222217</c:v>
                </c:pt>
                <c:pt idx="16">
                  <c:v>29.484556222222221</c:v>
                </c:pt>
                <c:pt idx="17">
                  <c:v>22.178868000000005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4-4598-A8F2-0098C67F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680584"/>
        <c:axId val="810682224"/>
      </c:barChart>
      <c:catAx>
        <c:axId val="81068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0682224"/>
        <c:crosses val="autoZero"/>
        <c:auto val="1"/>
        <c:lblAlgn val="ctr"/>
        <c:lblOffset val="100"/>
        <c:noMultiLvlLbl val="0"/>
      </c:catAx>
      <c:valAx>
        <c:axId val="8106822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068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CONSUMO GENERAL DE ENERGIA EN EL HOGAR POR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HISTORICO!$H$23</c:f>
              <c:strCache>
                <c:ptCount val="1"/>
                <c:pt idx="0">
                  <c:v>NOEMI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HISTORICO!$G$24:$G$99</c15:sqref>
                  </c15:fullRef>
                </c:ext>
              </c:extLst>
              <c:f>(HISTORICO!$G$27,HISTORICO!$G$31,HISTORICO!$G$35,HISTORICO!$G$39,HISTORICO!$G$43,HISTORICO!$G$47,HISTORICO!$G$51,HISTORICO!$G$55,HISTORICO!$G$59,HISTORICO!$G$63,HISTORICO!$G$67,HISTORICO!$G$71,HISTORICO!$G$75,HISTORICO!$G$79,HISTORICO!$G$83,HISTORICO!$G$87,HISTORICO!$G$91,HISTORICO!$G$95,HISTORICO!$G$99)</c:f>
              <c:strCache>
                <c:ptCount val="19"/>
                <c:pt idx="0">
                  <c:v>AGOSTO</c:v>
                </c:pt>
                <c:pt idx="1">
                  <c:v>SETIEMBRE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  <c:pt idx="6">
                  <c:v>FEBRERO</c:v>
                </c:pt>
                <c:pt idx="7">
                  <c:v>MARZO</c:v>
                </c:pt>
                <c:pt idx="8">
                  <c:v>ABRIL</c:v>
                </c:pt>
                <c:pt idx="9">
                  <c:v>MAYO</c:v>
                </c:pt>
                <c:pt idx="10">
                  <c:v>JUNIO</c:v>
                </c:pt>
                <c:pt idx="11">
                  <c:v>JULIO</c:v>
                </c:pt>
                <c:pt idx="12">
                  <c:v>AGOSTO</c:v>
                </c:pt>
                <c:pt idx="13">
                  <c:v>SETIEMBRE</c:v>
                </c:pt>
                <c:pt idx="14">
                  <c:v>OCTUBRE</c:v>
                </c:pt>
                <c:pt idx="15">
                  <c:v>NOVIEMBRE</c:v>
                </c:pt>
                <c:pt idx="16">
                  <c:v>DICIEMBRE</c:v>
                </c:pt>
                <c:pt idx="17">
                  <c:v>ENERO</c:v>
                </c:pt>
                <c:pt idx="18">
                  <c:v>FEBRERO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HISTORICO!$H$24:$H$99</c15:sqref>
                  </c15:fullRef>
                </c:ext>
              </c:extLst>
              <c:f>(HISTORICO!$H$27,HISTORICO!$H$31,HISTORICO!$H$35,HISTORICO!$H$39,HISTORICO!$H$43,HISTORICO!$H$47,HISTORICO!$H$51,HISTORICO!$H$55,HISTORICO!$H$59,HISTORICO!$H$63,HISTORICO!$H$67,HISTORICO!$H$71,HISTORICO!$H$75,HISTORICO!$H$79,HISTORICO!$H$83,HISTORICO!$H$87,HISTORICO!$H$91,HISTORICO!$H$95,HISTORICO!$H$99)</c:f>
              <c:numCache>
                <c:formatCode>0.00</c:formatCode>
                <c:ptCount val="19"/>
                <c:pt idx="0">
                  <c:v>102.54861333333335</c:v>
                </c:pt>
                <c:pt idx="1">
                  <c:v>122.12777022222222</c:v>
                </c:pt>
                <c:pt idx="2">
                  <c:v>134.94003955555553</c:v>
                </c:pt>
                <c:pt idx="3">
                  <c:v>132.00069333333334</c:v>
                </c:pt>
                <c:pt idx="4">
                  <c:v>135.22006044444441</c:v>
                </c:pt>
                <c:pt idx="5">
                  <c:v>135.22006044444441</c:v>
                </c:pt>
                <c:pt idx="6">
                  <c:v>173.08510577777778</c:v>
                </c:pt>
                <c:pt idx="7">
                  <c:v>159.46548933333335</c:v>
                </c:pt>
                <c:pt idx="8">
                  <c:v>147.94009644444444</c:v>
                </c:pt>
                <c:pt idx="9">
                  <c:v>143.84312622222222</c:v>
                </c:pt>
                <c:pt idx="10">
                  <c:v>112.94488355555556</c:v>
                </c:pt>
                <c:pt idx="11">
                  <c:v>102.669736</c:v>
                </c:pt>
                <c:pt idx="12">
                  <c:v>114.79998222222223</c:v>
                </c:pt>
                <c:pt idx="13">
                  <c:v>109.58723644444444</c:v>
                </c:pt>
                <c:pt idx="14">
                  <c:v>116.0892622222222</c:v>
                </c:pt>
                <c:pt idx="15">
                  <c:v>134.76724888888887</c:v>
                </c:pt>
                <c:pt idx="16">
                  <c:v>129.35592488888886</c:v>
                </c:pt>
                <c:pt idx="17">
                  <c:v>146.79097200000001</c:v>
                </c:pt>
                <c:pt idx="18">
                  <c:v>146.05167422222223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3-4CB8-A063-E119C7C487A4}"/>
            </c:ext>
          </c:extLst>
        </c:ser>
        <c:ser>
          <c:idx val="1"/>
          <c:order val="1"/>
          <c:tx>
            <c:strRef>
              <c:f>HISTORICO!$I$23</c:f>
              <c:strCache>
                <c:ptCount val="1"/>
                <c:pt idx="0">
                  <c:v>WILMER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HISTORICO!$G$24:$G$99</c15:sqref>
                  </c15:fullRef>
                </c:ext>
              </c:extLst>
              <c:f>(HISTORICO!$G$27,HISTORICO!$G$31,HISTORICO!$G$35,HISTORICO!$G$39,HISTORICO!$G$43,HISTORICO!$G$47,HISTORICO!$G$51,HISTORICO!$G$55,HISTORICO!$G$59,HISTORICO!$G$63,HISTORICO!$G$67,HISTORICO!$G$71,HISTORICO!$G$75,HISTORICO!$G$79,HISTORICO!$G$83,HISTORICO!$G$87,HISTORICO!$G$91,HISTORICO!$G$95,HISTORICO!$G$99)</c:f>
              <c:strCache>
                <c:ptCount val="19"/>
                <c:pt idx="0">
                  <c:v>AGOSTO</c:v>
                </c:pt>
                <c:pt idx="1">
                  <c:v>SETIEMBRE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  <c:pt idx="6">
                  <c:v>FEBRERO</c:v>
                </c:pt>
                <c:pt idx="7">
                  <c:v>MARZO</c:v>
                </c:pt>
                <c:pt idx="8">
                  <c:v>ABRIL</c:v>
                </c:pt>
                <c:pt idx="9">
                  <c:v>MAYO</c:v>
                </c:pt>
                <c:pt idx="10">
                  <c:v>JUNIO</c:v>
                </c:pt>
                <c:pt idx="11">
                  <c:v>JULIO</c:v>
                </c:pt>
                <c:pt idx="12">
                  <c:v>AGOSTO</c:v>
                </c:pt>
                <c:pt idx="13">
                  <c:v>SETIEMBRE</c:v>
                </c:pt>
                <c:pt idx="14">
                  <c:v>OCTUBRE</c:v>
                </c:pt>
                <c:pt idx="15">
                  <c:v>NOVIEMBRE</c:v>
                </c:pt>
                <c:pt idx="16">
                  <c:v>DICIEMBRE</c:v>
                </c:pt>
                <c:pt idx="17">
                  <c:v>ENERO</c:v>
                </c:pt>
                <c:pt idx="18">
                  <c:v>FEBRERO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HISTORICO!$I$24:$I$99</c15:sqref>
                  </c15:fullRef>
                </c:ext>
              </c:extLst>
              <c:f>(HISTORICO!$I$27,HISTORICO!$I$31,HISTORICO!$I$35,HISTORICO!$I$39,HISTORICO!$I$43,HISTORICO!$I$47,HISTORICO!$I$51,HISTORICO!$I$55,HISTORICO!$I$59,HISTORICO!$I$63,HISTORICO!$I$67,HISTORICO!$I$71,HISTORICO!$I$75,HISTORICO!$I$79,HISTORICO!$I$83,HISTORICO!$I$87,HISTORICO!$I$91,HISTORICO!$I$95,HISTORICO!$I$99)</c:f>
              <c:numCache>
                <c:formatCode>0.00</c:formatCode>
                <c:ptCount val="19"/>
                <c:pt idx="0">
                  <c:v>95.949813333333339</c:v>
                </c:pt>
                <c:pt idx="1">
                  <c:v>88.138670222222217</c:v>
                </c:pt>
                <c:pt idx="2">
                  <c:v>117.69183955555553</c:v>
                </c:pt>
                <c:pt idx="3">
                  <c:v>130.98929333333336</c:v>
                </c:pt>
                <c:pt idx="4">
                  <c:v>149.92886044444441</c:v>
                </c:pt>
                <c:pt idx="5">
                  <c:v>149.92886044444441</c:v>
                </c:pt>
                <c:pt idx="6">
                  <c:v>215.34110577777778</c:v>
                </c:pt>
                <c:pt idx="7">
                  <c:v>184.60578933333335</c:v>
                </c:pt>
                <c:pt idx="8">
                  <c:v>163.42899644444444</c:v>
                </c:pt>
                <c:pt idx="9">
                  <c:v>162.52262622222221</c:v>
                </c:pt>
                <c:pt idx="10">
                  <c:v>145.47008355555556</c:v>
                </c:pt>
                <c:pt idx="11">
                  <c:v>139.481236</c:v>
                </c:pt>
                <c:pt idx="12">
                  <c:v>151.43898222222222</c:v>
                </c:pt>
                <c:pt idx="13">
                  <c:v>138.39073644444446</c:v>
                </c:pt>
                <c:pt idx="14">
                  <c:v>161.08826222222223</c:v>
                </c:pt>
                <c:pt idx="15">
                  <c:v>194.57424888888889</c:v>
                </c:pt>
                <c:pt idx="16">
                  <c:v>152.19132488888886</c:v>
                </c:pt>
                <c:pt idx="17">
                  <c:v>205.41957200000002</c:v>
                </c:pt>
                <c:pt idx="18">
                  <c:v>187.95047422222223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3-4CB8-A063-E119C7C487A4}"/>
            </c:ext>
          </c:extLst>
        </c:ser>
        <c:ser>
          <c:idx val="2"/>
          <c:order val="2"/>
          <c:tx>
            <c:strRef>
              <c:f>HISTORICO!$J$23</c:f>
              <c:strCache>
                <c:ptCount val="1"/>
                <c:pt idx="0">
                  <c:v>ANDY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HISTORICO!$G$24:$G$99</c15:sqref>
                  </c15:fullRef>
                </c:ext>
              </c:extLst>
              <c:f>(HISTORICO!$G$27,HISTORICO!$G$31,HISTORICO!$G$35,HISTORICO!$G$39,HISTORICO!$G$43,HISTORICO!$G$47,HISTORICO!$G$51,HISTORICO!$G$55,HISTORICO!$G$59,HISTORICO!$G$63,HISTORICO!$G$67,HISTORICO!$G$71,HISTORICO!$G$75,HISTORICO!$G$79,HISTORICO!$G$83,HISTORICO!$G$87,HISTORICO!$G$91,HISTORICO!$G$95,HISTORICO!$G$99)</c:f>
              <c:strCache>
                <c:ptCount val="19"/>
                <c:pt idx="0">
                  <c:v>AGOSTO</c:v>
                </c:pt>
                <c:pt idx="1">
                  <c:v>SETIEMBRE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  <c:pt idx="6">
                  <c:v>FEBRERO</c:v>
                </c:pt>
                <c:pt idx="7">
                  <c:v>MARZO</c:v>
                </c:pt>
                <c:pt idx="8">
                  <c:v>ABRIL</c:v>
                </c:pt>
                <c:pt idx="9">
                  <c:v>MAYO</c:v>
                </c:pt>
                <c:pt idx="10">
                  <c:v>JUNIO</c:v>
                </c:pt>
                <c:pt idx="11">
                  <c:v>JULIO</c:v>
                </c:pt>
                <c:pt idx="12">
                  <c:v>AGOSTO</c:v>
                </c:pt>
                <c:pt idx="13">
                  <c:v>SETIEMBRE</c:v>
                </c:pt>
                <c:pt idx="14">
                  <c:v>OCTUBRE</c:v>
                </c:pt>
                <c:pt idx="15">
                  <c:v>NOVIEMBRE</c:v>
                </c:pt>
                <c:pt idx="16">
                  <c:v>DICIEMBRE</c:v>
                </c:pt>
                <c:pt idx="17">
                  <c:v>ENERO</c:v>
                </c:pt>
                <c:pt idx="18">
                  <c:v>FEBRERO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HISTORICO!$J$24:$J$99</c15:sqref>
                  </c15:fullRef>
                </c:ext>
              </c:extLst>
              <c:f>(HISTORICO!$J$27,HISTORICO!$J$31,HISTORICO!$J$35,HISTORICO!$J$39,HISTORICO!$J$43,HISTORICO!$J$47,HISTORICO!$J$51,HISTORICO!$J$55,HISTORICO!$J$59,HISTORICO!$J$63,HISTORICO!$J$67,HISTORICO!$J$71,HISTORICO!$J$75,HISTORICO!$J$79,HISTORICO!$J$83,HISTORICO!$J$87,HISTORICO!$J$91,HISTORICO!$J$95,HISTORICO!$J$99)</c:f>
              <c:numCache>
                <c:formatCode>0.00</c:formatCode>
                <c:ptCount val="19"/>
                <c:pt idx="0">
                  <c:v>31.855253333333337</c:v>
                </c:pt>
                <c:pt idx="1">
                  <c:v>28.375917555555557</c:v>
                </c:pt>
                <c:pt idx="2">
                  <c:v>36.651984888888883</c:v>
                </c:pt>
                <c:pt idx="3">
                  <c:v>27.690323333333339</c:v>
                </c:pt>
                <c:pt idx="4">
                  <c:v>25.43621511111111</c:v>
                </c:pt>
                <c:pt idx="5">
                  <c:v>25.43621511111111</c:v>
                </c:pt>
                <c:pt idx="6">
                  <c:v>19.238176444444445</c:v>
                </c:pt>
                <c:pt idx="7">
                  <c:v>58.721597333333342</c:v>
                </c:pt>
                <c:pt idx="8">
                  <c:v>27.771799111111111</c:v>
                </c:pt>
                <c:pt idx="9">
                  <c:v>39.162981555555554</c:v>
                </c:pt>
                <c:pt idx="10">
                  <c:v>10.240720888888889</c:v>
                </c:pt>
                <c:pt idx="11">
                  <c:v>41.405684000000001</c:v>
                </c:pt>
                <c:pt idx="12">
                  <c:v>33.478995555555557</c:v>
                </c:pt>
                <c:pt idx="13">
                  <c:v>29.229759111111111</c:v>
                </c:pt>
                <c:pt idx="14">
                  <c:v>26.640015555555554</c:v>
                </c:pt>
                <c:pt idx="15">
                  <c:v>39.944362222222217</c:v>
                </c:pt>
                <c:pt idx="16">
                  <c:v>29.484556222222221</c:v>
                </c:pt>
                <c:pt idx="17">
                  <c:v>22.178868000000005</c:v>
                </c:pt>
                <c:pt idx="18">
                  <c:v>54.292343555555561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3-4CB8-A063-E119C7C4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80584"/>
        <c:axId val="810682224"/>
      </c:lineChart>
      <c:catAx>
        <c:axId val="81068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0682224"/>
        <c:crosses val="autoZero"/>
        <c:auto val="1"/>
        <c:lblAlgn val="ctr"/>
        <c:lblOffset val="100"/>
        <c:noMultiLvlLbl val="0"/>
      </c:catAx>
      <c:valAx>
        <c:axId val="8106822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068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CONSUMO INDIVIDUAL DE ENERGIA EN EL HOGAR POR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7115464857541399E-2"/>
          <c:y val="0.27126067892475703"/>
          <c:w val="0.90743387014005739"/>
          <c:h val="0.54995822894670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HISTORICO!$H$23</c:f>
              <c:strCache>
                <c:ptCount val="1"/>
                <c:pt idx="0">
                  <c:v>NOEMI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HISTORICO!$G$24:$G$99</c15:sqref>
                  </c15:fullRef>
                </c:ext>
              </c:extLst>
              <c:f>(HISTORICO!$G$27,HISTORICO!$G$31,HISTORICO!$G$35,HISTORICO!$G$39,HISTORICO!$G$43,HISTORICO!$G$47,HISTORICO!$G$51,HISTORICO!$G$55,HISTORICO!$G$59,HISTORICO!$G$63,HISTORICO!$G$67,HISTORICO!$G$71,HISTORICO!$G$75,HISTORICO!$G$79,HISTORICO!$G$83,HISTORICO!$G$87,HISTORICO!$G$91,HISTORICO!$G$95,HISTORICO!$G$99)</c:f>
              <c:strCache>
                <c:ptCount val="19"/>
                <c:pt idx="0">
                  <c:v>AGOSTO</c:v>
                </c:pt>
                <c:pt idx="1">
                  <c:v>SETIEMBRE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  <c:pt idx="6">
                  <c:v>FEBRERO</c:v>
                </c:pt>
                <c:pt idx="7">
                  <c:v>MARZO</c:v>
                </c:pt>
                <c:pt idx="8">
                  <c:v>ABRIL</c:v>
                </c:pt>
                <c:pt idx="9">
                  <c:v>MAYO</c:v>
                </c:pt>
                <c:pt idx="10">
                  <c:v>JUNIO</c:v>
                </c:pt>
                <c:pt idx="11">
                  <c:v>JULIO</c:v>
                </c:pt>
                <c:pt idx="12">
                  <c:v>AGOSTO</c:v>
                </c:pt>
                <c:pt idx="13">
                  <c:v>SETIEMBRE</c:v>
                </c:pt>
                <c:pt idx="14">
                  <c:v>OCTUBRE</c:v>
                </c:pt>
                <c:pt idx="15">
                  <c:v>NOVIEMBRE</c:v>
                </c:pt>
                <c:pt idx="16">
                  <c:v>DICIEMBRE</c:v>
                </c:pt>
                <c:pt idx="17">
                  <c:v>ENERO</c:v>
                </c:pt>
                <c:pt idx="18">
                  <c:v>FEBRERO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HISTORICO!$H$24:$H$99</c15:sqref>
                  </c15:fullRef>
                </c:ext>
              </c:extLst>
              <c:f>(HISTORICO!$H$27,HISTORICO!$H$31,HISTORICO!$H$35,HISTORICO!$H$39,HISTORICO!$H$43,HISTORICO!$H$47,HISTORICO!$H$51,HISTORICO!$H$55,HISTORICO!$H$59,HISTORICO!$H$63,HISTORICO!$H$67,HISTORICO!$H$71,HISTORICO!$H$75,HISTORICO!$H$79,HISTORICO!$H$83,HISTORICO!$H$87,HISTORICO!$H$91,HISTORICO!$H$95,HISTORICO!$H$99)</c:f>
              <c:numCache>
                <c:formatCode>0.00</c:formatCode>
                <c:ptCount val="19"/>
                <c:pt idx="0">
                  <c:v>102.54861333333335</c:v>
                </c:pt>
                <c:pt idx="1">
                  <c:v>122.12777022222222</c:v>
                </c:pt>
                <c:pt idx="2">
                  <c:v>134.94003955555553</c:v>
                </c:pt>
                <c:pt idx="3">
                  <c:v>132.00069333333334</c:v>
                </c:pt>
                <c:pt idx="4">
                  <c:v>135.22006044444441</c:v>
                </c:pt>
                <c:pt idx="5">
                  <c:v>135.22006044444441</c:v>
                </c:pt>
                <c:pt idx="6">
                  <c:v>173.08510577777778</c:v>
                </c:pt>
                <c:pt idx="7">
                  <c:v>159.46548933333335</c:v>
                </c:pt>
                <c:pt idx="8">
                  <c:v>147.94009644444444</c:v>
                </c:pt>
                <c:pt idx="9">
                  <c:v>143.84312622222222</c:v>
                </c:pt>
                <c:pt idx="10">
                  <c:v>112.94488355555556</c:v>
                </c:pt>
                <c:pt idx="11">
                  <c:v>102.669736</c:v>
                </c:pt>
                <c:pt idx="12">
                  <c:v>114.79998222222223</c:v>
                </c:pt>
                <c:pt idx="13">
                  <c:v>109.58723644444444</c:v>
                </c:pt>
                <c:pt idx="14">
                  <c:v>116.0892622222222</c:v>
                </c:pt>
                <c:pt idx="15">
                  <c:v>134.76724888888887</c:v>
                </c:pt>
                <c:pt idx="16">
                  <c:v>129.35592488888886</c:v>
                </c:pt>
                <c:pt idx="17">
                  <c:v>146.79097200000001</c:v>
                </c:pt>
                <c:pt idx="18">
                  <c:v>146.05167422222223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6-4B34-BE03-C8860AC73B95}"/>
            </c:ext>
          </c:extLst>
        </c:ser>
        <c:ser>
          <c:idx val="1"/>
          <c:order val="1"/>
          <c:tx>
            <c:strRef>
              <c:f>HISTORICO!$I$23</c:f>
              <c:strCache>
                <c:ptCount val="1"/>
                <c:pt idx="0">
                  <c:v>WILMER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HISTORICO!$G$24:$G$99</c15:sqref>
                  </c15:fullRef>
                </c:ext>
              </c:extLst>
              <c:f>(HISTORICO!$G$27,HISTORICO!$G$31,HISTORICO!$G$35,HISTORICO!$G$39,HISTORICO!$G$43,HISTORICO!$G$47,HISTORICO!$G$51,HISTORICO!$G$55,HISTORICO!$G$59,HISTORICO!$G$63,HISTORICO!$G$67,HISTORICO!$G$71,HISTORICO!$G$75,HISTORICO!$G$79,HISTORICO!$G$83,HISTORICO!$G$87,HISTORICO!$G$91,HISTORICO!$G$95,HISTORICO!$G$99)</c:f>
              <c:strCache>
                <c:ptCount val="19"/>
                <c:pt idx="0">
                  <c:v>AGOSTO</c:v>
                </c:pt>
                <c:pt idx="1">
                  <c:v>SETIEMBRE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  <c:pt idx="6">
                  <c:v>FEBRERO</c:v>
                </c:pt>
                <c:pt idx="7">
                  <c:v>MARZO</c:v>
                </c:pt>
                <c:pt idx="8">
                  <c:v>ABRIL</c:v>
                </c:pt>
                <c:pt idx="9">
                  <c:v>MAYO</c:v>
                </c:pt>
                <c:pt idx="10">
                  <c:v>JUNIO</c:v>
                </c:pt>
                <c:pt idx="11">
                  <c:v>JULIO</c:v>
                </c:pt>
                <c:pt idx="12">
                  <c:v>AGOSTO</c:v>
                </c:pt>
                <c:pt idx="13">
                  <c:v>SETIEMBRE</c:v>
                </c:pt>
                <c:pt idx="14">
                  <c:v>OCTUBRE</c:v>
                </c:pt>
                <c:pt idx="15">
                  <c:v>NOVIEMBRE</c:v>
                </c:pt>
                <c:pt idx="16">
                  <c:v>DICIEMBRE</c:v>
                </c:pt>
                <c:pt idx="17">
                  <c:v>ENERO</c:v>
                </c:pt>
                <c:pt idx="18">
                  <c:v>FEBRERO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HISTORICO!$I$24:$I$99</c15:sqref>
                  </c15:fullRef>
                </c:ext>
              </c:extLst>
              <c:f>(HISTORICO!$I$27,HISTORICO!$I$31,HISTORICO!$I$35,HISTORICO!$I$39,HISTORICO!$I$43,HISTORICO!$I$47,HISTORICO!$I$51,HISTORICO!$I$55,HISTORICO!$I$59,HISTORICO!$I$63,HISTORICO!$I$67,HISTORICO!$I$71,HISTORICO!$I$75,HISTORICO!$I$79,HISTORICO!$I$83,HISTORICO!$I$87,HISTORICO!$I$91,HISTORICO!$I$95,HISTORICO!$I$99)</c:f>
              <c:numCache>
                <c:formatCode>0.00</c:formatCode>
                <c:ptCount val="19"/>
                <c:pt idx="0">
                  <c:v>95.949813333333339</c:v>
                </c:pt>
                <c:pt idx="1">
                  <c:v>88.138670222222217</c:v>
                </c:pt>
                <c:pt idx="2">
                  <c:v>117.69183955555553</c:v>
                </c:pt>
                <c:pt idx="3">
                  <c:v>130.98929333333336</c:v>
                </c:pt>
                <c:pt idx="4">
                  <c:v>149.92886044444441</c:v>
                </c:pt>
                <c:pt idx="5">
                  <c:v>149.92886044444441</c:v>
                </c:pt>
                <c:pt idx="6">
                  <c:v>215.34110577777778</c:v>
                </c:pt>
                <c:pt idx="7">
                  <c:v>184.60578933333335</c:v>
                </c:pt>
                <c:pt idx="8">
                  <c:v>163.42899644444444</c:v>
                </c:pt>
                <c:pt idx="9">
                  <c:v>162.52262622222221</c:v>
                </c:pt>
                <c:pt idx="10">
                  <c:v>145.47008355555556</c:v>
                </c:pt>
                <c:pt idx="11">
                  <c:v>139.481236</c:v>
                </c:pt>
                <c:pt idx="12">
                  <c:v>151.43898222222222</c:v>
                </c:pt>
                <c:pt idx="13">
                  <c:v>138.39073644444446</c:v>
                </c:pt>
                <c:pt idx="14">
                  <c:v>161.08826222222223</c:v>
                </c:pt>
                <c:pt idx="15">
                  <c:v>194.57424888888889</c:v>
                </c:pt>
                <c:pt idx="16">
                  <c:v>152.19132488888886</c:v>
                </c:pt>
                <c:pt idx="17">
                  <c:v>205.41957200000002</c:v>
                </c:pt>
                <c:pt idx="18">
                  <c:v>187.95047422222223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6-4B34-BE03-C8860AC73B95}"/>
            </c:ext>
          </c:extLst>
        </c:ser>
        <c:ser>
          <c:idx val="2"/>
          <c:order val="2"/>
          <c:tx>
            <c:strRef>
              <c:f>HISTORICO!$J$23</c:f>
              <c:strCache>
                <c:ptCount val="1"/>
                <c:pt idx="0">
                  <c:v>ANDY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HISTORICO!$G$24:$G$99</c15:sqref>
                  </c15:fullRef>
                </c:ext>
              </c:extLst>
              <c:f>(HISTORICO!$G$27,HISTORICO!$G$31,HISTORICO!$G$35,HISTORICO!$G$39,HISTORICO!$G$43,HISTORICO!$G$47,HISTORICO!$G$51,HISTORICO!$G$55,HISTORICO!$G$59,HISTORICO!$G$63,HISTORICO!$G$67,HISTORICO!$G$71,HISTORICO!$G$75,HISTORICO!$G$79,HISTORICO!$G$83,HISTORICO!$G$87,HISTORICO!$G$91,HISTORICO!$G$95,HISTORICO!$G$99)</c:f>
              <c:strCache>
                <c:ptCount val="19"/>
                <c:pt idx="0">
                  <c:v>AGOSTO</c:v>
                </c:pt>
                <c:pt idx="1">
                  <c:v>SETIEMBRE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  <c:pt idx="5">
                  <c:v>ENERO</c:v>
                </c:pt>
                <c:pt idx="6">
                  <c:v>FEBRERO</c:v>
                </c:pt>
                <c:pt idx="7">
                  <c:v>MARZO</c:v>
                </c:pt>
                <c:pt idx="8">
                  <c:v>ABRIL</c:v>
                </c:pt>
                <c:pt idx="9">
                  <c:v>MAYO</c:v>
                </c:pt>
                <c:pt idx="10">
                  <c:v>JUNIO</c:v>
                </c:pt>
                <c:pt idx="11">
                  <c:v>JULIO</c:v>
                </c:pt>
                <c:pt idx="12">
                  <c:v>AGOSTO</c:v>
                </c:pt>
                <c:pt idx="13">
                  <c:v>SETIEMBRE</c:v>
                </c:pt>
                <c:pt idx="14">
                  <c:v>OCTUBRE</c:v>
                </c:pt>
                <c:pt idx="15">
                  <c:v>NOVIEMBRE</c:v>
                </c:pt>
                <c:pt idx="16">
                  <c:v>DICIEMBRE</c:v>
                </c:pt>
                <c:pt idx="17">
                  <c:v>ENERO</c:v>
                </c:pt>
                <c:pt idx="18">
                  <c:v>FEBRERO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HISTORICO!$J$24:$J$99</c15:sqref>
                  </c15:fullRef>
                </c:ext>
              </c:extLst>
              <c:f>(HISTORICO!$J$27,HISTORICO!$J$31,HISTORICO!$J$35,HISTORICO!$J$39,HISTORICO!$J$43,HISTORICO!$J$47,HISTORICO!$J$51,HISTORICO!$J$55,HISTORICO!$J$59,HISTORICO!$J$63,HISTORICO!$J$67,HISTORICO!$J$71,HISTORICO!$J$75,HISTORICO!$J$79,HISTORICO!$J$83,HISTORICO!$J$87,HISTORICO!$J$91,HISTORICO!$J$95,HISTORICO!$J$99)</c:f>
              <c:numCache>
                <c:formatCode>0.00</c:formatCode>
                <c:ptCount val="19"/>
                <c:pt idx="0">
                  <c:v>31.855253333333337</c:v>
                </c:pt>
                <c:pt idx="1">
                  <c:v>28.375917555555557</c:v>
                </c:pt>
                <c:pt idx="2">
                  <c:v>36.651984888888883</c:v>
                </c:pt>
                <c:pt idx="3">
                  <c:v>27.690323333333339</c:v>
                </c:pt>
                <c:pt idx="4">
                  <c:v>25.43621511111111</c:v>
                </c:pt>
                <c:pt idx="5">
                  <c:v>25.43621511111111</c:v>
                </c:pt>
                <c:pt idx="6">
                  <c:v>19.238176444444445</c:v>
                </c:pt>
                <c:pt idx="7">
                  <c:v>58.721597333333342</c:v>
                </c:pt>
                <c:pt idx="8">
                  <c:v>27.771799111111111</c:v>
                </c:pt>
                <c:pt idx="9">
                  <c:v>39.162981555555554</c:v>
                </c:pt>
                <c:pt idx="10">
                  <c:v>10.240720888888889</c:v>
                </c:pt>
                <c:pt idx="11">
                  <c:v>41.405684000000001</c:v>
                </c:pt>
                <c:pt idx="12">
                  <c:v>33.478995555555557</c:v>
                </c:pt>
                <c:pt idx="13">
                  <c:v>29.229759111111111</c:v>
                </c:pt>
                <c:pt idx="14">
                  <c:v>26.640015555555554</c:v>
                </c:pt>
                <c:pt idx="15">
                  <c:v>39.944362222222217</c:v>
                </c:pt>
                <c:pt idx="16">
                  <c:v>29.484556222222221</c:v>
                </c:pt>
                <c:pt idx="17">
                  <c:v>22.178868000000005</c:v>
                </c:pt>
                <c:pt idx="18">
                  <c:v>54.292343555555561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6-4B34-BE03-C8860AC7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680584"/>
        <c:axId val="810682224"/>
      </c:barChart>
      <c:catAx>
        <c:axId val="81068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0682224"/>
        <c:crosses val="autoZero"/>
        <c:auto val="1"/>
        <c:lblAlgn val="ctr"/>
        <c:lblOffset val="100"/>
        <c:noMultiLvlLbl val="0"/>
      </c:catAx>
      <c:valAx>
        <c:axId val="8106822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068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5C67A-EB75-43B7-AAD0-BCFE890DC5EC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27EDD4-B441-5C62-DDA2-C1C2C9EE2F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22412</xdr:colOff>
      <xdr:row>7</xdr:row>
      <xdr:rowOff>127006</xdr:rowOff>
    </xdr:from>
    <xdr:to>
      <xdr:col>34</xdr:col>
      <xdr:colOff>761999</xdr:colOff>
      <xdr:row>27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CA396-7807-4601-B123-C75670BC9E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83879</xdr:colOff>
      <xdr:row>1</xdr:row>
      <xdr:rowOff>21485</xdr:rowOff>
    </xdr:from>
    <xdr:to>
      <xdr:col>13</xdr:col>
      <xdr:colOff>28334</xdr:colOff>
      <xdr:row>20</xdr:row>
      <xdr:rowOff>37539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0D30CE-6074-4E6F-A9A1-8BE829BD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101413</xdr:colOff>
      <xdr:row>1</xdr:row>
      <xdr:rowOff>15762</xdr:rowOff>
    </xdr:from>
    <xdr:to>
      <xdr:col>16</xdr:col>
      <xdr:colOff>904315</xdr:colOff>
      <xdr:row>20</xdr:row>
      <xdr:rowOff>31816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E7E5AD7-6961-4D73-9815-3211D4B41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123267</xdr:colOff>
      <xdr:row>22</xdr:row>
      <xdr:rowOff>90763</xdr:rowOff>
    </xdr:from>
    <xdr:to>
      <xdr:col>25</xdr:col>
      <xdr:colOff>224118</xdr:colOff>
      <xdr:row>41</xdr:row>
      <xdr:rowOff>33614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F4C86B-0ADD-4AC9-BCCD-FA78E245F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100853</xdr:colOff>
      <xdr:row>41</xdr:row>
      <xdr:rowOff>134470</xdr:rowOff>
    </xdr:from>
    <xdr:to>
      <xdr:col>25</xdr:col>
      <xdr:colOff>201704</xdr:colOff>
      <xdr:row>59</xdr:row>
      <xdr:rowOff>189380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1B2F72-0E78-42B8-B120-CA5614FB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15</xdr:col>
      <xdr:colOff>433828</xdr:colOff>
      <xdr:row>60</xdr:row>
      <xdr:rowOff>27214</xdr:rowOff>
    </xdr:from>
    <xdr:to>
      <xdr:col>24</xdr:col>
      <xdr:colOff>534679</xdr:colOff>
      <xdr:row>78</xdr:row>
      <xdr:rowOff>37301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D1C8CB-B7A7-4013-BBDB-F6E18A401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oel" id="{A1A95227-8DA1-46E1-BEBE-A8B3E14E2EBD}" userId="Yoel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el Carocancha Armas" refreshedDate="44593.424237500003" createdVersion="7" refreshedVersion="7" minRefreshableVersion="3" recordCount="164" xr:uid="{32CD53D6-3BF7-4DA7-ACD4-F754F83CB65C}">
  <cacheSource type="worksheet">
    <worksheetSource ref="A4:I168" sheet="REGISTRO"/>
  </cacheSource>
  <cacheFields count="11">
    <cacheField name="MES" numFmtId="0">
      <sharedItems containsNonDate="0" containsDate="1" containsString="0" containsBlank="1" minDate="2018-08-01T00:00:00" maxDate="2021-12-02T00:00:00" count="42">
        <d v="2018-08-01T00:00:00"/>
        <m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10" base="0">
        <rangePr groupBy="months" startDate="2018-08-01T00:00:00" endDate="2021-12-02T00:00:00"/>
        <groupItems count="14">
          <s v="(en blanco)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/12/2021"/>
        </groupItems>
      </fieldGroup>
    </cacheField>
    <cacheField name="KWh" numFmtId="0">
      <sharedItems containsString="0" containsBlank="1" containsNumber="1" minValue="0.50570000000000004" maxValue="0.64690000000000003"/>
    </cacheField>
    <cacheField name="MES2" numFmtId="17">
      <sharedItems containsSemiMixedTypes="0" containsNonDate="0" containsDate="1" containsString="0" minDate="2018-08-01T00:00:00" maxDate="2021-12-02T00:00:00" count="41"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</cacheField>
    <cacheField name="ITEM" numFmtId="0">
      <sharedItems containsBlank="1" count="5">
        <s v="TOTAL"/>
        <s v="NOEMI"/>
        <s v="WILMER"/>
        <s v="ANDY"/>
        <m u="1"/>
      </sharedItems>
    </cacheField>
    <cacheField name="LECTURA " numFmtId="0">
      <sharedItems containsString="0" containsBlank="1" containsNumber="1" containsInteger="1" minValue="137" maxValue="20759"/>
    </cacheField>
    <cacheField name="VAR. LECTURA" numFmtId="0">
      <sharedItems containsSemiMixedTypes="0" containsString="0" containsNumber="1" containsInteger="1" minValue="19" maxValue="620"/>
    </cacheField>
    <cacheField name="CONSUMO ENERGIA(S/.)" numFmtId="164">
      <sharedItems containsSemiMixedTypes="0" containsString="0" containsNumber="1" minValue="10.130800000000001" maxValue="368.77599999999995"/>
    </cacheField>
    <cacheField name="C.E.ADICIONAL" numFmtId="164">
      <sharedItems containsSemiMixedTypes="0" containsString="0" containsNumber="1" minValue="20.591362666666665" maxValue="136.697788"/>
    </cacheField>
    <cacheField name="X PAGAR" numFmtId="169">
      <sharedItems containsSemiMixedTypes="0" containsString="0" containsNumber="1" minValue="10.24" maxValue="476.97047999999995"/>
    </cacheField>
    <cacheField name="Trimestres" numFmtId="0" databaseField="0">
      <fieldGroup base="0">
        <rangePr groupBy="quarters" startDate="2018-08-01T00:00:00" endDate="2021-12-02T00:00:00"/>
        <groupItems count="6">
          <s v="&lt;1/08/2018"/>
          <s v="Trim.1"/>
          <s v="Trim.2"/>
          <s v="Trim.3"/>
          <s v="Trim.4"/>
          <s v="&gt;2/12/2021"/>
        </groupItems>
      </fieldGroup>
    </cacheField>
    <cacheField name="Años" numFmtId="0" databaseField="0">
      <fieldGroup base="0">
        <rangePr groupBy="years" startDate="2018-08-01T00:00:00" endDate="2021-12-02T00:00:00"/>
        <groupItems count="6">
          <s v="&lt;1/08/2018"/>
          <s v="2018"/>
          <s v="2019"/>
          <s v="2020"/>
          <s v="2021"/>
          <s v="&gt;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  <n v="0.50760000000000005"/>
    <x v="0"/>
    <x v="0"/>
    <n v="1562"/>
    <n v="285"/>
    <n v="144.666"/>
    <n v="85.68768"/>
    <n v="230.35"/>
  </r>
  <r>
    <x v="1"/>
    <m/>
    <x v="0"/>
    <x v="1"/>
    <n v="384"/>
    <n v="83"/>
    <n v="42.130800000000008"/>
    <n v="28.562560000000001"/>
    <n v="102.55"/>
  </r>
  <r>
    <x v="1"/>
    <m/>
    <x v="0"/>
    <x v="2"/>
    <n v="137"/>
    <n v="70"/>
    <n v="35.532000000000004"/>
    <n v="28.562560000000001"/>
    <n v="95.95"/>
  </r>
  <r>
    <x v="1"/>
    <m/>
    <x v="0"/>
    <x v="3"/>
    <m/>
    <n v="132"/>
    <n v="67.003200000000007"/>
    <n v="28.562560000000001"/>
    <n v="31.86"/>
  </r>
  <r>
    <x v="2"/>
    <n v="0.50729999999999997"/>
    <x v="1"/>
    <x v="0"/>
    <n v="1859"/>
    <n v="297"/>
    <n v="150.66809999999998"/>
    <n v="87.974257999999992"/>
    <n v="238.64235799999997"/>
  </r>
  <r>
    <x v="1"/>
    <m/>
    <x v="1"/>
    <x v="1"/>
    <n v="511"/>
    <n v="127"/>
    <n v="64.427099999999996"/>
    <n v="29.324752666666665"/>
    <n v="122.13"/>
  </r>
  <r>
    <x v="1"/>
    <m/>
    <x v="1"/>
    <x v="2"/>
    <n v="197"/>
    <n v="60"/>
    <n v="30.437999999999999"/>
    <n v="29.324752666666665"/>
    <n v="88.14"/>
  </r>
  <r>
    <x v="1"/>
    <m/>
    <x v="1"/>
    <x v="3"/>
    <m/>
    <n v="110"/>
    <n v="55.802999999999997"/>
    <n v="29.324752666666665"/>
    <n v="28.38"/>
  </r>
  <r>
    <x v="3"/>
    <n v="0.50729999999999997"/>
    <x v="2"/>
    <x v="0"/>
    <n v="2235"/>
    <n v="376"/>
    <n v="190.7448"/>
    <n v="98.539063999999996"/>
    <n v="289.28386399999999"/>
  </r>
  <r>
    <x v="1"/>
    <m/>
    <x v="2"/>
    <x v="1"/>
    <n v="640"/>
    <n v="129"/>
    <n v="65.441699999999997"/>
    <n v="32.846354666666663"/>
    <n v="134.94"/>
  </r>
  <r>
    <x v="1"/>
    <m/>
    <x v="2"/>
    <x v="2"/>
    <n v="292"/>
    <n v="95"/>
    <n v="48.1935"/>
    <n v="32.846354666666663"/>
    <n v="117.69"/>
  </r>
  <r>
    <x v="1"/>
    <m/>
    <x v="2"/>
    <x v="3"/>
    <m/>
    <n v="152"/>
    <n v="77.1096"/>
    <n v="32.846354666666663"/>
    <n v="36.65"/>
  </r>
  <r>
    <x v="4"/>
    <n v="0.50570000000000004"/>
    <x v="3"/>
    <x v="0"/>
    <n v="2620"/>
    <n v="385"/>
    <n v="194.69450000000003"/>
    <n v="95.985810000000015"/>
    <n v="290.68031000000008"/>
  </r>
  <r>
    <x v="1"/>
    <m/>
    <x v="3"/>
    <x v="1"/>
    <n v="783"/>
    <n v="143"/>
    <n v="72.315100000000001"/>
    <n v="31.995270000000005"/>
    <n v="132"/>
  </r>
  <r>
    <x v="1"/>
    <m/>
    <x v="3"/>
    <x v="2"/>
    <n v="433"/>
    <n v="141"/>
    <n v="71.303700000000006"/>
    <n v="31.995270000000005"/>
    <n v="130.99"/>
  </r>
  <r>
    <x v="1"/>
    <m/>
    <x v="3"/>
    <x v="3"/>
    <m/>
    <n v="101"/>
    <n v="51.075700000000005"/>
    <n v="31.995270000000005"/>
    <n v="27.69"/>
  </r>
  <r>
    <x v="5"/>
    <n v="0.50719999999999998"/>
    <x v="4"/>
    <x v="0"/>
    <n v="3036"/>
    <n v="416"/>
    <n v="210.99519999999998"/>
    <n v="99.589935999999994"/>
    <n v="310.58513599999998"/>
  </r>
  <r>
    <x v="1"/>
    <m/>
    <x v="4"/>
    <x v="1"/>
    <n v="934"/>
    <n v="151"/>
    <n v="76.587199999999996"/>
    <n v="33.196645333333329"/>
    <n v="135.22"/>
  </r>
  <r>
    <x v="1"/>
    <m/>
    <x v="4"/>
    <x v="2"/>
    <n v="613"/>
    <n v="180"/>
    <n v="91.295999999999992"/>
    <n v="33.196645333333329"/>
    <n v="149.93"/>
  </r>
  <r>
    <x v="1"/>
    <m/>
    <x v="4"/>
    <x v="3"/>
    <m/>
    <n v="85"/>
    <n v="43.112000000000002"/>
    <n v="33.196645333333329"/>
    <n v="25.44"/>
  </r>
  <r>
    <x v="6"/>
    <n v="0.5282"/>
    <x v="5"/>
    <x v="0"/>
    <n v="3586"/>
    <n v="550"/>
    <n v="290.51"/>
    <n v="99.589935999999994"/>
    <n v="390.09993599999996"/>
  </r>
  <r>
    <x v="1"/>
    <m/>
    <x v="5"/>
    <x v="1"/>
    <n v="1106"/>
    <n v="172"/>
    <n v="90.850400000000008"/>
    <n v="33.196645333333329"/>
    <n v="160.82"/>
  </r>
  <r>
    <x v="1"/>
    <m/>
    <x v="5"/>
    <x v="2"/>
    <n v="845"/>
    <n v="232"/>
    <n v="122.5424"/>
    <n v="33.196645333333329"/>
    <n v="192.51"/>
  </r>
  <r>
    <x v="1"/>
    <m/>
    <x v="5"/>
    <x v="3"/>
    <m/>
    <n v="146"/>
    <n v="77.117199999999997"/>
    <n v="33.196645333333329"/>
    <n v="36.770000000000003"/>
  </r>
  <r>
    <x v="7"/>
    <n v="0.5282"/>
    <x v="6"/>
    <x v="0"/>
    <n v="4099"/>
    <n v="513"/>
    <n v="270.96659999999997"/>
    <n v="136.697788"/>
    <n v="407.66438799999997"/>
  </r>
  <r>
    <x v="1"/>
    <m/>
    <x v="6"/>
    <x v="1"/>
    <n v="1311"/>
    <n v="205"/>
    <n v="108.28100000000001"/>
    <n v="45.565929333333337"/>
    <n v="173.09"/>
  </r>
  <r>
    <x v="1"/>
    <m/>
    <x v="6"/>
    <x v="2"/>
    <n v="1130"/>
    <n v="285"/>
    <n v="150.53700000000001"/>
    <n v="45.565929333333337"/>
    <n v="215.34"/>
  </r>
  <r>
    <x v="1"/>
    <m/>
    <x v="6"/>
    <x v="3"/>
    <m/>
    <n v="23"/>
    <n v="12.1486"/>
    <n v="45.565929333333337"/>
    <n v="19.239999999999998"/>
  </r>
  <r>
    <x v="8"/>
    <n v="0.53490000000000004"/>
    <x v="7"/>
    <x v="0"/>
    <n v="4617"/>
    <n v="518"/>
    <n v="277.07820000000004"/>
    <n v="125.71467600000001"/>
    <n v="402.79287600000004"/>
  </r>
  <r>
    <x v="1"/>
    <m/>
    <x v="7"/>
    <x v="1"/>
    <n v="1421"/>
    <n v="110"/>
    <n v="58.839000000000006"/>
    <n v="41.904892000000004"/>
    <n v="159.47"/>
  </r>
  <r>
    <x v="1"/>
    <m/>
    <x v="7"/>
    <x v="2"/>
    <n v="1287"/>
    <n v="157"/>
    <n v="83.979300000000009"/>
    <n v="41.904892000000004"/>
    <n v="184.61"/>
  </r>
  <r>
    <x v="1"/>
    <m/>
    <x v="7"/>
    <x v="3"/>
    <m/>
    <n v="251"/>
    <n v="134.25990000000002"/>
    <n v="41.904892000000004"/>
    <n v="58.72"/>
  </r>
  <r>
    <x v="9"/>
    <n v="0.53410000000000002"/>
    <x v="8"/>
    <x v="0"/>
    <n v="5051"/>
    <n v="434"/>
    <n v="231.79939999999999"/>
    <n v="107.34149200000002"/>
    <n v="339.14089200000001"/>
  </r>
  <r>
    <x v="1"/>
    <m/>
    <x v="8"/>
    <x v="1"/>
    <n v="1579"/>
    <n v="158"/>
    <n v="84.387799999999999"/>
    <n v="35.780497333333336"/>
    <n v="147.94"/>
  </r>
  <r>
    <x v="1"/>
    <m/>
    <x v="8"/>
    <x v="2"/>
    <n v="1474"/>
    <n v="187"/>
    <n v="99.8767"/>
    <n v="35.780497333333336"/>
    <n v="163.43"/>
  </r>
  <r>
    <x v="1"/>
    <m/>
    <x v="8"/>
    <x v="3"/>
    <m/>
    <n v="89"/>
    <n v="47.5349"/>
    <n v="35.780497333333336"/>
    <n v="27.77"/>
  </r>
  <r>
    <x v="10"/>
    <n v="0.53369999999999995"/>
    <x v="9"/>
    <x v="0"/>
    <n v="5500"/>
    <n v="449"/>
    <n v="239.63129999999998"/>
    <n v="105.89743399999999"/>
    <n v="345.52873399999999"/>
  </r>
  <r>
    <x v="1"/>
    <m/>
    <x v="9"/>
    <x v="1"/>
    <n v="1709"/>
    <n v="130"/>
    <n v="69.381"/>
    <n v="35.299144666666663"/>
    <n v="143.84"/>
  </r>
  <r>
    <x v="1"/>
    <m/>
    <x v="9"/>
    <x v="2"/>
    <n v="1639"/>
    <n v="165"/>
    <n v="88.06049999999999"/>
    <n v="35.299144666666663"/>
    <n v="162.52000000000001"/>
  </r>
  <r>
    <x v="1"/>
    <m/>
    <x v="9"/>
    <x v="3"/>
    <m/>
    <n v="154"/>
    <n v="82.189799999999991"/>
    <n v="35.299144666666663"/>
    <n v="39.159999999999997"/>
  </r>
  <r>
    <x v="11"/>
    <n v="0.53320000000000001"/>
    <x v="10"/>
    <x v="0"/>
    <n v="5888"/>
    <n v="388"/>
    <n v="206.88160000000002"/>
    <n v="61.774087999999999"/>
    <n v="268.655688"/>
  </r>
  <r>
    <x v="1"/>
    <m/>
    <x v="10"/>
    <x v="1"/>
    <n v="1863"/>
    <n v="154"/>
    <n v="82.112800000000007"/>
    <n v="20.591362666666665"/>
    <n v="112.94"/>
  </r>
  <r>
    <x v="1"/>
    <m/>
    <x v="10"/>
    <x v="2"/>
    <n v="1854"/>
    <n v="215"/>
    <n v="114.63800000000001"/>
    <n v="20.591362666666665"/>
    <n v="145.47"/>
  </r>
  <r>
    <x v="1"/>
    <m/>
    <x v="10"/>
    <x v="3"/>
    <m/>
    <n v="19"/>
    <n v="10.130800000000001"/>
    <n v="20.591362666666665"/>
    <n v="10.24"/>
  </r>
  <r>
    <x v="12"/>
    <n v="0.53349999999999997"/>
    <x v="11"/>
    <x v="0"/>
    <n v="6294"/>
    <n v="406"/>
    <n v="216.601"/>
    <n v="66.977580000000003"/>
    <n v="283.57857999999999"/>
  </r>
  <r>
    <x v="1"/>
    <m/>
    <x v="11"/>
    <x v="1"/>
    <n v="1936"/>
    <n v="73"/>
    <n v="38.945499999999996"/>
    <n v="22.325860000000002"/>
    <n v="102.68"/>
  </r>
  <r>
    <x v="1"/>
    <m/>
    <x v="11"/>
    <x v="2"/>
    <n v="1996"/>
    <n v="142"/>
    <n v="75.756999999999991"/>
    <n v="22.325860000000002"/>
    <n v="139.49"/>
  </r>
  <r>
    <x v="1"/>
    <m/>
    <x v="11"/>
    <x v="3"/>
    <m/>
    <n v="191"/>
    <n v="101.8985"/>
    <n v="22.325860000000002"/>
    <n v="41.41"/>
  </r>
  <r>
    <x v="13"/>
    <n v="0.53100000000000003"/>
    <x v="12"/>
    <x v="0"/>
    <n v="6726"/>
    <n v="432"/>
    <n v="229.392"/>
    <n v="70.325960000000009"/>
    <n v="299.71796000000001"/>
  </r>
  <r>
    <x v="1"/>
    <m/>
    <x v="12"/>
    <x v="1"/>
    <n v="2045"/>
    <n v="109"/>
    <n v="57.879000000000005"/>
    <n v="23.441986666666669"/>
    <n v="114.8"/>
  </r>
  <r>
    <x v="1"/>
    <m/>
    <x v="12"/>
    <x v="2"/>
    <n v="2174"/>
    <n v="178"/>
    <n v="94.518000000000001"/>
    <n v="23.441986666666669"/>
    <n v="151.44"/>
  </r>
  <r>
    <x v="1"/>
    <m/>
    <x v="12"/>
    <x v="3"/>
    <m/>
    <n v="145"/>
    <n v="76.995000000000005"/>
    <n v="23.441986666666669"/>
    <n v="33.479999999999997"/>
  </r>
  <r>
    <x v="14"/>
    <n v="0.52370000000000005"/>
    <x v="13"/>
    <x v="0"/>
    <n v="7128"/>
    <n v="402"/>
    <n v="210.52740000000003"/>
    <n v="66.680332000000007"/>
    <n v="277.20773200000002"/>
  </r>
  <r>
    <x v="1"/>
    <m/>
    <x v="13"/>
    <x v="1"/>
    <n v="2156"/>
    <n v="111"/>
    <n v="58.130700000000004"/>
    <n v="22.226777333333334"/>
    <n v="109.59"/>
  </r>
  <r>
    <x v="1"/>
    <m/>
    <x v="13"/>
    <x v="2"/>
    <n v="2340"/>
    <n v="166"/>
    <n v="86.934200000000004"/>
    <n v="22.226777333333334"/>
    <n v="138.38999999999999"/>
  </r>
  <r>
    <x v="1"/>
    <m/>
    <x v="13"/>
    <x v="3"/>
    <m/>
    <n v="125"/>
    <n v="65.462500000000006"/>
    <n v="22.226777333333334"/>
    <n v="29.23"/>
  </r>
  <r>
    <x v="15"/>
    <n v="0.52939999999999998"/>
    <x v="14"/>
    <x v="0"/>
    <n v="7573"/>
    <n v="445"/>
    <n v="235.583"/>
    <n v="68.234539999999996"/>
    <n v="303.81754000000001"/>
  </r>
  <r>
    <x v="1"/>
    <m/>
    <x v="14"/>
    <x v="1"/>
    <n v="2282"/>
    <n v="126"/>
    <n v="66.704399999999993"/>
    <n v="22.744846666666664"/>
    <n v="116.09"/>
  </r>
  <r>
    <x v="1"/>
    <m/>
    <x v="14"/>
    <x v="2"/>
    <n v="2551"/>
    <n v="211"/>
    <n v="111.7034"/>
    <n v="22.744846666666664"/>
    <n v="161.09"/>
  </r>
  <r>
    <x v="1"/>
    <m/>
    <x v="14"/>
    <x v="3"/>
    <m/>
    <n v="108"/>
    <n v="57.175199999999997"/>
    <n v="22.744846666666664"/>
    <n v="26.64"/>
  </r>
  <r>
    <x v="16"/>
    <n v="0.54369999999999996"/>
    <x v="15"/>
    <x v="0"/>
    <n v="8083"/>
    <n v="510"/>
    <n v="277.28699999999998"/>
    <n v="91.998860000000008"/>
    <n v="369.28585999999996"/>
  </r>
  <r>
    <x v="1"/>
    <m/>
    <x v="15"/>
    <x v="1"/>
    <n v="2400"/>
    <n v="118"/>
    <n v="64.156599999999997"/>
    <n v="30.666286666666668"/>
    <n v="134.77000000000001"/>
  </r>
  <r>
    <x v="1"/>
    <m/>
    <x v="15"/>
    <x v="2"/>
    <n v="2779"/>
    <n v="228"/>
    <n v="123.96359999999999"/>
    <n v="30.666286666666668"/>
    <n v="194.57"/>
  </r>
  <r>
    <x v="1"/>
    <m/>
    <x v="15"/>
    <x v="3"/>
    <m/>
    <n v="164"/>
    <n v="89.166799999999995"/>
    <n v="30.666286666666668"/>
    <n v="39.94"/>
  </r>
  <r>
    <x v="17"/>
    <n v="0.54369999999999996"/>
    <x v="16"/>
    <x v="0"/>
    <n v="8524"/>
    <n v="441"/>
    <n v="239.77169999999998"/>
    <n v="71.260105999999993"/>
    <n v="311.03180599999996"/>
  </r>
  <r>
    <x v="1"/>
    <m/>
    <x v="16"/>
    <x v="1"/>
    <n v="2540"/>
    <n v="140"/>
    <n v="76.117999999999995"/>
    <n v="23.753368666666663"/>
    <n v="129.36000000000001"/>
  </r>
  <r>
    <x v="1"/>
    <m/>
    <x v="16"/>
    <x v="2"/>
    <n v="2961"/>
    <n v="182"/>
    <n v="98.953399999999988"/>
    <n v="23.753368666666663"/>
    <n v="152.19"/>
  </r>
  <r>
    <x v="1"/>
    <m/>
    <x v="16"/>
    <x v="3"/>
    <m/>
    <n v="119"/>
    <n v="64.700299999999999"/>
    <n v="23.753368666666663"/>
    <n v="29.48"/>
  </r>
  <r>
    <x v="18"/>
    <n v="0.55310000000000004"/>
    <x v="17"/>
    <x v="0"/>
    <n v="9038"/>
    <n v="514"/>
    <n v="284.29340000000002"/>
    <n v="90.096012000000002"/>
    <n v="374.38941199999999"/>
  </r>
  <r>
    <x v="1"/>
    <m/>
    <x v="17"/>
    <x v="1"/>
    <n v="2711"/>
    <n v="171"/>
    <n v="94.580100000000002"/>
    <n v="30.032004000000001"/>
    <n v="146.79"/>
  </r>
  <r>
    <x v="1"/>
    <m/>
    <x v="17"/>
    <x v="2"/>
    <n v="3238"/>
    <n v="277"/>
    <n v="153.20870000000002"/>
    <n v="30.032004000000001"/>
    <n v="205.42"/>
  </r>
  <r>
    <x v="1"/>
    <m/>
    <x v="17"/>
    <x v="3"/>
    <m/>
    <n v="66"/>
    <n v="36.504600000000003"/>
    <n v="30.032004000000001"/>
    <n v="22.18"/>
  </r>
  <r>
    <x v="19"/>
    <n v="0.55130000000000001"/>
    <x v="18"/>
    <x v="0"/>
    <n v="9576"/>
    <n v="538"/>
    <n v="296.5994"/>
    <n v="91.465091999999984"/>
    <n v="388.06449199999997"/>
  </r>
  <r>
    <x v="1"/>
    <m/>
    <x v="18"/>
    <x v="1"/>
    <n v="2822"/>
    <n v="111"/>
    <n v="61.194299999999998"/>
    <n v="30.488363999999994"/>
    <n v="145.94999999999999"/>
  </r>
  <r>
    <x v="1"/>
    <m/>
    <x v="18"/>
    <x v="2"/>
    <n v="3425"/>
    <n v="187"/>
    <n v="103.09310000000001"/>
    <n v="30.488363999999994"/>
    <n v="187.85"/>
  </r>
  <r>
    <x v="1"/>
    <m/>
    <x v="18"/>
    <x v="3"/>
    <m/>
    <n v="240"/>
    <n v="132.31200000000001"/>
    <n v="30.488363999999994"/>
    <n v="54.27"/>
  </r>
  <r>
    <x v="20"/>
    <n v="0.5474"/>
    <x v="19"/>
    <x v="0"/>
    <n v="10120"/>
    <n v="544"/>
    <n v="297.78559999999999"/>
    <n v="90.206608000000017"/>
    <n v="387.99220800000001"/>
  </r>
  <r>
    <x v="1"/>
    <m/>
    <x v="19"/>
    <x v="1"/>
    <n v="2950"/>
    <n v="128"/>
    <n v="70.0672"/>
    <n v="30.068869333333339"/>
    <n v="141.18"/>
  </r>
  <r>
    <x v="1"/>
    <m/>
    <x v="19"/>
    <x v="2"/>
    <n v="3671"/>
    <n v="246"/>
    <n v="134.66040000000001"/>
    <n v="30.068869333333339"/>
    <n v="205.77"/>
  </r>
  <r>
    <x v="1"/>
    <m/>
    <x v="19"/>
    <x v="3"/>
    <m/>
    <n v="170"/>
    <n v="93.057999999999993"/>
    <n v="30.068869333333339"/>
    <n v="41.04"/>
  </r>
  <r>
    <x v="21"/>
    <n v="0.5474"/>
    <x v="20"/>
    <x v="0"/>
    <n v="10660"/>
    <n v="540"/>
    <n v="295.596"/>
    <n v="85.402480000000011"/>
    <n v="380.99848000000003"/>
  </r>
  <r>
    <x v="1"/>
    <m/>
    <x v="20"/>
    <x v="1"/>
    <n v="3134"/>
    <n v="184"/>
    <n v="100.7216"/>
    <n v="28.467493333333337"/>
    <n v="151.27000000000001"/>
  </r>
  <r>
    <x v="1"/>
    <m/>
    <x v="20"/>
    <x v="2"/>
    <n v="3958"/>
    <n v="287"/>
    <n v="157.10380000000001"/>
    <n v="28.467493333333337"/>
    <n v="207.65"/>
  </r>
  <r>
    <x v="1"/>
    <m/>
    <x v="20"/>
    <x v="3"/>
    <m/>
    <n v="69"/>
    <n v="37.770600000000002"/>
    <n v="28.467493333333337"/>
    <n v="22.08"/>
  </r>
  <r>
    <x v="22"/>
    <n v="0.5474"/>
    <x v="21"/>
    <x v="0"/>
    <n v="11146"/>
    <n v="486"/>
    <n v="266.03640000000001"/>
    <n v="68.460751999999999"/>
    <n v="334.49715200000003"/>
  </r>
  <r>
    <x v="1"/>
    <m/>
    <x v="21"/>
    <x v="1"/>
    <n v="3267"/>
    <n v="133"/>
    <n v="72.804199999999994"/>
    <n v="22.820250666666666"/>
    <n v="126.59"/>
  </r>
  <r>
    <x v="1"/>
    <m/>
    <x v="21"/>
    <x v="2"/>
    <n v="4183"/>
    <n v="225"/>
    <n v="123.16500000000001"/>
    <n v="22.820250666666666"/>
    <n v="176.95"/>
  </r>
  <r>
    <x v="1"/>
    <m/>
    <x v="21"/>
    <x v="3"/>
    <m/>
    <n v="128"/>
    <n v="70.0672"/>
    <n v="22.820250666666666"/>
    <n v="30.96"/>
  </r>
  <r>
    <x v="23"/>
    <n v="0.53449999999999998"/>
    <x v="22"/>
    <x v="0"/>
    <n v="11708"/>
    <n v="562"/>
    <n v="300.38900000000001"/>
    <n v="134.60742000000002"/>
    <n v="434.99642000000006"/>
  </r>
  <r>
    <x v="1"/>
    <m/>
    <x v="22"/>
    <x v="1"/>
    <n v="3394"/>
    <n v="127"/>
    <n v="67.881500000000003"/>
    <n v="44.869140000000009"/>
    <n v="167.26"/>
  </r>
  <r>
    <x v="1"/>
    <m/>
    <x v="22"/>
    <x v="2"/>
    <n v="4396"/>
    <n v="213"/>
    <n v="113.8485"/>
    <n v="44.869140000000009"/>
    <n v="213.23"/>
  </r>
  <r>
    <x v="1"/>
    <m/>
    <x v="22"/>
    <x v="3"/>
    <m/>
    <n v="222"/>
    <n v="118.65899999999999"/>
    <n v="44.869140000000009"/>
    <n v="54.51"/>
  </r>
  <r>
    <x v="24"/>
    <n v="0.55779999999999996"/>
    <x v="23"/>
    <x v="0"/>
    <n v="12155"/>
    <n v="447"/>
    <n v="249.33659999999998"/>
    <n v="73.171787999999992"/>
    <n v="322.50838799999997"/>
  </r>
  <r>
    <x v="1"/>
    <m/>
    <x v="23"/>
    <x v="1"/>
    <n v="3524"/>
    <n v="130"/>
    <n v="72.513999999999996"/>
    <n v="24.390595999999999"/>
    <n v="127.9"/>
  </r>
  <r>
    <x v="1"/>
    <m/>
    <x v="23"/>
    <x v="2"/>
    <n v="4590"/>
    <n v="194"/>
    <n v="108.21319999999999"/>
    <n v="24.390595999999999"/>
    <n v="163.6"/>
  </r>
  <r>
    <x v="1"/>
    <m/>
    <x v="23"/>
    <x v="3"/>
    <m/>
    <n v="123"/>
    <n v="68.609399999999994"/>
    <n v="24.390595999999999"/>
    <n v="31"/>
  </r>
  <r>
    <x v="25"/>
    <n v="0.56430000000000002"/>
    <x v="24"/>
    <x v="0"/>
    <n v="12582"/>
    <n v="427"/>
    <n v="240.95609999999999"/>
    <n v="70.540698000000006"/>
    <n v="311.49679800000001"/>
  </r>
  <r>
    <x v="1"/>
    <m/>
    <x v="24"/>
    <x v="1"/>
    <n v="3698"/>
    <n v="174"/>
    <n v="98.188200000000009"/>
    <n v="23.513566000000001"/>
    <n v="136.5"/>
  </r>
  <r>
    <x v="1"/>
    <m/>
    <x v="24"/>
    <x v="2"/>
    <n v="4806"/>
    <n v="216"/>
    <n v="121.8888"/>
    <n v="23.513566000000001"/>
    <n v="160.19999999999999"/>
  </r>
  <r>
    <x v="1"/>
    <m/>
    <x v="24"/>
    <x v="3"/>
    <m/>
    <n v="37"/>
    <n v="20.879100000000001"/>
    <n v="23.513566000000001"/>
    <n v="14.8"/>
  </r>
  <r>
    <x v="26"/>
    <n v="0.5716"/>
    <x v="25"/>
    <x v="0"/>
    <n v="13023"/>
    <n v="441"/>
    <n v="252.07559999999998"/>
    <n v="73.421207999999993"/>
    <n v="325.49680799999999"/>
  </r>
  <r>
    <x v="1"/>
    <m/>
    <x v="25"/>
    <x v="1"/>
    <n v="3803"/>
    <n v="105"/>
    <n v="60.018000000000001"/>
    <n v="24.473735999999999"/>
    <n v="130.18"/>
  </r>
  <r>
    <x v="1"/>
    <m/>
    <x v="25"/>
    <x v="2"/>
    <n v="4945"/>
    <n v="139"/>
    <n v="79.452399999999997"/>
    <n v="24.473735999999999"/>
    <n v="149.62"/>
  </r>
  <r>
    <x v="1"/>
    <m/>
    <x v="25"/>
    <x v="3"/>
    <m/>
    <n v="197"/>
    <n v="112.6052"/>
    <n v="24.473735999999999"/>
    <n v="45.69"/>
  </r>
  <r>
    <x v="27"/>
    <n v="0.57230000000000003"/>
    <x v="26"/>
    <x v="0"/>
    <n v="13473"/>
    <n v="450"/>
    <n v="257.53500000000003"/>
    <n v="63.461500000000001"/>
    <n v="320.99650000000003"/>
  </r>
  <r>
    <x v="1"/>
    <m/>
    <x v="26"/>
    <x v="1"/>
    <n v="3939"/>
    <n v="136"/>
    <n v="77.832800000000006"/>
    <n v="21.153833333333335"/>
    <n v="130.27000000000001"/>
  </r>
  <r>
    <x v="1"/>
    <m/>
    <x v="26"/>
    <x v="2"/>
    <n v="5132"/>
    <n v="187"/>
    <n v="107.0201"/>
    <n v="21.153833333333335"/>
    <n v="159.44999999999999"/>
  </r>
  <r>
    <x v="1"/>
    <m/>
    <x v="26"/>
    <x v="3"/>
    <m/>
    <n v="127"/>
    <n v="72.682100000000005"/>
    <n v="21.153833333333335"/>
    <n v="31.28"/>
  </r>
  <r>
    <x v="28"/>
    <n v="0.57979999999999998"/>
    <x v="27"/>
    <x v="0"/>
    <n v="13927"/>
    <n v="454"/>
    <n v="263.22919999999999"/>
    <n v="72.268255999999994"/>
    <n v="335.497456"/>
  </r>
  <r>
    <x v="1"/>
    <m/>
    <x v="27"/>
    <x v="1"/>
    <n v="4083"/>
    <n v="144"/>
    <n v="83.491199999999992"/>
    <n v="24.089418666666663"/>
    <n v="135.71"/>
  </r>
  <r>
    <x v="1"/>
    <m/>
    <x v="27"/>
    <x v="2"/>
    <n v="5338"/>
    <n v="206"/>
    <n v="119.4388"/>
    <n v="24.089418666666663"/>
    <n v="171.66"/>
  </r>
  <r>
    <x v="1"/>
    <m/>
    <x v="27"/>
    <x v="3"/>
    <m/>
    <n v="104"/>
    <n v="60.299199999999999"/>
    <n v="24.089418666666663"/>
    <n v="28.13"/>
  </r>
  <r>
    <x v="29"/>
    <n v="0.59160000000000001"/>
    <x v="28"/>
    <x v="0"/>
    <n v="14399"/>
    <n v="472"/>
    <n v="279.23520000000002"/>
    <n v="75.260135999999989"/>
    <n v="354.49533600000001"/>
  </r>
  <r>
    <x v="1"/>
    <m/>
    <x v="28"/>
    <x v="1"/>
    <n v="4251"/>
    <n v="168"/>
    <n v="99.388800000000003"/>
    <n v="25.086711999999995"/>
    <n v="153.54"/>
  </r>
  <r>
    <x v="1"/>
    <m/>
    <x v="28"/>
    <x v="2"/>
    <n v="5537"/>
    <n v="199"/>
    <n v="117.72840000000001"/>
    <n v="25.086711999999995"/>
    <n v="171.88"/>
  </r>
  <r>
    <x v="1"/>
    <m/>
    <x v="28"/>
    <x v="3"/>
    <m/>
    <n v="105"/>
    <n v="62.118000000000002"/>
    <n v="25.086711999999995"/>
    <n v="29.07"/>
  </r>
  <r>
    <x v="30"/>
    <n v="0.59179999999999999"/>
    <x v="29"/>
    <x v="0"/>
    <n v="14987"/>
    <n v="588"/>
    <n v="347.97839999999997"/>
    <n v="106.016912"/>
    <n v="453.99531199999996"/>
  </r>
  <r>
    <x v="1"/>
    <m/>
    <x v="29"/>
    <x v="1"/>
    <n v="4400"/>
    <n v="149"/>
    <n v="88.178200000000004"/>
    <n v="35.338970666666668"/>
    <n v="172.58"/>
  </r>
  <r>
    <x v="1"/>
    <m/>
    <x v="29"/>
    <x v="2"/>
    <n v="5787"/>
    <n v="250"/>
    <n v="147.94999999999999"/>
    <n v="35.338970666666668"/>
    <n v="232.35"/>
  </r>
  <r>
    <x v="1"/>
    <m/>
    <x v="29"/>
    <x v="3"/>
    <m/>
    <n v="189"/>
    <n v="111.8502"/>
    <n v="35.338970666666668"/>
    <n v="49.06"/>
  </r>
  <r>
    <x v="31"/>
    <n v="0.59179999999999999"/>
    <x v="30"/>
    <x v="0"/>
    <n v="15542"/>
    <n v="555"/>
    <n v="328.44900000000001"/>
    <n v="100.09382000000001"/>
    <n v="428.54282000000001"/>
  </r>
  <r>
    <x v="1"/>
    <m/>
    <x v="30"/>
    <x v="1"/>
    <n v="4517"/>
    <n v="117"/>
    <n v="69.240600000000001"/>
    <n v="33.364606666666667"/>
    <n v="143.91"/>
  </r>
  <r>
    <x v="1"/>
    <m/>
    <x v="30"/>
    <x v="2"/>
    <n v="6072"/>
    <n v="285"/>
    <n v="168.66300000000001"/>
    <n v="33.364606666666667"/>
    <n v="243.33"/>
  </r>
  <r>
    <x v="1"/>
    <m/>
    <x v="30"/>
    <x v="3"/>
    <m/>
    <n v="153"/>
    <n v="90.545400000000001"/>
    <n v="33.364606666666667"/>
    <n v="41.3"/>
  </r>
  <r>
    <x v="32"/>
    <n v="0.59099999999999997"/>
    <x v="31"/>
    <x v="0"/>
    <n v="16137"/>
    <n v="595"/>
    <n v="351.64499999999998"/>
    <n v="103.84989999999998"/>
    <n v="455.49489999999997"/>
  </r>
  <r>
    <x v="1"/>
    <m/>
    <x v="31"/>
    <x v="1"/>
    <n v="4622"/>
    <n v="105"/>
    <n v="62.055"/>
    <n v="34.616633333333326"/>
    <n v="158.63999999999999"/>
  </r>
  <r>
    <x v="1"/>
    <m/>
    <x v="31"/>
    <x v="2"/>
    <n v="6306"/>
    <n v="234"/>
    <n v="138.29399999999998"/>
    <n v="34.616633333333326"/>
    <n v="234.88"/>
  </r>
  <r>
    <x v="1"/>
    <m/>
    <x v="31"/>
    <x v="3"/>
    <m/>
    <n v="256"/>
    <n v="151.29599999999999"/>
    <n v="34.616633333333326"/>
    <n v="61.97"/>
  </r>
  <r>
    <x v="33"/>
    <n v="0.5948"/>
    <x v="32"/>
    <x v="0"/>
    <n v="16757"/>
    <n v="620"/>
    <n v="368.77599999999995"/>
    <n v="108.19447999999998"/>
    <n v="476.97047999999995"/>
  </r>
  <r>
    <x v="1"/>
    <m/>
    <x v="32"/>
    <x v="1"/>
    <n v="4740"/>
    <n v="118"/>
    <n v="70.186400000000006"/>
    <n v="36.064826666666661"/>
    <n v="159.51"/>
  </r>
  <r>
    <x v="1"/>
    <m/>
    <x v="32"/>
    <x v="2"/>
    <n v="6600"/>
    <n v="294"/>
    <n v="174.87119999999999"/>
    <n v="36.064826666666661"/>
    <n v="264.2"/>
  </r>
  <r>
    <x v="1"/>
    <m/>
    <x v="32"/>
    <x v="3"/>
    <m/>
    <n v="208"/>
    <n v="123.7184"/>
    <n v="36.064826666666661"/>
    <n v="53.26"/>
  </r>
  <r>
    <x v="34"/>
    <n v="0.5907"/>
    <x v="33"/>
    <x v="0"/>
    <n v="17292"/>
    <n v="535"/>
    <n v="316.02449999999999"/>
    <n v="99.98120999999999"/>
    <n v="416.00570999999997"/>
  </r>
  <r>
    <x v="1"/>
    <m/>
    <x v="33"/>
    <x v="1"/>
    <n v="4869"/>
    <n v="129"/>
    <n v="76.200299999999999"/>
    <n v="33.327069999999999"/>
    <n v="158.05000000000001"/>
  </r>
  <r>
    <x v="1"/>
    <m/>
    <x v="33"/>
    <x v="2"/>
    <n v="6816"/>
    <n v="216"/>
    <n v="127.5912"/>
    <n v="33.327069999999999"/>
    <n v="209.44"/>
  </r>
  <r>
    <x v="1"/>
    <m/>
    <x v="33"/>
    <x v="3"/>
    <m/>
    <n v="190"/>
    <n v="112.233"/>
    <n v="33.327069999999999"/>
    <n v="48.52"/>
  </r>
  <r>
    <x v="35"/>
    <n v="0.58130000000000004"/>
    <x v="34"/>
    <x v="0"/>
    <n v="17805"/>
    <n v="513"/>
    <n v="298.20690000000002"/>
    <n v="100.282842"/>
    <n v="398.48974200000004"/>
  </r>
  <r>
    <x v="1"/>
    <m/>
    <x v="34"/>
    <x v="1"/>
    <n v="5006"/>
    <n v="137"/>
    <n v="79.638100000000009"/>
    <n v="33.427613999999998"/>
    <n v="147.85"/>
  </r>
  <r>
    <x v="1"/>
    <m/>
    <x v="34"/>
    <x v="2"/>
    <n v="7070"/>
    <n v="254"/>
    <n v="147.65020000000001"/>
    <n v="33.427613999999998"/>
    <n v="215.86"/>
  </r>
  <r>
    <x v="1"/>
    <m/>
    <x v="34"/>
    <x v="3"/>
    <m/>
    <n v="122"/>
    <n v="70.918599999999998"/>
    <n v="33.427613999999998"/>
    <n v="34.78"/>
  </r>
  <r>
    <x v="36"/>
    <n v="0.58650000000000002"/>
    <x v="35"/>
    <x v="0"/>
    <n v="18312"/>
    <n v="507"/>
    <n v="297.35550000000001"/>
    <n v="105.63758999999999"/>
    <n v="402.99309"/>
  </r>
  <r>
    <x v="1"/>
    <m/>
    <x v="35"/>
    <x v="1"/>
    <n v="5098"/>
    <n v="92"/>
    <n v="53.957999999999998"/>
    <n v="35.212529999999994"/>
    <n v="151.54"/>
  </r>
  <r>
    <x v="1"/>
    <m/>
    <x v="35"/>
    <x v="2"/>
    <n v="7226"/>
    <n v="156"/>
    <n v="91.494"/>
    <n v="35.212529999999994"/>
    <n v="189.08"/>
  </r>
  <r>
    <x v="1"/>
    <m/>
    <x v="35"/>
    <x v="3"/>
    <m/>
    <n v="259"/>
    <n v="151.90350000000001"/>
    <n v="35.212529999999994"/>
    <n v="62.37"/>
  </r>
  <r>
    <x v="37"/>
    <n v="0.59750000000000003"/>
    <x v="36"/>
    <x v="0"/>
    <n v="18799"/>
    <n v="487"/>
    <n v="290.98250000000002"/>
    <n v="113.51725000000002"/>
    <n v="404.49975000000006"/>
  </r>
  <r>
    <x v="1"/>
    <m/>
    <x v="36"/>
    <x v="1"/>
    <n v="5213"/>
    <n v="115"/>
    <n v="68.712500000000006"/>
    <n v="37.839083333333342"/>
    <n v="153.02000000000001"/>
  </r>
  <r>
    <x v="1"/>
    <m/>
    <x v="36"/>
    <x v="2"/>
    <n v="7428"/>
    <n v="202"/>
    <n v="120.69500000000001"/>
    <n v="37.839083333333342"/>
    <n v="205.01"/>
  </r>
  <r>
    <x v="1"/>
    <m/>
    <x v="36"/>
    <x v="3"/>
    <m/>
    <n v="170"/>
    <n v="101.575"/>
    <n v="37.839083333333342"/>
    <n v="46.47"/>
  </r>
  <r>
    <x v="38"/>
    <n v="0.61339999999999995"/>
    <x v="37"/>
    <x v="0"/>
    <n v="19338"/>
    <n v="539"/>
    <n v="330.62259999999998"/>
    <n v="111.376468"/>
    <n v="441.99906799999997"/>
  </r>
  <r>
    <x v="1"/>
    <m/>
    <x v="37"/>
    <x v="1"/>
    <n v="5328"/>
    <n v="115"/>
    <n v="70.540999999999997"/>
    <n v="37.125489333333334"/>
    <n v="161.13999999999999"/>
  </r>
  <r>
    <x v="1"/>
    <m/>
    <x v="37"/>
    <x v="2"/>
    <n v="7651"/>
    <n v="223"/>
    <n v="136.78819999999999"/>
    <n v="37.125489333333334"/>
    <n v="227.39"/>
  </r>
  <r>
    <x v="1"/>
    <m/>
    <x v="37"/>
    <x v="3"/>
    <m/>
    <n v="201"/>
    <n v="123.29339999999999"/>
    <n v="37.125489333333334"/>
    <n v="53.47"/>
  </r>
  <r>
    <x v="39"/>
    <n v="0.63029999999999997"/>
    <x v="38"/>
    <x v="0"/>
    <n v="19793"/>
    <n v="455"/>
    <n v="286.78649999999999"/>
    <n v="80.205169999999995"/>
    <n v="366.99167"/>
  </r>
  <r>
    <x v="1"/>
    <m/>
    <x v="38"/>
    <x v="1"/>
    <n v="5419"/>
    <n v="91"/>
    <n v="57.357299999999995"/>
    <n v="26.735056666666665"/>
    <n v="128.72"/>
  </r>
  <r>
    <x v="1"/>
    <m/>
    <x v="38"/>
    <x v="2"/>
    <n v="7845"/>
    <n v="194"/>
    <n v="122.2782"/>
    <n v="26.735056666666665"/>
    <n v="193.64"/>
  </r>
  <r>
    <x v="1"/>
    <m/>
    <x v="38"/>
    <x v="3"/>
    <m/>
    <n v="170"/>
    <n v="107.151"/>
    <n v="26.735056666666665"/>
    <n v="44.63"/>
  </r>
  <r>
    <x v="40"/>
    <n v="0.64690000000000003"/>
    <x v="39"/>
    <x v="0"/>
    <n v="20284"/>
    <n v="491"/>
    <n v="317.62790000000001"/>
    <n v="70.365021999999996"/>
    <n v="387.99292200000002"/>
  </r>
  <r>
    <x v="1"/>
    <m/>
    <x v="39"/>
    <x v="1"/>
    <n v="5519"/>
    <n v="100"/>
    <n v="64.69"/>
    <n v="23.455007333333331"/>
    <n v="132.62"/>
  </r>
  <r>
    <x v="1"/>
    <m/>
    <x v="39"/>
    <x v="2"/>
    <n v="8066"/>
    <n v="221"/>
    <n v="142.9649"/>
    <n v="23.455007333333331"/>
    <n v="210.9"/>
  </r>
  <r>
    <x v="1"/>
    <m/>
    <x v="39"/>
    <x v="3"/>
    <m/>
    <n v="170"/>
    <n v="109.973"/>
    <n v="23.455007333333331"/>
    <n v="44.48"/>
  </r>
  <r>
    <x v="41"/>
    <n v="0.64480000000000004"/>
    <x v="40"/>
    <x v="0"/>
    <n v="20759"/>
    <n v="475"/>
    <n v="306.28000000000003"/>
    <n v="79.717600000000004"/>
    <n v="385.99760000000003"/>
  </r>
  <r>
    <x v="1"/>
    <m/>
    <x v="40"/>
    <x v="1"/>
    <n v="5623"/>
    <n v="104"/>
    <n v="67.059200000000004"/>
    <n v="26.572533333333336"/>
    <n v="134.51"/>
  </r>
  <r>
    <x v="1"/>
    <m/>
    <x v="40"/>
    <x v="2"/>
    <n v="8288"/>
    <n v="222"/>
    <n v="143.1456"/>
    <n v="26.572533333333336"/>
    <n v="210.6"/>
  </r>
  <r>
    <x v="1"/>
    <m/>
    <x v="40"/>
    <x v="3"/>
    <m/>
    <n v="149"/>
    <n v="96.075200000000009"/>
    <n v="26.572533333333336"/>
    <n v="40.8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9B665-7527-4F67-9659-E06C5DBE69B5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9" rowHeaderCaption="FECHA" colHeaderCaption="ITEM">
  <location ref="A1:E44" firstHeaderRow="1" firstDataRow="2" firstDataCol="1"/>
  <pivotFields count="11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numFmtId="17" showAll="0" sortType="a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Col" showAll="0">
      <items count="6">
        <item x="3"/>
        <item x="1"/>
        <item h="1" x="0"/>
        <item x="2"/>
        <item h="1" m="1" x="4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multipleItemSelectionAllowed="1" showAll="0" defaultSubtotal="0">
      <items count="6">
        <item sd="0" x="1"/>
        <item sd="0" x="2"/>
        <item sd="0" x="3"/>
        <item x="4"/>
        <item x="0"/>
        <item x="5"/>
      </items>
    </pivotField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dataFields count="1">
    <dataField name="Suma de X PAGAR" fld="8" baseField="0" baseItem="0" numFmtId="43"/>
  </dataFields>
  <formats count="14">
    <format dxfId="13">
      <pivotArea dataOnly="0" labelOnly="1" fieldPosition="0">
        <references count="1">
          <reference field="3" count="0"/>
        </references>
      </pivotArea>
    </format>
    <format dxfId="12">
      <pivotArea type="topRight" dataOnly="0" labelOnly="1" outline="0" fieldPosition="0"/>
    </format>
    <format dxfId="11">
      <pivotArea field="3" type="button" dataOnly="0" labelOnly="1" outline="0" axis="axisCol" fieldPosition="0"/>
    </format>
    <format dxfId="10">
      <pivotArea type="origin" dataOnly="0" labelOnly="1" outline="0" fieldPosition="0"/>
    </format>
    <format dxfId="9">
      <pivotArea type="origin" dataOnly="0" labelOnly="1" outline="0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field="3" type="button" dataOnly="0" labelOnly="1" outline="0" axis="axisCol" fieldPosition="0"/>
    </format>
    <format dxfId="5">
      <pivotArea outline="0" collapsedLevelsAreSubtotals="1" fieldPosition="0"/>
    </format>
    <format dxfId="4">
      <pivotArea collapsedLevelsAreSubtotals="1" fieldPosition="0">
        <references count="1">
          <reference field="2" count="3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</references>
      </pivotArea>
    </format>
    <format dxfId="3">
      <pivotArea type="origin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3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</references>
      </pivotArea>
    </format>
    <format dxfId="0">
      <pivotArea dataOnly="0" labelOnly="1" grandRow="1" outline="0" fieldPosition="0"/>
    </format>
  </formats>
  <conditionalFormats count="5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3" count="1" selected="0">
              <x v="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3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3" count="1" selected="0"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3" count="1" selected="0">
              <x v="2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</references>
        </pivotArea>
      </pivotAreas>
    </conditionalFormat>
  </conditionalFormats>
  <chartFormats count="9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CD9BA-E07D-4F69-B203-1E413AD92766}" name="Tabla1" displayName="Tabla1" ref="B4:I232" totalsRowShown="0" headerRowDxfId="23" headerRowBorderDxfId="22">
  <autoFilter ref="B4:I232" xr:uid="{3E29C4A1-35E3-4B8B-86C3-7965DEC4F2F5}"/>
  <tableColumns count="8">
    <tableColumn id="1" xr3:uid="{4DC0B648-0404-497B-8429-B2346227272D}" name="KWh" dataDxfId="21"/>
    <tableColumn id="9" xr3:uid="{ABBDD394-A52B-452C-B6A0-964DA164A541}" name="MES2" dataDxfId="20"/>
    <tableColumn id="3" xr3:uid="{79F1E48D-4A16-4E50-AB22-CB39950FD573}" name="ITEM" dataDxfId="19"/>
    <tableColumn id="4" xr3:uid="{58CCCB1E-98C0-45A6-85B1-65F7645F072F}" name="LECTURA " dataDxfId="18"/>
    <tableColumn id="5" xr3:uid="{833E51EE-8794-456A-B5CA-3E8A3242052E}" name="VAR. LECTURA" dataDxfId="17"/>
    <tableColumn id="6" xr3:uid="{AC09D98B-2F38-4E88-86A4-577E881BBE83}" name="CONSUMO ENERGIA(S/.)" dataDxfId="16" dataCellStyle="Moneda"/>
    <tableColumn id="7" xr3:uid="{797E3664-BFE8-44A3-9AB1-7C3A8AB5D906}" name="C.E.ADICIONAL" dataDxfId="15" dataCellStyle="Moneda">
      <calculatedColumnFormula>$H$5/3</calculatedColumnFormula>
    </tableColumn>
    <tableColumn id="8" xr3:uid="{FA101325-D1BD-435A-AB97-38F55E18DBDA}" name="X PAGAR" dataDxfId="14" dataCellStyle="Moneda">
      <calculatedColumnFormula>SUM(G5:H5)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7" dT="2022-05-02T15:19:22.75" personId="{A1A95227-8DA1-46E1-BEBE-A8B3E14E2EBD}" id="{726EDD9C-6656-46EA-8C6A-73EC62015894}">
    <text>RECARGO POR MORA</text>
  </threadedComment>
  <threadedComment ref="N48" dT="2022-05-02T15:12:09.75" personId="{A1A95227-8DA1-46E1-BEBE-A8B3E14E2EBD}" id="{92978E00-125F-4A74-9B2D-0AF864F51672}">
    <text>DL 25844 Cal_Sum 2022-02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CDAC-A8A8-4FB0-A394-37216939D788}">
  <sheetPr>
    <outlinePr summaryBelow="0"/>
  </sheetPr>
  <dimension ref="A1:M232"/>
  <sheetViews>
    <sheetView topLeftCell="A2" zoomScale="115" zoomScaleNormal="115" workbookViewId="0">
      <pane ySplit="1" topLeftCell="A199" activePane="bottomLeft" state="frozen"/>
      <selection activeCell="A2" sqref="A2"/>
      <selection pane="bottomLeft" activeCell="E213" sqref="E213"/>
    </sheetView>
  </sheetViews>
  <sheetFormatPr baseColWidth="10" defaultRowHeight="15" x14ac:dyDescent="0.25"/>
  <cols>
    <col min="1" max="1" width="9.140625" style="95" customWidth="1"/>
    <col min="2" max="2" width="7.42578125" customWidth="1"/>
    <col min="3" max="3" width="11.28515625" customWidth="1"/>
    <col min="4" max="4" width="8" style="89" customWidth="1"/>
    <col min="5" max="5" width="11.42578125" style="64" customWidth="1"/>
    <col min="6" max="6" width="18" style="64" customWidth="1"/>
    <col min="7" max="7" width="13.85546875" style="64" customWidth="1"/>
    <col min="8" max="8" width="19.140625" style="84" bestFit="1" customWidth="1"/>
    <col min="9" max="9" width="13.85546875" style="170" bestFit="1" customWidth="1"/>
    <col min="10" max="10" width="15.7109375" style="1" customWidth="1"/>
    <col min="11" max="11" width="21.28515625" customWidth="1"/>
    <col min="12" max="13" width="17.5703125" customWidth="1"/>
  </cols>
  <sheetData>
    <row r="1" spans="1:13" ht="18.75" hidden="1" customHeight="1" x14ac:dyDescent="0.25">
      <c r="A1" s="207" t="s">
        <v>59</v>
      </c>
      <c r="B1" s="207"/>
      <c r="C1" s="207"/>
      <c r="D1" s="207"/>
      <c r="E1" s="207"/>
      <c r="F1" s="207"/>
      <c r="G1" s="207"/>
      <c r="H1" s="207"/>
      <c r="I1" s="207"/>
    </row>
    <row r="2" spans="1:13" ht="30" x14ac:dyDescent="0.25">
      <c r="A2" s="207"/>
      <c r="B2" s="207"/>
      <c r="C2" s="207"/>
      <c r="D2" s="207"/>
      <c r="E2" s="207"/>
      <c r="F2" s="207"/>
      <c r="G2" s="207"/>
      <c r="H2" s="207"/>
      <c r="I2" s="207"/>
      <c r="J2" s="92" t="s">
        <v>76</v>
      </c>
      <c r="K2" s="92" t="s">
        <v>77</v>
      </c>
      <c r="L2" s="92" t="s">
        <v>78</v>
      </c>
      <c r="M2" s="92" t="s">
        <v>79</v>
      </c>
    </row>
    <row r="3" spans="1:13" ht="22.5" customHeight="1" x14ac:dyDescent="0.3">
      <c r="A3" s="96"/>
      <c r="D3"/>
      <c r="E3"/>
      <c r="F3"/>
      <c r="G3"/>
      <c r="H3"/>
      <c r="J3" s="190">
        <v>619691</v>
      </c>
      <c r="K3" s="190" t="s">
        <v>75</v>
      </c>
      <c r="L3">
        <v>911021</v>
      </c>
      <c r="M3">
        <v>16058775</v>
      </c>
    </row>
    <row r="4" spans="1:13" s="65" customFormat="1" ht="30" x14ac:dyDescent="0.25">
      <c r="A4" s="93" t="s">
        <v>49</v>
      </c>
      <c r="B4" s="114" t="s">
        <v>45</v>
      </c>
      <c r="C4" s="94" t="s">
        <v>57</v>
      </c>
      <c r="D4" s="115" t="s">
        <v>54</v>
      </c>
      <c r="E4" s="94" t="s">
        <v>44</v>
      </c>
      <c r="F4" s="94" t="s">
        <v>43</v>
      </c>
      <c r="G4" s="94" t="s">
        <v>42</v>
      </c>
      <c r="H4" s="94" t="s">
        <v>46</v>
      </c>
      <c r="I4" s="171" t="s">
        <v>47</v>
      </c>
      <c r="J4" s="1"/>
    </row>
    <row r="5" spans="1:13" x14ac:dyDescent="0.25">
      <c r="A5" s="205">
        <v>43313</v>
      </c>
      <c r="B5" s="110">
        <f>VLOOKUP(A5,'RECIBO DE LUZ'!$A$3:$D$99,2,0)</f>
        <v>0.50760000000000005</v>
      </c>
      <c r="C5" s="113">
        <v>43313</v>
      </c>
      <c r="D5" s="111" t="s">
        <v>31</v>
      </c>
      <c r="E5" s="112">
        <v>1562</v>
      </c>
      <c r="F5" s="86">
        <f>+E5-1277</f>
        <v>285</v>
      </c>
      <c r="G5" s="85">
        <f t="shared" ref="G5" si="0">IF(AND(G6&gt;0,G7&gt;0,G8&gt;0),SUM(G6:G8),0)</f>
        <v>144.666</v>
      </c>
      <c r="H5" s="85">
        <f>IF(F6&gt;0,VLOOKUP(C5,'RECIBO DE LUZ'!$A$4:$T$99,19,0),0)</f>
        <v>85.68768</v>
      </c>
      <c r="I5" s="172">
        <f>ROUND(IF(AND(G5&gt;0,H5&gt;0),SUM(G5:H5),0),2)</f>
        <v>230.35</v>
      </c>
    </row>
    <row r="6" spans="1:13" x14ac:dyDescent="0.25">
      <c r="A6" s="206"/>
      <c r="B6" s="90"/>
      <c r="C6" s="113">
        <v>43313</v>
      </c>
      <c r="D6" s="90" t="s">
        <v>14</v>
      </c>
      <c r="E6" s="112">
        <v>384</v>
      </c>
      <c r="F6" s="81">
        <f>E6-301</f>
        <v>83</v>
      </c>
      <c r="G6" s="82">
        <f>VLOOKUP(C6,$A$5:$B$198,2,0)*F6</f>
        <v>42.130800000000008</v>
      </c>
      <c r="H6" s="83">
        <f>IF(Tabla1[[#This Row],[VAR. LECTURA]]&gt;0,VLOOKUP(C6,'RECIBO DE LUZ'!$A$4:$T$99,20,0),0)</f>
        <v>28.562560000000001</v>
      </c>
      <c r="I6" s="173">
        <f>ROUND(+G6+H6+((G8+H8)/3),2)</f>
        <v>102.55</v>
      </c>
    </row>
    <row r="7" spans="1:13" x14ac:dyDescent="0.25">
      <c r="A7" s="206"/>
      <c r="B7" s="90"/>
      <c r="C7" s="113">
        <v>43313</v>
      </c>
      <c r="D7" s="90" t="s">
        <v>32</v>
      </c>
      <c r="E7" s="112">
        <v>137</v>
      </c>
      <c r="F7" s="81">
        <f>E7-67</f>
        <v>70</v>
      </c>
      <c r="G7" s="82">
        <f>VLOOKUP(C7,$A$5:$B$198,2,0)*F7</f>
        <v>35.532000000000004</v>
      </c>
      <c r="H7" s="83">
        <f>IF(Tabla1[[#This Row],[VAR. LECTURA]]&gt;0,VLOOKUP(C7,'RECIBO DE LUZ'!$A$4:$T$99,20,0),0)</f>
        <v>28.562560000000001</v>
      </c>
      <c r="I7" s="173">
        <f>ROUND(G7+H7+((G8+H8)/3),2)</f>
        <v>95.95</v>
      </c>
    </row>
    <row r="8" spans="1:13" x14ac:dyDescent="0.25">
      <c r="A8" s="206"/>
      <c r="B8" s="90"/>
      <c r="C8" s="113">
        <v>43313</v>
      </c>
      <c r="D8" s="90" t="s">
        <v>15</v>
      </c>
      <c r="E8" s="112"/>
      <c r="F8" s="81">
        <f t="shared" ref="F8" si="1">+F5-F6-F7</f>
        <v>132</v>
      </c>
      <c r="G8" s="82">
        <f>VLOOKUP(C8,$A$5:$B$198,2,0)*F8</f>
        <v>67.003200000000007</v>
      </c>
      <c r="H8" s="83">
        <f>IF(Tabla1[[#This Row],[VAR. LECTURA]]&gt;0,VLOOKUP(C8,'RECIBO DE LUZ'!$A$4:$T$99,20,0),0)</f>
        <v>28.562560000000001</v>
      </c>
      <c r="I8" s="173">
        <f>ROUND((G8+H8)/3,2)</f>
        <v>31.86</v>
      </c>
    </row>
    <row r="9" spans="1:13" ht="15" customHeight="1" x14ac:dyDescent="0.25">
      <c r="A9" s="205">
        <v>43344</v>
      </c>
      <c r="B9" s="110">
        <f>VLOOKUP(A9,'RECIBO DE LUZ'!$A$3:$D$99,2,0)</f>
        <v>0.50729999999999997</v>
      </c>
      <c r="C9" s="113">
        <v>43344</v>
      </c>
      <c r="D9" s="111" t="s">
        <v>31</v>
      </c>
      <c r="E9" s="112">
        <v>1859</v>
      </c>
      <c r="F9" s="86">
        <f>IF(Tabla1[[#This Row],[LECTURA ]]&gt;0,(E9-E5),0)</f>
        <v>297</v>
      </c>
      <c r="G9" s="85">
        <f t="shared" ref="G9" si="2">IF(AND(G10&gt;0,G11&gt;0,G12&gt;0),SUM(G10:G12),0)</f>
        <v>150.66809999999998</v>
      </c>
      <c r="H9" s="85">
        <f>IF(F10&gt;0,VLOOKUP(C9,'RECIBO DE LUZ'!$A$4:$T$99,19,0),0)</f>
        <v>87.974257999999992</v>
      </c>
      <c r="I9" s="172">
        <f t="shared" ref="I9" si="3">IF(AND(G9&gt;0,H9&gt;0),SUM(G9:H9),0)</f>
        <v>238.64235799999997</v>
      </c>
    </row>
    <row r="10" spans="1:13" x14ac:dyDescent="0.25">
      <c r="A10" s="206"/>
      <c r="B10" s="90"/>
      <c r="C10" s="113">
        <v>43344</v>
      </c>
      <c r="D10" s="90" t="s">
        <v>14</v>
      </c>
      <c r="E10" s="112">
        <v>511</v>
      </c>
      <c r="F10" s="91">
        <f>IF(Tabla1[[#This Row],[LECTURA ]]&gt;0,(E10-E6),0)</f>
        <v>127</v>
      </c>
      <c r="G10" s="82">
        <f>VLOOKUP(C10,$A$5:$B$198,2,0)*F10</f>
        <v>64.427099999999996</v>
      </c>
      <c r="H10" s="83">
        <f>IF(Tabla1[[#This Row],[VAR. LECTURA]]&gt;0,VLOOKUP(C10,'RECIBO DE LUZ'!$A$4:$T$99,20,0),0)</f>
        <v>29.324752666666665</v>
      </c>
      <c r="I10" s="173">
        <f>ROUND(+G10+H10+((G12+H12)/3),2)</f>
        <v>122.13</v>
      </c>
    </row>
    <row r="11" spans="1:13" x14ac:dyDescent="0.25">
      <c r="A11" s="206"/>
      <c r="B11" s="90"/>
      <c r="C11" s="113">
        <v>43344</v>
      </c>
      <c r="D11" s="90" t="s">
        <v>32</v>
      </c>
      <c r="E11" s="112">
        <v>197</v>
      </c>
      <c r="F11" s="91">
        <f>IF(Tabla1[[#This Row],[LECTURA ]]&gt;0,(E11-E7),0)</f>
        <v>60</v>
      </c>
      <c r="G11" s="82">
        <f>VLOOKUP(C11,$A$5:$B$198,2,0)*F11</f>
        <v>30.437999999999999</v>
      </c>
      <c r="H11" s="83">
        <f>IF(Tabla1[[#This Row],[VAR. LECTURA]]&gt;0,VLOOKUP(C11,'RECIBO DE LUZ'!$A$4:$T$99,20,0),0)</f>
        <v>29.324752666666665</v>
      </c>
      <c r="I11" s="173">
        <f>ROUND(G11+H11+((G12+H12)/3),2)</f>
        <v>88.14</v>
      </c>
    </row>
    <row r="12" spans="1:13" x14ac:dyDescent="0.25">
      <c r="A12" s="206"/>
      <c r="B12" s="90"/>
      <c r="C12" s="113">
        <v>43344</v>
      </c>
      <c r="D12" s="90" t="s">
        <v>15</v>
      </c>
      <c r="E12" s="112"/>
      <c r="F12" s="81">
        <f>+F9-F10-F11</f>
        <v>110</v>
      </c>
      <c r="G12" s="82">
        <f>VLOOKUP(C12,$A$5:$B$198,2,0)*F12</f>
        <v>55.802999999999997</v>
      </c>
      <c r="H12" s="83">
        <f>IF(Tabla1[[#This Row],[VAR. LECTURA]]&gt;0,VLOOKUP(C12,'RECIBO DE LUZ'!$A$4:$T$99,20,0),0)</f>
        <v>29.324752666666665</v>
      </c>
      <c r="I12" s="173">
        <f>ROUND((G12+H12)/3,2)</f>
        <v>28.38</v>
      </c>
    </row>
    <row r="13" spans="1:13" ht="15" customHeight="1" x14ac:dyDescent="0.25">
      <c r="A13" s="205">
        <v>43374</v>
      </c>
      <c r="B13" s="110">
        <f>VLOOKUP(A13,'RECIBO DE LUZ'!$A$3:$D$99,2,0)</f>
        <v>0.50729999999999997</v>
      </c>
      <c r="C13" s="113">
        <v>43374</v>
      </c>
      <c r="D13" s="111" t="s">
        <v>31</v>
      </c>
      <c r="E13" s="112">
        <v>2235</v>
      </c>
      <c r="F13" s="86">
        <f>IF(Tabla1[[#This Row],[LECTURA ]]&gt;0,(E13-E9),0)</f>
        <v>376</v>
      </c>
      <c r="G13" s="85">
        <f t="shared" ref="G13" si="4">IF(AND(G14&gt;0,G15&gt;0,G16&gt;0),SUM(G14:G16),0)</f>
        <v>190.7448</v>
      </c>
      <c r="H13" s="85">
        <f>IF(F14&gt;0,VLOOKUP(C13,'RECIBO DE LUZ'!$A$4:$T$99,19,0),0)</f>
        <v>98.539063999999996</v>
      </c>
      <c r="I13" s="172">
        <f t="shared" ref="I13" si="5">IF(AND(G13&gt;0,H13&gt;0),SUM(G13:H13),0)</f>
        <v>289.28386399999999</v>
      </c>
    </row>
    <row r="14" spans="1:13" x14ac:dyDescent="0.25">
      <c r="A14" s="206"/>
      <c r="C14" s="113">
        <v>43374</v>
      </c>
      <c r="D14" s="90" t="s">
        <v>14</v>
      </c>
      <c r="E14" s="112">
        <v>640</v>
      </c>
      <c r="F14" s="91">
        <f>IF(Tabla1[[#This Row],[LECTURA ]]&gt;0,(E14-E10),0)</f>
        <v>129</v>
      </c>
      <c r="G14" s="82">
        <f>VLOOKUP(C14,$A$5:$B$198,2,0)*F14</f>
        <v>65.441699999999997</v>
      </c>
      <c r="H14" s="83">
        <f>IF(Tabla1[[#This Row],[VAR. LECTURA]]&gt;0,VLOOKUP(C14,'RECIBO DE LUZ'!$A$4:$T$99,20,0),0)</f>
        <v>32.846354666666663</v>
      </c>
      <c r="I14" s="173">
        <f>ROUND(+G14+H14+((G16+H16)/3),2)</f>
        <v>134.94</v>
      </c>
    </row>
    <row r="15" spans="1:13" x14ac:dyDescent="0.25">
      <c r="A15" s="206"/>
      <c r="C15" s="113">
        <v>43374</v>
      </c>
      <c r="D15" s="90" t="s">
        <v>32</v>
      </c>
      <c r="E15" s="112">
        <v>292</v>
      </c>
      <c r="F15" s="91">
        <f>IF(Tabla1[[#This Row],[LECTURA ]]&gt;0,(E15-E11),0)</f>
        <v>95</v>
      </c>
      <c r="G15" s="82">
        <f>VLOOKUP(C15,$A$5:$B$198,2,0)*F15</f>
        <v>48.1935</v>
      </c>
      <c r="H15" s="83">
        <f>IF(Tabla1[[#This Row],[VAR. LECTURA]]&gt;0,VLOOKUP(C15,'RECIBO DE LUZ'!$A$4:$T$99,20,0),0)</f>
        <v>32.846354666666663</v>
      </c>
      <c r="I15" s="173">
        <f>ROUND(G15+H15+((G16+H16)/3),2)</f>
        <v>117.69</v>
      </c>
    </row>
    <row r="16" spans="1:13" x14ac:dyDescent="0.25">
      <c r="A16" s="206"/>
      <c r="C16" s="113">
        <v>43374</v>
      </c>
      <c r="D16" s="90" t="s">
        <v>15</v>
      </c>
      <c r="E16" s="112"/>
      <c r="F16" s="81">
        <f t="shared" ref="F16" si="6">+F13-F14-F15</f>
        <v>152</v>
      </c>
      <c r="G16" s="82">
        <f>VLOOKUP(C16,$A$5:$B$198,2,0)*F16</f>
        <v>77.1096</v>
      </c>
      <c r="H16" s="83">
        <f>IF(Tabla1[[#This Row],[VAR. LECTURA]]&gt;0,VLOOKUP(C16,'RECIBO DE LUZ'!$A$4:$T$99,20,0),0)</f>
        <v>32.846354666666663</v>
      </c>
      <c r="I16" s="173">
        <f>ROUND((G16+H16)/3,2)</f>
        <v>36.65</v>
      </c>
    </row>
    <row r="17" spans="1:9" ht="15" customHeight="1" x14ac:dyDescent="0.25">
      <c r="A17" s="205">
        <v>43405</v>
      </c>
      <c r="B17" s="110">
        <f>VLOOKUP(A17,'RECIBO DE LUZ'!$A$3:$D$99,2,0)</f>
        <v>0.50570000000000004</v>
      </c>
      <c r="C17" s="113">
        <v>43405</v>
      </c>
      <c r="D17" s="111" t="s">
        <v>31</v>
      </c>
      <c r="E17" s="112">
        <v>2620</v>
      </c>
      <c r="F17" s="86">
        <f>IF(Tabla1[[#This Row],[LECTURA ]]&gt;0,(E17-E13),0)</f>
        <v>385</v>
      </c>
      <c r="G17" s="85">
        <f t="shared" ref="G17" si="7">IF(AND(G18&gt;0,G19&gt;0,G20&gt;0),SUM(G18:G20),0)</f>
        <v>194.69450000000003</v>
      </c>
      <c r="H17" s="85">
        <f>IF(F18&gt;0,VLOOKUP(C17,'RECIBO DE LUZ'!$A$4:$T$99,19,0),0)</f>
        <v>95.985810000000015</v>
      </c>
      <c r="I17" s="172">
        <f t="shared" ref="I17" si="8">IF(AND(G17&gt;0,H17&gt;0),SUM(G17:H17),0)</f>
        <v>290.68031000000008</v>
      </c>
    </row>
    <row r="18" spans="1:9" x14ac:dyDescent="0.25">
      <c r="A18" s="206"/>
      <c r="C18" s="113">
        <v>43405</v>
      </c>
      <c r="D18" s="90" t="s">
        <v>14</v>
      </c>
      <c r="E18" s="112">
        <v>783</v>
      </c>
      <c r="F18" s="91">
        <f>IF(Tabla1[[#This Row],[LECTURA ]]&gt;0,(E18-E14),0)</f>
        <v>143</v>
      </c>
      <c r="G18" s="82">
        <f>VLOOKUP(C18,$A$5:$B$198,2,0)*F18</f>
        <v>72.315100000000001</v>
      </c>
      <c r="H18" s="83">
        <f>IF(Tabla1[[#This Row],[VAR. LECTURA]]&gt;0,VLOOKUP(C18,'RECIBO DE LUZ'!$A$4:$T$99,20,0),0)</f>
        <v>31.995270000000005</v>
      </c>
      <c r="I18" s="173">
        <f>ROUND(+G18+H18+((G20+H20)/3),2)</f>
        <v>132</v>
      </c>
    </row>
    <row r="19" spans="1:9" x14ac:dyDescent="0.25">
      <c r="A19" s="206"/>
      <c r="C19" s="113">
        <v>43405</v>
      </c>
      <c r="D19" s="90" t="s">
        <v>32</v>
      </c>
      <c r="E19" s="112">
        <v>433</v>
      </c>
      <c r="F19" s="91">
        <f>IF(Tabla1[[#This Row],[LECTURA ]]&gt;0,(E19-E15),0)</f>
        <v>141</v>
      </c>
      <c r="G19" s="82">
        <f>VLOOKUP(C19,$A$5:$B$198,2,0)*F19</f>
        <v>71.303700000000006</v>
      </c>
      <c r="H19" s="83">
        <f>IF(Tabla1[[#This Row],[VAR. LECTURA]]&gt;0,VLOOKUP(C19,'RECIBO DE LUZ'!$A$4:$T$99,20,0),0)</f>
        <v>31.995270000000005</v>
      </c>
      <c r="I19" s="173">
        <f>ROUND(G19+H19+((G20+H20)/3),2)</f>
        <v>130.99</v>
      </c>
    </row>
    <row r="20" spans="1:9" x14ac:dyDescent="0.25">
      <c r="A20" s="206"/>
      <c r="C20" s="113">
        <v>43405</v>
      </c>
      <c r="D20" s="90" t="s">
        <v>15</v>
      </c>
      <c r="E20" s="112"/>
      <c r="F20" s="81">
        <f t="shared" ref="F20" si="9">+F17-F18-F19</f>
        <v>101</v>
      </c>
      <c r="G20" s="82">
        <f>VLOOKUP(C20,$A$5:$B$198,2,0)*F20</f>
        <v>51.075700000000005</v>
      </c>
      <c r="H20" s="83">
        <f>IF(Tabla1[[#This Row],[VAR. LECTURA]]&gt;0,VLOOKUP(C20,'RECIBO DE LUZ'!$A$4:$T$99,20,0),0)</f>
        <v>31.995270000000005</v>
      </c>
      <c r="I20" s="173">
        <f>ROUND((G20+H20)/3,2)</f>
        <v>27.69</v>
      </c>
    </row>
    <row r="21" spans="1:9" ht="15" customHeight="1" x14ac:dyDescent="0.25">
      <c r="A21" s="205">
        <v>43435</v>
      </c>
      <c r="B21" s="110">
        <f>VLOOKUP(A21,'RECIBO DE LUZ'!$A$3:$D$99,2,0)</f>
        <v>0.50719999999999998</v>
      </c>
      <c r="C21" s="113">
        <v>43435</v>
      </c>
      <c r="D21" s="111" t="s">
        <v>31</v>
      </c>
      <c r="E21" s="112">
        <v>3036</v>
      </c>
      <c r="F21" s="86">
        <f>IF(Tabla1[[#This Row],[LECTURA ]]&gt;0,(E21-E17),0)</f>
        <v>416</v>
      </c>
      <c r="G21" s="85">
        <f t="shared" ref="G21" si="10">IF(AND(G22&gt;0,G23&gt;0,G24&gt;0),SUM(G22:G24),0)</f>
        <v>210.99519999999998</v>
      </c>
      <c r="H21" s="85">
        <f>IF(F22&gt;0,VLOOKUP(C21,'RECIBO DE LUZ'!$A$4:$T$99,19,0),0)</f>
        <v>99.589935999999994</v>
      </c>
      <c r="I21" s="172">
        <f t="shared" ref="I21" si="11">IF(AND(G21&gt;0,H21&gt;0),SUM(G21:H21),0)</f>
        <v>310.58513599999998</v>
      </c>
    </row>
    <row r="22" spans="1:9" x14ac:dyDescent="0.25">
      <c r="A22" s="206"/>
      <c r="C22" s="113">
        <v>43435</v>
      </c>
      <c r="D22" s="90" t="s">
        <v>14</v>
      </c>
      <c r="E22" s="112">
        <v>934</v>
      </c>
      <c r="F22" s="91">
        <f>IF(Tabla1[[#This Row],[LECTURA ]]&gt;0,(E22-E18),0)</f>
        <v>151</v>
      </c>
      <c r="G22" s="82">
        <f>VLOOKUP(C22,$A$5:$B$198,2,0)*F22</f>
        <v>76.587199999999996</v>
      </c>
      <c r="H22" s="83">
        <f>IF(Tabla1[[#This Row],[VAR. LECTURA]]&gt;0,VLOOKUP(C22,'RECIBO DE LUZ'!$A$4:$T$99,20,0),0)</f>
        <v>33.196645333333329</v>
      </c>
      <c r="I22" s="173">
        <f>ROUND(+G22+H22+((G24+H24)/3),2)</f>
        <v>135.22</v>
      </c>
    </row>
    <row r="23" spans="1:9" x14ac:dyDescent="0.25">
      <c r="A23" s="206"/>
      <c r="C23" s="113">
        <v>43435</v>
      </c>
      <c r="D23" s="90" t="s">
        <v>32</v>
      </c>
      <c r="E23" s="112">
        <v>613</v>
      </c>
      <c r="F23" s="91">
        <f>IF(Tabla1[[#This Row],[LECTURA ]]&gt;0,(E23-E19),0)</f>
        <v>180</v>
      </c>
      <c r="G23" s="82">
        <f>VLOOKUP(C23,$A$5:$B$198,2,0)*F23</f>
        <v>91.295999999999992</v>
      </c>
      <c r="H23" s="83">
        <f>IF(Tabla1[[#This Row],[VAR. LECTURA]]&gt;0,VLOOKUP(C23,'RECIBO DE LUZ'!$A$4:$T$99,20,0),0)</f>
        <v>33.196645333333329</v>
      </c>
      <c r="I23" s="173">
        <f>ROUND(G23+H23+((G24+H24)/3),2)</f>
        <v>149.93</v>
      </c>
    </row>
    <row r="24" spans="1:9" x14ac:dyDescent="0.25">
      <c r="A24" s="206"/>
      <c r="C24" s="113">
        <v>43435</v>
      </c>
      <c r="D24" s="90" t="s">
        <v>15</v>
      </c>
      <c r="E24" s="112"/>
      <c r="F24" s="81">
        <f t="shared" ref="F24" si="12">+F21-F22-F23</f>
        <v>85</v>
      </c>
      <c r="G24" s="82">
        <f>VLOOKUP(C24,$A$5:$B$198,2,0)*F24</f>
        <v>43.112000000000002</v>
      </c>
      <c r="H24" s="83">
        <f>IF(Tabla1[[#This Row],[VAR. LECTURA]]&gt;0,VLOOKUP(C24,'RECIBO DE LUZ'!$A$4:$T$99,20,0),0)</f>
        <v>33.196645333333329</v>
      </c>
      <c r="I24" s="173">
        <f>ROUND((G24+H24)/3,2)</f>
        <v>25.44</v>
      </c>
    </row>
    <row r="25" spans="1:9" x14ac:dyDescent="0.25">
      <c r="A25" s="205">
        <v>43466</v>
      </c>
      <c r="B25" s="110">
        <f>VLOOKUP(A25,'RECIBO DE LUZ'!$A$3:$D$99,2,0)</f>
        <v>0.5282</v>
      </c>
      <c r="C25" s="113">
        <v>43466</v>
      </c>
      <c r="D25" s="111" t="s">
        <v>31</v>
      </c>
      <c r="E25" s="112">
        <v>3586</v>
      </c>
      <c r="F25" s="86">
        <f>IF(Tabla1[[#This Row],[LECTURA ]]&gt;0,(E25-E21),0)</f>
        <v>550</v>
      </c>
      <c r="G25" s="85">
        <f t="shared" ref="G25" si="13">IF(AND(G26&gt;0,G27&gt;0,G28&gt;0),SUM(G26:G28),0)</f>
        <v>290.51</v>
      </c>
      <c r="H25" s="85">
        <f>IF(F26&gt;0,VLOOKUP(C25,'RECIBO DE LUZ'!$A$4:$T$99,19,0),0)</f>
        <v>99.589935999999994</v>
      </c>
      <c r="I25" s="172">
        <f t="shared" ref="I25" si="14">IF(AND(G25&gt;0,H25&gt;0),SUM(G25:H25),0)</f>
        <v>390.09993599999996</v>
      </c>
    </row>
    <row r="26" spans="1:9" x14ac:dyDescent="0.25">
      <c r="A26" s="206"/>
      <c r="C26" s="113">
        <v>43466</v>
      </c>
      <c r="D26" s="90" t="s">
        <v>14</v>
      </c>
      <c r="E26" s="112">
        <v>1106</v>
      </c>
      <c r="F26" s="91">
        <f>IF(Tabla1[[#This Row],[LECTURA ]]&gt;0,(E26-E22),0)</f>
        <v>172</v>
      </c>
      <c r="G26" s="82">
        <f>VLOOKUP(C26,$A$5:$B$198,2,0)*F26</f>
        <v>90.850400000000008</v>
      </c>
      <c r="H26" s="83">
        <f>IF(Tabla1[[#This Row],[VAR. LECTURA]]&gt;0,VLOOKUP(C26,'RECIBO DE LUZ'!$A$4:$T$99,20,0),0)</f>
        <v>33.196645333333329</v>
      </c>
      <c r="I26" s="173">
        <f>ROUND(+G26+H26+((G28+H28)/3),2)</f>
        <v>160.82</v>
      </c>
    </row>
    <row r="27" spans="1:9" x14ac:dyDescent="0.25">
      <c r="A27" s="206"/>
      <c r="C27" s="113">
        <v>43466</v>
      </c>
      <c r="D27" s="90" t="s">
        <v>32</v>
      </c>
      <c r="E27" s="112">
        <v>845</v>
      </c>
      <c r="F27" s="91">
        <f>IF(Tabla1[[#This Row],[LECTURA ]]&gt;0,(E27-E23),0)</f>
        <v>232</v>
      </c>
      <c r="G27" s="82">
        <f>VLOOKUP(C27,$A$5:$B$198,2,0)*F27</f>
        <v>122.5424</v>
      </c>
      <c r="H27" s="83">
        <f>IF(Tabla1[[#This Row],[VAR. LECTURA]]&gt;0,VLOOKUP(C27,'RECIBO DE LUZ'!$A$4:$T$99,20,0),0)</f>
        <v>33.196645333333329</v>
      </c>
      <c r="I27" s="173">
        <f>ROUND(G27+H27+((G28+H28)/3),2)</f>
        <v>192.51</v>
      </c>
    </row>
    <row r="28" spans="1:9" x14ac:dyDescent="0.25">
      <c r="A28" s="206"/>
      <c r="C28" s="113">
        <v>43466</v>
      </c>
      <c r="D28" s="90" t="s">
        <v>15</v>
      </c>
      <c r="E28" s="112"/>
      <c r="F28" s="81">
        <f t="shared" ref="F28" si="15">+F25-F26-F27</f>
        <v>146</v>
      </c>
      <c r="G28" s="82">
        <f>VLOOKUP(C28,$A$5:$B$198,2,0)*F28</f>
        <v>77.117199999999997</v>
      </c>
      <c r="H28" s="83">
        <f>IF(Tabla1[[#This Row],[VAR. LECTURA]]&gt;0,VLOOKUP(C28,'RECIBO DE LUZ'!$A$4:$T$99,20,0),0)</f>
        <v>33.196645333333329</v>
      </c>
      <c r="I28" s="173">
        <f>ROUND((G28+H28)/3,2)</f>
        <v>36.770000000000003</v>
      </c>
    </row>
    <row r="29" spans="1:9" x14ac:dyDescent="0.25">
      <c r="A29" s="205">
        <v>43497</v>
      </c>
      <c r="B29" s="110">
        <f>VLOOKUP(A29,'RECIBO DE LUZ'!$A$3:$D$99,2,0)</f>
        <v>0.5282</v>
      </c>
      <c r="C29" s="113">
        <v>43497</v>
      </c>
      <c r="D29" s="111" t="s">
        <v>31</v>
      </c>
      <c r="E29" s="112">
        <v>4099</v>
      </c>
      <c r="F29" s="86">
        <f>IF(Tabla1[[#This Row],[LECTURA ]]&gt;0,(E29-E25),0)</f>
        <v>513</v>
      </c>
      <c r="G29" s="85">
        <f t="shared" ref="G29" si="16">IF(AND(G30&gt;0,G31&gt;0,G32&gt;0),SUM(G30:G32),0)</f>
        <v>270.96659999999997</v>
      </c>
      <c r="H29" s="85">
        <f>IF(F30&gt;0,VLOOKUP(C29,'RECIBO DE LUZ'!$A$4:$T$99,19,0),0)</f>
        <v>136.697788</v>
      </c>
      <c r="I29" s="172">
        <f t="shared" ref="I29" si="17">IF(AND(G29&gt;0,H29&gt;0),SUM(G29:H29),0)</f>
        <v>407.66438799999997</v>
      </c>
    </row>
    <row r="30" spans="1:9" x14ac:dyDescent="0.25">
      <c r="A30" s="206"/>
      <c r="C30" s="113">
        <v>43497</v>
      </c>
      <c r="D30" s="90" t="s">
        <v>14</v>
      </c>
      <c r="E30" s="112">
        <v>1311</v>
      </c>
      <c r="F30" s="91">
        <f>IF(Tabla1[[#This Row],[LECTURA ]]&gt;0,(E30-E26),0)</f>
        <v>205</v>
      </c>
      <c r="G30" s="82">
        <f>VLOOKUP(C30,$A$5:$B$198,2,0)*F30</f>
        <v>108.28100000000001</v>
      </c>
      <c r="H30" s="83">
        <f>IF(Tabla1[[#This Row],[VAR. LECTURA]]&gt;0,VLOOKUP(C30,'RECIBO DE LUZ'!$A$4:$T$99,20,0),0)</f>
        <v>45.565929333333337</v>
      </c>
      <c r="I30" s="173">
        <f>ROUND(+G30+H30+((G32+H32)/3),2)</f>
        <v>173.09</v>
      </c>
    </row>
    <row r="31" spans="1:9" x14ac:dyDescent="0.25">
      <c r="A31" s="206"/>
      <c r="C31" s="113">
        <v>43497</v>
      </c>
      <c r="D31" s="90" t="s">
        <v>32</v>
      </c>
      <c r="E31" s="112">
        <v>1130</v>
      </c>
      <c r="F31" s="91">
        <f>IF(Tabla1[[#This Row],[LECTURA ]]&gt;0,(E31-E27),0)</f>
        <v>285</v>
      </c>
      <c r="G31" s="82">
        <f>VLOOKUP(C31,$A$5:$B$198,2,0)*F31</f>
        <v>150.53700000000001</v>
      </c>
      <c r="H31" s="83">
        <f>IF(Tabla1[[#This Row],[VAR. LECTURA]]&gt;0,VLOOKUP(C31,'RECIBO DE LUZ'!$A$4:$T$99,20,0),0)</f>
        <v>45.565929333333337</v>
      </c>
      <c r="I31" s="173">
        <f>ROUND(G31+H31+((G32+H32)/3),2)</f>
        <v>215.34</v>
      </c>
    </row>
    <row r="32" spans="1:9" x14ac:dyDescent="0.25">
      <c r="A32" s="206"/>
      <c r="C32" s="113">
        <v>43497</v>
      </c>
      <c r="D32" s="90" t="s">
        <v>15</v>
      </c>
      <c r="E32" s="112"/>
      <c r="F32" s="81">
        <f t="shared" ref="F32" si="18">+F29-F30-F31</f>
        <v>23</v>
      </c>
      <c r="G32" s="82">
        <f>VLOOKUP(C32,$A$5:$B$198,2,0)*F32</f>
        <v>12.1486</v>
      </c>
      <c r="H32" s="83">
        <f>IF(Tabla1[[#This Row],[VAR. LECTURA]]&gt;0,VLOOKUP(C32,'RECIBO DE LUZ'!$A$4:$T$99,20,0),0)</f>
        <v>45.565929333333337</v>
      </c>
      <c r="I32" s="173">
        <f>ROUND((G32+H32)/3,2)</f>
        <v>19.239999999999998</v>
      </c>
    </row>
    <row r="33" spans="1:9" x14ac:dyDescent="0.25">
      <c r="A33" s="205">
        <v>43525</v>
      </c>
      <c r="B33" s="110">
        <f>VLOOKUP(A33,'RECIBO DE LUZ'!$A$3:$D$99,2,0)</f>
        <v>0.53490000000000004</v>
      </c>
      <c r="C33" s="113">
        <v>43525</v>
      </c>
      <c r="D33" s="111" t="s">
        <v>31</v>
      </c>
      <c r="E33" s="112">
        <v>4617</v>
      </c>
      <c r="F33" s="86">
        <f>IF(Tabla1[[#This Row],[LECTURA ]]&gt;0,(E33-E29),0)</f>
        <v>518</v>
      </c>
      <c r="G33" s="85">
        <f t="shared" ref="G33" si="19">IF(AND(G34&gt;0,G35&gt;0,G36&gt;0),SUM(G34:G36),0)</f>
        <v>277.07820000000004</v>
      </c>
      <c r="H33" s="85">
        <f>IF(F34&gt;0,VLOOKUP(C33,'RECIBO DE LUZ'!$A$4:$T$99,19,0),0)</f>
        <v>125.71467600000001</v>
      </c>
      <c r="I33" s="172">
        <f t="shared" ref="I33" si="20">IF(AND(G33&gt;0,H33&gt;0),SUM(G33:H33),0)</f>
        <v>402.79287600000004</v>
      </c>
    </row>
    <row r="34" spans="1:9" x14ac:dyDescent="0.25">
      <c r="A34" s="206"/>
      <c r="C34" s="113">
        <v>43525</v>
      </c>
      <c r="D34" s="90" t="s">
        <v>14</v>
      </c>
      <c r="E34" s="112">
        <v>1421</v>
      </c>
      <c r="F34" s="91">
        <f>IF(Tabla1[[#This Row],[LECTURA ]]&gt;0,(E34-E30),0)</f>
        <v>110</v>
      </c>
      <c r="G34" s="82">
        <f>VLOOKUP(C34,$A$5:$B$198,2,0)*F34</f>
        <v>58.839000000000006</v>
      </c>
      <c r="H34" s="83">
        <f>IF(Tabla1[[#This Row],[VAR. LECTURA]]&gt;0,VLOOKUP(C34,'RECIBO DE LUZ'!$A$4:$T$99,20,0),0)</f>
        <v>41.904892000000004</v>
      </c>
      <c r="I34" s="173">
        <f>ROUND(+G34+H34+((G36+H36)/3),2)</f>
        <v>159.47</v>
      </c>
    </row>
    <row r="35" spans="1:9" x14ac:dyDescent="0.25">
      <c r="A35" s="206"/>
      <c r="C35" s="113">
        <v>43525</v>
      </c>
      <c r="D35" s="90" t="s">
        <v>32</v>
      </c>
      <c r="E35" s="112">
        <v>1287</v>
      </c>
      <c r="F35" s="91">
        <f>IF(Tabla1[[#This Row],[LECTURA ]]&gt;0,(E35-E31),0)</f>
        <v>157</v>
      </c>
      <c r="G35" s="82">
        <f>VLOOKUP(C35,$A$5:$B$198,2,0)*F35</f>
        <v>83.979300000000009</v>
      </c>
      <c r="H35" s="83">
        <f>IF(Tabla1[[#This Row],[VAR. LECTURA]]&gt;0,VLOOKUP(C35,'RECIBO DE LUZ'!$A$4:$T$99,20,0),0)</f>
        <v>41.904892000000004</v>
      </c>
      <c r="I35" s="173">
        <f>ROUND(G35+H35+((G36+H36)/3),2)</f>
        <v>184.61</v>
      </c>
    </row>
    <row r="36" spans="1:9" x14ac:dyDescent="0.25">
      <c r="A36" s="206"/>
      <c r="C36" s="113">
        <v>43525</v>
      </c>
      <c r="D36" s="90" t="s">
        <v>15</v>
      </c>
      <c r="E36" s="112"/>
      <c r="F36" s="81">
        <f t="shared" ref="F36" si="21">+F33-F34-F35</f>
        <v>251</v>
      </c>
      <c r="G36" s="82">
        <f>VLOOKUP(C36,$A$5:$B$198,2,0)*F36</f>
        <v>134.25990000000002</v>
      </c>
      <c r="H36" s="83">
        <f>IF(Tabla1[[#This Row],[VAR. LECTURA]]&gt;0,VLOOKUP(C36,'RECIBO DE LUZ'!$A$4:$T$99,20,0),0)</f>
        <v>41.904892000000004</v>
      </c>
      <c r="I36" s="173">
        <f>ROUND((G36+H36)/3,2)</f>
        <v>58.72</v>
      </c>
    </row>
    <row r="37" spans="1:9" x14ac:dyDescent="0.25">
      <c r="A37" s="205">
        <v>43556</v>
      </c>
      <c r="B37" s="110">
        <f>VLOOKUP(A37,'RECIBO DE LUZ'!$A$3:$D$99,2,0)</f>
        <v>0.53410000000000002</v>
      </c>
      <c r="C37" s="113">
        <v>43556</v>
      </c>
      <c r="D37" s="111" t="s">
        <v>31</v>
      </c>
      <c r="E37" s="112">
        <v>5051</v>
      </c>
      <c r="F37" s="86">
        <f>IF(Tabla1[[#This Row],[LECTURA ]]&gt;0,(E37-E33),0)</f>
        <v>434</v>
      </c>
      <c r="G37" s="85">
        <f t="shared" ref="G37" si="22">IF(AND(G38&gt;0,G39&gt;0,G40&gt;0),SUM(G38:G40),0)</f>
        <v>231.79939999999999</v>
      </c>
      <c r="H37" s="85">
        <f>IF(F38&gt;0,VLOOKUP(C37,'RECIBO DE LUZ'!$A$4:$T$99,19,0),0)</f>
        <v>107.34149200000002</v>
      </c>
      <c r="I37" s="172">
        <f t="shared" ref="I37" si="23">IF(AND(G37&gt;0,H37&gt;0),SUM(G37:H37),0)</f>
        <v>339.14089200000001</v>
      </c>
    </row>
    <row r="38" spans="1:9" x14ac:dyDescent="0.25">
      <c r="A38" s="206"/>
      <c r="C38" s="113">
        <v>43556</v>
      </c>
      <c r="D38" s="90" t="s">
        <v>14</v>
      </c>
      <c r="E38" s="112">
        <v>1579</v>
      </c>
      <c r="F38" s="91">
        <f>IF(Tabla1[[#This Row],[LECTURA ]]&gt;0,(E38-E34),0)</f>
        <v>158</v>
      </c>
      <c r="G38" s="82">
        <f>VLOOKUP(C38,$A$5:$B$198,2,0)*F38</f>
        <v>84.387799999999999</v>
      </c>
      <c r="H38" s="83">
        <f>IF(Tabla1[[#This Row],[VAR. LECTURA]]&gt;0,VLOOKUP(C38,'RECIBO DE LUZ'!$A$4:$T$99,20,0),0)</f>
        <v>35.780497333333336</v>
      </c>
      <c r="I38" s="173">
        <f>ROUND(+G38+H38+((G40+H40)/3),2)</f>
        <v>147.94</v>
      </c>
    </row>
    <row r="39" spans="1:9" x14ac:dyDescent="0.25">
      <c r="A39" s="206"/>
      <c r="C39" s="113">
        <v>43556</v>
      </c>
      <c r="D39" s="90" t="s">
        <v>32</v>
      </c>
      <c r="E39" s="112">
        <v>1474</v>
      </c>
      <c r="F39" s="91">
        <f>IF(Tabla1[[#This Row],[LECTURA ]]&gt;0,(E39-E35),0)</f>
        <v>187</v>
      </c>
      <c r="G39" s="82">
        <f>VLOOKUP(C39,$A$5:$B$198,2,0)*F39</f>
        <v>99.8767</v>
      </c>
      <c r="H39" s="83">
        <f>IF(Tabla1[[#This Row],[VAR. LECTURA]]&gt;0,VLOOKUP(C39,'RECIBO DE LUZ'!$A$4:$T$99,20,0),0)</f>
        <v>35.780497333333336</v>
      </c>
      <c r="I39" s="173">
        <f>ROUND(G39+H39+((G40+H40)/3),2)</f>
        <v>163.43</v>
      </c>
    </row>
    <row r="40" spans="1:9" x14ac:dyDescent="0.25">
      <c r="A40" s="206"/>
      <c r="C40" s="113">
        <v>43556</v>
      </c>
      <c r="D40" s="90" t="s">
        <v>15</v>
      </c>
      <c r="E40" s="112"/>
      <c r="F40" s="81">
        <f t="shared" ref="F40" si="24">+F37-F38-F39</f>
        <v>89</v>
      </c>
      <c r="G40" s="82">
        <f>VLOOKUP(C40,$A$5:$B$198,2,0)*F40</f>
        <v>47.5349</v>
      </c>
      <c r="H40" s="83">
        <f>IF(Tabla1[[#This Row],[VAR. LECTURA]]&gt;0,VLOOKUP(C40,'RECIBO DE LUZ'!$A$4:$T$99,20,0),0)</f>
        <v>35.780497333333336</v>
      </c>
      <c r="I40" s="173">
        <f>ROUND((G40+H40)/3,2)</f>
        <v>27.77</v>
      </c>
    </row>
    <row r="41" spans="1:9" x14ac:dyDescent="0.25">
      <c r="A41" s="205">
        <v>43586</v>
      </c>
      <c r="B41" s="110">
        <f>VLOOKUP(A41,'RECIBO DE LUZ'!$A$3:$D$99,2,0)</f>
        <v>0.53369999999999995</v>
      </c>
      <c r="C41" s="113">
        <v>43586</v>
      </c>
      <c r="D41" s="111" t="s">
        <v>31</v>
      </c>
      <c r="E41" s="112">
        <v>5500</v>
      </c>
      <c r="F41" s="86">
        <f>IF(Tabla1[[#This Row],[LECTURA ]]&gt;0,(E41-E37),0)</f>
        <v>449</v>
      </c>
      <c r="G41" s="85">
        <f t="shared" ref="G41" si="25">IF(AND(G42&gt;0,G43&gt;0,G44&gt;0),SUM(G42:G44),0)</f>
        <v>239.63129999999998</v>
      </c>
      <c r="H41" s="85">
        <f>IF(F42&gt;0,VLOOKUP(C41,'RECIBO DE LUZ'!$A$4:$T$99,19,0),0)</f>
        <v>105.89743399999999</v>
      </c>
      <c r="I41" s="172">
        <f t="shared" ref="I41" si="26">IF(AND(G41&gt;0,H41&gt;0),SUM(G41:H41),0)</f>
        <v>345.52873399999999</v>
      </c>
    </row>
    <row r="42" spans="1:9" x14ac:dyDescent="0.25">
      <c r="A42" s="206"/>
      <c r="C42" s="113">
        <v>43586</v>
      </c>
      <c r="D42" s="90" t="s">
        <v>14</v>
      </c>
      <c r="E42" s="112">
        <v>1709</v>
      </c>
      <c r="F42" s="91">
        <f>IF(Tabla1[[#This Row],[LECTURA ]]&gt;0,(E42-E38),0)</f>
        <v>130</v>
      </c>
      <c r="G42" s="82">
        <f>VLOOKUP(C42,$A$5:$B$198,2,0)*F42</f>
        <v>69.381</v>
      </c>
      <c r="H42" s="83">
        <f>IF(Tabla1[[#This Row],[VAR. LECTURA]]&gt;0,VLOOKUP(C42,'RECIBO DE LUZ'!$A$4:$T$99,20,0),0)</f>
        <v>35.299144666666663</v>
      </c>
      <c r="I42" s="173">
        <f>ROUND(+G42+H42+((G44+H44)/3),2)</f>
        <v>143.84</v>
      </c>
    </row>
    <row r="43" spans="1:9" x14ac:dyDescent="0.25">
      <c r="A43" s="206"/>
      <c r="C43" s="113">
        <v>43586</v>
      </c>
      <c r="D43" s="90" t="s">
        <v>32</v>
      </c>
      <c r="E43" s="112">
        <v>1639</v>
      </c>
      <c r="F43" s="91">
        <f>IF(Tabla1[[#This Row],[LECTURA ]]&gt;0,(E43-E39),0)</f>
        <v>165</v>
      </c>
      <c r="G43" s="82">
        <f>VLOOKUP(C43,$A$5:$B$198,2,0)*F43</f>
        <v>88.06049999999999</v>
      </c>
      <c r="H43" s="83">
        <f>IF(Tabla1[[#This Row],[VAR. LECTURA]]&gt;0,VLOOKUP(C43,'RECIBO DE LUZ'!$A$4:$T$99,20,0),0)</f>
        <v>35.299144666666663</v>
      </c>
      <c r="I43" s="173">
        <f>ROUND(G43+H43+((G44+H44)/3),2)</f>
        <v>162.52000000000001</v>
      </c>
    </row>
    <row r="44" spans="1:9" x14ac:dyDescent="0.25">
      <c r="A44" s="206"/>
      <c r="C44" s="113">
        <v>43586</v>
      </c>
      <c r="D44" s="90" t="s">
        <v>15</v>
      </c>
      <c r="E44" s="112"/>
      <c r="F44" s="81">
        <f t="shared" ref="F44" si="27">+F41-F42-F43</f>
        <v>154</v>
      </c>
      <c r="G44" s="82">
        <f>VLOOKUP(C44,$A$5:$B$198,2,0)*F44</f>
        <v>82.189799999999991</v>
      </c>
      <c r="H44" s="83">
        <f>IF(Tabla1[[#This Row],[VAR. LECTURA]]&gt;0,VLOOKUP(C44,'RECIBO DE LUZ'!$A$4:$T$99,20,0),0)</f>
        <v>35.299144666666663</v>
      </c>
      <c r="I44" s="173">
        <f>ROUND((G44+H44)/3,2)</f>
        <v>39.159999999999997</v>
      </c>
    </row>
    <row r="45" spans="1:9" x14ac:dyDescent="0.25">
      <c r="A45" s="205">
        <v>43617</v>
      </c>
      <c r="B45" s="110">
        <f>VLOOKUP(A45,'RECIBO DE LUZ'!$A$3:$D$99,2,0)</f>
        <v>0.53320000000000001</v>
      </c>
      <c r="C45" s="113">
        <v>43617</v>
      </c>
      <c r="D45" s="111" t="s">
        <v>31</v>
      </c>
      <c r="E45" s="112">
        <v>5888</v>
      </c>
      <c r="F45" s="86">
        <f>IF(Tabla1[[#This Row],[LECTURA ]]&gt;0,(E45-E41),0)</f>
        <v>388</v>
      </c>
      <c r="G45" s="85">
        <f t="shared" ref="G45" si="28">IF(AND(G46&gt;0,G47&gt;0,G48&gt;0),SUM(G46:G48),0)</f>
        <v>206.88160000000002</v>
      </c>
      <c r="H45" s="85">
        <f>IF(F46&gt;0,VLOOKUP(C45,'RECIBO DE LUZ'!$A$4:$T$99,19,0),0)</f>
        <v>61.774087999999999</v>
      </c>
      <c r="I45" s="172">
        <f t="shared" ref="I45" si="29">IF(AND(G45&gt;0,H45&gt;0),SUM(G45:H45),0)</f>
        <v>268.655688</v>
      </c>
    </row>
    <row r="46" spans="1:9" x14ac:dyDescent="0.25">
      <c r="A46" s="206"/>
      <c r="C46" s="113">
        <v>43617</v>
      </c>
      <c r="D46" s="90" t="s">
        <v>14</v>
      </c>
      <c r="E46" s="112">
        <v>1863</v>
      </c>
      <c r="F46" s="91">
        <f>IF(Tabla1[[#This Row],[LECTURA ]]&gt;0,(E46-E42),0)</f>
        <v>154</v>
      </c>
      <c r="G46" s="82">
        <f>VLOOKUP(C46,$A$5:$B$198,2,0)*F46</f>
        <v>82.112800000000007</v>
      </c>
      <c r="H46" s="83">
        <f>IF(Tabla1[[#This Row],[VAR. LECTURA]]&gt;0,VLOOKUP(C46,'RECIBO DE LUZ'!$A$4:$T$99,20,0),0)</f>
        <v>20.591362666666665</v>
      </c>
      <c r="I46" s="173">
        <f>ROUND(+G46+H46+((G48+H48)/3),2)</f>
        <v>112.94</v>
      </c>
    </row>
    <row r="47" spans="1:9" x14ac:dyDescent="0.25">
      <c r="A47" s="206"/>
      <c r="C47" s="113">
        <v>43617</v>
      </c>
      <c r="D47" s="90" t="s">
        <v>32</v>
      </c>
      <c r="E47" s="112">
        <v>1854</v>
      </c>
      <c r="F47" s="91">
        <f>IF(Tabla1[[#This Row],[LECTURA ]]&gt;0,(E47-E43),0)</f>
        <v>215</v>
      </c>
      <c r="G47" s="82">
        <f>VLOOKUP(C47,$A$5:$B$198,2,0)*F47</f>
        <v>114.63800000000001</v>
      </c>
      <c r="H47" s="83">
        <f>IF(Tabla1[[#This Row],[VAR. LECTURA]]&gt;0,VLOOKUP(C47,'RECIBO DE LUZ'!$A$4:$T$99,20,0),0)</f>
        <v>20.591362666666665</v>
      </c>
      <c r="I47" s="173">
        <f>ROUND(G47+H47+((G48+H48)/3),2)</f>
        <v>145.47</v>
      </c>
    </row>
    <row r="48" spans="1:9" x14ac:dyDescent="0.25">
      <c r="A48" s="206"/>
      <c r="C48" s="113">
        <v>43617</v>
      </c>
      <c r="D48" s="90" t="s">
        <v>15</v>
      </c>
      <c r="E48" s="112"/>
      <c r="F48" s="81">
        <f t="shared" ref="F48" si="30">+F45-F46-F47</f>
        <v>19</v>
      </c>
      <c r="G48" s="82">
        <f>VLOOKUP(C48,$A$5:$B$198,2,0)*F48</f>
        <v>10.130800000000001</v>
      </c>
      <c r="H48" s="83">
        <f>IF(Tabla1[[#This Row],[VAR. LECTURA]]&gt;0,VLOOKUP(C48,'RECIBO DE LUZ'!$A$4:$T$99,20,0),0)</f>
        <v>20.591362666666665</v>
      </c>
      <c r="I48" s="173">
        <f>ROUND((G48+H48)/3,2)</f>
        <v>10.24</v>
      </c>
    </row>
    <row r="49" spans="1:9" x14ac:dyDescent="0.25">
      <c r="A49" s="205">
        <v>43647</v>
      </c>
      <c r="B49" s="110">
        <f>VLOOKUP(A49,'RECIBO DE LUZ'!$A$3:$D$99,2,0)</f>
        <v>0.53349999999999997</v>
      </c>
      <c r="C49" s="113">
        <v>43647</v>
      </c>
      <c r="D49" s="111" t="s">
        <v>31</v>
      </c>
      <c r="E49" s="112">
        <v>6294</v>
      </c>
      <c r="F49" s="86">
        <f>IF(Tabla1[[#This Row],[LECTURA ]]&gt;0,(E49-E45),0)</f>
        <v>406</v>
      </c>
      <c r="G49" s="85">
        <f t="shared" ref="G49" si="31">IF(AND(G50&gt;0,G51&gt;0,G52&gt;0),SUM(G50:G52),0)</f>
        <v>216.601</v>
      </c>
      <c r="H49" s="85">
        <f>IF(F50&gt;0,VLOOKUP(C49,'RECIBO DE LUZ'!$A$4:$T$99,19,0),0)</f>
        <v>66.977580000000003</v>
      </c>
      <c r="I49" s="172">
        <f t="shared" ref="I49" si="32">IF(AND(G49&gt;0,H49&gt;0),SUM(G49:H49),0)</f>
        <v>283.57857999999999</v>
      </c>
    </row>
    <row r="50" spans="1:9" x14ac:dyDescent="0.25">
      <c r="A50" s="206"/>
      <c r="C50" s="113">
        <v>43647</v>
      </c>
      <c r="D50" s="90" t="s">
        <v>14</v>
      </c>
      <c r="E50" s="112">
        <v>1936</v>
      </c>
      <c r="F50" s="91">
        <f>IF(Tabla1[[#This Row],[LECTURA ]]&gt;0,(E50-E46),0)</f>
        <v>73</v>
      </c>
      <c r="G50" s="82">
        <f>VLOOKUP(C50,$A$5:$B$198,2,0)*F50</f>
        <v>38.945499999999996</v>
      </c>
      <c r="H50" s="83">
        <f>IF(Tabla1[[#This Row],[VAR. LECTURA]]&gt;0,VLOOKUP(C50,'RECIBO DE LUZ'!$A$4:$T$99,20,0),0)</f>
        <v>22.325860000000002</v>
      </c>
      <c r="I50" s="173">
        <f>ROUND(+G50+H50+((G52+H52)/3),2)</f>
        <v>102.68</v>
      </c>
    </row>
    <row r="51" spans="1:9" x14ac:dyDescent="0.25">
      <c r="A51" s="206"/>
      <c r="C51" s="113">
        <v>43647</v>
      </c>
      <c r="D51" s="90" t="s">
        <v>32</v>
      </c>
      <c r="E51" s="112">
        <v>1996</v>
      </c>
      <c r="F51" s="91">
        <f>IF(Tabla1[[#This Row],[LECTURA ]]&gt;0,(E51-E47),0)</f>
        <v>142</v>
      </c>
      <c r="G51" s="82">
        <f>VLOOKUP(C51,$A$5:$B$198,2,0)*F51</f>
        <v>75.756999999999991</v>
      </c>
      <c r="H51" s="83">
        <f>IF(Tabla1[[#This Row],[VAR. LECTURA]]&gt;0,VLOOKUP(C51,'RECIBO DE LUZ'!$A$4:$T$99,20,0),0)</f>
        <v>22.325860000000002</v>
      </c>
      <c r="I51" s="173">
        <f>ROUND(G51+H51+((G52+H52)/3),2)</f>
        <v>139.49</v>
      </c>
    </row>
    <row r="52" spans="1:9" x14ac:dyDescent="0.25">
      <c r="A52" s="206"/>
      <c r="C52" s="113">
        <v>43647</v>
      </c>
      <c r="D52" s="90" t="s">
        <v>15</v>
      </c>
      <c r="E52" s="112"/>
      <c r="F52" s="81">
        <f t="shared" ref="F52" si="33">+F49-F50-F51</f>
        <v>191</v>
      </c>
      <c r="G52" s="82">
        <f>VLOOKUP(C52,$A$5:$B$198,2,0)*F52</f>
        <v>101.8985</v>
      </c>
      <c r="H52" s="83">
        <f>IF(Tabla1[[#This Row],[VAR. LECTURA]]&gt;0,VLOOKUP(C52,'RECIBO DE LUZ'!$A$4:$T$99,20,0),0)</f>
        <v>22.325860000000002</v>
      </c>
      <c r="I52" s="173">
        <f>ROUND((G52+H52)/3,2)</f>
        <v>41.41</v>
      </c>
    </row>
    <row r="53" spans="1:9" x14ac:dyDescent="0.25">
      <c r="A53" s="205">
        <v>43678</v>
      </c>
      <c r="B53" s="110">
        <f>VLOOKUP(A53,'RECIBO DE LUZ'!$A$3:$D$99,2,0)</f>
        <v>0.53100000000000003</v>
      </c>
      <c r="C53" s="113">
        <v>43678</v>
      </c>
      <c r="D53" s="111" t="s">
        <v>31</v>
      </c>
      <c r="E53" s="112">
        <v>6726</v>
      </c>
      <c r="F53" s="86">
        <f>IF(Tabla1[[#This Row],[LECTURA ]]&gt;0,(E53-E49),0)</f>
        <v>432</v>
      </c>
      <c r="G53" s="85">
        <f t="shared" ref="G53" si="34">IF(AND(G54&gt;0,G55&gt;0,G56&gt;0),SUM(G54:G56),0)</f>
        <v>229.392</v>
      </c>
      <c r="H53" s="85">
        <f>IF(F54&gt;0,VLOOKUP(C53,'RECIBO DE LUZ'!$A$4:$T$99,19,0),0)</f>
        <v>70.325960000000009</v>
      </c>
      <c r="I53" s="172">
        <f t="shared" ref="I53" si="35">IF(AND(G53&gt;0,H53&gt;0),SUM(G53:H53),0)</f>
        <v>299.71796000000001</v>
      </c>
    </row>
    <row r="54" spans="1:9" x14ac:dyDescent="0.25">
      <c r="A54" s="206"/>
      <c r="C54" s="113">
        <v>43678</v>
      </c>
      <c r="D54" s="90" t="s">
        <v>14</v>
      </c>
      <c r="E54" s="112">
        <v>2045</v>
      </c>
      <c r="F54" s="91">
        <f>IF(Tabla1[[#This Row],[LECTURA ]]&gt;0,(E54-E50),0)</f>
        <v>109</v>
      </c>
      <c r="G54" s="82">
        <f>VLOOKUP(C54,$A$5:$B$198,2,0)*F54</f>
        <v>57.879000000000005</v>
      </c>
      <c r="H54" s="83">
        <f>IF(Tabla1[[#This Row],[VAR. LECTURA]]&gt;0,VLOOKUP(C54,'RECIBO DE LUZ'!$A$4:$T$99,20,0),0)</f>
        <v>23.441986666666669</v>
      </c>
      <c r="I54" s="173">
        <f>ROUND(+G54+H54+((G56+H56)/3),2)</f>
        <v>114.8</v>
      </c>
    </row>
    <row r="55" spans="1:9" x14ac:dyDescent="0.25">
      <c r="A55" s="206"/>
      <c r="C55" s="113">
        <v>43678</v>
      </c>
      <c r="D55" s="90" t="s">
        <v>32</v>
      </c>
      <c r="E55" s="112">
        <v>2174</v>
      </c>
      <c r="F55" s="91">
        <f>IF(Tabla1[[#This Row],[LECTURA ]]&gt;0,(E55-E51),0)</f>
        <v>178</v>
      </c>
      <c r="G55" s="82">
        <f>VLOOKUP(C55,$A$5:$B$198,2,0)*F55</f>
        <v>94.518000000000001</v>
      </c>
      <c r="H55" s="83">
        <f>IF(Tabla1[[#This Row],[VAR. LECTURA]]&gt;0,VLOOKUP(C55,'RECIBO DE LUZ'!$A$4:$T$99,20,0),0)</f>
        <v>23.441986666666669</v>
      </c>
      <c r="I55" s="173">
        <f>ROUND(G55+H55+((G56+H56)/3),2)</f>
        <v>151.44</v>
      </c>
    </row>
    <row r="56" spans="1:9" x14ac:dyDescent="0.25">
      <c r="A56" s="206"/>
      <c r="C56" s="113">
        <v>43678</v>
      </c>
      <c r="D56" s="90" t="s">
        <v>15</v>
      </c>
      <c r="E56" s="112"/>
      <c r="F56" s="81">
        <f t="shared" ref="F56" si="36">+F53-F54-F55</f>
        <v>145</v>
      </c>
      <c r="G56" s="82">
        <f>VLOOKUP(C56,$A$5:$B$198,2,0)*F56</f>
        <v>76.995000000000005</v>
      </c>
      <c r="H56" s="83">
        <f>IF(Tabla1[[#This Row],[VAR. LECTURA]]&gt;0,VLOOKUP(C56,'RECIBO DE LUZ'!$A$4:$T$99,20,0),0)</f>
        <v>23.441986666666669</v>
      </c>
      <c r="I56" s="173">
        <f>ROUND((G56+H56)/3,2)</f>
        <v>33.479999999999997</v>
      </c>
    </row>
    <row r="57" spans="1:9" x14ac:dyDescent="0.25">
      <c r="A57" s="205">
        <v>43709</v>
      </c>
      <c r="B57" s="110">
        <f>VLOOKUP(A57,'RECIBO DE LUZ'!$A$3:$D$99,2,0)</f>
        <v>0.52370000000000005</v>
      </c>
      <c r="C57" s="113">
        <v>43709</v>
      </c>
      <c r="D57" s="111" t="s">
        <v>31</v>
      </c>
      <c r="E57" s="112">
        <v>7128</v>
      </c>
      <c r="F57" s="86">
        <f>IF(Tabla1[[#This Row],[LECTURA ]]&gt;0,(E57-E53),0)</f>
        <v>402</v>
      </c>
      <c r="G57" s="85">
        <f t="shared" ref="G57" si="37">IF(AND(G58&gt;0,G59&gt;0,G60&gt;0),SUM(G58:G60),0)</f>
        <v>210.52740000000003</v>
      </c>
      <c r="H57" s="85">
        <f>IF(F58&gt;0,VLOOKUP(C57,'RECIBO DE LUZ'!$A$4:$T$99,19,0),0)</f>
        <v>66.680332000000007</v>
      </c>
      <c r="I57" s="172">
        <f t="shared" ref="I57" si="38">IF(AND(G57&gt;0,H57&gt;0),SUM(G57:H57),0)</f>
        <v>277.20773200000002</v>
      </c>
    </row>
    <row r="58" spans="1:9" x14ac:dyDescent="0.25">
      <c r="A58" s="206"/>
      <c r="C58" s="113">
        <v>43709</v>
      </c>
      <c r="D58" s="90" t="s">
        <v>14</v>
      </c>
      <c r="E58" s="112">
        <v>2156</v>
      </c>
      <c r="F58" s="91">
        <f>IF(Tabla1[[#This Row],[LECTURA ]]&gt;0,(E58-E54),0)</f>
        <v>111</v>
      </c>
      <c r="G58" s="82">
        <f>VLOOKUP(C58,$A$5:$B$198,2,0)*F58</f>
        <v>58.130700000000004</v>
      </c>
      <c r="H58" s="83">
        <f>IF(Tabla1[[#This Row],[VAR. LECTURA]]&gt;0,VLOOKUP(C58,'RECIBO DE LUZ'!$A$4:$T$99,20,0),0)</f>
        <v>22.226777333333334</v>
      </c>
      <c r="I58" s="173">
        <f>ROUND(+G58+H58+((G60+H60)/3),2)</f>
        <v>109.59</v>
      </c>
    </row>
    <row r="59" spans="1:9" x14ac:dyDescent="0.25">
      <c r="A59" s="206"/>
      <c r="C59" s="113">
        <v>43709</v>
      </c>
      <c r="D59" s="90" t="s">
        <v>32</v>
      </c>
      <c r="E59" s="112">
        <v>2340</v>
      </c>
      <c r="F59" s="91">
        <f>IF(Tabla1[[#This Row],[LECTURA ]]&gt;0,(E59-E55),0)</f>
        <v>166</v>
      </c>
      <c r="G59" s="82">
        <f>VLOOKUP(C59,$A$5:$B$198,2,0)*F59</f>
        <v>86.934200000000004</v>
      </c>
      <c r="H59" s="83">
        <f>IF(Tabla1[[#This Row],[VAR. LECTURA]]&gt;0,VLOOKUP(C59,'RECIBO DE LUZ'!$A$4:$T$99,20,0),0)</f>
        <v>22.226777333333334</v>
      </c>
      <c r="I59" s="173">
        <f>ROUND(G59+H59+((G60+H60)/3),2)</f>
        <v>138.38999999999999</v>
      </c>
    </row>
    <row r="60" spans="1:9" x14ac:dyDescent="0.25">
      <c r="A60" s="206"/>
      <c r="C60" s="113">
        <v>43709</v>
      </c>
      <c r="D60" s="90" t="s">
        <v>15</v>
      </c>
      <c r="E60" s="112"/>
      <c r="F60" s="81">
        <f t="shared" ref="F60" si="39">+F57-F58-F59</f>
        <v>125</v>
      </c>
      <c r="G60" s="82">
        <f>VLOOKUP(C60,$A$5:$B$198,2,0)*F60</f>
        <v>65.462500000000006</v>
      </c>
      <c r="H60" s="83">
        <f>IF(Tabla1[[#This Row],[VAR. LECTURA]]&gt;0,VLOOKUP(C60,'RECIBO DE LUZ'!$A$4:$T$99,20,0),0)</f>
        <v>22.226777333333334</v>
      </c>
      <c r="I60" s="173">
        <f>ROUND((G60+H60)/3,2)</f>
        <v>29.23</v>
      </c>
    </row>
    <row r="61" spans="1:9" x14ac:dyDescent="0.25">
      <c r="A61" s="205">
        <v>43739</v>
      </c>
      <c r="B61" s="110">
        <f>VLOOKUP(A61,'RECIBO DE LUZ'!$A$3:$D$99,2,0)</f>
        <v>0.52939999999999998</v>
      </c>
      <c r="C61" s="113">
        <v>43739</v>
      </c>
      <c r="D61" s="111" t="s">
        <v>31</v>
      </c>
      <c r="E61" s="112">
        <v>7573</v>
      </c>
      <c r="F61" s="86">
        <f>IF(Tabla1[[#This Row],[LECTURA ]]&gt;0,(E61-E57),0)</f>
        <v>445</v>
      </c>
      <c r="G61" s="85">
        <f t="shared" ref="G61" si="40">IF(AND(G62&gt;0,G63&gt;0,G64&gt;0),SUM(G62:G64),0)</f>
        <v>235.583</v>
      </c>
      <c r="H61" s="85">
        <f>IF(F62&gt;0,VLOOKUP(C61,'RECIBO DE LUZ'!$A$4:$T$99,19,0),0)</f>
        <v>68.234539999999996</v>
      </c>
      <c r="I61" s="172">
        <f t="shared" ref="I61" si="41">IF(AND(G61&gt;0,H61&gt;0),SUM(G61:H61),0)</f>
        <v>303.81754000000001</v>
      </c>
    </row>
    <row r="62" spans="1:9" x14ac:dyDescent="0.25">
      <c r="A62" s="206"/>
      <c r="C62" s="113">
        <v>43739</v>
      </c>
      <c r="D62" s="90" t="s">
        <v>14</v>
      </c>
      <c r="E62" s="112">
        <v>2282</v>
      </c>
      <c r="F62" s="91">
        <f>IF(Tabla1[[#This Row],[LECTURA ]]&gt;0,(E62-E58),0)</f>
        <v>126</v>
      </c>
      <c r="G62" s="82">
        <f>VLOOKUP(C62,$A$5:$B$198,2,0)*F62</f>
        <v>66.704399999999993</v>
      </c>
      <c r="H62" s="83">
        <f>IF(Tabla1[[#This Row],[VAR. LECTURA]]&gt;0,VLOOKUP(C62,'RECIBO DE LUZ'!$A$4:$T$99,20,0),0)</f>
        <v>22.744846666666664</v>
      </c>
      <c r="I62" s="173">
        <f>ROUND(+G62+H62+((G64+H64)/3),2)</f>
        <v>116.09</v>
      </c>
    </row>
    <row r="63" spans="1:9" x14ac:dyDescent="0.25">
      <c r="A63" s="206"/>
      <c r="C63" s="113">
        <v>43739</v>
      </c>
      <c r="D63" s="90" t="s">
        <v>32</v>
      </c>
      <c r="E63" s="112">
        <v>2551</v>
      </c>
      <c r="F63" s="91">
        <f>IF(Tabla1[[#This Row],[LECTURA ]]&gt;0,(E63-E59),0)</f>
        <v>211</v>
      </c>
      <c r="G63" s="82">
        <f>VLOOKUP(C63,$A$5:$B$198,2,0)*F63</f>
        <v>111.7034</v>
      </c>
      <c r="H63" s="83">
        <f>IF(Tabla1[[#This Row],[VAR. LECTURA]]&gt;0,VLOOKUP(C63,'RECIBO DE LUZ'!$A$4:$T$99,20,0),0)</f>
        <v>22.744846666666664</v>
      </c>
      <c r="I63" s="173">
        <f>ROUND(G63+H63+((G64+H64)/3),2)</f>
        <v>161.09</v>
      </c>
    </row>
    <row r="64" spans="1:9" x14ac:dyDescent="0.25">
      <c r="A64" s="206"/>
      <c r="C64" s="113">
        <v>43739</v>
      </c>
      <c r="D64" s="90" t="s">
        <v>15</v>
      </c>
      <c r="E64" s="112"/>
      <c r="F64" s="81">
        <f t="shared" ref="F64" si="42">+F61-F62-F63</f>
        <v>108</v>
      </c>
      <c r="G64" s="82">
        <f>VLOOKUP(C64,$A$5:$B$198,2,0)*F64</f>
        <v>57.175199999999997</v>
      </c>
      <c r="H64" s="83">
        <f>IF(Tabla1[[#This Row],[VAR. LECTURA]]&gt;0,VLOOKUP(C64,'RECIBO DE LUZ'!$A$4:$T$99,20,0),0)</f>
        <v>22.744846666666664</v>
      </c>
      <c r="I64" s="173">
        <f>ROUND((G64+H64)/3,2)</f>
        <v>26.64</v>
      </c>
    </row>
    <row r="65" spans="1:9" x14ac:dyDescent="0.25">
      <c r="A65" s="205">
        <v>43770</v>
      </c>
      <c r="B65" s="110">
        <f>VLOOKUP(A65,'RECIBO DE LUZ'!$A$3:$D$99,2,0)</f>
        <v>0.54369999999999996</v>
      </c>
      <c r="C65" s="113">
        <v>43770</v>
      </c>
      <c r="D65" s="111" t="s">
        <v>31</v>
      </c>
      <c r="E65" s="112">
        <v>8083</v>
      </c>
      <c r="F65" s="86">
        <f>IF(Tabla1[[#This Row],[LECTURA ]]&gt;0,(E65-E61),0)</f>
        <v>510</v>
      </c>
      <c r="G65" s="85">
        <f t="shared" ref="G65" si="43">IF(AND(G66&gt;0,G67&gt;0,G68&gt;0),SUM(G66:G68),0)</f>
        <v>277.28699999999998</v>
      </c>
      <c r="H65" s="85">
        <f>IF(F66&gt;0,VLOOKUP(C65,'RECIBO DE LUZ'!$A$4:$T$99,19,0),0)</f>
        <v>91.998860000000008</v>
      </c>
      <c r="I65" s="172">
        <f t="shared" ref="I65" si="44">IF(AND(G65&gt;0,H65&gt;0),SUM(G65:H65),0)</f>
        <v>369.28585999999996</v>
      </c>
    </row>
    <row r="66" spans="1:9" x14ac:dyDescent="0.25">
      <c r="A66" s="206"/>
      <c r="C66" s="113">
        <v>43770</v>
      </c>
      <c r="D66" s="90" t="s">
        <v>14</v>
      </c>
      <c r="E66" s="112">
        <v>2400</v>
      </c>
      <c r="F66" s="91">
        <f>IF(Tabla1[[#This Row],[LECTURA ]]&gt;0,(E66-E62),0)</f>
        <v>118</v>
      </c>
      <c r="G66" s="82">
        <f>VLOOKUP(C66,$A$5:$B$198,2,0)*F66</f>
        <v>64.156599999999997</v>
      </c>
      <c r="H66" s="83">
        <f>IF(Tabla1[[#This Row],[VAR. LECTURA]]&gt;0,VLOOKUP(C66,'RECIBO DE LUZ'!$A$4:$T$99,20,0),0)</f>
        <v>30.666286666666668</v>
      </c>
      <c r="I66" s="173">
        <f>ROUND(+G66+H66+((G68+H68)/3),2)</f>
        <v>134.77000000000001</v>
      </c>
    </row>
    <row r="67" spans="1:9" x14ac:dyDescent="0.25">
      <c r="A67" s="206"/>
      <c r="C67" s="113">
        <v>43770</v>
      </c>
      <c r="D67" s="90" t="s">
        <v>32</v>
      </c>
      <c r="E67" s="112">
        <v>2779</v>
      </c>
      <c r="F67" s="91">
        <f>IF(Tabla1[[#This Row],[LECTURA ]]&gt;0,(E67-E63),0)</f>
        <v>228</v>
      </c>
      <c r="G67" s="82">
        <f>VLOOKUP(C67,$A$5:$B$198,2,0)*F67</f>
        <v>123.96359999999999</v>
      </c>
      <c r="H67" s="83">
        <f>IF(Tabla1[[#This Row],[VAR. LECTURA]]&gt;0,VLOOKUP(C67,'RECIBO DE LUZ'!$A$4:$T$99,20,0),0)</f>
        <v>30.666286666666668</v>
      </c>
      <c r="I67" s="173">
        <f>ROUND(G67+H67+((G68+H68)/3),2)</f>
        <v>194.57</v>
      </c>
    </row>
    <row r="68" spans="1:9" x14ac:dyDescent="0.25">
      <c r="A68" s="206"/>
      <c r="C68" s="113">
        <v>43770</v>
      </c>
      <c r="D68" s="90" t="s">
        <v>15</v>
      </c>
      <c r="E68" s="112"/>
      <c r="F68" s="81">
        <f t="shared" ref="F68" si="45">+F65-F66-F67</f>
        <v>164</v>
      </c>
      <c r="G68" s="82">
        <f>VLOOKUP(C68,$A$5:$B$198,2,0)*F68</f>
        <v>89.166799999999995</v>
      </c>
      <c r="H68" s="83">
        <f>IF(Tabla1[[#This Row],[VAR. LECTURA]]&gt;0,VLOOKUP(C68,'RECIBO DE LUZ'!$A$4:$T$99,20,0),0)</f>
        <v>30.666286666666668</v>
      </c>
      <c r="I68" s="173">
        <f>ROUND((G68+H68)/3,2)</f>
        <v>39.94</v>
      </c>
    </row>
    <row r="69" spans="1:9" x14ac:dyDescent="0.25">
      <c r="A69" s="205">
        <v>43800</v>
      </c>
      <c r="B69" s="110">
        <f>VLOOKUP(A69,'RECIBO DE LUZ'!$A$3:$D$99,2,0)</f>
        <v>0.54369999999999996</v>
      </c>
      <c r="C69" s="113">
        <v>43800</v>
      </c>
      <c r="D69" s="111" t="s">
        <v>31</v>
      </c>
      <c r="E69" s="112">
        <v>8524</v>
      </c>
      <c r="F69" s="86">
        <f>IF(Tabla1[[#This Row],[LECTURA ]]&gt;0,(E69-E65),0)</f>
        <v>441</v>
      </c>
      <c r="G69" s="85">
        <f t="shared" ref="G69" si="46">IF(AND(G70&gt;0,G71&gt;0,G72&gt;0),SUM(G70:G72),0)</f>
        <v>239.77169999999998</v>
      </c>
      <c r="H69" s="85">
        <f>IF(F70&gt;0,VLOOKUP(C69,'RECIBO DE LUZ'!$A$4:$T$99,19,0),0)</f>
        <v>71.260105999999993</v>
      </c>
      <c r="I69" s="172">
        <f t="shared" ref="I69" si="47">IF(AND(G69&gt;0,H69&gt;0),SUM(G69:H69),0)</f>
        <v>311.03180599999996</v>
      </c>
    </row>
    <row r="70" spans="1:9" x14ac:dyDescent="0.25">
      <c r="A70" s="206"/>
      <c r="C70" s="113">
        <v>43800</v>
      </c>
      <c r="D70" s="90" t="s">
        <v>14</v>
      </c>
      <c r="E70" s="112">
        <v>2540</v>
      </c>
      <c r="F70" s="91">
        <f>IF(Tabla1[[#This Row],[LECTURA ]]&gt;0,(E70-E66),0)</f>
        <v>140</v>
      </c>
      <c r="G70" s="82">
        <f>VLOOKUP(C70,$A$5:$B$198,2,0)*F70</f>
        <v>76.117999999999995</v>
      </c>
      <c r="H70" s="83">
        <f>IF(Tabla1[[#This Row],[VAR. LECTURA]]&gt;0,VLOOKUP(C70,'RECIBO DE LUZ'!$A$4:$T$99,20,0),0)</f>
        <v>23.753368666666663</v>
      </c>
      <c r="I70" s="173">
        <f>ROUND(+G70+H70+((G72+H72)/3),2)</f>
        <v>129.36000000000001</v>
      </c>
    </row>
    <row r="71" spans="1:9" x14ac:dyDescent="0.25">
      <c r="A71" s="206"/>
      <c r="C71" s="113">
        <v>43800</v>
      </c>
      <c r="D71" s="90" t="s">
        <v>32</v>
      </c>
      <c r="E71" s="112">
        <v>2961</v>
      </c>
      <c r="F71" s="91">
        <f>IF(Tabla1[[#This Row],[LECTURA ]]&gt;0,(E71-E67),0)</f>
        <v>182</v>
      </c>
      <c r="G71" s="82">
        <f>VLOOKUP(C71,$A$5:$B$198,2,0)*F71</f>
        <v>98.953399999999988</v>
      </c>
      <c r="H71" s="83">
        <f>IF(Tabla1[[#This Row],[VAR. LECTURA]]&gt;0,VLOOKUP(C71,'RECIBO DE LUZ'!$A$4:$T$99,20,0),0)</f>
        <v>23.753368666666663</v>
      </c>
      <c r="I71" s="173">
        <f>ROUND(G71+H71+((G72+H72)/3),2)</f>
        <v>152.19</v>
      </c>
    </row>
    <row r="72" spans="1:9" x14ac:dyDescent="0.25">
      <c r="A72" s="206"/>
      <c r="C72" s="113">
        <v>43800</v>
      </c>
      <c r="D72" s="90" t="s">
        <v>15</v>
      </c>
      <c r="E72" s="112"/>
      <c r="F72" s="81">
        <f t="shared" ref="F72" si="48">+F69-F70-F71</f>
        <v>119</v>
      </c>
      <c r="G72" s="82">
        <f>VLOOKUP(C72,$A$5:$B$198,2,0)*F72</f>
        <v>64.700299999999999</v>
      </c>
      <c r="H72" s="83">
        <f>IF(Tabla1[[#This Row],[VAR. LECTURA]]&gt;0,VLOOKUP(C72,'RECIBO DE LUZ'!$A$4:$T$99,20,0),0)</f>
        <v>23.753368666666663</v>
      </c>
      <c r="I72" s="173">
        <f>ROUND((G72+H72)/3,2)</f>
        <v>29.48</v>
      </c>
    </row>
    <row r="73" spans="1:9" x14ac:dyDescent="0.25">
      <c r="A73" s="205">
        <v>43831</v>
      </c>
      <c r="B73" s="110">
        <f>VLOOKUP(A73,'RECIBO DE LUZ'!$A$3:$D$99,2,0)</f>
        <v>0.55310000000000004</v>
      </c>
      <c r="C73" s="113">
        <v>43831</v>
      </c>
      <c r="D73" s="111" t="s">
        <v>31</v>
      </c>
      <c r="E73" s="112">
        <v>9038</v>
      </c>
      <c r="F73" s="86">
        <f>IF(Tabla1[[#This Row],[LECTURA ]]&gt;0,(E73-E69),0)</f>
        <v>514</v>
      </c>
      <c r="G73" s="85">
        <f t="shared" ref="G73" si="49">IF(AND(G74&gt;0,G75&gt;0,G76&gt;0),SUM(G74:G76),0)</f>
        <v>284.29340000000002</v>
      </c>
      <c r="H73" s="85">
        <f>IF(F74&gt;0,VLOOKUP(C73,'RECIBO DE LUZ'!$A$4:$T$99,19,0),0)</f>
        <v>90.096012000000002</v>
      </c>
      <c r="I73" s="172">
        <f>IF(AND(G73&gt;0,H73&gt;0),SUM(G73:H73),0)</f>
        <v>374.38941199999999</v>
      </c>
    </row>
    <row r="74" spans="1:9" x14ac:dyDescent="0.25">
      <c r="A74" s="206"/>
      <c r="B74" s="122"/>
      <c r="C74" s="113">
        <v>43831</v>
      </c>
      <c r="D74" s="90" t="s">
        <v>14</v>
      </c>
      <c r="E74" s="112">
        <v>2711</v>
      </c>
      <c r="F74" s="91">
        <f>IF(Tabla1[[#This Row],[LECTURA ]]&gt;0,(E74-E70),0)</f>
        <v>171</v>
      </c>
      <c r="G74" s="82">
        <f>VLOOKUP(C74,$A$5:$B$198,2,0)*F74</f>
        <v>94.580100000000002</v>
      </c>
      <c r="H74" s="83">
        <f>IF(Tabla1[[#This Row],[VAR. LECTURA]]&gt;0,VLOOKUP(C74,'RECIBO DE LUZ'!$A$4:$T$99,20,0),0)</f>
        <v>30.032004000000001</v>
      </c>
      <c r="I74" s="173">
        <f>ROUND(+G74+H74+((G76+H76)/3),2)</f>
        <v>146.79</v>
      </c>
    </row>
    <row r="75" spans="1:9" x14ac:dyDescent="0.25">
      <c r="A75" s="206"/>
      <c r="B75" s="120"/>
      <c r="C75" s="113">
        <v>43831</v>
      </c>
      <c r="D75" s="90" t="s">
        <v>32</v>
      </c>
      <c r="E75" s="112">
        <v>3238</v>
      </c>
      <c r="F75" s="91">
        <f>IF(Tabla1[[#This Row],[LECTURA ]]&gt;0,(E75-E71),0)</f>
        <v>277</v>
      </c>
      <c r="G75" s="82">
        <f>VLOOKUP(C75,$A$5:$B$198,2,0)*F75</f>
        <v>153.20870000000002</v>
      </c>
      <c r="H75" s="83">
        <f>IF(Tabla1[[#This Row],[VAR. LECTURA]]&gt;0,VLOOKUP(C75,'RECIBO DE LUZ'!$A$4:$T$99,20,0),0)</f>
        <v>30.032004000000001</v>
      </c>
      <c r="I75" s="173">
        <f>ROUND(G75+H75+((G76+H76)/3),2)</f>
        <v>205.42</v>
      </c>
    </row>
    <row r="76" spans="1:9" x14ac:dyDescent="0.25">
      <c r="A76" s="206"/>
      <c r="B76" s="120"/>
      <c r="C76" s="113">
        <v>43831</v>
      </c>
      <c r="D76" s="90" t="s">
        <v>15</v>
      </c>
      <c r="E76" s="112"/>
      <c r="F76" s="81">
        <f t="shared" ref="F76" si="50">+F73-F74-F75</f>
        <v>66</v>
      </c>
      <c r="G76" s="82">
        <f>VLOOKUP(C76,$A$5:$B$198,2,0)*F76</f>
        <v>36.504600000000003</v>
      </c>
      <c r="H76" s="83">
        <f>IF(Tabla1[[#This Row],[VAR. LECTURA]]&gt;0,VLOOKUP(C76,'RECIBO DE LUZ'!$A$4:$T$99,20,0),0)</f>
        <v>30.032004000000001</v>
      </c>
      <c r="I76" s="173">
        <f>ROUND((G76+H76)/3,2)</f>
        <v>22.18</v>
      </c>
    </row>
    <row r="77" spans="1:9" x14ac:dyDescent="0.25">
      <c r="A77" s="205">
        <v>43862</v>
      </c>
      <c r="B77" s="110">
        <f>VLOOKUP(A77,'RECIBO DE LUZ'!$A$3:$D$99,2,0)</f>
        <v>0.55130000000000001</v>
      </c>
      <c r="C77" s="113">
        <f>+A77</f>
        <v>43862</v>
      </c>
      <c r="D77" s="111" t="s">
        <v>31</v>
      </c>
      <c r="E77" s="112">
        <v>9576</v>
      </c>
      <c r="F77" s="86">
        <f>IF(Tabla1[[#This Row],[LECTURA ]]&gt;0,(E77-E73),0)</f>
        <v>538</v>
      </c>
      <c r="G77" s="85">
        <f t="shared" ref="G77" si="51">IF(AND(G78&gt;0,G79&gt;0,G80&gt;0),SUM(G78:G80),0)</f>
        <v>296.5994</v>
      </c>
      <c r="H77" s="85">
        <f>IF(F78&gt;0,VLOOKUP(C77,'RECIBO DE LUZ'!$A$4:$T$99,19,0),0)</f>
        <v>91.465091999999984</v>
      </c>
      <c r="I77" s="172">
        <f>IF(AND(G77&gt;0,H77&gt;0),SUM(G77:H77),0)</f>
        <v>388.06449199999997</v>
      </c>
    </row>
    <row r="78" spans="1:9" x14ac:dyDescent="0.25">
      <c r="A78" s="206"/>
      <c r="B78" s="122"/>
      <c r="C78" s="113">
        <f>+A77</f>
        <v>43862</v>
      </c>
      <c r="D78" s="90" t="s">
        <v>14</v>
      </c>
      <c r="E78" s="112">
        <v>2822</v>
      </c>
      <c r="F78" s="91">
        <f>IF(Tabla1[[#This Row],[LECTURA ]]&gt;0,(E78-E74),0)</f>
        <v>111</v>
      </c>
      <c r="G78" s="82">
        <f>VLOOKUP(C78,$A$5:$B$198,2,0)*F78</f>
        <v>61.194299999999998</v>
      </c>
      <c r="H78" s="83">
        <f>IF(Tabla1[[#This Row],[VAR. LECTURA]]&gt;0,VLOOKUP(C78,'RECIBO DE LUZ'!$A$4:$T$99,20,0),0)</f>
        <v>30.488363999999994</v>
      </c>
      <c r="I78" s="173">
        <f>ROUND(+G78+H78+((G80+H80)/3),2)</f>
        <v>145.94999999999999</v>
      </c>
    </row>
    <row r="79" spans="1:9" x14ac:dyDescent="0.25">
      <c r="A79" s="206"/>
      <c r="B79" s="120"/>
      <c r="C79" s="113">
        <f>+A77</f>
        <v>43862</v>
      </c>
      <c r="D79" s="90" t="s">
        <v>32</v>
      </c>
      <c r="E79" s="112">
        <v>3425</v>
      </c>
      <c r="F79" s="91">
        <f>IF(Tabla1[[#This Row],[LECTURA ]]&gt;0,(E79-E75),0)</f>
        <v>187</v>
      </c>
      <c r="G79" s="82">
        <f>VLOOKUP(C79,$A$5:$B$198,2,0)*F79</f>
        <v>103.09310000000001</v>
      </c>
      <c r="H79" s="83">
        <f>IF(Tabla1[[#This Row],[VAR. LECTURA]]&gt;0,VLOOKUP(C79,'RECIBO DE LUZ'!$A$4:$T$99,20,0),0)</f>
        <v>30.488363999999994</v>
      </c>
      <c r="I79" s="173">
        <f>ROUND(G79+H79+((G80+H80)/3),2)</f>
        <v>187.85</v>
      </c>
    </row>
    <row r="80" spans="1:9" x14ac:dyDescent="0.25">
      <c r="A80" s="206"/>
      <c r="B80" s="120"/>
      <c r="C80" s="113">
        <f>+A77</f>
        <v>43862</v>
      </c>
      <c r="D80" s="90" t="s">
        <v>15</v>
      </c>
      <c r="E80" s="112"/>
      <c r="F80" s="81">
        <f t="shared" ref="F80" si="52">+F77-F78-F79</f>
        <v>240</v>
      </c>
      <c r="G80" s="82">
        <f>VLOOKUP(C80,$A$5:$B$198,2,0)*F80</f>
        <v>132.31200000000001</v>
      </c>
      <c r="H80" s="83">
        <f>IF(Tabla1[[#This Row],[VAR. LECTURA]]&gt;0,VLOOKUP(C80,'RECIBO DE LUZ'!$A$4:$T$99,20,0),0)</f>
        <v>30.488363999999994</v>
      </c>
      <c r="I80" s="173">
        <f>ROUND((G80+H80)/3,2)</f>
        <v>54.27</v>
      </c>
    </row>
    <row r="81" spans="1:9" ht="15" customHeight="1" x14ac:dyDescent="0.25">
      <c r="A81" s="205">
        <v>43891</v>
      </c>
      <c r="B81" s="121">
        <f>VLOOKUP(A81,'RECIBO DE LUZ'!$A$3:$D$99,2,0)</f>
        <v>0.5474</v>
      </c>
      <c r="C81" s="113">
        <f>+A81</f>
        <v>43891</v>
      </c>
      <c r="D81" s="111" t="s">
        <v>31</v>
      </c>
      <c r="E81" s="112">
        <v>10120</v>
      </c>
      <c r="F81" s="86">
        <f>IF(Tabla1[[#This Row],[LECTURA ]]&gt;0,(E81-E77),0)</f>
        <v>544</v>
      </c>
      <c r="G81" s="85">
        <f t="shared" ref="G81" si="53">IF(AND(G82&gt;0,G83&gt;0,G84&gt;0),SUM(G82:G84),0)</f>
        <v>297.78559999999999</v>
      </c>
      <c r="H81" s="85">
        <f>IF(F82&gt;0,VLOOKUP(C81,'RECIBO DE LUZ'!$A$4:$T$99,19,0),0)</f>
        <v>90.206608000000017</v>
      </c>
      <c r="I81" s="172">
        <f>IF(AND(G81&gt;0,H81&gt;0),SUM(G81:H81),0)</f>
        <v>387.99220800000001</v>
      </c>
    </row>
    <row r="82" spans="1:9" x14ac:dyDescent="0.25">
      <c r="A82" s="206"/>
      <c r="B82" s="122"/>
      <c r="C82" s="113">
        <f>+A81</f>
        <v>43891</v>
      </c>
      <c r="D82" s="119" t="s">
        <v>14</v>
      </c>
      <c r="E82" s="112">
        <v>2950</v>
      </c>
      <c r="F82" s="116">
        <f>IF(Tabla1[[#This Row],[LECTURA ]]&gt;0,(E82-E78),0)</f>
        <v>128</v>
      </c>
      <c r="G82" s="117">
        <f>VLOOKUP(C82,$A$5:$B$198,2,0)*F82</f>
        <v>70.0672</v>
      </c>
      <c r="H82" s="83">
        <f>IF(Tabla1[[#This Row],[VAR. LECTURA]]&gt;0,VLOOKUP(C82,'RECIBO DE LUZ'!$A$4:$T$99,20,0),0)</f>
        <v>30.068869333333339</v>
      </c>
      <c r="I82" s="173">
        <f>ROUND(+G82+H82+((G84+H84)/3),2)</f>
        <v>141.18</v>
      </c>
    </row>
    <row r="83" spans="1:9" x14ac:dyDescent="0.25">
      <c r="A83" s="206"/>
      <c r="B83" s="120"/>
      <c r="C83" s="113">
        <f>+A81</f>
        <v>43891</v>
      </c>
      <c r="D83" s="119" t="s">
        <v>32</v>
      </c>
      <c r="E83" s="112">
        <v>3671</v>
      </c>
      <c r="F83" s="116">
        <f>IF(Tabla1[[#This Row],[LECTURA ]]&gt;0,(E83-E79),0)</f>
        <v>246</v>
      </c>
      <c r="G83" s="117">
        <f>VLOOKUP(C83,$A$5:$B$198,2,0)*F83</f>
        <v>134.66040000000001</v>
      </c>
      <c r="H83" s="83">
        <f>IF(Tabla1[[#This Row],[VAR. LECTURA]]&gt;0,VLOOKUP(C83,'RECIBO DE LUZ'!$A$4:$T$99,20,0),0)</f>
        <v>30.068869333333339</v>
      </c>
      <c r="I83" s="173">
        <f>ROUND(G83+H83+((G84+H84)/3),2)</f>
        <v>205.77</v>
      </c>
    </row>
    <row r="84" spans="1:9" x14ac:dyDescent="0.25">
      <c r="A84" s="206"/>
      <c r="B84" s="120"/>
      <c r="C84" s="113">
        <f>+A81</f>
        <v>43891</v>
      </c>
      <c r="D84" s="119" t="s">
        <v>15</v>
      </c>
      <c r="E84" s="112"/>
      <c r="F84" s="118">
        <f t="shared" ref="F84" si="54">+F81-F82-F83</f>
        <v>170</v>
      </c>
      <c r="G84" s="117">
        <f>VLOOKUP(C84,$A$5:$B$198,2,0)*F84</f>
        <v>93.057999999999993</v>
      </c>
      <c r="H84" s="83">
        <f>IF(Tabla1[[#This Row],[VAR. LECTURA]]&gt;0,VLOOKUP(C84,'RECIBO DE LUZ'!$A$4:$T$99,20,0),0)</f>
        <v>30.068869333333339</v>
      </c>
      <c r="I84" s="173">
        <f>ROUND((G84+H84)/3,2)</f>
        <v>41.04</v>
      </c>
    </row>
    <row r="85" spans="1:9" x14ac:dyDescent="0.25">
      <c r="A85" s="205">
        <v>43922</v>
      </c>
      <c r="B85" s="121">
        <f>VLOOKUP(A85,'RECIBO DE LUZ'!$A$3:$D$99,2,0)</f>
        <v>0.5474</v>
      </c>
      <c r="C85" s="113">
        <f>+A85</f>
        <v>43922</v>
      </c>
      <c r="D85" s="111" t="s">
        <v>31</v>
      </c>
      <c r="E85" s="112">
        <v>10660</v>
      </c>
      <c r="F85" s="86">
        <f>IF(Tabla1[[#This Row],[LECTURA ]]&gt;0,(E85-E81),0)</f>
        <v>540</v>
      </c>
      <c r="G85" s="85">
        <f t="shared" ref="G85" si="55">IF(AND(G86&gt;0,G87&gt;0,G88&gt;0),SUM(G86:G88),0)</f>
        <v>295.596</v>
      </c>
      <c r="H85" s="85">
        <f>IF(F86&gt;0,VLOOKUP(C85,'RECIBO DE LUZ'!$A$4:$T$99,19,0),0)</f>
        <v>85.402480000000011</v>
      </c>
      <c r="I85" s="172">
        <f>IF(AND(G85&gt;0,H85&gt;0),SUM(G85:H85),0)</f>
        <v>380.99848000000003</v>
      </c>
    </row>
    <row r="86" spans="1:9" x14ac:dyDescent="0.25">
      <c r="A86" s="206"/>
      <c r="B86" s="122"/>
      <c r="C86" s="113">
        <f>+A85</f>
        <v>43922</v>
      </c>
      <c r="D86" s="125" t="s">
        <v>14</v>
      </c>
      <c r="E86" s="112">
        <v>3134</v>
      </c>
      <c r="F86" s="126">
        <f>IF(Tabla1[[#This Row],[LECTURA ]]&gt;0,(E86-E82),0)</f>
        <v>184</v>
      </c>
      <c r="G86" s="82">
        <f>VLOOKUP(C86,$A$5:$B$198,2,0)*F86</f>
        <v>100.7216</v>
      </c>
      <c r="H86" s="83">
        <f>IF(Tabla1[[#This Row],[VAR. LECTURA]]&gt;0,VLOOKUP(C86,'RECIBO DE LUZ'!$A$4:$T$99,20,0),0)</f>
        <v>28.467493333333337</v>
      </c>
      <c r="I86" s="174">
        <f>ROUND(+G86+H86+((G88+H88)/3),2)</f>
        <v>151.27000000000001</v>
      </c>
    </row>
    <row r="87" spans="1:9" x14ac:dyDescent="0.25">
      <c r="A87" s="206"/>
      <c r="B87" s="124"/>
      <c r="C87" s="113">
        <f>+A85</f>
        <v>43922</v>
      </c>
      <c r="D87" s="125" t="s">
        <v>32</v>
      </c>
      <c r="E87" s="112">
        <v>3958</v>
      </c>
      <c r="F87" s="126">
        <f>IF(Tabla1[[#This Row],[LECTURA ]]&gt;0,(E87-E83),0)</f>
        <v>287</v>
      </c>
      <c r="G87" s="82">
        <f>VLOOKUP(C87,$A$5:$B$198,2,0)*F87</f>
        <v>157.10380000000001</v>
      </c>
      <c r="H87" s="83">
        <f>IF(Tabla1[[#This Row],[VAR. LECTURA]]&gt;0,VLOOKUP(C87,'RECIBO DE LUZ'!$A$4:$T$99,20,0),0)</f>
        <v>28.467493333333337</v>
      </c>
      <c r="I87" s="174">
        <f>ROUND(G87+H87+((G88+H88)/3),2)</f>
        <v>207.65</v>
      </c>
    </row>
    <row r="88" spans="1:9" x14ac:dyDescent="0.25">
      <c r="A88" s="206"/>
      <c r="B88" s="124"/>
      <c r="C88" s="128">
        <f>+A85</f>
        <v>43922</v>
      </c>
      <c r="D88" s="125" t="s">
        <v>15</v>
      </c>
      <c r="E88" s="129"/>
      <c r="F88" s="127">
        <f t="shared" ref="F88" si="56">+F85-F86-F87</f>
        <v>69</v>
      </c>
      <c r="G88" s="130">
        <f>VLOOKUP(C88,$A$5:$B$198,2,0)*F88</f>
        <v>37.770600000000002</v>
      </c>
      <c r="H88" s="83">
        <f>IF(Tabla1[[#This Row],[VAR. LECTURA]]&gt;0,VLOOKUP(C88,'RECIBO DE LUZ'!$A$4:$T$99,20,0),0)</f>
        <v>28.467493333333337</v>
      </c>
      <c r="I88" s="175">
        <f>ROUND((G88+H88)/3,2)</f>
        <v>22.08</v>
      </c>
    </row>
    <row r="89" spans="1:9" x14ac:dyDescent="0.25">
      <c r="A89" s="205">
        <v>43952</v>
      </c>
      <c r="B89" s="121">
        <f>VLOOKUP(A89,'RECIBO DE LUZ'!$A$3:$D$99,2,0)</f>
        <v>0.5474</v>
      </c>
      <c r="C89" s="113">
        <f>+A89</f>
        <v>43952</v>
      </c>
      <c r="D89" s="111" t="s">
        <v>31</v>
      </c>
      <c r="E89" s="112">
        <v>11146</v>
      </c>
      <c r="F89" s="86">
        <f>IF(Tabla1[[#This Row],[LECTURA ]]&gt;0,(E89-E85),0)</f>
        <v>486</v>
      </c>
      <c r="G89" s="85">
        <f t="shared" ref="G89" si="57">IF(AND(G90&gt;0,G91&gt;0,G92&gt;0),SUM(G90:G92),0)</f>
        <v>266.03640000000001</v>
      </c>
      <c r="H89" s="85">
        <f>IF(F90&gt;0,VLOOKUP(C89,'RECIBO DE LUZ'!$A$4:$T$99,19,0),0)</f>
        <v>68.460751999999999</v>
      </c>
      <c r="I89" s="172">
        <f>IF(AND(G89&gt;0,H89&gt;0),SUM(G89:H89),0)</f>
        <v>334.49715200000003</v>
      </c>
    </row>
    <row r="90" spans="1:9" x14ac:dyDescent="0.25">
      <c r="A90" s="206"/>
      <c r="B90" s="122"/>
      <c r="C90" s="113">
        <f>+A89</f>
        <v>43952</v>
      </c>
      <c r="D90" s="125" t="s">
        <v>14</v>
      </c>
      <c r="E90" s="112">
        <v>3267</v>
      </c>
      <c r="F90" s="126">
        <f>IF(Tabla1[[#This Row],[LECTURA ]]&gt;0,(E90-E86),0)</f>
        <v>133</v>
      </c>
      <c r="G90" s="82">
        <f>VLOOKUP(C90,$A$5:$B$198,2,0)*F90</f>
        <v>72.804199999999994</v>
      </c>
      <c r="H90" s="83">
        <f>IF(Tabla1[[#This Row],[VAR. LECTURA]]&gt;0,VLOOKUP(C90,'RECIBO DE LUZ'!$A$4:$T$99,20,0),0)</f>
        <v>22.820250666666666</v>
      </c>
      <c r="I90" s="174">
        <f>ROUND(+G90+H90+((G92+H92)/3),2)</f>
        <v>126.59</v>
      </c>
    </row>
    <row r="91" spans="1:9" x14ac:dyDescent="0.25">
      <c r="A91" s="206"/>
      <c r="B91" s="124"/>
      <c r="C91" s="113">
        <f>+A89</f>
        <v>43952</v>
      </c>
      <c r="D91" s="125" t="s">
        <v>32</v>
      </c>
      <c r="E91" s="112">
        <v>4183</v>
      </c>
      <c r="F91" s="126">
        <f>IF(Tabla1[[#This Row],[LECTURA ]]&gt;0,(E91-E87),0)</f>
        <v>225</v>
      </c>
      <c r="G91" s="82">
        <f>VLOOKUP(C91,$A$5:$B$198,2,0)*F91</f>
        <v>123.16500000000001</v>
      </c>
      <c r="H91" s="83">
        <f>IF(Tabla1[[#This Row],[VAR. LECTURA]]&gt;0,VLOOKUP(C91,'RECIBO DE LUZ'!$A$4:$T$99,20,0),0)</f>
        <v>22.820250666666666</v>
      </c>
      <c r="I91" s="174">
        <f>ROUND(G91+H91+((G92+H92)/3),2)</f>
        <v>176.95</v>
      </c>
    </row>
    <row r="92" spans="1:9" x14ac:dyDescent="0.25">
      <c r="A92" s="206"/>
      <c r="B92" s="124"/>
      <c r="C92" s="128">
        <f>+A89</f>
        <v>43952</v>
      </c>
      <c r="D92" s="125" t="s">
        <v>15</v>
      </c>
      <c r="E92" s="129"/>
      <c r="F92" s="127">
        <f t="shared" ref="F92" si="58">+F89-F90-F91</f>
        <v>128</v>
      </c>
      <c r="G92" s="130">
        <f>VLOOKUP(C92,$A$5:$B$198,2,0)*F92</f>
        <v>70.0672</v>
      </c>
      <c r="H92" s="83">
        <f>IF(Tabla1[[#This Row],[VAR. LECTURA]]&gt;0,VLOOKUP(C92,'RECIBO DE LUZ'!$A$4:$T$99,20,0),0)</f>
        <v>22.820250666666666</v>
      </c>
      <c r="I92" s="175">
        <f>ROUND((G92+H92)/3,2)</f>
        <v>30.96</v>
      </c>
    </row>
    <row r="93" spans="1:9" ht="15" customHeight="1" x14ac:dyDescent="0.25">
      <c r="A93" s="205">
        <v>43983</v>
      </c>
      <c r="B93" s="121">
        <f>VLOOKUP(A93,'RECIBO DE LUZ'!$A$3:$D$99,2,0)</f>
        <v>0.53449999999999998</v>
      </c>
      <c r="C93" s="113">
        <f>+A93</f>
        <v>43983</v>
      </c>
      <c r="D93" s="111" t="s">
        <v>31</v>
      </c>
      <c r="E93" s="112">
        <v>11708</v>
      </c>
      <c r="F93" s="86">
        <f>IF(Tabla1[[#This Row],[LECTURA ]]&gt;0,(E93-E89),0)</f>
        <v>562</v>
      </c>
      <c r="G93" s="85">
        <f t="shared" ref="G93" si="59">IF(AND(G94&gt;0,G95&gt;0,G96&gt;0),SUM(G94:G96),0)</f>
        <v>300.38900000000001</v>
      </c>
      <c r="H93" s="85">
        <f>IF(F94&gt;0,VLOOKUP(C93,'RECIBO DE LUZ'!$A$4:$T$99,19,0),0)</f>
        <v>134.60742000000002</v>
      </c>
      <c r="I93" s="172">
        <f>IF(AND(G93&gt;0,H93&gt;0),SUM(G93:H93),0)</f>
        <v>434.99642000000006</v>
      </c>
    </row>
    <row r="94" spans="1:9" x14ac:dyDescent="0.25">
      <c r="A94" s="206"/>
      <c r="B94" s="122"/>
      <c r="C94" s="113">
        <f>+A93</f>
        <v>43983</v>
      </c>
      <c r="D94" s="125" t="s">
        <v>14</v>
      </c>
      <c r="E94" s="112">
        <v>3394</v>
      </c>
      <c r="F94" s="126">
        <f>IF(Tabla1[[#This Row],[LECTURA ]]&gt;0,(E94-E90),0)</f>
        <v>127</v>
      </c>
      <c r="G94" s="82">
        <f>VLOOKUP(C94,$A$5:$B$198,2,0)*F94</f>
        <v>67.881500000000003</v>
      </c>
      <c r="H94" s="83">
        <f>IF(Tabla1[[#This Row],[VAR. LECTURA]]&gt;0,VLOOKUP(C94,'RECIBO DE LUZ'!$A$4:$T$99,20,0),0)</f>
        <v>44.869140000000009</v>
      </c>
      <c r="I94" s="174">
        <f>ROUND(+G94+H94+((G96+H96)/3),2)</f>
        <v>167.26</v>
      </c>
    </row>
    <row r="95" spans="1:9" x14ac:dyDescent="0.25">
      <c r="A95" s="206"/>
      <c r="B95" s="124"/>
      <c r="C95" s="113">
        <f>+A93</f>
        <v>43983</v>
      </c>
      <c r="D95" s="125" t="s">
        <v>32</v>
      </c>
      <c r="E95" s="112">
        <v>4396</v>
      </c>
      <c r="F95" s="126">
        <f>IF(Tabla1[[#This Row],[LECTURA ]]&gt;0,(E95-E91),0)</f>
        <v>213</v>
      </c>
      <c r="G95" s="82">
        <f>VLOOKUP(C95,$A$5:$B$198,2,0)*F95</f>
        <v>113.8485</v>
      </c>
      <c r="H95" s="83">
        <f>IF(Tabla1[[#This Row],[VAR. LECTURA]]&gt;0,VLOOKUP(C95,'RECIBO DE LUZ'!$A$4:$T$99,20,0),0)</f>
        <v>44.869140000000009</v>
      </c>
      <c r="I95" s="174">
        <f>ROUND(G95+H95+((G96+H96)/3),2)</f>
        <v>213.23</v>
      </c>
    </row>
    <row r="96" spans="1:9" x14ac:dyDescent="0.25">
      <c r="A96" s="206"/>
      <c r="B96" s="124"/>
      <c r="C96" s="128">
        <f>+A93</f>
        <v>43983</v>
      </c>
      <c r="D96" s="125" t="s">
        <v>15</v>
      </c>
      <c r="E96" s="129"/>
      <c r="F96" s="127">
        <f t="shared" ref="F96" si="60">+F93-F94-F95</f>
        <v>222</v>
      </c>
      <c r="G96" s="130">
        <f>VLOOKUP(C96,$A$5:$B$198,2,0)*F96</f>
        <v>118.65899999999999</v>
      </c>
      <c r="H96" s="83">
        <f>IF(Tabla1[[#This Row],[VAR. LECTURA]]&gt;0,VLOOKUP(C96,'RECIBO DE LUZ'!$A$4:$T$99,20,0),0)</f>
        <v>44.869140000000009</v>
      </c>
      <c r="I96" s="175">
        <f>ROUND((G96+H96)/3,2)</f>
        <v>54.51</v>
      </c>
    </row>
    <row r="97" spans="1:9" ht="15" customHeight="1" x14ac:dyDescent="0.25">
      <c r="A97" s="205">
        <v>44013</v>
      </c>
      <c r="B97" s="121">
        <f>VLOOKUP(A97,'RECIBO DE LUZ'!$A$3:$D$99,2,0)</f>
        <v>0.55779999999999996</v>
      </c>
      <c r="C97" s="113">
        <f>+A97</f>
        <v>44013</v>
      </c>
      <c r="D97" s="111" t="s">
        <v>31</v>
      </c>
      <c r="E97" s="112">
        <v>12155</v>
      </c>
      <c r="F97" s="86">
        <f>IF(Tabla1[[#This Row],[LECTURA ]]&gt;0,(E97-E93),0)</f>
        <v>447</v>
      </c>
      <c r="G97" s="85">
        <f t="shared" ref="G97" si="61">IF(AND(G98&gt;0,G99&gt;0,G100&gt;0),SUM(G98:G100),0)</f>
        <v>249.33659999999998</v>
      </c>
      <c r="H97" s="85">
        <f>IF(F98&gt;0,VLOOKUP(C97,'RECIBO DE LUZ'!$A$4:$T$99,19,0),0)</f>
        <v>73.171787999999992</v>
      </c>
      <c r="I97" s="172">
        <f>IF(AND(G97&gt;0,H97&gt;0),SUM(G97:H97),0)</f>
        <v>322.50838799999997</v>
      </c>
    </row>
    <row r="98" spans="1:9" x14ac:dyDescent="0.25">
      <c r="A98" s="206"/>
      <c r="B98" s="122"/>
      <c r="C98" s="113">
        <f>+A97</f>
        <v>44013</v>
      </c>
      <c r="D98" s="125" t="s">
        <v>14</v>
      </c>
      <c r="E98" s="112">
        <v>3524</v>
      </c>
      <c r="F98" s="126">
        <f>IF(Tabla1[[#This Row],[LECTURA ]]&gt;0,(E98-E94),0)</f>
        <v>130</v>
      </c>
      <c r="G98" s="82">
        <f>VLOOKUP(C98,$A$5:$B$198,2,0)*F98</f>
        <v>72.513999999999996</v>
      </c>
      <c r="H98" s="83">
        <f>IF(Tabla1[[#This Row],[VAR. LECTURA]]&gt;0,VLOOKUP(C98,'RECIBO DE LUZ'!$A$4:$T$99,20,0),0)</f>
        <v>24.390595999999999</v>
      </c>
      <c r="I98" s="174">
        <f>ROUND(+G98+H98+((G100+H100)/3),2)</f>
        <v>127.9</v>
      </c>
    </row>
    <row r="99" spans="1:9" x14ac:dyDescent="0.25">
      <c r="A99" s="206"/>
      <c r="B99" s="124"/>
      <c r="C99" s="113">
        <f>+A97</f>
        <v>44013</v>
      </c>
      <c r="D99" s="125" t="s">
        <v>32</v>
      </c>
      <c r="E99" s="112">
        <v>4590</v>
      </c>
      <c r="F99" s="126">
        <f>IF(Tabla1[[#This Row],[LECTURA ]]&gt;0,(E99-E95),0)</f>
        <v>194</v>
      </c>
      <c r="G99" s="82">
        <f>VLOOKUP(C99,$A$5:$B$198,2,0)*F99</f>
        <v>108.21319999999999</v>
      </c>
      <c r="H99" s="83">
        <f>IF(Tabla1[[#This Row],[VAR. LECTURA]]&gt;0,VLOOKUP(C99,'RECIBO DE LUZ'!$A$4:$T$99,20,0),0)</f>
        <v>24.390595999999999</v>
      </c>
      <c r="I99" s="174">
        <f>ROUND(G99+H99+((G100+H100)/3),2)</f>
        <v>163.6</v>
      </c>
    </row>
    <row r="100" spans="1:9" x14ac:dyDescent="0.25">
      <c r="A100" s="206"/>
      <c r="B100" s="124"/>
      <c r="C100" s="128">
        <f>+A97</f>
        <v>44013</v>
      </c>
      <c r="D100" s="125" t="s">
        <v>15</v>
      </c>
      <c r="E100" s="129"/>
      <c r="F100" s="127">
        <f t="shared" ref="F100" si="62">+F97-F98-F99</f>
        <v>123</v>
      </c>
      <c r="G100" s="130">
        <f>VLOOKUP(C100,$A$5:$B$198,2,0)*F100</f>
        <v>68.609399999999994</v>
      </c>
      <c r="H100" s="83">
        <f>IF(Tabla1[[#This Row],[VAR. LECTURA]]&gt;0,VLOOKUP(C100,'RECIBO DE LUZ'!$A$4:$T$99,20,0),0)</f>
        <v>24.390595999999999</v>
      </c>
      <c r="I100" s="175">
        <f>ROUND((G100+H100)/3,2)</f>
        <v>31</v>
      </c>
    </row>
    <row r="101" spans="1:9" ht="15" customHeight="1" x14ac:dyDescent="0.25">
      <c r="A101" s="205">
        <v>44044</v>
      </c>
      <c r="B101" s="121">
        <f>VLOOKUP(A101,'RECIBO DE LUZ'!$A$3:$D$99,2,0)</f>
        <v>0.56430000000000002</v>
      </c>
      <c r="C101" s="113">
        <f>+A101</f>
        <v>44044</v>
      </c>
      <c r="D101" s="111" t="s">
        <v>31</v>
      </c>
      <c r="E101" s="112">
        <v>12582</v>
      </c>
      <c r="F101" s="86">
        <f>IF(Tabla1[[#This Row],[LECTURA ]]&gt;0,(E101-E97),0)</f>
        <v>427</v>
      </c>
      <c r="G101" s="85">
        <f t="shared" ref="G101" si="63">IF(AND(G102&gt;0,G103&gt;0,G104&gt;0),SUM(G102:G104),0)</f>
        <v>240.95609999999999</v>
      </c>
      <c r="H101" s="85">
        <f>IF(F102&gt;0,VLOOKUP(C101,'RECIBO DE LUZ'!$A$4:$T$99,19,0),0)</f>
        <v>70.540698000000006</v>
      </c>
      <c r="I101" s="172">
        <f>IF(AND(G101&gt;0,H101&gt;0),SUM(G101:H101),0)</f>
        <v>311.49679800000001</v>
      </c>
    </row>
    <row r="102" spans="1:9" x14ac:dyDescent="0.25">
      <c r="A102" s="206"/>
      <c r="B102" s="122"/>
      <c r="C102" s="113">
        <f>+A101</f>
        <v>44044</v>
      </c>
      <c r="D102" s="125" t="s">
        <v>14</v>
      </c>
      <c r="E102" s="112">
        <v>3698</v>
      </c>
      <c r="F102" s="126">
        <f>IF(Tabla1[[#This Row],[LECTURA ]]&gt;0,(E102-E98),0)</f>
        <v>174</v>
      </c>
      <c r="G102" s="82">
        <f>VLOOKUP(C102,$A$5:$B$198,2,0)*F102</f>
        <v>98.188200000000009</v>
      </c>
      <c r="H102" s="83">
        <f>IF(Tabla1[[#This Row],[VAR. LECTURA]]&gt;0,VLOOKUP(C102,'RECIBO DE LUZ'!$A$4:$T$99,20,0),0)</f>
        <v>23.513566000000001</v>
      </c>
      <c r="I102" s="174">
        <f>ROUND(+G102+H102+((G104+H104)/3),2)</f>
        <v>136.5</v>
      </c>
    </row>
    <row r="103" spans="1:9" x14ac:dyDescent="0.25">
      <c r="A103" s="206"/>
      <c r="B103" s="124"/>
      <c r="C103" s="113">
        <f>+A101</f>
        <v>44044</v>
      </c>
      <c r="D103" s="125" t="s">
        <v>32</v>
      </c>
      <c r="E103" s="112">
        <v>4806</v>
      </c>
      <c r="F103" s="126">
        <f>IF(Tabla1[[#This Row],[LECTURA ]]&gt;0,(E103-E99),0)</f>
        <v>216</v>
      </c>
      <c r="G103" s="82">
        <f>VLOOKUP(C103,$A$5:$B$198,2,0)*F103</f>
        <v>121.8888</v>
      </c>
      <c r="H103" s="83">
        <f>IF(Tabla1[[#This Row],[VAR. LECTURA]]&gt;0,VLOOKUP(C103,'RECIBO DE LUZ'!$A$4:$T$99,20,0),0)</f>
        <v>23.513566000000001</v>
      </c>
      <c r="I103" s="174">
        <f>ROUND(G103+H103+((G104+H104)/3),2)</f>
        <v>160.19999999999999</v>
      </c>
    </row>
    <row r="104" spans="1:9" x14ac:dyDescent="0.25">
      <c r="A104" s="206"/>
      <c r="B104" s="124"/>
      <c r="C104" s="128">
        <f>+A101</f>
        <v>44044</v>
      </c>
      <c r="D104" s="125" t="s">
        <v>15</v>
      </c>
      <c r="E104" s="129"/>
      <c r="F104" s="127">
        <f t="shared" ref="F104" si="64">+F101-F102-F103</f>
        <v>37</v>
      </c>
      <c r="G104" s="130">
        <f>VLOOKUP(C104,$A$5:$B$198,2,0)*F104</f>
        <v>20.879100000000001</v>
      </c>
      <c r="H104" s="83">
        <f>IF(Tabla1[[#This Row],[VAR. LECTURA]]&gt;0,VLOOKUP(C104,'RECIBO DE LUZ'!$A$4:$T$99,20,0),0)</f>
        <v>23.513566000000001</v>
      </c>
      <c r="I104" s="175">
        <f>ROUND((G104+H104)/3,2)</f>
        <v>14.8</v>
      </c>
    </row>
    <row r="105" spans="1:9" ht="15" customHeight="1" x14ac:dyDescent="0.25">
      <c r="A105" s="205">
        <v>44075</v>
      </c>
      <c r="B105" s="121">
        <f>VLOOKUP(A105,'RECIBO DE LUZ'!$A$3:$D$99,2,0)</f>
        <v>0.5716</v>
      </c>
      <c r="C105" s="113">
        <f>+A105</f>
        <v>44075</v>
      </c>
      <c r="D105" s="111" t="s">
        <v>31</v>
      </c>
      <c r="E105" s="112">
        <v>13023</v>
      </c>
      <c r="F105" s="86">
        <f>IF(Tabla1[[#This Row],[LECTURA ]]&gt;0,(E105-E101),0)</f>
        <v>441</v>
      </c>
      <c r="G105" s="85">
        <f t="shared" ref="G105" si="65">IF(AND(G106&gt;0,G107&gt;0,G108&gt;0),SUM(G106:G108),0)</f>
        <v>252.07559999999998</v>
      </c>
      <c r="H105" s="85">
        <f>IF(F106&gt;0,VLOOKUP(C105,'RECIBO DE LUZ'!$A$4:$T$99,19,0),0)</f>
        <v>73.421207999999993</v>
      </c>
      <c r="I105" s="172">
        <f>IF(AND(G105&gt;0,H105&gt;0),SUM(G105:H105),0)</f>
        <v>325.49680799999999</v>
      </c>
    </row>
    <row r="106" spans="1:9" x14ac:dyDescent="0.25">
      <c r="A106" s="206"/>
      <c r="B106" s="122"/>
      <c r="C106" s="113">
        <f>+A105</f>
        <v>44075</v>
      </c>
      <c r="D106" s="125" t="s">
        <v>14</v>
      </c>
      <c r="E106" s="112">
        <v>3803</v>
      </c>
      <c r="F106" s="126">
        <f>IF(Tabla1[[#This Row],[LECTURA ]]&gt;0,(E106-E102),0)</f>
        <v>105</v>
      </c>
      <c r="G106" s="82">
        <f>VLOOKUP(C106,$A$5:$B$198,2,0)*F106</f>
        <v>60.018000000000001</v>
      </c>
      <c r="H106" s="83">
        <f>IF(Tabla1[[#This Row],[VAR. LECTURA]]&gt;0,VLOOKUP(C106,'RECIBO DE LUZ'!$A$4:$T$99,20,0),0)</f>
        <v>24.473735999999999</v>
      </c>
      <c r="I106" s="174">
        <f>ROUND(+G106+H106+((G108+H108)/3),2)</f>
        <v>130.18</v>
      </c>
    </row>
    <row r="107" spans="1:9" x14ac:dyDescent="0.25">
      <c r="A107" s="206"/>
      <c r="B107" s="124"/>
      <c r="C107" s="113">
        <f>+A105</f>
        <v>44075</v>
      </c>
      <c r="D107" s="125" t="s">
        <v>32</v>
      </c>
      <c r="E107" s="112">
        <v>4945</v>
      </c>
      <c r="F107" s="126">
        <f>IF(Tabla1[[#This Row],[LECTURA ]]&gt;0,(E107-E103),0)</f>
        <v>139</v>
      </c>
      <c r="G107" s="82">
        <f>VLOOKUP(C107,$A$5:$B$198,2,0)*F107</f>
        <v>79.452399999999997</v>
      </c>
      <c r="H107" s="83">
        <f>IF(Tabla1[[#This Row],[VAR. LECTURA]]&gt;0,VLOOKUP(C107,'RECIBO DE LUZ'!$A$4:$T$99,20,0),0)</f>
        <v>24.473735999999999</v>
      </c>
      <c r="I107" s="174">
        <f>ROUND(G107+H107+((G108+H108)/3),2)</f>
        <v>149.62</v>
      </c>
    </row>
    <row r="108" spans="1:9" x14ac:dyDescent="0.25">
      <c r="A108" s="206"/>
      <c r="B108" s="124"/>
      <c r="C108" s="128">
        <f>+A105</f>
        <v>44075</v>
      </c>
      <c r="D108" s="125" t="s">
        <v>15</v>
      </c>
      <c r="E108" s="129"/>
      <c r="F108" s="127">
        <f t="shared" ref="F108" si="66">+F105-F106-F107</f>
        <v>197</v>
      </c>
      <c r="G108" s="130">
        <f>VLOOKUP(C108,$A$5:$B$198,2,0)*F108</f>
        <v>112.6052</v>
      </c>
      <c r="H108" s="83">
        <f>IF(Tabla1[[#This Row],[VAR. LECTURA]]&gt;0,VLOOKUP(C108,'RECIBO DE LUZ'!$A$4:$T$99,20,0),0)</f>
        <v>24.473735999999999</v>
      </c>
      <c r="I108" s="175">
        <f>ROUND((G108+H108)/3,2)</f>
        <v>45.69</v>
      </c>
    </row>
    <row r="109" spans="1:9" ht="15" customHeight="1" x14ac:dyDescent="0.25">
      <c r="A109" s="205">
        <v>44105</v>
      </c>
      <c r="B109" s="121">
        <f>VLOOKUP(A109,'RECIBO DE LUZ'!$A$3:$D$99,2,0)</f>
        <v>0.57230000000000003</v>
      </c>
      <c r="C109" s="113">
        <f>+A109</f>
        <v>44105</v>
      </c>
      <c r="D109" s="111" t="s">
        <v>31</v>
      </c>
      <c r="E109" s="112">
        <v>13473</v>
      </c>
      <c r="F109" s="86">
        <f>IF(Tabla1[[#This Row],[LECTURA ]]&gt;0,(E109-E105),0)</f>
        <v>450</v>
      </c>
      <c r="G109" s="85">
        <f t="shared" ref="G109" si="67">IF(AND(G110&gt;0,G111&gt;0,G112&gt;0),SUM(G110:G112),0)</f>
        <v>257.53500000000003</v>
      </c>
      <c r="H109" s="85">
        <f>IF(F110&gt;0,VLOOKUP(C109,'RECIBO DE LUZ'!$A$4:$T$99,19,0),0)</f>
        <v>63.461500000000001</v>
      </c>
      <c r="I109" s="172">
        <f>IF(AND(G109&gt;0,H109&gt;0),SUM(G109:H109),0)</f>
        <v>320.99650000000003</v>
      </c>
    </row>
    <row r="110" spans="1:9" x14ac:dyDescent="0.25">
      <c r="A110" s="206"/>
      <c r="B110" s="122"/>
      <c r="C110" s="113">
        <f>+A109</f>
        <v>44105</v>
      </c>
      <c r="D110" s="125" t="s">
        <v>14</v>
      </c>
      <c r="E110" s="112">
        <v>3939</v>
      </c>
      <c r="F110" s="126">
        <f>IF(Tabla1[[#This Row],[LECTURA ]]&gt;0,(E110-E106),0)</f>
        <v>136</v>
      </c>
      <c r="G110" s="82">
        <f>VLOOKUP(C110,$A$5:$B$198,2,0)*F110</f>
        <v>77.832800000000006</v>
      </c>
      <c r="H110" s="83">
        <f>IF(Tabla1[[#This Row],[VAR. LECTURA]]&gt;0,VLOOKUP(C110,'RECIBO DE LUZ'!$A$4:$T$99,20,0),0)</f>
        <v>21.153833333333335</v>
      </c>
      <c r="I110" s="174">
        <f>ROUND(+G110+H110+((G112+H112)/3),2)</f>
        <v>130.27000000000001</v>
      </c>
    </row>
    <row r="111" spans="1:9" x14ac:dyDescent="0.25">
      <c r="A111" s="206"/>
      <c r="B111" s="124"/>
      <c r="C111" s="113">
        <f>+A109</f>
        <v>44105</v>
      </c>
      <c r="D111" s="125" t="s">
        <v>32</v>
      </c>
      <c r="E111" s="112">
        <v>5132</v>
      </c>
      <c r="F111" s="126">
        <f>IF(Tabla1[[#This Row],[LECTURA ]]&gt;0,(E111-E107),0)</f>
        <v>187</v>
      </c>
      <c r="G111" s="82">
        <f>VLOOKUP(C111,$A$5:$B$198,2,0)*F111</f>
        <v>107.0201</v>
      </c>
      <c r="H111" s="83">
        <f>IF(Tabla1[[#This Row],[VAR. LECTURA]]&gt;0,VLOOKUP(C111,'RECIBO DE LUZ'!$A$4:$T$99,20,0),0)</f>
        <v>21.153833333333335</v>
      </c>
      <c r="I111" s="174">
        <f>ROUND(G111+H111+((G112+H112)/3),2)</f>
        <v>159.44999999999999</v>
      </c>
    </row>
    <row r="112" spans="1:9" x14ac:dyDescent="0.25">
      <c r="A112" s="206"/>
      <c r="B112" s="124"/>
      <c r="C112" s="128">
        <f>+A109</f>
        <v>44105</v>
      </c>
      <c r="D112" s="125" t="s">
        <v>15</v>
      </c>
      <c r="E112" s="129"/>
      <c r="F112" s="127">
        <f t="shared" ref="F112" si="68">+F109-F110-F111</f>
        <v>127</v>
      </c>
      <c r="G112" s="130">
        <f>VLOOKUP(C112,$A$5:$B$198,2,0)*F112</f>
        <v>72.682100000000005</v>
      </c>
      <c r="H112" s="83">
        <f>IF(Tabla1[[#This Row],[VAR. LECTURA]]&gt;0,VLOOKUP(C112,'RECIBO DE LUZ'!$A$4:$T$99,20,0),0)</f>
        <v>21.153833333333335</v>
      </c>
      <c r="I112" s="175">
        <f>ROUND((G112+H112)/3,2)</f>
        <v>31.28</v>
      </c>
    </row>
    <row r="113" spans="1:9" ht="15" customHeight="1" x14ac:dyDescent="0.25">
      <c r="A113" s="205">
        <v>44136</v>
      </c>
      <c r="B113" s="121">
        <f>VLOOKUP(A113,'RECIBO DE LUZ'!$A$3:$D$99,2,0)</f>
        <v>0.57979999999999998</v>
      </c>
      <c r="C113" s="113">
        <f>+A113</f>
        <v>44136</v>
      </c>
      <c r="D113" s="111" t="s">
        <v>31</v>
      </c>
      <c r="E113" s="112">
        <v>13927</v>
      </c>
      <c r="F113" s="86">
        <f>IF(Tabla1[[#This Row],[LECTURA ]]&gt;0,(E113-E109),0)</f>
        <v>454</v>
      </c>
      <c r="G113" s="85">
        <f t="shared" ref="G113" si="69">IF(AND(G114&gt;0,G115&gt;0,G116&gt;0),SUM(G114:G116),0)</f>
        <v>263.22919999999999</v>
      </c>
      <c r="H113" s="85">
        <f>IF(F114&gt;0,VLOOKUP(C113,'RECIBO DE LUZ'!$A$4:$T$99,19,0),0)</f>
        <v>72.268255999999994</v>
      </c>
      <c r="I113" s="172">
        <f>IF(AND(G113&gt;0,H113&gt;0),SUM(G113:H113),0)</f>
        <v>335.497456</v>
      </c>
    </row>
    <row r="114" spans="1:9" x14ac:dyDescent="0.25">
      <c r="A114" s="206"/>
      <c r="B114" s="122"/>
      <c r="C114" s="113">
        <f>+A113</f>
        <v>44136</v>
      </c>
      <c r="D114" s="125" t="s">
        <v>14</v>
      </c>
      <c r="E114" s="112">
        <v>4083</v>
      </c>
      <c r="F114" s="126">
        <f>IF(Tabla1[[#This Row],[LECTURA ]]&gt;0,(E114-E110),0)</f>
        <v>144</v>
      </c>
      <c r="G114" s="82">
        <f>VLOOKUP(C114,$A$5:$B$198,2,0)*F114</f>
        <v>83.491199999999992</v>
      </c>
      <c r="H114" s="83">
        <f>IF(Tabla1[[#This Row],[VAR. LECTURA]]&gt;0,VLOOKUP(C114,'RECIBO DE LUZ'!$A$4:$T$99,20,0),0)</f>
        <v>24.089418666666663</v>
      </c>
      <c r="I114" s="174">
        <f>ROUND(+G114+H114+((G116+H116)/3),2)</f>
        <v>135.71</v>
      </c>
    </row>
    <row r="115" spans="1:9" x14ac:dyDescent="0.25">
      <c r="A115" s="206"/>
      <c r="B115" s="124"/>
      <c r="C115" s="113">
        <f>+A113</f>
        <v>44136</v>
      </c>
      <c r="D115" s="125" t="s">
        <v>32</v>
      </c>
      <c r="E115" s="112">
        <v>5338</v>
      </c>
      <c r="F115" s="126">
        <f>IF(Tabla1[[#This Row],[LECTURA ]]&gt;0,(E115-E111),0)</f>
        <v>206</v>
      </c>
      <c r="G115" s="82">
        <f>VLOOKUP(C115,$A$5:$B$198,2,0)*F115</f>
        <v>119.4388</v>
      </c>
      <c r="H115" s="83">
        <f>IF(Tabla1[[#This Row],[VAR. LECTURA]]&gt;0,VLOOKUP(C115,'RECIBO DE LUZ'!$A$4:$T$99,20,0),0)</f>
        <v>24.089418666666663</v>
      </c>
      <c r="I115" s="174">
        <f>ROUND(G115+H115+((G116+H116)/3),2)</f>
        <v>171.66</v>
      </c>
    </row>
    <row r="116" spans="1:9" x14ac:dyDescent="0.25">
      <c r="A116" s="206"/>
      <c r="B116" s="124"/>
      <c r="C116" s="128">
        <f>+A113</f>
        <v>44136</v>
      </c>
      <c r="D116" s="125" t="s">
        <v>15</v>
      </c>
      <c r="E116" s="129"/>
      <c r="F116" s="127">
        <f t="shared" ref="F116" si="70">+F113-F114-F115</f>
        <v>104</v>
      </c>
      <c r="G116" s="130">
        <f>VLOOKUP(C116,$A$5:$B$198,2,0)*F116</f>
        <v>60.299199999999999</v>
      </c>
      <c r="H116" s="83">
        <f>IF(Tabla1[[#This Row],[VAR. LECTURA]]&gt;0,VLOOKUP(C116,'RECIBO DE LUZ'!$A$4:$T$99,20,0),0)</f>
        <v>24.089418666666663</v>
      </c>
      <c r="I116" s="175">
        <f>ROUND((G116+H116)/3,2)</f>
        <v>28.13</v>
      </c>
    </row>
    <row r="117" spans="1:9" ht="15" customHeight="1" x14ac:dyDescent="0.25">
      <c r="A117" s="205">
        <v>44166</v>
      </c>
      <c r="B117" s="121">
        <f>VLOOKUP(A117,'RECIBO DE LUZ'!$A$3:$D$99,2,0)</f>
        <v>0.59160000000000001</v>
      </c>
      <c r="C117" s="113">
        <f>+A117</f>
        <v>44166</v>
      </c>
      <c r="D117" s="111" t="s">
        <v>31</v>
      </c>
      <c r="E117" s="112">
        <v>14399</v>
      </c>
      <c r="F117" s="86">
        <f>IF(Tabla1[[#This Row],[LECTURA ]]&gt;0,(E117-E113),0)</f>
        <v>472</v>
      </c>
      <c r="G117" s="85">
        <f t="shared" ref="G117" si="71">IF(AND(G118&gt;0,G119&gt;0,G120&gt;0),SUM(G118:G120),0)</f>
        <v>279.23520000000002</v>
      </c>
      <c r="H117" s="85">
        <f>IF(F118&gt;0,VLOOKUP(C117,'RECIBO DE LUZ'!$A$4:$T$99,19,0),0)</f>
        <v>75.260135999999989</v>
      </c>
      <c r="I117" s="172">
        <f>IF(AND(G117&gt;0,H117&gt;0),SUM(G117:H117),0)</f>
        <v>354.49533600000001</v>
      </c>
    </row>
    <row r="118" spans="1:9" x14ac:dyDescent="0.25">
      <c r="A118" s="206"/>
      <c r="B118" s="122"/>
      <c r="C118" s="113">
        <f>+A117</f>
        <v>44166</v>
      </c>
      <c r="D118" s="125" t="s">
        <v>14</v>
      </c>
      <c r="E118" s="112">
        <v>4251</v>
      </c>
      <c r="F118" s="126">
        <f>IF(Tabla1[[#This Row],[LECTURA ]]&gt;0,(E118-E114),0)</f>
        <v>168</v>
      </c>
      <c r="G118" s="82">
        <f>VLOOKUP(C118,$A$5:$B$198,2,0)*F118</f>
        <v>99.388800000000003</v>
      </c>
      <c r="H118" s="83">
        <f>IF(Tabla1[[#This Row],[VAR. LECTURA]]&gt;0,VLOOKUP(C118,'RECIBO DE LUZ'!$A$4:$T$99,20,0),0)</f>
        <v>25.086711999999995</v>
      </c>
      <c r="I118" s="174">
        <f>ROUND(+G118+H118+((G120+H120)/3),2)</f>
        <v>153.54</v>
      </c>
    </row>
    <row r="119" spans="1:9" x14ac:dyDescent="0.25">
      <c r="A119" s="206"/>
      <c r="B119" s="124"/>
      <c r="C119" s="113">
        <f>+A117</f>
        <v>44166</v>
      </c>
      <c r="D119" s="125" t="s">
        <v>32</v>
      </c>
      <c r="E119" s="112">
        <v>5537</v>
      </c>
      <c r="F119" s="126">
        <f>IF(Tabla1[[#This Row],[LECTURA ]]&gt;0,(E119-E115),0)</f>
        <v>199</v>
      </c>
      <c r="G119" s="82">
        <f>VLOOKUP(C119,$A$5:$B$198,2,0)*F119</f>
        <v>117.72840000000001</v>
      </c>
      <c r="H119" s="83">
        <f>IF(Tabla1[[#This Row],[VAR. LECTURA]]&gt;0,VLOOKUP(C119,'RECIBO DE LUZ'!$A$4:$T$99,20,0),0)</f>
        <v>25.086711999999995</v>
      </c>
      <c r="I119" s="174">
        <f>ROUND(G119+H119+((G120+H120)/3),2)</f>
        <v>171.88</v>
      </c>
    </row>
    <row r="120" spans="1:9" x14ac:dyDescent="0.25">
      <c r="A120" s="206"/>
      <c r="B120" s="124"/>
      <c r="C120" s="128">
        <f>+A117</f>
        <v>44166</v>
      </c>
      <c r="D120" s="125" t="s">
        <v>15</v>
      </c>
      <c r="E120" s="129"/>
      <c r="F120" s="127">
        <f t="shared" ref="F120" si="72">+F117-F118-F119</f>
        <v>105</v>
      </c>
      <c r="G120" s="130">
        <f>VLOOKUP(C120,$A$5:$B$198,2,0)*F120</f>
        <v>62.118000000000002</v>
      </c>
      <c r="H120" s="83">
        <f>IF(Tabla1[[#This Row],[VAR. LECTURA]]&gt;0,VLOOKUP(C120,'RECIBO DE LUZ'!$A$4:$T$99,20,0),0)</f>
        <v>25.086711999999995</v>
      </c>
      <c r="I120" s="175">
        <f>ROUND((G120+H120)/3,2)</f>
        <v>29.07</v>
      </c>
    </row>
    <row r="121" spans="1:9" x14ac:dyDescent="0.25">
      <c r="A121" s="205">
        <v>44197</v>
      </c>
      <c r="B121" s="121">
        <f>VLOOKUP(A121,'RECIBO DE LUZ'!$A$3:$D$99,2,0)</f>
        <v>0.59179999999999999</v>
      </c>
      <c r="C121" s="113">
        <f>+A121</f>
        <v>44197</v>
      </c>
      <c r="D121" s="111" t="s">
        <v>31</v>
      </c>
      <c r="E121" s="112">
        <v>14987</v>
      </c>
      <c r="F121" s="86">
        <f>IF(Tabla1[[#This Row],[LECTURA ]]&gt;0,(E121-E117),0)</f>
        <v>588</v>
      </c>
      <c r="G121" s="85">
        <f t="shared" ref="G121" si="73">IF(AND(G122&gt;0,G123&gt;0,G124&gt;0),SUM(G122:G124),0)</f>
        <v>347.97839999999997</v>
      </c>
      <c r="H121" s="85">
        <f>IF(F122&gt;0,VLOOKUP(C121,'RECIBO DE LUZ'!$A$4:$T$99,19,0),0)</f>
        <v>106.016912</v>
      </c>
      <c r="I121" s="172">
        <f>IF(AND(G121&gt;0,H121&gt;0),SUM(G121:H121),0)</f>
        <v>453.99531199999996</v>
      </c>
    </row>
    <row r="122" spans="1:9" x14ac:dyDescent="0.25">
      <c r="A122" s="206"/>
      <c r="B122" s="122"/>
      <c r="C122" s="113">
        <f>+A121</f>
        <v>44197</v>
      </c>
      <c r="D122" s="125" t="s">
        <v>14</v>
      </c>
      <c r="E122" s="112">
        <v>4400</v>
      </c>
      <c r="F122" s="126">
        <f>IF(Tabla1[[#This Row],[LECTURA ]]&gt;0,(E122-E118),0)</f>
        <v>149</v>
      </c>
      <c r="G122" s="82">
        <f>VLOOKUP(C122,$A$5:$B$198,2,0)*F122</f>
        <v>88.178200000000004</v>
      </c>
      <c r="H122" s="83">
        <f>IF(Tabla1[[#This Row],[VAR. LECTURA]]&gt;0,VLOOKUP(C122,'RECIBO DE LUZ'!$A$4:$T$99,20,0),0)</f>
        <v>35.338970666666668</v>
      </c>
      <c r="I122" s="174">
        <f>ROUND(+G122+H122+((G124+H124)/3),2)</f>
        <v>172.58</v>
      </c>
    </row>
    <row r="123" spans="1:9" x14ac:dyDescent="0.25">
      <c r="A123" s="206"/>
      <c r="B123" s="124"/>
      <c r="C123" s="113">
        <f>+A121</f>
        <v>44197</v>
      </c>
      <c r="D123" s="125" t="s">
        <v>32</v>
      </c>
      <c r="E123" s="112">
        <v>5787</v>
      </c>
      <c r="F123" s="126">
        <f>IF(Tabla1[[#This Row],[LECTURA ]]&gt;0,(E123-E119),0)</f>
        <v>250</v>
      </c>
      <c r="G123" s="82">
        <f>VLOOKUP(C123,$A$5:$B$198,2,0)*F123</f>
        <v>147.94999999999999</v>
      </c>
      <c r="H123" s="83">
        <f>IF(Tabla1[[#This Row],[VAR. LECTURA]]&gt;0,VLOOKUP(C123,'RECIBO DE LUZ'!$A$4:$T$99,20,0),0)</f>
        <v>35.338970666666668</v>
      </c>
      <c r="I123" s="174">
        <f>ROUND(G123+H123+((G124+H124)/3),2)</f>
        <v>232.35</v>
      </c>
    </row>
    <row r="124" spans="1:9" x14ac:dyDescent="0.25">
      <c r="A124" s="206"/>
      <c r="B124" s="124"/>
      <c r="C124" s="128">
        <f>+A121</f>
        <v>44197</v>
      </c>
      <c r="D124" s="125" t="s">
        <v>15</v>
      </c>
      <c r="E124" s="129"/>
      <c r="F124" s="127">
        <f t="shared" ref="F124" si="74">+F121-F122-F123</f>
        <v>189</v>
      </c>
      <c r="G124" s="130">
        <f>VLOOKUP(C124,$A$5:$B$198,2,0)*F124</f>
        <v>111.8502</v>
      </c>
      <c r="H124" s="83">
        <f>IF(Tabla1[[#This Row],[VAR. LECTURA]]&gt;0,VLOOKUP(C124,'RECIBO DE LUZ'!$A$4:$T$99,20,0),0)</f>
        <v>35.338970666666668</v>
      </c>
      <c r="I124" s="175">
        <f>ROUND((G124+H124)/3,2)</f>
        <v>49.06</v>
      </c>
    </row>
    <row r="125" spans="1:9" x14ac:dyDescent="0.25">
      <c r="A125" s="205">
        <v>44228</v>
      </c>
      <c r="B125" s="121">
        <f>VLOOKUP(A125,'RECIBO DE LUZ'!$A$3:$D$99,2,0)</f>
        <v>0.59179999999999999</v>
      </c>
      <c r="C125" s="113">
        <f>+A125</f>
        <v>44228</v>
      </c>
      <c r="D125" s="111" t="s">
        <v>31</v>
      </c>
      <c r="E125" s="112">
        <v>15542</v>
      </c>
      <c r="F125" s="86">
        <f>IF(Tabla1[[#This Row],[LECTURA ]]&gt;0,(E125-E121),0)</f>
        <v>555</v>
      </c>
      <c r="G125" s="85">
        <f t="shared" ref="G125" si="75">IF(AND(G126&gt;0,G127&gt;0,G128&gt;0),SUM(G126:G128),0)</f>
        <v>328.44900000000001</v>
      </c>
      <c r="H125" s="85">
        <f>IF(F126&gt;0,VLOOKUP(C125,'RECIBO DE LUZ'!$A$4:$T$99,19,0),0)</f>
        <v>100.09382000000001</v>
      </c>
      <c r="I125" s="172">
        <f>IF(AND(G125&gt;0,H125&gt;0),SUM(G125:H125),0)</f>
        <v>428.54282000000001</v>
      </c>
    </row>
    <row r="126" spans="1:9" x14ac:dyDescent="0.25">
      <c r="A126" s="206"/>
      <c r="B126" s="122"/>
      <c r="C126" s="113">
        <f>+A125</f>
        <v>44228</v>
      </c>
      <c r="D126" s="125" t="s">
        <v>14</v>
      </c>
      <c r="E126" s="112">
        <v>4517</v>
      </c>
      <c r="F126" s="126">
        <f>IF(Tabla1[[#This Row],[LECTURA ]]&gt;0,(E126-E122),0)</f>
        <v>117</v>
      </c>
      <c r="G126" s="82">
        <f>VLOOKUP(C126,$A$5:$B$198,2,0)*F126</f>
        <v>69.240600000000001</v>
      </c>
      <c r="H126" s="83">
        <f>IF(Tabla1[[#This Row],[VAR. LECTURA]]&gt;0,VLOOKUP(C126,'RECIBO DE LUZ'!$A$4:$T$99,20,0),0)</f>
        <v>33.364606666666667</v>
      </c>
      <c r="I126" s="174">
        <f>ROUND(+G126+H126+((G128+H128)/3),2)</f>
        <v>143.91</v>
      </c>
    </row>
    <row r="127" spans="1:9" x14ac:dyDescent="0.25">
      <c r="A127" s="206"/>
      <c r="B127" s="124"/>
      <c r="C127" s="113">
        <f>+A125</f>
        <v>44228</v>
      </c>
      <c r="D127" s="125" t="s">
        <v>32</v>
      </c>
      <c r="E127" s="112">
        <v>6072</v>
      </c>
      <c r="F127" s="126">
        <f>IF(Tabla1[[#This Row],[LECTURA ]]&gt;0,(E127-E123),0)</f>
        <v>285</v>
      </c>
      <c r="G127" s="82">
        <f>VLOOKUP(C127,$A$5:$B$198,2,0)*F127</f>
        <v>168.66300000000001</v>
      </c>
      <c r="H127" s="83">
        <f>IF(Tabla1[[#This Row],[VAR. LECTURA]]&gt;0,VLOOKUP(C127,'RECIBO DE LUZ'!$A$4:$T$99,20,0),0)</f>
        <v>33.364606666666667</v>
      </c>
      <c r="I127" s="174">
        <f>ROUND(G127+H127+((G128+H128)/3),2)</f>
        <v>243.33</v>
      </c>
    </row>
    <row r="128" spans="1:9" x14ac:dyDescent="0.25">
      <c r="A128" s="206"/>
      <c r="B128" s="124"/>
      <c r="C128" s="128">
        <f>+A125</f>
        <v>44228</v>
      </c>
      <c r="D128" s="125" t="s">
        <v>15</v>
      </c>
      <c r="E128" s="129"/>
      <c r="F128" s="127">
        <f t="shared" ref="F128" si="76">+F125-F126-F127</f>
        <v>153</v>
      </c>
      <c r="G128" s="130">
        <f>VLOOKUP(C128,$A$5:$B$198,2,0)*F128</f>
        <v>90.545400000000001</v>
      </c>
      <c r="H128" s="83">
        <f>IF(Tabla1[[#This Row],[VAR. LECTURA]]&gt;0,VLOOKUP(C128,'RECIBO DE LUZ'!$A$4:$T$99,20,0),0)</f>
        <v>33.364606666666667</v>
      </c>
      <c r="I128" s="175">
        <f>ROUND((G128+H128)/3,2)</f>
        <v>41.3</v>
      </c>
    </row>
    <row r="129" spans="1:9" x14ac:dyDescent="0.25">
      <c r="A129" s="205">
        <v>44256</v>
      </c>
      <c r="B129" s="121">
        <f>VLOOKUP(A129,'RECIBO DE LUZ'!$A$3:$D$99,2,0)</f>
        <v>0.59099999999999997</v>
      </c>
      <c r="C129" s="113">
        <f>+A129</f>
        <v>44256</v>
      </c>
      <c r="D129" s="111" t="s">
        <v>31</v>
      </c>
      <c r="E129" s="112">
        <v>16137</v>
      </c>
      <c r="F129" s="86">
        <f>IF(Tabla1[[#This Row],[LECTURA ]]&gt;0,(E129-E125),0)</f>
        <v>595</v>
      </c>
      <c r="G129" s="85">
        <f t="shared" ref="G129" si="77">IF(AND(G130&gt;0,G131&gt;0,G132&gt;0),SUM(G130:G132),0)</f>
        <v>351.64499999999998</v>
      </c>
      <c r="H129" s="85">
        <f>IF(F130&gt;0,VLOOKUP(C129,'RECIBO DE LUZ'!$A$4:$T$99,19,0),0)</f>
        <v>103.84989999999998</v>
      </c>
      <c r="I129" s="172">
        <f>IF(AND(G129&gt;0,H129&gt;0),SUM(G129:H129),0)</f>
        <v>455.49489999999997</v>
      </c>
    </row>
    <row r="130" spans="1:9" x14ac:dyDescent="0.25">
      <c r="A130" s="206"/>
      <c r="B130" s="122"/>
      <c r="C130" s="113">
        <f>+A129</f>
        <v>44256</v>
      </c>
      <c r="D130" s="125" t="s">
        <v>14</v>
      </c>
      <c r="E130" s="112">
        <v>4622</v>
      </c>
      <c r="F130" s="126">
        <f>IF(Tabla1[[#This Row],[LECTURA ]]&gt;0,(E130-E126),0)</f>
        <v>105</v>
      </c>
      <c r="G130" s="82">
        <f>VLOOKUP(C130,$A$5:$B$198,2,0)*F130</f>
        <v>62.055</v>
      </c>
      <c r="H130" s="83">
        <f>IF(Tabla1[[#This Row],[VAR. LECTURA]]&gt;0,VLOOKUP(C130,'RECIBO DE LUZ'!$A$4:$T$99,20,0),0)</f>
        <v>34.616633333333326</v>
      </c>
      <c r="I130" s="174">
        <f>ROUND(+G130+H130+((G132+H132)/3),2)</f>
        <v>158.63999999999999</v>
      </c>
    </row>
    <row r="131" spans="1:9" x14ac:dyDescent="0.25">
      <c r="A131" s="206"/>
      <c r="B131" s="124"/>
      <c r="C131" s="113">
        <f>+A129</f>
        <v>44256</v>
      </c>
      <c r="D131" s="125" t="s">
        <v>32</v>
      </c>
      <c r="E131" s="112">
        <v>6306</v>
      </c>
      <c r="F131" s="126">
        <f>IF(Tabla1[[#This Row],[LECTURA ]]&gt;0,(E131-E127),0)</f>
        <v>234</v>
      </c>
      <c r="G131" s="82">
        <f>VLOOKUP(C131,$A$5:$B$198,2,0)*F131</f>
        <v>138.29399999999998</v>
      </c>
      <c r="H131" s="83">
        <f>IF(Tabla1[[#This Row],[VAR. LECTURA]]&gt;0,VLOOKUP(C131,'RECIBO DE LUZ'!$A$4:$T$99,20,0),0)</f>
        <v>34.616633333333326</v>
      </c>
      <c r="I131" s="174">
        <f>ROUND(G131+H131+((G132+H132)/3),2)</f>
        <v>234.88</v>
      </c>
    </row>
    <row r="132" spans="1:9" x14ac:dyDescent="0.25">
      <c r="A132" s="206"/>
      <c r="B132" s="124"/>
      <c r="C132" s="128">
        <f>+A129</f>
        <v>44256</v>
      </c>
      <c r="D132" s="125" t="s">
        <v>15</v>
      </c>
      <c r="E132" s="129"/>
      <c r="F132" s="127">
        <f t="shared" ref="F132" si="78">+F129-F130-F131</f>
        <v>256</v>
      </c>
      <c r="G132" s="130">
        <f>VLOOKUP(C132,$A$5:$B$198,2,0)*F132</f>
        <v>151.29599999999999</v>
      </c>
      <c r="H132" s="83">
        <f>IF(Tabla1[[#This Row],[VAR. LECTURA]]&gt;0,VLOOKUP(C132,'RECIBO DE LUZ'!$A$4:$T$99,20,0),0)</f>
        <v>34.616633333333326</v>
      </c>
      <c r="I132" s="175">
        <f>ROUND((G132+H132)/3,2)</f>
        <v>61.97</v>
      </c>
    </row>
    <row r="133" spans="1:9" x14ac:dyDescent="0.25">
      <c r="A133" s="205">
        <v>44287</v>
      </c>
      <c r="B133" s="121">
        <f>VLOOKUP(A133,'RECIBO DE LUZ'!$A$3:$D$99,2,0)</f>
        <v>0.5948</v>
      </c>
      <c r="C133" s="113">
        <f>+A133</f>
        <v>44287</v>
      </c>
      <c r="D133" s="111" t="s">
        <v>31</v>
      </c>
      <c r="E133" s="112">
        <v>16757</v>
      </c>
      <c r="F133" s="86">
        <f>IF(Tabla1[[#This Row],[LECTURA ]]&gt;0,(E133-E129),0)</f>
        <v>620</v>
      </c>
      <c r="G133" s="85">
        <f t="shared" ref="G133" si="79">IF(AND(G134&gt;0,G135&gt;0,G136&gt;0),SUM(G134:G136),0)</f>
        <v>368.77599999999995</v>
      </c>
      <c r="H133" s="85">
        <f>IF(F134&gt;0,VLOOKUP(C133,'RECIBO DE LUZ'!$A$4:$T$99,19,0),0)</f>
        <v>108.19447999999998</v>
      </c>
      <c r="I133" s="172">
        <f>IF(AND(G133&gt;0,H133&gt;0),SUM(G133:H133),0)</f>
        <v>476.97047999999995</v>
      </c>
    </row>
    <row r="134" spans="1:9" x14ac:dyDescent="0.25">
      <c r="A134" s="206"/>
      <c r="B134" s="122"/>
      <c r="C134" s="113">
        <f>+A133</f>
        <v>44287</v>
      </c>
      <c r="D134" s="125" t="s">
        <v>14</v>
      </c>
      <c r="E134" s="112">
        <v>4740</v>
      </c>
      <c r="F134" s="126">
        <f>IF(Tabla1[[#This Row],[LECTURA ]]&gt;0,(E134-E130),0)</f>
        <v>118</v>
      </c>
      <c r="G134" s="82">
        <f>VLOOKUP(C134,$A$5:$B$198,2,0)*F134</f>
        <v>70.186400000000006</v>
      </c>
      <c r="H134" s="83">
        <f>IF(Tabla1[[#This Row],[VAR. LECTURA]]&gt;0,VLOOKUP(C134,'RECIBO DE LUZ'!$A$4:$T$99,20,0),0)</f>
        <v>36.064826666666661</v>
      </c>
      <c r="I134" s="174">
        <f>ROUND(+G134+H134+((G136+H136)/3),2)</f>
        <v>159.51</v>
      </c>
    </row>
    <row r="135" spans="1:9" x14ac:dyDescent="0.25">
      <c r="A135" s="206"/>
      <c r="B135" s="124"/>
      <c r="C135" s="113">
        <f>+A133</f>
        <v>44287</v>
      </c>
      <c r="D135" s="125" t="s">
        <v>32</v>
      </c>
      <c r="E135" s="112">
        <v>6600</v>
      </c>
      <c r="F135" s="126">
        <f>IF(Tabla1[[#This Row],[LECTURA ]]&gt;0,(E135-E131),0)</f>
        <v>294</v>
      </c>
      <c r="G135" s="82">
        <f>VLOOKUP(C135,$A$5:$B$198,2,0)*F135</f>
        <v>174.87119999999999</v>
      </c>
      <c r="H135" s="83">
        <f>IF(Tabla1[[#This Row],[VAR. LECTURA]]&gt;0,VLOOKUP(C135,'RECIBO DE LUZ'!$A$4:$T$99,20,0),0)</f>
        <v>36.064826666666661</v>
      </c>
      <c r="I135" s="174">
        <f>ROUND(G135+H135+((G136+H136)/3),2)</f>
        <v>264.2</v>
      </c>
    </row>
    <row r="136" spans="1:9" x14ac:dyDescent="0.25">
      <c r="A136" s="206"/>
      <c r="B136" s="124"/>
      <c r="C136" s="128">
        <f>+A133</f>
        <v>44287</v>
      </c>
      <c r="D136" s="125" t="s">
        <v>15</v>
      </c>
      <c r="E136" s="129"/>
      <c r="F136" s="127">
        <f t="shared" ref="F136" si="80">+F133-F134-F135</f>
        <v>208</v>
      </c>
      <c r="G136" s="130">
        <f>VLOOKUP(C136,$A$5:$B$198,2,0)*F136</f>
        <v>123.7184</v>
      </c>
      <c r="H136" s="83">
        <f>IF(Tabla1[[#This Row],[VAR. LECTURA]]&gt;0,VLOOKUP(C136,'RECIBO DE LUZ'!$A$4:$T$99,20,0),0)</f>
        <v>36.064826666666661</v>
      </c>
      <c r="I136" s="175">
        <f>ROUND((G136+H136)/3,2)</f>
        <v>53.26</v>
      </c>
    </row>
    <row r="137" spans="1:9" x14ac:dyDescent="0.25">
      <c r="A137" s="205">
        <v>44317</v>
      </c>
      <c r="B137" s="121">
        <f>VLOOKUP(A137,'RECIBO DE LUZ'!$A$3:$D$99,2,0)</f>
        <v>0.5907</v>
      </c>
      <c r="C137" s="113">
        <f>+A137</f>
        <v>44317</v>
      </c>
      <c r="D137" s="111" t="s">
        <v>31</v>
      </c>
      <c r="E137" s="112">
        <v>17292</v>
      </c>
      <c r="F137" s="86">
        <f>IF(Tabla1[[#This Row],[LECTURA ]]&gt;0,(E137-E133),0)</f>
        <v>535</v>
      </c>
      <c r="G137" s="85">
        <f>IF(AND(G138&gt;0,G139&gt;0,G140&gt;0),SUM(G138:G140),0)</f>
        <v>316.02449999999999</v>
      </c>
      <c r="H137" s="85">
        <f>IF(F138&gt;0,VLOOKUP(C137,'RECIBO DE LUZ'!$A$4:$T$99,19,0),0)</f>
        <v>99.98120999999999</v>
      </c>
      <c r="I137" s="172">
        <f>IF(AND(G137&gt;0,H137&gt;0),SUM(G137:H137),0)</f>
        <v>416.00570999999997</v>
      </c>
    </row>
    <row r="138" spans="1:9" x14ac:dyDescent="0.25">
      <c r="A138" s="206"/>
      <c r="B138" s="122"/>
      <c r="C138" s="113">
        <f>+A137</f>
        <v>44317</v>
      </c>
      <c r="D138" s="125" t="s">
        <v>14</v>
      </c>
      <c r="E138" s="112">
        <v>4869</v>
      </c>
      <c r="F138" s="126">
        <f>IF(Tabla1[[#This Row],[LECTURA ]]&gt;0,(E138-E134),0)</f>
        <v>129</v>
      </c>
      <c r="G138" s="82">
        <f>VLOOKUP(C138,$A$5:$B$198,2,0)*F138</f>
        <v>76.200299999999999</v>
      </c>
      <c r="H138" s="83">
        <f>IF(Tabla1[[#This Row],[VAR. LECTURA]]&gt;0,VLOOKUP(C138,'RECIBO DE LUZ'!$A$4:$T$99,20,0),0)</f>
        <v>33.327069999999999</v>
      </c>
      <c r="I138" s="174">
        <f>ROUND(+G138+H138+((G140+H140)/3),2)</f>
        <v>158.05000000000001</v>
      </c>
    </row>
    <row r="139" spans="1:9" x14ac:dyDescent="0.25">
      <c r="A139" s="206"/>
      <c r="B139" s="124"/>
      <c r="C139" s="113">
        <f>+A137</f>
        <v>44317</v>
      </c>
      <c r="D139" s="125" t="s">
        <v>32</v>
      </c>
      <c r="E139" s="112">
        <v>6816</v>
      </c>
      <c r="F139" s="126">
        <f>IF(Tabla1[[#This Row],[LECTURA ]]&gt;0,(E139-E135),0)</f>
        <v>216</v>
      </c>
      <c r="G139" s="82">
        <f>VLOOKUP(C139,$A$5:$B$198,2,0)*F139</f>
        <v>127.5912</v>
      </c>
      <c r="H139" s="83">
        <f>IF(Tabla1[[#This Row],[VAR. LECTURA]]&gt;0,VLOOKUP(C139,'RECIBO DE LUZ'!$A$4:$T$99,20,0),0)</f>
        <v>33.327069999999999</v>
      </c>
      <c r="I139" s="174">
        <f>ROUND(G139+H139+((G140+H140)/3),2)</f>
        <v>209.44</v>
      </c>
    </row>
    <row r="140" spans="1:9" x14ac:dyDescent="0.25">
      <c r="A140" s="206"/>
      <c r="B140" s="124"/>
      <c r="C140" s="128">
        <f>+A137</f>
        <v>44317</v>
      </c>
      <c r="D140" s="125" t="s">
        <v>15</v>
      </c>
      <c r="E140" s="129"/>
      <c r="F140" s="127">
        <f t="shared" ref="F140" si="81">+F137-F138-F139</f>
        <v>190</v>
      </c>
      <c r="G140" s="130">
        <f>VLOOKUP(C140,$A$5:$B$198,2,0)*F140</f>
        <v>112.233</v>
      </c>
      <c r="H140" s="83">
        <f>IF(Tabla1[[#This Row],[VAR. LECTURA]]&gt;0,VLOOKUP(C140,'RECIBO DE LUZ'!$A$4:$T$99,20,0),0)</f>
        <v>33.327069999999999</v>
      </c>
      <c r="I140" s="175">
        <f>ROUND((G140+H140)/3,2)</f>
        <v>48.52</v>
      </c>
    </row>
    <row r="141" spans="1:9" x14ac:dyDescent="0.25">
      <c r="A141" s="205">
        <v>44348</v>
      </c>
      <c r="B141" s="121">
        <v>0.58130000000000004</v>
      </c>
      <c r="C141" s="113">
        <f>+A141</f>
        <v>44348</v>
      </c>
      <c r="D141" s="111" t="s">
        <v>31</v>
      </c>
      <c r="E141" s="112">
        <v>17805</v>
      </c>
      <c r="F141" s="86">
        <f>IF(Tabla1[[#This Row],[LECTURA ]]&gt;0,(E141-E137),0)</f>
        <v>513</v>
      </c>
      <c r="G141" s="85">
        <f>IF(AND(G142&gt;0,G143&gt;0,G144&gt;0),SUM(G142:G144),0)</f>
        <v>298.20690000000002</v>
      </c>
      <c r="H141" s="85">
        <f>IF(F142&gt;0,VLOOKUP(C141,'RECIBO DE LUZ'!$A$4:$T$99,19,0),0)</f>
        <v>100.282842</v>
      </c>
      <c r="I141" s="172">
        <f>IF(AND(G141&gt;0,H141&gt;0),SUM(G141:H141),0)</f>
        <v>398.48974200000004</v>
      </c>
    </row>
    <row r="142" spans="1:9" x14ac:dyDescent="0.25">
      <c r="A142" s="206"/>
      <c r="B142" s="122"/>
      <c r="C142" s="113">
        <f>+A141</f>
        <v>44348</v>
      </c>
      <c r="D142" s="125" t="s">
        <v>14</v>
      </c>
      <c r="E142" s="112">
        <v>5006</v>
      </c>
      <c r="F142" s="126">
        <f>IF(Tabla1[[#This Row],[LECTURA ]]&gt;0,(E142-E138),0)</f>
        <v>137</v>
      </c>
      <c r="G142" s="82">
        <f>VLOOKUP(C142,$A$5:$B$198,2,0)*F142</f>
        <v>79.638100000000009</v>
      </c>
      <c r="H142" s="83">
        <f>IF(Tabla1[[#This Row],[VAR. LECTURA]]&gt;0,VLOOKUP(C142,'RECIBO DE LUZ'!$A$4:$T$99,20,0),0)</f>
        <v>33.427613999999998</v>
      </c>
      <c r="I142" s="174">
        <f>ROUND(+G142+H142+((G144+H144)/3),2)</f>
        <v>147.85</v>
      </c>
    </row>
    <row r="143" spans="1:9" x14ac:dyDescent="0.25">
      <c r="A143" s="206"/>
      <c r="B143" s="124"/>
      <c r="C143" s="113">
        <f>+A141</f>
        <v>44348</v>
      </c>
      <c r="D143" s="125" t="s">
        <v>32</v>
      </c>
      <c r="E143" s="112">
        <v>7070</v>
      </c>
      <c r="F143" s="126">
        <f>IF(Tabla1[[#This Row],[LECTURA ]]&gt;0,(E143-E139),0)</f>
        <v>254</v>
      </c>
      <c r="G143" s="82">
        <f>VLOOKUP(C143,$A$5:$B$198,2,0)*F143</f>
        <v>147.65020000000001</v>
      </c>
      <c r="H143" s="83">
        <f>IF(Tabla1[[#This Row],[VAR. LECTURA]]&gt;0,VLOOKUP(C143,'RECIBO DE LUZ'!$A$4:$T$99,20,0),0)</f>
        <v>33.427613999999998</v>
      </c>
      <c r="I143" s="174">
        <f>ROUND(G143+H143+((G144+H144)/3),2)</f>
        <v>215.86</v>
      </c>
    </row>
    <row r="144" spans="1:9" x14ac:dyDescent="0.25">
      <c r="A144" s="206"/>
      <c r="B144" s="124"/>
      <c r="C144" s="128">
        <f>+A141</f>
        <v>44348</v>
      </c>
      <c r="D144" s="125" t="s">
        <v>15</v>
      </c>
      <c r="E144" s="129"/>
      <c r="F144" s="127">
        <f t="shared" ref="F144" si="82">+F141-F142-F143</f>
        <v>122</v>
      </c>
      <c r="G144" s="130">
        <f>VLOOKUP(C144,$A$5:$B$198,2,0)*F144</f>
        <v>70.918599999999998</v>
      </c>
      <c r="H144" s="83">
        <f>IF(Tabla1[[#This Row],[VAR. LECTURA]]&gt;0,VLOOKUP(C144,'RECIBO DE LUZ'!$A$4:$T$99,20,0),0)</f>
        <v>33.427613999999998</v>
      </c>
      <c r="I144" s="175">
        <f>ROUND((G144+H144)/3,2)</f>
        <v>34.78</v>
      </c>
    </row>
    <row r="145" spans="1:9" x14ac:dyDescent="0.25">
      <c r="A145" s="205">
        <v>44378</v>
      </c>
      <c r="B145" s="121">
        <v>0.58650000000000002</v>
      </c>
      <c r="C145" s="113">
        <f>+A145</f>
        <v>44378</v>
      </c>
      <c r="D145" s="111" t="s">
        <v>31</v>
      </c>
      <c r="E145" s="112">
        <v>18312</v>
      </c>
      <c r="F145" s="86">
        <f>IF(Tabla1[[#This Row],[LECTURA ]]&gt;0,(E145-E141),0)</f>
        <v>507</v>
      </c>
      <c r="G145" s="85">
        <f>IF(AND(G146&gt;0,G147&gt;0,G148&gt;0),SUM(G146:G148),0)</f>
        <v>297.35550000000001</v>
      </c>
      <c r="H145" s="85">
        <f>IF(F146&gt;0,VLOOKUP(C145,'RECIBO DE LUZ'!$A$4:$T$99,19,0),0)</f>
        <v>105.63758999999999</v>
      </c>
      <c r="I145" s="172">
        <f>IF(AND(G145&gt;0,H145&gt;0),SUM(G145:H145),0)</f>
        <v>402.99309</v>
      </c>
    </row>
    <row r="146" spans="1:9" x14ac:dyDescent="0.25">
      <c r="A146" s="206"/>
      <c r="B146" s="122"/>
      <c r="C146" s="113">
        <f>+A145</f>
        <v>44378</v>
      </c>
      <c r="D146" s="125" t="s">
        <v>14</v>
      </c>
      <c r="E146" s="112">
        <v>5098</v>
      </c>
      <c r="F146" s="126">
        <f>IF(Tabla1[[#This Row],[LECTURA ]]&gt;0,(E146-E142),0)</f>
        <v>92</v>
      </c>
      <c r="G146" s="82">
        <f>VLOOKUP(C146,$A$5:$B$198,2,0)*F146</f>
        <v>53.957999999999998</v>
      </c>
      <c r="H146" s="83">
        <f>IF(Tabla1[[#This Row],[VAR. LECTURA]]&gt;0,VLOOKUP(C146,'RECIBO DE LUZ'!$A$4:$T$99,20,0),0)</f>
        <v>35.212529999999994</v>
      </c>
      <c r="I146" s="174">
        <f>ROUND(+G146+H146+((G148+H148)/3),2)</f>
        <v>151.54</v>
      </c>
    </row>
    <row r="147" spans="1:9" x14ac:dyDescent="0.25">
      <c r="A147" s="206"/>
      <c r="B147" s="124"/>
      <c r="C147" s="113">
        <f>+A145</f>
        <v>44378</v>
      </c>
      <c r="D147" s="125" t="s">
        <v>32</v>
      </c>
      <c r="E147" s="112">
        <v>7226</v>
      </c>
      <c r="F147" s="126">
        <f>IF(Tabla1[[#This Row],[LECTURA ]]&gt;0,(E147-E143),0)</f>
        <v>156</v>
      </c>
      <c r="G147" s="82">
        <f>VLOOKUP(C147,$A$5:$B$198,2,0)*F147</f>
        <v>91.494</v>
      </c>
      <c r="H147" s="83">
        <f>IF(Tabla1[[#This Row],[VAR. LECTURA]]&gt;0,VLOOKUP(C147,'RECIBO DE LUZ'!$A$4:$T$99,20,0),0)</f>
        <v>35.212529999999994</v>
      </c>
      <c r="I147" s="174">
        <f>ROUND(G147+H147+((G148+H148)/3),2)</f>
        <v>189.08</v>
      </c>
    </row>
    <row r="148" spans="1:9" x14ac:dyDescent="0.25">
      <c r="A148" s="206"/>
      <c r="B148" s="124"/>
      <c r="C148" s="128">
        <f>+A145</f>
        <v>44378</v>
      </c>
      <c r="D148" s="125" t="s">
        <v>15</v>
      </c>
      <c r="E148" s="129"/>
      <c r="F148" s="127">
        <f t="shared" ref="F148" si="83">+F145-F146-F147</f>
        <v>259</v>
      </c>
      <c r="G148" s="130">
        <f>VLOOKUP(C148,$A$5:$B$198,2,0)*F148</f>
        <v>151.90350000000001</v>
      </c>
      <c r="H148" s="83">
        <f>IF(Tabla1[[#This Row],[VAR. LECTURA]]&gt;0,VLOOKUP(C148,'RECIBO DE LUZ'!$A$4:$T$99,20,0),0)</f>
        <v>35.212529999999994</v>
      </c>
      <c r="I148" s="175">
        <f>ROUND((G148+H148)/3,2)</f>
        <v>62.37</v>
      </c>
    </row>
    <row r="149" spans="1:9" x14ac:dyDescent="0.25">
      <c r="A149" s="205">
        <v>44409</v>
      </c>
      <c r="B149" s="121">
        <v>0.59750000000000003</v>
      </c>
      <c r="C149" s="113">
        <f>+A149</f>
        <v>44409</v>
      </c>
      <c r="D149" s="111" t="s">
        <v>31</v>
      </c>
      <c r="E149" s="112">
        <v>18799</v>
      </c>
      <c r="F149" s="86">
        <f>IF(Tabla1[[#This Row],[LECTURA ]]&gt;0,(E149-E145),0)</f>
        <v>487</v>
      </c>
      <c r="G149" s="85">
        <f>IF(AND(G150&gt;0,G151&gt;0,G152&gt;0),SUM(G150:G152),0)</f>
        <v>290.98250000000002</v>
      </c>
      <c r="H149" s="85">
        <f>IF(F150&gt;0,VLOOKUP(C149,'RECIBO DE LUZ'!$A$4:$T$99,19,0),0)</f>
        <v>113.51725000000002</v>
      </c>
      <c r="I149" s="172">
        <f>IF(AND(G149&gt;0,H149&gt;0),SUM(G149:H149),0)</f>
        <v>404.49975000000006</v>
      </c>
    </row>
    <row r="150" spans="1:9" x14ac:dyDescent="0.25">
      <c r="A150" s="206"/>
      <c r="B150" s="122"/>
      <c r="C150" s="113">
        <f>+A149</f>
        <v>44409</v>
      </c>
      <c r="D150" s="125" t="s">
        <v>14</v>
      </c>
      <c r="E150" s="112">
        <v>5213</v>
      </c>
      <c r="F150" s="126">
        <f>IF(Tabla1[[#This Row],[LECTURA ]]&gt;0,(E150-E146),0)</f>
        <v>115</v>
      </c>
      <c r="G150" s="82">
        <f>VLOOKUP(C150,$A$5:$B$198,2,0)*F150</f>
        <v>68.712500000000006</v>
      </c>
      <c r="H150" s="83">
        <f>IF(Tabla1[[#This Row],[VAR. LECTURA]]&gt;0,VLOOKUP(C150,'RECIBO DE LUZ'!$A$4:$T$99,20,0),0)</f>
        <v>37.839083333333342</v>
      </c>
      <c r="I150" s="174">
        <f>ROUND(+G150+H150+((G152+H152)/3),2)</f>
        <v>153.02000000000001</v>
      </c>
    </row>
    <row r="151" spans="1:9" x14ac:dyDescent="0.25">
      <c r="A151" s="206"/>
      <c r="B151" s="124"/>
      <c r="C151" s="113">
        <f>+A149</f>
        <v>44409</v>
      </c>
      <c r="D151" s="125" t="s">
        <v>32</v>
      </c>
      <c r="E151" s="112">
        <v>7428</v>
      </c>
      <c r="F151" s="126">
        <f>IF(Tabla1[[#This Row],[LECTURA ]]&gt;0,(E151-E147),0)</f>
        <v>202</v>
      </c>
      <c r="G151" s="82">
        <f>VLOOKUP(C151,$A$5:$B$198,2,0)*F151</f>
        <v>120.69500000000001</v>
      </c>
      <c r="H151" s="83">
        <f>IF(Tabla1[[#This Row],[VAR. LECTURA]]&gt;0,VLOOKUP(C151,'RECIBO DE LUZ'!$A$4:$T$99,20,0),0)</f>
        <v>37.839083333333342</v>
      </c>
      <c r="I151" s="174">
        <f>ROUND(G151+H151+((G152+H152)/3),2)</f>
        <v>205.01</v>
      </c>
    </row>
    <row r="152" spans="1:9" x14ac:dyDescent="0.25">
      <c r="A152" s="206"/>
      <c r="B152" s="124"/>
      <c r="C152" s="128">
        <f>+A149</f>
        <v>44409</v>
      </c>
      <c r="D152" s="125" t="s">
        <v>15</v>
      </c>
      <c r="E152" s="129"/>
      <c r="F152" s="127">
        <f t="shared" ref="F152" si="84">+F149-F150-F151</f>
        <v>170</v>
      </c>
      <c r="G152" s="130">
        <f>VLOOKUP(C152,$A$5:$B$198,2,0)*F152</f>
        <v>101.575</v>
      </c>
      <c r="H152" s="83">
        <f>IF(Tabla1[[#This Row],[VAR. LECTURA]]&gt;0,VLOOKUP(C152,'RECIBO DE LUZ'!$A$4:$T$99,20,0),0)</f>
        <v>37.839083333333342</v>
      </c>
      <c r="I152" s="175">
        <f>ROUND((G152+H152)/3,2)</f>
        <v>46.47</v>
      </c>
    </row>
    <row r="153" spans="1:9" x14ac:dyDescent="0.25">
      <c r="A153" s="205">
        <v>44440</v>
      </c>
      <c r="B153" s="121">
        <v>0.61339999999999995</v>
      </c>
      <c r="C153" s="113">
        <f>+A153</f>
        <v>44440</v>
      </c>
      <c r="D153" s="111" t="s">
        <v>31</v>
      </c>
      <c r="E153" s="112">
        <v>19338</v>
      </c>
      <c r="F153" s="86">
        <f>IF(Tabla1[[#This Row],[LECTURA ]]&gt;0,(E153-E149),0)</f>
        <v>539</v>
      </c>
      <c r="G153" s="85">
        <f>IF(AND(G154&gt;0,G155&gt;0,G156&gt;0),SUM(G154:G156),0)</f>
        <v>330.62259999999998</v>
      </c>
      <c r="H153" s="85">
        <f>IF(F154&gt;0,VLOOKUP(C153,'RECIBO DE LUZ'!$A$4:$T$99,19,0),0)</f>
        <v>111.376468</v>
      </c>
      <c r="I153" s="172">
        <f>IF(AND(G153&gt;0,H153&gt;0),SUM(G153:H153),0)</f>
        <v>441.99906799999997</v>
      </c>
    </row>
    <row r="154" spans="1:9" x14ac:dyDescent="0.25">
      <c r="A154" s="206"/>
      <c r="B154" s="122"/>
      <c r="C154" s="113">
        <f>+A153</f>
        <v>44440</v>
      </c>
      <c r="D154" s="125" t="s">
        <v>14</v>
      </c>
      <c r="E154" s="112">
        <v>5328</v>
      </c>
      <c r="F154" s="126">
        <f>IF(Tabla1[[#This Row],[LECTURA ]]&gt;0,(E154-E150),0)</f>
        <v>115</v>
      </c>
      <c r="G154" s="82">
        <f>VLOOKUP(C154,$A$5:$B$198,2,0)*F154</f>
        <v>70.540999999999997</v>
      </c>
      <c r="H154" s="83">
        <f>IF(Tabla1[[#This Row],[VAR. LECTURA]]&gt;0,VLOOKUP(C154,'RECIBO DE LUZ'!$A$4:$T$99,20,0),0)</f>
        <v>37.125489333333334</v>
      </c>
      <c r="I154" s="174">
        <f>ROUND(+G154+H154+((G156+H156)/3),2)</f>
        <v>161.13999999999999</v>
      </c>
    </row>
    <row r="155" spans="1:9" x14ac:dyDescent="0.25">
      <c r="A155" s="206"/>
      <c r="B155" s="124"/>
      <c r="C155" s="113">
        <f>+A153</f>
        <v>44440</v>
      </c>
      <c r="D155" s="125" t="s">
        <v>32</v>
      </c>
      <c r="E155" s="112">
        <v>7651</v>
      </c>
      <c r="F155" s="126">
        <f>IF(Tabla1[[#This Row],[LECTURA ]]&gt;0,(E155-E151),0)</f>
        <v>223</v>
      </c>
      <c r="G155" s="82">
        <f>VLOOKUP(C155,$A$5:$B$198,2,0)*F155</f>
        <v>136.78819999999999</v>
      </c>
      <c r="H155" s="83">
        <f>IF(Tabla1[[#This Row],[VAR. LECTURA]]&gt;0,VLOOKUP(C155,'RECIBO DE LUZ'!$A$4:$T$99,20,0),0)</f>
        <v>37.125489333333334</v>
      </c>
      <c r="I155" s="174">
        <f>ROUND(G155+H155+((G156+H156)/3),2)</f>
        <v>227.39</v>
      </c>
    </row>
    <row r="156" spans="1:9" x14ac:dyDescent="0.25">
      <c r="A156" s="206"/>
      <c r="B156" s="124"/>
      <c r="C156" s="128">
        <f>+A153</f>
        <v>44440</v>
      </c>
      <c r="D156" s="125" t="s">
        <v>15</v>
      </c>
      <c r="E156" s="129"/>
      <c r="F156" s="127">
        <f t="shared" ref="F156" si="85">+F153-F154-F155</f>
        <v>201</v>
      </c>
      <c r="G156" s="130">
        <f>VLOOKUP(C156,$A$5:$B$198,2,0)*F156</f>
        <v>123.29339999999999</v>
      </c>
      <c r="H156" s="83">
        <f>IF(Tabla1[[#This Row],[VAR. LECTURA]]&gt;0,VLOOKUP(C156,'RECIBO DE LUZ'!$A$4:$T$99,20,0),0)</f>
        <v>37.125489333333334</v>
      </c>
      <c r="I156" s="175">
        <f>ROUND((G156+H156)/3,2)</f>
        <v>53.47</v>
      </c>
    </row>
    <row r="157" spans="1:9" x14ac:dyDescent="0.25">
      <c r="A157" s="205">
        <v>44470</v>
      </c>
      <c r="B157" s="121">
        <v>0.63029999999999997</v>
      </c>
      <c r="C157" s="113">
        <f t="shared" ref="C157" si="86">+A157</f>
        <v>44470</v>
      </c>
      <c r="D157" s="111" t="s">
        <v>31</v>
      </c>
      <c r="E157" s="112">
        <v>19793</v>
      </c>
      <c r="F157" s="86">
        <f>IF(Tabla1[[#This Row],[LECTURA ]]&gt;0,(E157-E153),0)</f>
        <v>455</v>
      </c>
      <c r="G157" s="85">
        <f>IF(AND(G158&gt;0,G159&gt;0,G160&gt;0),SUM(G158:G160),0)</f>
        <v>286.78649999999999</v>
      </c>
      <c r="H157" s="85">
        <f>IF(F158&gt;0,VLOOKUP(C157,'RECIBO DE LUZ'!$A$4:$T$99,19,0),0)</f>
        <v>80.205169999999995</v>
      </c>
      <c r="I157" s="172">
        <f>IF(AND(G157&gt;0,H157&gt;0),SUM(G157:H157),0)</f>
        <v>366.99167</v>
      </c>
    </row>
    <row r="158" spans="1:9" x14ac:dyDescent="0.25">
      <c r="A158" s="206"/>
      <c r="B158" s="122"/>
      <c r="C158" s="113">
        <f t="shared" ref="C158" si="87">+A157</f>
        <v>44470</v>
      </c>
      <c r="D158" s="125" t="s">
        <v>14</v>
      </c>
      <c r="E158" s="112">
        <v>5419</v>
      </c>
      <c r="F158" s="126">
        <f>IF(Tabla1[[#This Row],[LECTURA ]]&gt;0,(E158-E154),0)</f>
        <v>91</v>
      </c>
      <c r="G158" s="82">
        <f>VLOOKUP(C158,$A$5:$B$198,2,0)*F158</f>
        <v>57.357299999999995</v>
      </c>
      <c r="H158" s="83">
        <f>IF(Tabla1[[#This Row],[VAR. LECTURA]]&gt;0,VLOOKUP(C158,'RECIBO DE LUZ'!$A$4:$T$99,20,0),0)</f>
        <v>26.735056666666665</v>
      </c>
      <c r="I158" s="174">
        <f>ROUND(+G158+H158+((G160+H160)/3),2)</f>
        <v>128.72</v>
      </c>
    </row>
    <row r="159" spans="1:9" x14ac:dyDescent="0.25">
      <c r="A159" s="206"/>
      <c r="B159" s="124"/>
      <c r="C159" s="113">
        <f t="shared" ref="C159" si="88">+A157</f>
        <v>44470</v>
      </c>
      <c r="D159" s="125" t="s">
        <v>32</v>
      </c>
      <c r="E159" s="112">
        <v>7845</v>
      </c>
      <c r="F159" s="126">
        <f>IF(Tabla1[[#This Row],[LECTURA ]]&gt;0,(E159-E155),0)</f>
        <v>194</v>
      </c>
      <c r="G159" s="82">
        <f>VLOOKUP(C159,$A$5:$B$198,2,0)*F159</f>
        <v>122.2782</v>
      </c>
      <c r="H159" s="83">
        <f>IF(Tabla1[[#This Row],[VAR. LECTURA]]&gt;0,VLOOKUP(C159,'RECIBO DE LUZ'!$A$4:$T$99,20,0),0)</f>
        <v>26.735056666666665</v>
      </c>
      <c r="I159" s="174">
        <f>ROUND(G159+H159+((G160+H160)/3),2)</f>
        <v>193.64</v>
      </c>
    </row>
    <row r="160" spans="1:9" x14ac:dyDescent="0.25">
      <c r="A160" s="206"/>
      <c r="B160" s="124"/>
      <c r="C160" s="128">
        <f t="shared" ref="C160" si="89">+A157</f>
        <v>44470</v>
      </c>
      <c r="D160" s="125" t="s">
        <v>15</v>
      </c>
      <c r="E160" s="129"/>
      <c r="F160" s="127">
        <f t="shared" ref="F160" si="90">+F157-F158-F159</f>
        <v>170</v>
      </c>
      <c r="G160" s="130">
        <f>VLOOKUP(C160,$A$5:$B$198,2,0)*F160</f>
        <v>107.151</v>
      </c>
      <c r="H160" s="83">
        <f>IF(Tabla1[[#This Row],[VAR. LECTURA]]&gt;0,VLOOKUP(C160,'RECIBO DE LUZ'!$A$4:$T$99,20,0),0)</f>
        <v>26.735056666666665</v>
      </c>
      <c r="I160" s="175">
        <f>ROUND((G160+H160)/3,2)</f>
        <v>44.63</v>
      </c>
    </row>
    <row r="161" spans="1:9" x14ac:dyDescent="0.25">
      <c r="A161" s="205">
        <v>44501</v>
      </c>
      <c r="B161" s="121">
        <v>0.64690000000000003</v>
      </c>
      <c r="C161" s="113">
        <f t="shared" ref="C161" si="91">+A161</f>
        <v>44501</v>
      </c>
      <c r="D161" s="111" t="s">
        <v>31</v>
      </c>
      <c r="E161" s="112">
        <v>20284</v>
      </c>
      <c r="F161" s="86">
        <f>IF(Tabla1[[#This Row],[LECTURA ]]&gt;0,(E161-E157),0)</f>
        <v>491</v>
      </c>
      <c r="G161" s="85">
        <f>IF(AND(G162&gt;0,G163&gt;0,G164&gt;0),SUM(G162:G164),0)</f>
        <v>317.62790000000001</v>
      </c>
      <c r="H161" s="85">
        <f>IF(F162&gt;0,VLOOKUP(C161,'RECIBO DE LUZ'!$A$4:$T$99,19,0),0)</f>
        <v>70.365021999999996</v>
      </c>
      <c r="I161" s="172">
        <f>IF(AND(G161&gt;0,H161&gt;0),SUM(G161:H161),0)</f>
        <v>387.99292200000002</v>
      </c>
    </row>
    <row r="162" spans="1:9" x14ac:dyDescent="0.25">
      <c r="A162" s="206"/>
      <c r="B162" s="122"/>
      <c r="C162" s="113">
        <f t="shared" ref="C162" si="92">+A161</f>
        <v>44501</v>
      </c>
      <c r="D162" s="125" t="s">
        <v>14</v>
      </c>
      <c r="E162" s="112">
        <v>5519</v>
      </c>
      <c r="F162" s="126">
        <f>IF(Tabla1[[#This Row],[LECTURA ]]&gt;0,(E162-E158),0)</f>
        <v>100</v>
      </c>
      <c r="G162" s="82">
        <f>VLOOKUP(C162,$A$5:$B$198,2,0)*F162</f>
        <v>64.69</v>
      </c>
      <c r="H162" s="83">
        <f>IF(Tabla1[[#This Row],[VAR. LECTURA]]&gt;0,VLOOKUP(C162,'RECIBO DE LUZ'!$A$4:$T$99,20,0),0)</f>
        <v>23.455007333333331</v>
      </c>
      <c r="I162" s="174">
        <f>ROUND(+G162+H162+((G164+H164)/3),2)</f>
        <v>132.62</v>
      </c>
    </row>
    <row r="163" spans="1:9" x14ac:dyDescent="0.25">
      <c r="A163" s="206"/>
      <c r="B163" s="124"/>
      <c r="C163" s="113">
        <f t="shared" ref="C163" si="93">+A161</f>
        <v>44501</v>
      </c>
      <c r="D163" s="125" t="s">
        <v>32</v>
      </c>
      <c r="E163" s="112">
        <v>8066</v>
      </c>
      <c r="F163" s="126">
        <f>IF(Tabla1[[#This Row],[LECTURA ]]&gt;0,(E163-E159),0)</f>
        <v>221</v>
      </c>
      <c r="G163" s="82">
        <f>VLOOKUP(C163,$A$5:$B$198,2,0)*F163</f>
        <v>142.9649</v>
      </c>
      <c r="H163" s="83">
        <f>IF(Tabla1[[#This Row],[VAR. LECTURA]]&gt;0,VLOOKUP(C163,'RECIBO DE LUZ'!$A$4:$T$99,20,0),0)</f>
        <v>23.455007333333331</v>
      </c>
      <c r="I163" s="174">
        <f>ROUND(G163+H163+((G164+H164)/3),2)</f>
        <v>210.9</v>
      </c>
    </row>
    <row r="164" spans="1:9" x14ac:dyDescent="0.25">
      <c r="A164" s="206"/>
      <c r="B164" s="124"/>
      <c r="C164" s="128">
        <f t="shared" ref="C164" si="94">+A161</f>
        <v>44501</v>
      </c>
      <c r="D164" s="125" t="s">
        <v>15</v>
      </c>
      <c r="E164" s="129"/>
      <c r="F164" s="127">
        <f t="shared" ref="F164" si="95">+F161-F162-F163</f>
        <v>170</v>
      </c>
      <c r="G164" s="130">
        <f>VLOOKUP(C164,$A$5:$B$198,2,0)*F164</f>
        <v>109.973</v>
      </c>
      <c r="H164" s="83">
        <f>IF(Tabla1[[#This Row],[VAR. LECTURA]]&gt;0,VLOOKUP(C164,'RECIBO DE LUZ'!$A$4:$T$99,20,0),0)</f>
        <v>23.455007333333331</v>
      </c>
      <c r="I164" s="175">
        <f>ROUND((G164+H164)/3,2)</f>
        <v>44.48</v>
      </c>
    </row>
    <row r="165" spans="1:9" x14ac:dyDescent="0.25">
      <c r="A165" s="205">
        <v>44531</v>
      </c>
      <c r="B165" s="121">
        <v>0.64480000000000004</v>
      </c>
      <c r="C165" s="113">
        <f t="shared" ref="C165" si="96">+A165</f>
        <v>44531</v>
      </c>
      <c r="D165" s="111" t="s">
        <v>31</v>
      </c>
      <c r="E165" s="112">
        <v>20759</v>
      </c>
      <c r="F165" s="86">
        <f>IF(Tabla1[[#This Row],[LECTURA ]]&gt;0,(E165-E161),0)</f>
        <v>475</v>
      </c>
      <c r="G165" s="85">
        <f>IF(AND(G166&gt;0,G167&gt;0,G168&gt;0),SUM(G166:G168),0)</f>
        <v>306.28000000000003</v>
      </c>
      <c r="H165" s="85">
        <f>IF(F166&gt;0,VLOOKUP(C165,'RECIBO DE LUZ'!$A$4:$T$99,19,0),0)</f>
        <v>79.717600000000004</v>
      </c>
      <c r="I165" s="172">
        <f>IF(AND(G165&gt;0,H165&gt;0),SUM(G165:H165),0)</f>
        <v>385.99760000000003</v>
      </c>
    </row>
    <row r="166" spans="1:9" x14ac:dyDescent="0.25">
      <c r="A166" s="206"/>
      <c r="B166" s="122"/>
      <c r="C166" s="113">
        <f t="shared" ref="C166" si="97">+A165</f>
        <v>44531</v>
      </c>
      <c r="D166" s="125" t="s">
        <v>14</v>
      </c>
      <c r="E166" s="112">
        <v>5623</v>
      </c>
      <c r="F166" s="126">
        <f>IF(Tabla1[[#This Row],[LECTURA ]]&gt;0,(E166-E162),0)</f>
        <v>104</v>
      </c>
      <c r="G166" s="82">
        <f>VLOOKUP(C166,$A$5:$B$198,2,0)*F166</f>
        <v>67.059200000000004</v>
      </c>
      <c r="H166" s="83">
        <f>IF(Tabla1[[#This Row],[VAR. LECTURA]]&gt;0,VLOOKUP(C166,'RECIBO DE LUZ'!$A$4:$T$99,20,0),0)</f>
        <v>26.572533333333336</v>
      </c>
      <c r="I166" s="174">
        <f>ROUND(+G166+H166+((G168+H168)/3),2)</f>
        <v>134.51</v>
      </c>
    </row>
    <row r="167" spans="1:9" x14ac:dyDescent="0.25">
      <c r="A167" s="206"/>
      <c r="B167" s="124"/>
      <c r="C167" s="113">
        <f t="shared" ref="C167" si="98">+A165</f>
        <v>44531</v>
      </c>
      <c r="D167" s="125" t="s">
        <v>32</v>
      </c>
      <c r="E167" s="112">
        <v>8288</v>
      </c>
      <c r="F167" s="126">
        <f>IF(Tabla1[[#This Row],[LECTURA ]]&gt;0,(E167-E163),0)</f>
        <v>222</v>
      </c>
      <c r="G167" s="82">
        <f>VLOOKUP(C167,$A$5:$B$198,2,0)*F167</f>
        <v>143.1456</v>
      </c>
      <c r="H167" s="83">
        <f>IF(Tabla1[[#This Row],[VAR. LECTURA]]&gt;0,VLOOKUP(C167,'RECIBO DE LUZ'!$A$4:$T$99,20,0),0)</f>
        <v>26.572533333333336</v>
      </c>
      <c r="I167" s="174">
        <f>ROUND(G167+H167+((G168+H168)/3),2)</f>
        <v>210.6</v>
      </c>
    </row>
    <row r="168" spans="1:9" x14ac:dyDescent="0.25">
      <c r="A168" s="206"/>
      <c r="B168" s="124"/>
      <c r="C168" s="128">
        <f t="shared" ref="C168" si="99">+A165</f>
        <v>44531</v>
      </c>
      <c r="D168" s="125" t="s">
        <v>15</v>
      </c>
      <c r="E168" s="129"/>
      <c r="F168" s="127">
        <f t="shared" ref="F168" si="100">+F165-F166-F167</f>
        <v>149</v>
      </c>
      <c r="G168" s="130">
        <f>VLOOKUP(C168,$A$5:$B$198,2,0)*F168</f>
        <v>96.075200000000009</v>
      </c>
      <c r="H168" s="83">
        <f>IF(Tabla1[[#This Row],[VAR. LECTURA]]&gt;0,VLOOKUP(C168,'RECIBO DE LUZ'!$A$4:$T$99,20,0),0)</f>
        <v>26.572533333333336</v>
      </c>
      <c r="I168" s="175">
        <f>ROUND((G168+H168)/3,2)</f>
        <v>40.880000000000003</v>
      </c>
    </row>
    <row r="169" spans="1:9" x14ac:dyDescent="0.25">
      <c r="A169" s="205">
        <v>44562</v>
      </c>
      <c r="B169" s="121">
        <v>0.64580000000000004</v>
      </c>
      <c r="C169" s="113">
        <f t="shared" ref="C169" si="101">+A169</f>
        <v>44562</v>
      </c>
      <c r="D169" s="111" t="s">
        <v>31</v>
      </c>
      <c r="E169" s="112">
        <v>21331</v>
      </c>
      <c r="F169" s="86">
        <f>IF(Tabla1[[#This Row],[LECTURA ]]&gt;0,(E169-E165),0)</f>
        <v>572</v>
      </c>
      <c r="G169" s="85">
        <f t="shared" ref="G169" si="102">IF(AND(G170&gt;0,G171&gt;0,G172&gt;0),SUM(G170:G172),0)</f>
        <v>369.39760000000001</v>
      </c>
      <c r="H169" s="85">
        <f>IF(F170&gt;0,VLOOKUP(C169,'RECIBO DE LUZ'!$A$4:$T$99,19,0),0)</f>
        <v>112.096968</v>
      </c>
      <c r="I169" s="172">
        <f>IF(AND(G169&gt;0,H169&gt;0),SUM(G169:H169),0)</f>
        <v>481.49456800000002</v>
      </c>
    </row>
    <row r="170" spans="1:9" x14ac:dyDescent="0.25">
      <c r="A170" s="206"/>
      <c r="B170" s="122"/>
      <c r="C170" s="113">
        <f t="shared" ref="C170" si="103">+A169</f>
        <v>44562</v>
      </c>
      <c r="D170" s="125" t="s">
        <v>14</v>
      </c>
      <c r="E170" s="112">
        <v>5747</v>
      </c>
      <c r="F170" s="126">
        <f>IF(Tabla1[[#This Row],[LECTURA ]]&gt;0,(E170-E166),0)</f>
        <v>124</v>
      </c>
      <c r="G170" s="82">
        <f t="shared" ref="G170:G172" si="104">VLOOKUP(C170,$A$5:$B$198,2,0)*F170</f>
        <v>80.0792</v>
      </c>
      <c r="H170" s="83">
        <f>IF(Tabla1[[#This Row],[VAR. LECTURA]]&gt;0,VLOOKUP(C170,'RECIBO DE LUZ'!$A$4:$T$99,20,0),0)</f>
        <v>37.365656000000001</v>
      </c>
      <c r="I170" s="174">
        <f>ROUND(+G170+H170+((G172+H172)/3),2)</f>
        <v>166.93</v>
      </c>
    </row>
    <row r="171" spans="1:9" x14ac:dyDescent="0.25">
      <c r="A171" s="206"/>
      <c r="B171" s="124"/>
      <c r="C171" s="113">
        <f t="shared" ref="C171" si="105">+A169</f>
        <v>44562</v>
      </c>
      <c r="D171" s="125" t="s">
        <v>32</v>
      </c>
      <c r="E171" s="112">
        <v>8564</v>
      </c>
      <c r="F171" s="126">
        <f>IF(Tabla1[[#This Row],[LECTURA ]]&gt;0,(E171-E167),0)</f>
        <v>276</v>
      </c>
      <c r="G171" s="82">
        <f t="shared" si="104"/>
        <v>178.24080000000001</v>
      </c>
      <c r="H171" s="83">
        <f>IF(Tabla1[[#This Row],[VAR. LECTURA]]&gt;0,VLOOKUP(C171,'RECIBO DE LUZ'!$A$4:$T$99,20,0),0)</f>
        <v>37.365656000000001</v>
      </c>
      <c r="I171" s="174">
        <f>ROUND(G171+H171+((G172+H172)/3),2)</f>
        <v>265.08999999999997</v>
      </c>
    </row>
    <row r="172" spans="1:9" x14ac:dyDescent="0.25">
      <c r="A172" s="206"/>
      <c r="B172" s="124"/>
      <c r="C172" s="128">
        <f t="shared" ref="C172" si="106">+A169</f>
        <v>44562</v>
      </c>
      <c r="D172" s="125" t="s">
        <v>15</v>
      </c>
      <c r="E172" s="129"/>
      <c r="F172" s="127">
        <f t="shared" ref="F172:F184" si="107">+F169-F170-F171</f>
        <v>172</v>
      </c>
      <c r="G172" s="130">
        <f t="shared" si="104"/>
        <v>111.0776</v>
      </c>
      <c r="H172" s="83">
        <f>IF(Tabla1[[#This Row],[VAR. LECTURA]]&gt;0,VLOOKUP(C172,'RECIBO DE LUZ'!$A$4:$T$99,20,0),0)</f>
        <v>37.365656000000001</v>
      </c>
      <c r="I172" s="175">
        <f>ROUND((G172+H172)/3,2)</f>
        <v>49.48</v>
      </c>
    </row>
    <row r="173" spans="1:9" x14ac:dyDescent="0.25">
      <c r="A173" s="205">
        <v>44593</v>
      </c>
      <c r="B173" s="121">
        <v>0.64710000000000001</v>
      </c>
      <c r="C173" s="113">
        <f t="shared" ref="C173" si="108">+A173</f>
        <v>44593</v>
      </c>
      <c r="D173" s="111" t="s">
        <v>31</v>
      </c>
      <c r="E173" s="112">
        <v>21879</v>
      </c>
      <c r="F173" s="86">
        <f>IF(Tabla1[[#This Row],[LECTURA ]]&gt;0,(E173-E169),0)</f>
        <v>548</v>
      </c>
      <c r="G173" s="85">
        <f t="shared" ref="G173" si="109">IF(AND(G174&gt;0,G175&gt;0,G176&gt;0),SUM(G174:G176),0)</f>
        <v>354.61079999999998</v>
      </c>
      <c r="H173" s="85">
        <f>IF(F174&gt;0,VLOOKUP(C173,'RECIBO DE LUZ'!$A$4:$T$99,19,0),0)</f>
        <v>113.385344</v>
      </c>
      <c r="I173" s="172">
        <f t="shared" ref="I173" si="110">IF(AND(G173&gt;0,H173&gt;0),SUM(G173:H173),0)</f>
        <v>467.99614399999996</v>
      </c>
    </row>
    <row r="174" spans="1:9" x14ac:dyDescent="0.25">
      <c r="A174" s="206"/>
      <c r="B174" s="122"/>
      <c r="C174" s="113">
        <f t="shared" ref="C174" si="111">+A173</f>
        <v>44593</v>
      </c>
      <c r="D174" s="125" t="s">
        <v>14</v>
      </c>
      <c r="E174" s="112">
        <v>5935</v>
      </c>
      <c r="F174" s="126">
        <f>IF(Tabla1[[#This Row],[LECTURA ]]&gt;0,(E174-E170),0)</f>
        <v>188</v>
      </c>
      <c r="G174" s="82">
        <f t="shared" ref="G174:G176" si="112">VLOOKUP(C174,$A$5:$B$198,2,0)*F174</f>
        <v>121.65479999999999</v>
      </c>
      <c r="H174" s="83">
        <f>IF(Tabla1[[#This Row],[VAR. LECTURA]]&gt;0,VLOOKUP(C174,'RECIBO DE LUZ'!$A$4:$T$99,20,0),0)</f>
        <v>37.79511466666667</v>
      </c>
      <c r="I174" s="174">
        <f t="shared" ref="I174" si="113">ROUND(+G174+H174+((G176+H176)/3),2)</f>
        <v>190.6</v>
      </c>
    </row>
    <row r="175" spans="1:9" x14ac:dyDescent="0.25">
      <c r="A175" s="206"/>
      <c r="B175" s="124"/>
      <c r="C175" s="113">
        <f t="shared" ref="C175" si="114">+A173</f>
        <v>44593</v>
      </c>
      <c r="D175" s="125" t="s">
        <v>32</v>
      </c>
      <c r="E175" s="112">
        <v>8838</v>
      </c>
      <c r="F175" s="126">
        <f>IF(Tabla1[[#This Row],[LECTURA ]]&gt;0,(E175-E171),0)</f>
        <v>274</v>
      </c>
      <c r="G175" s="82">
        <f t="shared" si="112"/>
        <v>177.30539999999999</v>
      </c>
      <c r="H175" s="83">
        <f>IF(Tabla1[[#This Row],[VAR. LECTURA]]&gt;0,VLOOKUP(C175,'RECIBO DE LUZ'!$A$4:$T$99,20,0),0)</f>
        <v>37.79511466666667</v>
      </c>
      <c r="I175" s="174">
        <f t="shared" ref="I175" si="115">ROUND(G175+H175+((G176+H176)/3),2)</f>
        <v>246.25</v>
      </c>
    </row>
    <row r="176" spans="1:9" x14ac:dyDescent="0.25">
      <c r="A176" s="206"/>
      <c r="B176" s="124"/>
      <c r="C176" s="128">
        <f t="shared" ref="C176" si="116">+A173</f>
        <v>44593</v>
      </c>
      <c r="D176" s="125" t="s">
        <v>15</v>
      </c>
      <c r="E176" s="129"/>
      <c r="F176" s="127">
        <f t="shared" si="107"/>
        <v>86</v>
      </c>
      <c r="G176" s="130">
        <f t="shared" si="112"/>
        <v>55.650599999999997</v>
      </c>
      <c r="H176" s="83">
        <f>IF(Tabla1[[#This Row],[VAR. LECTURA]]&gt;0,VLOOKUP(C176,'RECIBO DE LUZ'!$A$4:$T$99,20,0),0)</f>
        <v>37.79511466666667</v>
      </c>
      <c r="I176" s="175">
        <f t="shared" ref="I176" si="117">ROUND((G176+H176)/3,2)</f>
        <v>31.15</v>
      </c>
    </row>
    <row r="177" spans="1:9" x14ac:dyDescent="0.25">
      <c r="A177" s="205">
        <v>44621</v>
      </c>
      <c r="B177" s="121">
        <v>0.64990000000000003</v>
      </c>
      <c r="C177" s="113">
        <f t="shared" ref="C177" si="118">+A177</f>
        <v>44621</v>
      </c>
      <c r="D177" s="111" t="s">
        <v>31</v>
      </c>
      <c r="E177" s="112">
        <v>22470</v>
      </c>
      <c r="F177" s="86">
        <f>IF(Tabla1[[#This Row],[LECTURA ]]&gt;0,(E177-E173),0)</f>
        <v>591</v>
      </c>
      <c r="G177" s="85">
        <f t="shared" ref="G177" si="119">IF(AND(G178&gt;0,G179&gt;0,G180&gt;0),SUM(G178:G180),0)</f>
        <v>384.09090000000003</v>
      </c>
      <c r="H177" s="85">
        <f>IF(F178&gt;0,VLOOKUP(C177,'RECIBO DE LUZ'!$A$4:$T$99,19,0),0)</f>
        <v>115.907162</v>
      </c>
      <c r="I177" s="172">
        <f t="shared" ref="I177" si="120">IF(AND(G177&gt;0,H177&gt;0),SUM(G177:H177),0)</f>
        <v>499.998062</v>
      </c>
    </row>
    <row r="178" spans="1:9" x14ac:dyDescent="0.25">
      <c r="A178" s="206"/>
      <c r="B178" s="122"/>
      <c r="C178" s="113">
        <f t="shared" ref="C178" si="121">+A177</f>
        <v>44621</v>
      </c>
      <c r="D178" s="125" t="s">
        <v>14</v>
      </c>
      <c r="E178" s="112">
        <v>6104</v>
      </c>
      <c r="F178" s="126">
        <f>IF(Tabla1[[#This Row],[LECTURA ]]&gt;0,(E178-E174),0)</f>
        <v>169</v>
      </c>
      <c r="G178" s="82">
        <f t="shared" ref="G178:G180" si="122">VLOOKUP(C178,$A$5:$B$198,2,0)*F178</f>
        <v>109.8331</v>
      </c>
      <c r="H178" s="83">
        <f>IF(Tabla1[[#This Row],[VAR. LECTURA]]&gt;0,VLOOKUP(C178,'RECIBO DE LUZ'!$A$4:$T$99,20,0),0)</f>
        <v>38.635720666666664</v>
      </c>
      <c r="I178" s="174">
        <f t="shared" ref="I178" si="123">ROUND(+G178+H178+((G180+H180)/3),2)</f>
        <v>206.62</v>
      </c>
    </row>
    <row r="179" spans="1:9" x14ac:dyDescent="0.25">
      <c r="A179" s="206"/>
      <c r="B179" s="124"/>
      <c r="C179" s="113">
        <f t="shared" ref="C179" si="124">+A177</f>
        <v>44621</v>
      </c>
      <c r="D179" s="125" t="s">
        <v>32</v>
      </c>
      <c r="E179" s="112">
        <v>9051</v>
      </c>
      <c r="F179" s="126">
        <f>IF(Tabla1[[#This Row],[LECTURA ]]&gt;0,(E179-E175),0)</f>
        <v>213</v>
      </c>
      <c r="G179" s="82">
        <f t="shared" si="122"/>
        <v>138.42870000000002</v>
      </c>
      <c r="H179" s="83">
        <f>IF(Tabla1[[#This Row],[VAR. LECTURA]]&gt;0,VLOOKUP(C179,'RECIBO DE LUZ'!$A$4:$T$99,20,0),0)</f>
        <v>38.635720666666664</v>
      </c>
      <c r="I179" s="174">
        <f t="shared" ref="I179" si="125">ROUND(G179+H179+((G180+H180)/3),2)</f>
        <v>235.22</v>
      </c>
    </row>
    <row r="180" spans="1:9" x14ac:dyDescent="0.25">
      <c r="A180" s="206"/>
      <c r="B180" s="124"/>
      <c r="C180" s="128">
        <f t="shared" ref="C180" si="126">+A177</f>
        <v>44621</v>
      </c>
      <c r="D180" s="125" t="s">
        <v>15</v>
      </c>
      <c r="E180" s="129"/>
      <c r="F180" s="127">
        <f t="shared" si="107"/>
        <v>209</v>
      </c>
      <c r="G180" s="130">
        <f t="shared" si="122"/>
        <v>135.82910000000001</v>
      </c>
      <c r="H180" s="83">
        <f>IF(Tabla1[[#This Row],[VAR. LECTURA]]&gt;0,VLOOKUP(C180,'RECIBO DE LUZ'!$A$4:$T$99,20,0),0)</f>
        <v>38.635720666666664</v>
      </c>
      <c r="I180" s="175">
        <f t="shared" ref="I180" si="127">ROUND((G180+H180)/3,2)</f>
        <v>58.15</v>
      </c>
    </row>
    <row r="181" spans="1:9" x14ac:dyDescent="0.25">
      <c r="A181" s="205">
        <v>44652</v>
      </c>
      <c r="B181" s="121">
        <v>0.65049999999999997</v>
      </c>
      <c r="C181" s="113">
        <f t="shared" ref="C181" si="128">+A181</f>
        <v>44652</v>
      </c>
      <c r="D181" s="111" t="s">
        <v>31</v>
      </c>
      <c r="E181" s="112">
        <v>23003</v>
      </c>
      <c r="F181" s="86">
        <f>IF(Tabla1[[#This Row],[LECTURA ]]&gt;0,(E181-E177),0)</f>
        <v>533</v>
      </c>
      <c r="G181" s="85">
        <f t="shared" ref="G181" si="129">IF(AND(G182&gt;0,G183&gt;0,G184&gt;0),SUM(G182:G184),0)</f>
        <v>346.71649999999994</v>
      </c>
      <c r="H181" s="85">
        <f>IF(F182&gt;0,VLOOKUP(C181,'RECIBO DE LUZ'!$A$4:$T$99,19,0),0)</f>
        <v>32.213170000000019</v>
      </c>
      <c r="I181" s="172">
        <f t="shared" ref="I181" si="130">IF(AND(G181&gt;0,H181&gt;0),SUM(G181:H181),0)</f>
        <v>378.92966999999999</v>
      </c>
    </row>
    <row r="182" spans="1:9" x14ac:dyDescent="0.25">
      <c r="A182" s="206"/>
      <c r="B182" s="122"/>
      <c r="C182" s="113">
        <f t="shared" ref="C182" si="131">+A181</f>
        <v>44652</v>
      </c>
      <c r="D182" s="125" t="s">
        <v>14</v>
      </c>
      <c r="E182" s="112">
        <v>6287</v>
      </c>
      <c r="F182" s="126">
        <f>IF(Tabla1[[#This Row],[LECTURA ]]&gt;0,(E182-E178),0)</f>
        <v>183</v>
      </c>
      <c r="G182" s="82">
        <f t="shared" ref="G182:G184" si="132">VLOOKUP(C182,$A$5:$B$198,2,0)*F182</f>
        <v>119.0415</v>
      </c>
      <c r="H182" s="83">
        <f>IF(Tabla1[[#This Row],[VAR. LECTURA]]&gt;0,VLOOKUP(C182,'RECIBO DE LUZ'!$A$4:$T$99,20,0),0)</f>
        <v>10.73772333333334</v>
      </c>
      <c r="I182" s="174">
        <f t="shared" ref="I182" si="133">ROUND(+G182+H182+((G184+H184)/3),2)</f>
        <v>151.36000000000001</v>
      </c>
    </row>
    <row r="183" spans="1:9" x14ac:dyDescent="0.25">
      <c r="A183" s="206"/>
      <c r="B183" s="124"/>
      <c r="C183" s="113">
        <f t="shared" ref="C183" si="134">+A181</f>
        <v>44652</v>
      </c>
      <c r="D183" s="125" t="s">
        <v>32</v>
      </c>
      <c r="E183" s="112">
        <v>9318</v>
      </c>
      <c r="F183" s="126">
        <f>IF(Tabla1[[#This Row],[LECTURA ]]&gt;0,(E183-E179),0)</f>
        <v>267</v>
      </c>
      <c r="G183" s="82">
        <f t="shared" si="132"/>
        <v>173.68349999999998</v>
      </c>
      <c r="H183" s="83">
        <f>IF(Tabla1[[#This Row],[VAR. LECTURA]]&gt;0,VLOOKUP(C183,'RECIBO DE LUZ'!$A$4:$T$99,20,0),0)</f>
        <v>10.73772333333334</v>
      </c>
      <c r="I183" s="174">
        <f t="shared" ref="I183" si="135">ROUND(G183+H183+((G184+H184)/3),2)</f>
        <v>206</v>
      </c>
    </row>
    <row r="184" spans="1:9" x14ac:dyDescent="0.25">
      <c r="A184" s="206"/>
      <c r="B184" s="124"/>
      <c r="C184" s="128">
        <f t="shared" ref="C184" si="136">+A181</f>
        <v>44652</v>
      </c>
      <c r="D184" s="125" t="s">
        <v>15</v>
      </c>
      <c r="E184" s="129"/>
      <c r="F184" s="127">
        <f t="shared" si="107"/>
        <v>83</v>
      </c>
      <c r="G184" s="130">
        <f t="shared" si="132"/>
        <v>53.991499999999995</v>
      </c>
      <c r="H184" s="83">
        <f>IF(Tabla1[[#This Row],[VAR. LECTURA]]&gt;0,VLOOKUP(C184,'RECIBO DE LUZ'!$A$4:$T$99,20,0),0)</f>
        <v>10.73772333333334</v>
      </c>
      <c r="I184" s="175">
        <f t="shared" ref="I184" si="137">ROUND((G184+H184)/3,2)</f>
        <v>21.58</v>
      </c>
    </row>
    <row r="185" spans="1:9" x14ac:dyDescent="0.25">
      <c r="A185" s="205">
        <v>44682</v>
      </c>
      <c r="B185" s="121">
        <v>0.65210000000000001</v>
      </c>
      <c r="C185" s="113">
        <f t="shared" ref="C185" si="138">+A185</f>
        <v>44682</v>
      </c>
      <c r="D185" s="111" t="s">
        <v>31</v>
      </c>
      <c r="E185" s="112">
        <v>23685</v>
      </c>
      <c r="F185" s="86">
        <f>IF(Tabla1[[#This Row],[LECTURA ]]&gt;0,(E185-E181),0)</f>
        <v>682</v>
      </c>
      <c r="G185" s="85">
        <f t="shared" ref="G185" si="139">IF(AND(G186&gt;0,G187&gt;0,G188&gt;0),SUM(G186:G188),0)</f>
        <v>444.73220000000003</v>
      </c>
      <c r="H185" s="85">
        <f>IF(F186&gt;0,VLOOKUP(C185,'RECIBO DE LUZ'!$A$4:$T$99,19,0),0)</f>
        <v>128.77279600000003</v>
      </c>
      <c r="I185" s="172">
        <f t="shared" ref="I185" si="140">IF(AND(G185&gt;0,H185&gt;0),SUM(G185:H185),0)</f>
        <v>573.50499600000012</v>
      </c>
    </row>
    <row r="186" spans="1:9" x14ac:dyDescent="0.25">
      <c r="A186" s="206"/>
      <c r="B186" s="122"/>
      <c r="C186" s="113">
        <f t="shared" ref="C186" si="141">+A185</f>
        <v>44682</v>
      </c>
      <c r="D186" s="125" t="s">
        <v>14</v>
      </c>
      <c r="E186" s="112">
        <v>6478</v>
      </c>
      <c r="F186" s="126">
        <f>IF(Tabla1[[#This Row],[LECTURA ]]&gt;0,(E186-E182),0)</f>
        <v>191</v>
      </c>
      <c r="G186" s="82">
        <f t="shared" ref="G186:G188" si="142">VLOOKUP(C186,$A$5:$B$198,2,0)*F186</f>
        <v>124.55110000000001</v>
      </c>
      <c r="H186" s="83">
        <f>IF(Tabla1[[#This Row],[VAR. LECTURA]]&gt;0,VLOOKUP(C186,'RECIBO DE LUZ'!$A$4:$T$99,20,0),0)</f>
        <v>42.924265333333345</v>
      </c>
      <c r="I186" s="174">
        <f t="shared" ref="I186" si="143">ROUND(+G186+H186+((G188+H188)/3),2)</f>
        <v>215.04</v>
      </c>
    </row>
    <row r="187" spans="1:9" x14ac:dyDescent="0.25">
      <c r="A187" s="206"/>
      <c r="B187" s="124"/>
      <c r="C187" s="113">
        <f t="shared" ref="C187" si="144">+A185</f>
        <v>44682</v>
      </c>
      <c r="D187" s="125" t="s">
        <v>32</v>
      </c>
      <c r="E187" s="112">
        <v>9656</v>
      </c>
      <c r="F187" s="126">
        <f>IF(Tabla1[[#This Row],[LECTURA ]]&gt;0,(E187-E183),0)</f>
        <v>338</v>
      </c>
      <c r="G187" s="82">
        <f t="shared" si="142"/>
        <v>220.40980000000002</v>
      </c>
      <c r="H187" s="83">
        <f>IF(Tabla1[[#This Row],[VAR. LECTURA]]&gt;0,VLOOKUP(C187,'RECIBO DE LUZ'!$A$4:$T$99,20,0),0)</f>
        <v>42.924265333333345</v>
      </c>
      <c r="I187" s="174">
        <f t="shared" ref="I187" si="145">ROUND(G187+H187+((G188+H188)/3),2)</f>
        <v>310.89999999999998</v>
      </c>
    </row>
    <row r="188" spans="1:9" x14ac:dyDescent="0.25">
      <c r="A188" s="206"/>
      <c r="B188" s="124"/>
      <c r="C188" s="128">
        <f t="shared" ref="C188" si="146">+A185</f>
        <v>44682</v>
      </c>
      <c r="D188" s="125" t="s">
        <v>15</v>
      </c>
      <c r="E188" s="129"/>
      <c r="F188" s="127">
        <f t="shared" ref="F188:F208" si="147">+F185-F186-F187</f>
        <v>153</v>
      </c>
      <c r="G188" s="130">
        <f t="shared" si="142"/>
        <v>99.771299999999997</v>
      </c>
      <c r="H188" s="83">
        <f>IF(Tabla1[[#This Row],[VAR. LECTURA]]&gt;0,VLOOKUP(C188,'RECIBO DE LUZ'!$A$4:$T$99,20,0),0)</f>
        <v>42.924265333333345</v>
      </c>
      <c r="I188" s="175">
        <f t="shared" ref="I188" si="148">ROUND((G188+H188)/3,2)</f>
        <v>47.57</v>
      </c>
    </row>
    <row r="189" spans="1:9" x14ac:dyDescent="0.25">
      <c r="A189" s="205">
        <v>44713</v>
      </c>
      <c r="B189" s="121">
        <v>0.65459999999999996</v>
      </c>
      <c r="C189" s="113">
        <f t="shared" ref="C189" si="149">+A189</f>
        <v>44713</v>
      </c>
      <c r="D189" s="111" t="s">
        <v>31</v>
      </c>
      <c r="E189" s="112">
        <v>24453</v>
      </c>
      <c r="F189" s="86">
        <f>IF(Tabla1[[#This Row],[LECTURA ]]&gt;0,(E189-E185),0)</f>
        <v>768</v>
      </c>
      <c r="G189" s="85">
        <f t="shared" ref="G189" si="150">IF(AND(G190&gt;0,G191&gt;0,G192&gt;0),SUM(G190:G192),0)</f>
        <v>502.7328</v>
      </c>
      <c r="H189" s="85">
        <f>IF(F190&gt;0,VLOOKUP(C189,'RECIBO DE LUZ'!$A$4:$T$99,19,0),0)</f>
        <v>145.85210399999997</v>
      </c>
      <c r="I189" s="172">
        <f t="shared" ref="I189" si="151">IF(AND(G189&gt;0,H189&gt;0),SUM(G189:H189),0)</f>
        <v>648.58490399999994</v>
      </c>
    </row>
    <row r="190" spans="1:9" x14ac:dyDescent="0.25">
      <c r="A190" s="206"/>
      <c r="B190" s="122"/>
      <c r="C190" s="113">
        <f t="shared" ref="C190" si="152">+A189</f>
        <v>44713</v>
      </c>
      <c r="D190" s="125" t="s">
        <v>14</v>
      </c>
      <c r="E190" s="112">
        <v>6654</v>
      </c>
      <c r="F190" s="126">
        <f>IF(Tabla1[[#This Row],[LECTURA ]]&gt;0,(E190-E186),0)</f>
        <v>176</v>
      </c>
      <c r="G190" s="82">
        <f t="shared" ref="G190:G192" si="153">VLOOKUP(C190,$A$5:$B$198,2,0)*F190</f>
        <v>115.20959999999999</v>
      </c>
      <c r="H190" s="83">
        <f>IF(Tabla1[[#This Row],[VAR. LECTURA]]&gt;0,VLOOKUP(C190,'RECIBO DE LUZ'!$A$4:$T$99,20,0),0)</f>
        <v>48.617367999999992</v>
      </c>
      <c r="I190" s="174">
        <f t="shared" ref="I190" si="154">ROUND(+G190+H190+((G192+H192)/3),2)</f>
        <v>213.64</v>
      </c>
    </row>
    <row r="191" spans="1:9" x14ac:dyDescent="0.25">
      <c r="A191" s="206"/>
      <c r="B191" s="124"/>
      <c r="C191" s="113">
        <f t="shared" ref="C191" si="155">+A189</f>
        <v>44713</v>
      </c>
      <c r="D191" s="125" t="s">
        <v>32</v>
      </c>
      <c r="E191" s="112">
        <v>10094</v>
      </c>
      <c r="F191" s="126">
        <f>IF(Tabla1[[#This Row],[LECTURA ]]&gt;0,(E191-E187),0)</f>
        <v>438</v>
      </c>
      <c r="G191" s="82">
        <f t="shared" si="153"/>
        <v>286.71479999999997</v>
      </c>
      <c r="H191" s="83">
        <f>IF(Tabla1[[#This Row],[VAR. LECTURA]]&gt;0,VLOOKUP(C191,'RECIBO DE LUZ'!$A$4:$T$99,20,0),0)</f>
        <v>48.617367999999992</v>
      </c>
      <c r="I191" s="174">
        <f t="shared" ref="I191" si="156">ROUND(G191+H191+((G192+H192)/3),2)</f>
        <v>385.14</v>
      </c>
    </row>
    <row r="192" spans="1:9" x14ac:dyDescent="0.25">
      <c r="A192" s="206"/>
      <c r="B192" s="124"/>
      <c r="C192" s="128">
        <f t="shared" ref="C192" si="157">+A189</f>
        <v>44713</v>
      </c>
      <c r="D192" s="125" t="s">
        <v>15</v>
      </c>
      <c r="E192" s="129"/>
      <c r="F192" s="127">
        <f t="shared" si="147"/>
        <v>154</v>
      </c>
      <c r="G192" s="130">
        <f t="shared" si="153"/>
        <v>100.80839999999999</v>
      </c>
      <c r="H192" s="83">
        <f>IF(Tabla1[[#This Row],[VAR. LECTURA]]&gt;0,VLOOKUP(C192,'RECIBO DE LUZ'!$A$4:$T$99,20,0),0)</f>
        <v>48.617367999999992</v>
      </c>
      <c r="I192" s="175">
        <f t="shared" ref="I192" si="158">ROUND((G192+H192)/3,2)</f>
        <v>49.81</v>
      </c>
    </row>
    <row r="193" spans="1:9" x14ac:dyDescent="0.25">
      <c r="A193" s="205">
        <v>44743</v>
      </c>
      <c r="B193" s="121">
        <v>0.65600000000000003</v>
      </c>
      <c r="C193" s="113">
        <f t="shared" ref="C193" si="159">+A193</f>
        <v>44743</v>
      </c>
      <c r="D193" s="111" t="s">
        <v>31</v>
      </c>
      <c r="E193" s="112">
        <v>25104</v>
      </c>
      <c r="F193" s="86">
        <f>IF(Tabla1[[#This Row],[LECTURA ]]&gt;0,(E193-E189),0)</f>
        <v>651</v>
      </c>
      <c r="G193" s="85">
        <f t="shared" ref="G193" si="160">IF(AND(G194&gt;0,G195&gt;0,G196&gt;0),SUM(G194:G196),0)</f>
        <v>427.05600000000004</v>
      </c>
      <c r="H193" s="85">
        <f>IF(F194&gt;0,VLOOKUP(C193,'RECIBO DE LUZ'!$A$4:$T$99,19,0),0)</f>
        <v>131.94628000000003</v>
      </c>
      <c r="I193" s="172">
        <f t="shared" ref="I193" si="161">IF(AND(G193&gt;0,H193&gt;0),SUM(G193:H193),0)</f>
        <v>559.00228000000004</v>
      </c>
    </row>
    <row r="194" spans="1:9" x14ac:dyDescent="0.25">
      <c r="A194" s="206"/>
      <c r="B194" s="122"/>
      <c r="C194" s="113">
        <f t="shared" ref="C194" si="162">+A193</f>
        <v>44743</v>
      </c>
      <c r="D194" s="125" t="s">
        <v>14</v>
      </c>
      <c r="E194" s="112">
        <v>6826</v>
      </c>
      <c r="F194" s="126">
        <f>IF(Tabla1[[#This Row],[LECTURA ]]&gt;0,(E194-E190),0)</f>
        <v>172</v>
      </c>
      <c r="G194" s="82">
        <f t="shared" ref="G194:G196" si="163">VLOOKUP(C194,$A$5:$B$198,2,0)*F194</f>
        <v>112.83200000000001</v>
      </c>
      <c r="H194" s="83">
        <f>IF(Tabla1[[#This Row],[VAR. LECTURA]]&gt;0,VLOOKUP(C194,'RECIBO DE LUZ'!$A$4:$T$99,20,0),0)</f>
        <v>43.982093333333346</v>
      </c>
      <c r="I194" s="174">
        <f t="shared" ref="I194" si="164">ROUND(+G194+H194+((G196+H196)/3),2)</f>
        <v>201.43</v>
      </c>
    </row>
    <row r="195" spans="1:9" x14ac:dyDescent="0.25">
      <c r="A195" s="206"/>
      <c r="B195" s="124"/>
      <c r="C195" s="113">
        <f t="shared" ref="C195" si="165">+A193</f>
        <v>44743</v>
      </c>
      <c r="D195" s="125" t="s">
        <v>32</v>
      </c>
      <c r="E195" s="112">
        <v>10436</v>
      </c>
      <c r="F195" s="126">
        <f>IF(Tabla1[[#This Row],[LECTURA ]]&gt;0,(E195-E191),0)</f>
        <v>342</v>
      </c>
      <c r="G195" s="82">
        <f t="shared" si="163"/>
        <v>224.352</v>
      </c>
      <c r="H195" s="83">
        <f>IF(Tabla1[[#This Row],[VAR. LECTURA]]&gt;0,VLOOKUP(C195,'RECIBO DE LUZ'!$A$4:$T$99,20,0),0)</f>
        <v>43.982093333333346</v>
      </c>
      <c r="I195" s="174">
        <f t="shared" ref="I195" si="166">ROUND(G195+H195+((G196+H196)/3),2)</f>
        <v>312.95</v>
      </c>
    </row>
    <row r="196" spans="1:9" x14ac:dyDescent="0.25">
      <c r="A196" s="206"/>
      <c r="B196" s="124"/>
      <c r="C196" s="128">
        <f t="shared" ref="C196" si="167">+A193</f>
        <v>44743</v>
      </c>
      <c r="D196" s="125" t="s">
        <v>15</v>
      </c>
      <c r="E196" s="129"/>
      <c r="F196" s="127">
        <f t="shared" si="147"/>
        <v>137</v>
      </c>
      <c r="G196" s="130">
        <f t="shared" si="163"/>
        <v>89.872</v>
      </c>
      <c r="H196" s="83">
        <f>IF(Tabla1[[#This Row],[VAR. LECTURA]]&gt;0,VLOOKUP(C196,'RECIBO DE LUZ'!$A$4:$T$99,20,0),0)</f>
        <v>43.982093333333346</v>
      </c>
      <c r="I196" s="175">
        <f t="shared" ref="I196" si="168">ROUND((G196+H196)/3,2)</f>
        <v>44.62</v>
      </c>
    </row>
    <row r="197" spans="1:9" x14ac:dyDescent="0.25">
      <c r="A197" s="205">
        <v>44774</v>
      </c>
      <c r="B197" s="121">
        <v>0.66420000000000001</v>
      </c>
      <c r="C197" s="113">
        <f t="shared" ref="C197" si="169">+A197</f>
        <v>44774</v>
      </c>
      <c r="D197" s="111" t="s">
        <v>31</v>
      </c>
      <c r="E197" s="112">
        <v>25650</v>
      </c>
      <c r="F197" s="86">
        <f>IF(Tabla1[[#This Row],[LECTURA ]]&gt;0,(E197-E193),0)</f>
        <v>546</v>
      </c>
      <c r="G197" s="85">
        <f t="shared" ref="G197" si="170">IF(AND(G198&gt;0,G199&gt;0,G200&gt;0),SUM(G198:G200),0)</f>
        <v>362.65320000000003</v>
      </c>
      <c r="H197" s="85">
        <f>IF(F198&gt;0,VLOOKUP(C197,'RECIBO DE LUZ'!$A$4:$T$99,19,0),0)</f>
        <v>-26.648024000000021</v>
      </c>
      <c r="I197" s="172">
        <f t="shared" ref="I197" si="171">IF(AND(G197&gt;0,H197&gt;0),SUM(G197:H197),0)</f>
        <v>0</v>
      </c>
    </row>
    <row r="198" spans="1:9" x14ac:dyDescent="0.25">
      <c r="A198" s="206"/>
      <c r="B198" s="122"/>
      <c r="C198" s="113">
        <f t="shared" ref="C198" si="172">+A197</f>
        <v>44774</v>
      </c>
      <c r="D198" s="125" t="s">
        <v>14</v>
      </c>
      <c r="E198" s="112">
        <v>6997</v>
      </c>
      <c r="F198" s="126">
        <f>IF(Tabla1[[#This Row],[LECTURA ]]&gt;0,(E198-E194),0)</f>
        <v>171</v>
      </c>
      <c r="G198" s="82">
        <f t="shared" ref="G198:G200" si="173">VLOOKUP(C198,$A$5:$B$198,2,0)*F198</f>
        <v>113.5782</v>
      </c>
      <c r="H198" s="83">
        <f>IF(Tabla1[[#This Row],[VAR. LECTURA]]&gt;0,VLOOKUP(C198,'RECIBO DE LUZ'!$A$4:$T$99,20,0),0)</f>
        <v>-8.8826746666666736</v>
      </c>
      <c r="I198" s="174">
        <f t="shared" ref="I198" si="174">ROUND(+G198+H198+((G200+H200)/3),2)</f>
        <v>134.72</v>
      </c>
    </row>
    <row r="199" spans="1:9" x14ac:dyDescent="0.25">
      <c r="A199" s="206"/>
      <c r="B199" s="124"/>
      <c r="C199" s="113">
        <f t="shared" ref="C199" si="175">+A197</f>
        <v>44774</v>
      </c>
      <c r="D199" s="125" t="s">
        <v>32</v>
      </c>
      <c r="E199" s="112">
        <v>10662</v>
      </c>
      <c r="F199" s="126">
        <f>IF(Tabla1[[#This Row],[LECTURA ]]&gt;0,(E199-E195),0)</f>
        <v>226</v>
      </c>
      <c r="G199" s="82">
        <f t="shared" si="173"/>
        <v>150.10920000000002</v>
      </c>
      <c r="H199" s="83">
        <f>IF(Tabla1[[#This Row],[VAR. LECTURA]]&gt;0,VLOOKUP(C199,'RECIBO DE LUZ'!$A$4:$T$99,20,0),0)</f>
        <v>-8.8826746666666736</v>
      </c>
      <c r="I199" s="174">
        <f t="shared" ref="I199" si="176">ROUND(G199+H199+((G200+H200)/3),2)</f>
        <v>171.25</v>
      </c>
    </row>
    <row r="200" spans="1:9" x14ac:dyDescent="0.25">
      <c r="A200" s="206"/>
      <c r="B200" s="124"/>
      <c r="C200" s="128">
        <f t="shared" ref="C200" si="177">+A197</f>
        <v>44774</v>
      </c>
      <c r="D200" s="125" t="s">
        <v>15</v>
      </c>
      <c r="E200" s="129"/>
      <c r="F200" s="127">
        <f t="shared" si="147"/>
        <v>149</v>
      </c>
      <c r="G200" s="130">
        <f t="shared" si="173"/>
        <v>98.965800000000002</v>
      </c>
      <c r="H200" s="83">
        <f>IF(Tabla1[[#This Row],[VAR. LECTURA]]&gt;0,VLOOKUP(C200,'RECIBO DE LUZ'!$A$4:$T$99,20,0),0)</f>
        <v>-8.8826746666666736</v>
      </c>
      <c r="I200" s="175">
        <f t="shared" ref="I200" si="178">ROUND((G200+H200)/3,2)</f>
        <v>30.03</v>
      </c>
    </row>
    <row r="201" spans="1:9" x14ac:dyDescent="0.25">
      <c r="A201" s="205">
        <v>44805</v>
      </c>
      <c r="B201" s="121">
        <v>0.67989999999999995</v>
      </c>
      <c r="C201" s="113">
        <f t="shared" ref="C201" si="179">+A201</f>
        <v>44805</v>
      </c>
      <c r="D201" s="111" t="s">
        <v>31</v>
      </c>
      <c r="E201" s="112">
        <v>26166</v>
      </c>
      <c r="F201" s="86">
        <f>IF(Tabla1[[#This Row],[LECTURA ]]&gt;0,(E201-E197),0)</f>
        <v>516</v>
      </c>
      <c r="G201" s="85">
        <f t="shared" ref="G201" si="180">IF(AND(G202&gt;0,G203&gt;0,G204&gt;0),SUM(G202:G204),0)</f>
        <v>350.82839999999999</v>
      </c>
      <c r="H201" s="85">
        <f>IF(F202&gt;0,VLOOKUP(C201,'RECIBO DE LUZ'!$A$4:$T$99,19,0),0)</f>
        <v>116.66571200000001</v>
      </c>
      <c r="I201" s="172">
        <f t="shared" ref="I201" si="181">IF(AND(G201&gt;0,H201&gt;0),SUM(G201:H201),0)</f>
        <v>467.49411199999997</v>
      </c>
    </row>
    <row r="202" spans="1:9" x14ac:dyDescent="0.25">
      <c r="A202" s="206"/>
      <c r="B202" s="122"/>
      <c r="C202" s="113">
        <f t="shared" ref="C202" si="182">+A201</f>
        <v>44805</v>
      </c>
      <c r="D202" s="125" t="s">
        <v>14</v>
      </c>
      <c r="E202" s="112">
        <v>7196</v>
      </c>
      <c r="F202" s="126">
        <f>IF(Tabla1[[#This Row],[LECTURA ]]&gt;0,(E202-E198),0)</f>
        <v>199</v>
      </c>
      <c r="G202" s="82">
        <f>VLOOKUP(C202,$A$5:$B$1000,2,0)*F202</f>
        <v>135.30009999999999</v>
      </c>
      <c r="H202" s="83">
        <f>IF(Tabla1[[#This Row],[VAR. LECTURA]]&gt;0,VLOOKUP(C202,'RECIBO DE LUZ'!$A$4:$T$99,20,0),0)</f>
        <v>38.888570666666674</v>
      </c>
      <c r="I202" s="174">
        <f t="shared" ref="I202" si="183">ROUND(+G202+H202+((G204+H204)/3),2)</f>
        <v>197.58</v>
      </c>
    </row>
    <row r="203" spans="1:9" x14ac:dyDescent="0.25">
      <c r="A203" s="206"/>
      <c r="B203" s="124"/>
      <c r="C203" s="113">
        <f t="shared" ref="C203" si="184">+A201</f>
        <v>44805</v>
      </c>
      <c r="D203" s="125" t="s">
        <v>32</v>
      </c>
      <c r="E203" s="112">
        <v>10933</v>
      </c>
      <c r="F203" s="126">
        <f>IF(Tabla1[[#This Row],[LECTURA ]]&gt;0,(E203-E199),0)</f>
        <v>271</v>
      </c>
      <c r="G203" s="82">
        <f t="shared" ref="G203:G204" si="185">VLOOKUP(C203,$A$5:$B$1000,2,0)*F203</f>
        <v>184.25289999999998</v>
      </c>
      <c r="H203" s="83">
        <f>IF(Tabla1[[#This Row],[VAR. LECTURA]]&gt;0,VLOOKUP(C203,'RECIBO DE LUZ'!$A$4:$T$99,20,0),0)</f>
        <v>38.888570666666674</v>
      </c>
      <c r="I203" s="174">
        <f t="shared" ref="I203" si="186">ROUND(G203+H203+((G204+H204)/3),2)</f>
        <v>246.53</v>
      </c>
    </row>
    <row r="204" spans="1:9" x14ac:dyDescent="0.25">
      <c r="A204" s="206"/>
      <c r="B204" s="124"/>
      <c r="C204" s="128">
        <f t="shared" ref="C204" si="187">+A201</f>
        <v>44805</v>
      </c>
      <c r="D204" s="125" t="s">
        <v>15</v>
      </c>
      <c r="E204" s="129"/>
      <c r="F204" s="127">
        <f t="shared" si="147"/>
        <v>46</v>
      </c>
      <c r="G204" s="82">
        <f t="shared" si="185"/>
        <v>31.275399999999998</v>
      </c>
      <c r="H204" s="83">
        <f>IF(Tabla1[[#This Row],[VAR. LECTURA]]&gt;0,VLOOKUP(C204,'RECIBO DE LUZ'!$A$4:$T$99,20,0),0)</f>
        <v>38.888570666666674</v>
      </c>
      <c r="I204" s="175">
        <f t="shared" ref="I204" si="188">ROUND((G204+H204)/3,2)</f>
        <v>23.39</v>
      </c>
    </row>
    <row r="205" spans="1:9" x14ac:dyDescent="0.25">
      <c r="A205" s="205">
        <v>44835</v>
      </c>
      <c r="B205" s="121">
        <v>0.68120000000000003</v>
      </c>
      <c r="C205" s="113">
        <f t="shared" ref="C205" si="189">+A205</f>
        <v>44835</v>
      </c>
      <c r="D205" s="111" t="s">
        <v>31</v>
      </c>
      <c r="E205" s="112">
        <v>26779</v>
      </c>
      <c r="F205" s="86">
        <f>IF(Tabla1[[#This Row],[LECTURA ]]&gt;0,(E205-E201),0)</f>
        <v>613</v>
      </c>
      <c r="G205" s="85">
        <f t="shared" ref="G205" si="190">IF(AND(G206&gt;0,G207&gt;0,G208&gt;0),SUM(G206:G208),0)</f>
        <v>417.57560000000001</v>
      </c>
      <c r="H205" s="85">
        <f>IF(F206&gt;0,VLOOKUP(C205,'RECIBO DE LUZ'!$A$4:$T$99,19,0),0)</f>
        <v>128.41420799999997</v>
      </c>
      <c r="I205" s="172">
        <f t="shared" ref="I205" si="191">IF(AND(G205&gt;0,H205&gt;0),SUM(G205:H205),0)</f>
        <v>545.98980800000004</v>
      </c>
    </row>
    <row r="206" spans="1:9" x14ac:dyDescent="0.25">
      <c r="A206" s="206"/>
      <c r="B206" s="122"/>
      <c r="C206" s="113">
        <f t="shared" ref="C206" si="192">+A205</f>
        <v>44835</v>
      </c>
      <c r="D206" s="125" t="s">
        <v>14</v>
      </c>
      <c r="E206" s="112">
        <v>7338</v>
      </c>
      <c r="F206" s="126">
        <f>IF(Tabla1[[#This Row],[LECTURA ]]&gt;0,(E206-E202),0)</f>
        <v>142</v>
      </c>
      <c r="G206" s="82">
        <f>VLOOKUP(C206,$A$5:$B$1000,2,0)*F206</f>
        <v>96.730400000000003</v>
      </c>
      <c r="H206" s="83">
        <f>IF(Tabla1[[#This Row],[VAR. LECTURA]]&gt;0,VLOOKUP(C206,'RECIBO DE LUZ'!$A$4:$T$99,20,0),0)</f>
        <v>42.804735999999991</v>
      </c>
      <c r="I206" s="174">
        <f t="shared" ref="I206" si="193">ROUND(+G206+H206+((G208+H208)/3),2)</f>
        <v>208.75</v>
      </c>
    </row>
    <row r="207" spans="1:9" x14ac:dyDescent="0.25">
      <c r="A207" s="206"/>
      <c r="B207" s="124"/>
      <c r="C207" s="113">
        <f t="shared" ref="C207" si="194">+A205</f>
        <v>44835</v>
      </c>
      <c r="D207" s="125" t="s">
        <v>32</v>
      </c>
      <c r="E207" s="112">
        <v>11162</v>
      </c>
      <c r="F207" s="126">
        <f>IF(Tabla1[[#This Row],[LECTURA ]]&gt;0,(E207-E203),0)</f>
        <v>229</v>
      </c>
      <c r="G207" s="82">
        <f t="shared" ref="G207:G208" si="195">VLOOKUP(C207,$A$5:$B$1000,2,0)*F207</f>
        <v>155.9948</v>
      </c>
      <c r="H207" s="83">
        <f>IF(Tabla1[[#This Row],[VAR. LECTURA]]&gt;0,VLOOKUP(C207,'RECIBO DE LUZ'!$A$4:$T$99,20,0),0)</f>
        <v>42.804735999999991</v>
      </c>
      <c r="I207" s="174">
        <f t="shared" ref="I207" si="196">ROUND(G207+H207+((G208+H208)/3),2)</f>
        <v>268.02</v>
      </c>
    </row>
    <row r="208" spans="1:9" x14ac:dyDescent="0.25">
      <c r="A208" s="206"/>
      <c r="B208" s="124"/>
      <c r="C208" s="128">
        <f t="shared" ref="C208" si="197">+A205</f>
        <v>44835</v>
      </c>
      <c r="D208" s="125" t="s">
        <v>15</v>
      </c>
      <c r="E208" s="129"/>
      <c r="F208" s="127">
        <f t="shared" si="147"/>
        <v>242</v>
      </c>
      <c r="G208" s="82">
        <f t="shared" si="195"/>
        <v>164.85040000000001</v>
      </c>
      <c r="H208" s="83">
        <f>IF(Tabla1[[#This Row],[VAR. LECTURA]]&gt;0,VLOOKUP(C208,'RECIBO DE LUZ'!$A$4:$T$99,20,0),0)</f>
        <v>42.804735999999991</v>
      </c>
      <c r="I208" s="175">
        <f t="shared" ref="I208" si="198">ROUND((G208+H208)/3,2)</f>
        <v>69.22</v>
      </c>
    </row>
    <row r="209" spans="1:9" x14ac:dyDescent="0.25">
      <c r="A209" s="205">
        <v>44866</v>
      </c>
      <c r="B209" s="121"/>
      <c r="C209" s="113">
        <f t="shared" ref="C209" si="199">+A209</f>
        <v>44866</v>
      </c>
      <c r="D209" s="111" t="s">
        <v>31</v>
      </c>
      <c r="E209" s="112"/>
      <c r="F209" s="86">
        <f>IF(Tabla1[[#This Row],[LECTURA ]]&gt;0,(E209-E205),0)</f>
        <v>0</v>
      </c>
      <c r="G209" s="85">
        <f t="shared" ref="G209:G225" si="200">IF(AND(G210&gt;0,G211&gt;0,G212&gt;0),SUM(G210:G212),0)</f>
        <v>0</v>
      </c>
      <c r="H209" s="85">
        <f>IF(F210&gt;0,VLOOKUP(C209,'RECIBO DE LUZ'!$A$4:$T$99,19,0),0)</f>
        <v>0</v>
      </c>
      <c r="I209" s="172">
        <f t="shared" ref="I209" si="201">IF(AND(G209&gt;0,H209&gt;0),SUM(G209:H209),0)</f>
        <v>0</v>
      </c>
    </row>
    <row r="210" spans="1:9" x14ac:dyDescent="0.25">
      <c r="A210" s="206"/>
      <c r="B210" s="122"/>
      <c r="C210" s="113">
        <f t="shared" ref="C210" si="202">+A209</f>
        <v>44866</v>
      </c>
      <c r="D210" s="125" t="s">
        <v>14</v>
      </c>
      <c r="E210" s="112"/>
      <c r="F210" s="126">
        <f>IF(Tabla1[[#This Row],[LECTURA ]]&gt;0,(E210-E206),0)</f>
        <v>0</v>
      </c>
      <c r="G210" s="82">
        <f t="shared" ref="G210:G212" si="203">VLOOKUP(C210,$A$5:$B$1000,2,0)*F210</f>
        <v>0</v>
      </c>
      <c r="H210" s="83">
        <f>IF(Tabla1[[#This Row],[VAR. LECTURA]]&gt;0,VLOOKUP(C210,'RECIBO DE LUZ'!$A$4:$T$99,20,0),0)</f>
        <v>0</v>
      </c>
      <c r="I210" s="174">
        <f t="shared" ref="I210" si="204">ROUND(+G210+H210+((G212+H212)/3),2)</f>
        <v>0</v>
      </c>
    </row>
    <row r="211" spans="1:9" x14ac:dyDescent="0.25">
      <c r="A211" s="206"/>
      <c r="B211" s="124"/>
      <c r="C211" s="113">
        <f t="shared" ref="C211" si="205">+A209</f>
        <v>44866</v>
      </c>
      <c r="D211" s="125" t="s">
        <v>32</v>
      </c>
      <c r="E211" s="112"/>
      <c r="F211" s="126">
        <f>IF(Tabla1[[#This Row],[LECTURA ]]&gt;0,(E211-E207),0)</f>
        <v>0</v>
      </c>
      <c r="G211" s="82">
        <f t="shared" si="203"/>
        <v>0</v>
      </c>
      <c r="H211" s="83">
        <f>IF(Tabla1[[#This Row],[VAR. LECTURA]]&gt;0,VLOOKUP(C211,'RECIBO DE LUZ'!$A$4:$T$99,20,0),0)</f>
        <v>0</v>
      </c>
      <c r="I211" s="174">
        <f t="shared" ref="I211" si="206">ROUND(G211+H211+((G212+H212)/3),2)</f>
        <v>0</v>
      </c>
    </row>
    <row r="212" spans="1:9" x14ac:dyDescent="0.25">
      <c r="A212" s="206"/>
      <c r="B212" s="124"/>
      <c r="C212" s="128">
        <f t="shared" ref="C212" si="207">+A209</f>
        <v>44866</v>
      </c>
      <c r="D212" s="125" t="s">
        <v>15</v>
      </c>
      <c r="E212" s="129"/>
      <c r="F212" s="127">
        <f t="shared" ref="F212:F232" si="208">+F209-F210-F211</f>
        <v>0</v>
      </c>
      <c r="G212" s="82">
        <f t="shared" si="203"/>
        <v>0</v>
      </c>
      <c r="H212" s="83">
        <f>IF(Tabla1[[#This Row],[VAR. LECTURA]]&gt;0,VLOOKUP(C212,'RECIBO DE LUZ'!$A$4:$T$99,20,0),0)</f>
        <v>0</v>
      </c>
      <c r="I212" s="175">
        <f t="shared" ref="I212" si="209">ROUND((G212+H212)/3,2)</f>
        <v>0</v>
      </c>
    </row>
    <row r="213" spans="1:9" x14ac:dyDescent="0.25">
      <c r="A213" s="205">
        <v>44896</v>
      </c>
      <c r="B213" s="121"/>
      <c r="C213" s="113">
        <f t="shared" ref="C213" si="210">+A213</f>
        <v>44896</v>
      </c>
      <c r="D213" s="111" t="s">
        <v>31</v>
      </c>
      <c r="E213" s="112"/>
      <c r="F213" s="86">
        <f>IF(Tabla1[[#This Row],[LECTURA ]]&gt;0,(E213-E209),0)</f>
        <v>0</v>
      </c>
      <c r="G213" s="85">
        <f t="shared" ref="G213:G229" si="211">IF(AND(G214&gt;0,G215&gt;0,G216&gt;0),SUM(G214:G216),0)</f>
        <v>0</v>
      </c>
      <c r="H213" s="85">
        <f>IF(F214&gt;0,VLOOKUP(C213,'RECIBO DE LUZ'!$A$4:$T$99,19,0),0)</f>
        <v>0</v>
      </c>
      <c r="I213" s="172">
        <f t="shared" ref="I213" si="212">IF(AND(G213&gt;0,H213&gt;0),SUM(G213:H213),0)</f>
        <v>0</v>
      </c>
    </row>
    <row r="214" spans="1:9" x14ac:dyDescent="0.25">
      <c r="A214" s="206"/>
      <c r="B214" s="122"/>
      <c r="C214" s="113">
        <f t="shared" ref="C214" si="213">+A213</f>
        <v>44896</v>
      </c>
      <c r="D214" s="125" t="s">
        <v>14</v>
      </c>
      <c r="E214" s="112"/>
      <c r="F214" s="126">
        <f>IF(Tabla1[[#This Row],[LECTURA ]]&gt;0,(E214-E210),0)</f>
        <v>0</v>
      </c>
      <c r="G214" s="82">
        <f t="shared" ref="G214:G216" si="214">VLOOKUP(C214,$A$5:$B$1000,2,0)*F214</f>
        <v>0</v>
      </c>
      <c r="H214" s="83">
        <f>IF(Tabla1[[#This Row],[VAR. LECTURA]]&gt;0,VLOOKUP(C214,'RECIBO DE LUZ'!$A$4:$T$99,20,0),0)</f>
        <v>0</v>
      </c>
      <c r="I214" s="174">
        <f t="shared" ref="I214" si="215">ROUND(+G214+H214+((G216+H216)/3),2)</f>
        <v>0</v>
      </c>
    </row>
    <row r="215" spans="1:9" x14ac:dyDescent="0.25">
      <c r="A215" s="206"/>
      <c r="B215" s="124"/>
      <c r="C215" s="113">
        <f t="shared" ref="C215" si="216">+A213</f>
        <v>44896</v>
      </c>
      <c r="D215" s="125" t="s">
        <v>32</v>
      </c>
      <c r="E215" s="112"/>
      <c r="F215" s="126">
        <f>IF(Tabla1[[#This Row],[LECTURA ]]&gt;0,(E215-E211),0)</f>
        <v>0</v>
      </c>
      <c r="G215" s="82">
        <f t="shared" si="214"/>
        <v>0</v>
      </c>
      <c r="H215" s="83">
        <f>IF(Tabla1[[#This Row],[VAR. LECTURA]]&gt;0,VLOOKUP(C215,'RECIBO DE LUZ'!$A$4:$T$99,20,0),0)</f>
        <v>0</v>
      </c>
      <c r="I215" s="174">
        <f t="shared" ref="I215" si="217">ROUND(G215+H215+((G216+H216)/3),2)</f>
        <v>0</v>
      </c>
    </row>
    <row r="216" spans="1:9" x14ac:dyDescent="0.25">
      <c r="A216" s="206"/>
      <c r="B216" s="124"/>
      <c r="C216" s="128">
        <f t="shared" ref="C216" si="218">+A213</f>
        <v>44896</v>
      </c>
      <c r="D216" s="125" t="s">
        <v>15</v>
      </c>
      <c r="E216" s="129"/>
      <c r="F216" s="127">
        <f t="shared" si="208"/>
        <v>0</v>
      </c>
      <c r="G216" s="82">
        <f t="shared" si="214"/>
        <v>0</v>
      </c>
      <c r="H216" s="83">
        <f>IF(Tabla1[[#This Row],[VAR. LECTURA]]&gt;0,VLOOKUP(C216,'RECIBO DE LUZ'!$A$4:$T$99,20,0),0)</f>
        <v>0</v>
      </c>
      <c r="I216" s="175">
        <f t="shared" ref="I216" si="219">ROUND((G216+H216)/3,2)</f>
        <v>0</v>
      </c>
    </row>
    <row r="217" spans="1:9" x14ac:dyDescent="0.25">
      <c r="A217" s="205">
        <v>44927</v>
      </c>
      <c r="B217" s="121">
        <v>2.6798999999999999</v>
      </c>
      <c r="C217" s="113">
        <f t="shared" ref="C217" si="220">+A217</f>
        <v>44927</v>
      </c>
      <c r="D217" s="111" t="s">
        <v>31</v>
      </c>
      <c r="E217" s="112"/>
      <c r="F217" s="86">
        <f>IF(Tabla1[[#This Row],[LECTURA ]]&gt;0,(E217-E213),0)</f>
        <v>0</v>
      </c>
      <c r="G217" s="85">
        <f t="shared" si="200"/>
        <v>0</v>
      </c>
      <c r="H217" s="85">
        <f>IF(F218&gt;0,VLOOKUP(C217,'RECIBO DE LUZ'!$A$4:$T$99,19,0),0)</f>
        <v>0</v>
      </c>
      <c r="I217" s="172">
        <f t="shared" ref="I217" si="221">IF(AND(G217&gt;0,H217&gt;0),SUM(G217:H217),0)</f>
        <v>0</v>
      </c>
    </row>
    <row r="218" spans="1:9" x14ac:dyDescent="0.25">
      <c r="A218" s="206"/>
      <c r="B218" s="122"/>
      <c r="C218" s="113">
        <f t="shared" ref="C218" si="222">+A217</f>
        <v>44927</v>
      </c>
      <c r="D218" s="125" t="s">
        <v>14</v>
      </c>
      <c r="E218" s="112"/>
      <c r="F218" s="126">
        <f>IF(Tabla1[[#This Row],[LECTURA ]]&gt;0,(E218-E214),0)</f>
        <v>0</v>
      </c>
      <c r="G218" s="82">
        <f t="shared" ref="G218:G220" si="223">VLOOKUP(C218,$A$5:$B$1000,2,0)*F218</f>
        <v>0</v>
      </c>
      <c r="H218" s="83">
        <f>IF(Tabla1[[#This Row],[VAR. LECTURA]]&gt;0,VLOOKUP(C218,'RECIBO DE LUZ'!$A$4:$T$99,20,0),0)</f>
        <v>0</v>
      </c>
      <c r="I218" s="174">
        <f t="shared" ref="I218" si="224">ROUND(+G218+H218+((G220+H220)/3),2)</f>
        <v>0</v>
      </c>
    </row>
    <row r="219" spans="1:9" x14ac:dyDescent="0.25">
      <c r="A219" s="206"/>
      <c r="B219" s="124"/>
      <c r="C219" s="113">
        <f t="shared" ref="C219" si="225">+A217</f>
        <v>44927</v>
      </c>
      <c r="D219" s="125" t="s">
        <v>32</v>
      </c>
      <c r="E219" s="112"/>
      <c r="F219" s="126">
        <f>IF(Tabla1[[#This Row],[LECTURA ]]&gt;0,(E219-E215),0)</f>
        <v>0</v>
      </c>
      <c r="G219" s="82">
        <f t="shared" si="223"/>
        <v>0</v>
      </c>
      <c r="H219" s="83">
        <f>IF(Tabla1[[#This Row],[VAR. LECTURA]]&gt;0,VLOOKUP(C219,'RECIBO DE LUZ'!$A$4:$T$99,20,0),0)</f>
        <v>0</v>
      </c>
      <c r="I219" s="174">
        <f t="shared" ref="I219" si="226">ROUND(G219+H219+((G220+H220)/3),2)</f>
        <v>0</v>
      </c>
    </row>
    <row r="220" spans="1:9" x14ac:dyDescent="0.25">
      <c r="A220" s="206"/>
      <c r="B220" s="124"/>
      <c r="C220" s="128">
        <f t="shared" ref="C220" si="227">+A217</f>
        <v>44927</v>
      </c>
      <c r="D220" s="125" t="s">
        <v>15</v>
      </c>
      <c r="E220" s="129"/>
      <c r="F220" s="127">
        <f t="shared" si="208"/>
        <v>0</v>
      </c>
      <c r="G220" s="82">
        <f t="shared" si="223"/>
        <v>0</v>
      </c>
      <c r="H220" s="83">
        <f>IF(Tabla1[[#This Row],[VAR. LECTURA]]&gt;0,VLOOKUP(C220,'RECIBO DE LUZ'!$A$4:$T$99,20,0),0)</f>
        <v>0</v>
      </c>
      <c r="I220" s="175">
        <f t="shared" ref="I220" si="228">ROUND((G220+H220)/3,2)</f>
        <v>0</v>
      </c>
    </row>
    <row r="221" spans="1:9" x14ac:dyDescent="0.25">
      <c r="A221" s="205">
        <v>44958</v>
      </c>
      <c r="B221" s="121"/>
      <c r="C221" s="113">
        <f t="shared" ref="C221" si="229">+A221</f>
        <v>44958</v>
      </c>
      <c r="D221" s="111" t="s">
        <v>31</v>
      </c>
      <c r="E221" s="112"/>
      <c r="F221" s="86">
        <f>IF(Tabla1[[#This Row],[LECTURA ]]&gt;0,(E221-E217),0)</f>
        <v>0</v>
      </c>
      <c r="G221" s="85">
        <f t="shared" si="211"/>
        <v>0</v>
      </c>
      <c r="H221" s="85">
        <f>IF(F222&gt;0,VLOOKUP(C221,'RECIBO DE LUZ'!$A$4:$T$99,19,0),0)</f>
        <v>0</v>
      </c>
      <c r="I221" s="172">
        <f t="shared" ref="I221" si="230">IF(AND(G221&gt;0,H221&gt;0),SUM(G221:H221),0)</f>
        <v>0</v>
      </c>
    </row>
    <row r="222" spans="1:9" x14ac:dyDescent="0.25">
      <c r="A222" s="206"/>
      <c r="B222" s="122"/>
      <c r="C222" s="113">
        <f t="shared" ref="C222" si="231">+A221</f>
        <v>44958</v>
      </c>
      <c r="D222" s="125" t="s">
        <v>14</v>
      </c>
      <c r="E222" s="112"/>
      <c r="F222" s="126">
        <f>IF(Tabla1[[#This Row],[LECTURA ]]&gt;0,(E222-E218),0)</f>
        <v>0</v>
      </c>
      <c r="G222" s="82">
        <f t="shared" ref="G222:G224" si="232">VLOOKUP(C222,$A$5:$B$1000,2,0)*F222</f>
        <v>0</v>
      </c>
      <c r="H222" s="83">
        <f>IF(Tabla1[[#This Row],[VAR. LECTURA]]&gt;0,VLOOKUP(C222,'RECIBO DE LUZ'!$A$4:$T$99,20,0),0)</f>
        <v>0</v>
      </c>
      <c r="I222" s="174">
        <f t="shared" ref="I222" si="233">ROUND(+G222+H222+((G224+H224)/3),2)</f>
        <v>0</v>
      </c>
    </row>
    <row r="223" spans="1:9" x14ac:dyDescent="0.25">
      <c r="A223" s="206"/>
      <c r="B223" s="124"/>
      <c r="C223" s="113">
        <f t="shared" ref="C223" si="234">+A221</f>
        <v>44958</v>
      </c>
      <c r="D223" s="125" t="s">
        <v>32</v>
      </c>
      <c r="E223" s="112"/>
      <c r="F223" s="126">
        <f>IF(Tabla1[[#This Row],[LECTURA ]]&gt;0,(E223-E219),0)</f>
        <v>0</v>
      </c>
      <c r="G223" s="82">
        <f t="shared" si="232"/>
        <v>0</v>
      </c>
      <c r="H223" s="83">
        <f>IF(Tabla1[[#This Row],[VAR. LECTURA]]&gt;0,VLOOKUP(C223,'RECIBO DE LUZ'!$A$4:$T$99,20,0),0)</f>
        <v>0</v>
      </c>
      <c r="I223" s="174">
        <f t="shared" ref="I223" si="235">ROUND(G223+H223+((G224+H224)/3),2)</f>
        <v>0</v>
      </c>
    </row>
    <row r="224" spans="1:9" x14ac:dyDescent="0.25">
      <c r="A224" s="206"/>
      <c r="B224" s="124"/>
      <c r="C224" s="128">
        <f t="shared" ref="C224" si="236">+A221</f>
        <v>44958</v>
      </c>
      <c r="D224" s="125" t="s">
        <v>15</v>
      </c>
      <c r="E224" s="129"/>
      <c r="F224" s="127">
        <f t="shared" si="208"/>
        <v>0</v>
      </c>
      <c r="G224" s="82">
        <f t="shared" si="232"/>
        <v>0</v>
      </c>
      <c r="H224" s="83">
        <f>IF(Tabla1[[#This Row],[VAR. LECTURA]]&gt;0,VLOOKUP(C224,'RECIBO DE LUZ'!$A$4:$T$99,20,0),0)</f>
        <v>0</v>
      </c>
      <c r="I224" s="175">
        <f t="shared" ref="I224" si="237">ROUND((G224+H224)/3,2)</f>
        <v>0</v>
      </c>
    </row>
    <row r="225" spans="1:9" x14ac:dyDescent="0.25">
      <c r="A225" s="205">
        <v>44986</v>
      </c>
      <c r="B225" s="121">
        <v>3.6798999999999999</v>
      </c>
      <c r="C225" s="113">
        <f t="shared" ref="C225" si="238">+A225</f>
        <v>44986</v>
      </c>
      <c r="D225" s="111" t="s">
        <v>31</v>
      </c>
      <c r="E225" s="112"/>
      <c r="F225" s="86">
        <f>IF(Tabla1[[#This Row],[LECTURA ]]&gt;0,(E225-E221),0)</f>
        <v>0</v>
      </c>
      <c r="G225" s="85">
        <f t="shared" si="200"/>
        <v>0</v>
      </c>
      <c r="H225" s="85">
        <f>IF(F226&gt;0,VLOOKUP(C225,'RECIBO DE LUZ'!$A$4:$T$99,19,0),0)</f>
        <v>0</v>
      </c>
      <c r="I225" s="172">
        <f t="shared" ref="I225" si="239">IF(AND(G225&gt;0,H225&gt;0),SUM(G225:H225),0)</f>
        <v>0</v>
      </c>
    </row>
    <row r="226" spans="1:9" x14ac:dyDescent="0.25">
      <c r="A226" s="206"/>
      <c r="B226" s="122"/>
      <c r="C226" s="113">
        <f t="shared" ref="C226" si="240">+A225</f>
        <v>44986</v>
      </c>
      <c r="D226" s="125" t="s">
        <v>14</v>
      </c>
      <c r="E226" s="112"/>
      <c r="F226" s="126">
        <f>IF(Tabla1[[#This Row],[LECTURA ]]&gt;0,(E226-E222),0)</f>
        <v>0</v>
      </c>
      <c r="G226" s="82">
        <f t="shared" ref="G226:G228" si="241">VLOOKUP(C226,$A$5:$B$1000,2,0)*F226</f>
        <v>0</v>
      </c>
      <c r="H226" s="83">
        <f>IF(Tabla1[[#This Row],[VAR. LECTURA]]&gt;0,VLOOKUP(C226,'RECIBO DE LUZ'!$A$4:$T$99,20,0),0)</f>
        <v>0</v>
      </c>
      <c r="I226" s="174">
        <f t="shared" ref="I226" si="242">ROUND(+G226+H226+((G228+H228)/3),2)</f>
        <v>0</v>
      </c>
    </row>
    <row r="227" spans="1:9" x14ac:dyDescent="0.25">
      <c r="A227" s="206"/>
      <c r="B227" s="124"/>
      <c r="C227" s="113">
        <f t="shared" ref="C227" si="243">+A225</f>
        <v>44986</v>
      </c>
      <c r="D227" s="125" t="s">
        <v>32</v>
      </c>
      <c r="E227" s="112"/>
      <c r="F227" s="126">
        <f>IF(Tabla1[[#This Row],[LECTURA ]]&gt;0,(E227-E223),0)</f>
        <v>0</v>
      </c>
      <c r="G227" s="82">
        <f t="shared" si="241"/>
        <v>0</v>
      </c>
      <c r="H227" s="83">
        <f>IF(Tabla1[[#This Row],[VAR. LECTURA]]&gt;0,VLOOKUP(C227,'RECIBO DE LUZ'!$A$4:$T$99,20,0),0)</f>
        <v>0</v>
      </c>
      <c r="I227" s="174">
        <f t="shared" ref="I227" si="244">ROUND(G227+H227+((G228+H228)/3),2)</f>
        <v>0</v>
      </c>
    </row>
    <row r="228" spans="1:9" x14ac:dyDescent="0.25">
      <c r="A228" s="206"/>
      <c r="B228" s="124"/>
      <c r="C228" s="128">
        <f t="shared" ref="C228" si="245">+A225</f>
        <v>44986</v>
      </c>
      <c r="D228" s="125" t="s">
        <v>15</v>
      </c>
      <c r="E228" s="129"/>
      <c r="F228" s="127">
        <f t="shared" si="208"/>
        <v>0</v>
      </c>
      <c r="G228" s="82">
        <f t="shared" si="241"/>
        <v>0</v>
      </c>
      <c r="H228" s="83">
        <f>IF(Tabla1[[#This Row],[VAR. LECTURA]]&gt;0,VLOOKUP(C228,'RECIBO DE LUZ'!$A$4:$T$99,20,0),0)</f>
        <v>0</v>
      </c>
      <c r="I228" s="175">
        <f t="shared" ref="I228" si="246">ROUND((G228+H228)/3,2)</f>
        <v>0</v>
      </c>
    </row>
    <row r="229" spans="1:9" x14ac:dyDescent="0.25">
      <c r="A229" s="205">
        <v>45017</v>
      </c>
      <c r="B229" s="121"/>
      <c r="C229" s="113">
        <f t="shared" ref="C229" si="247">+A229</f>
        <v>45017</v>
      </c>
      <c r="D229" s="111" t="s">
        <v>31</v>
      </c>
      <c r="E229" s="112"/>
      <c r="F229" s="86">
        <f>IF(Tabla1[[#This Row],[LECTURA ]]&gt;0,(E229-E225),0)</f>
        <v>0</v>
      </c>
      <c r="G229" s="85">
        <f t="shared" si="211"/>
        <v>0</v>
      </c>
      <c r="H229" s="85">
        <f>IF(F230&gt;0,VLOOKUP(C229,'RECIBO DE LUZ'!$A$4:$T$99,19,0),0)</f>
        <v>0</v>
      </c>
      <c r="I229" s="172">
        <f t="shared" ref="I229" si="248">IF(AND(G229&gt;0,H229&gt;0),SUM(G229:H229),0)</f>
        <v>0</v>
      </c>
    </row>
    <row r="230" spans="1:9" x14ac:dyDescent="0.25">
      <c r="A230" s="206"/>
      <c r="B230" s="122"/>
      <c r="C230" s="113">
        <f t="shared" ref="C230" si="249">+A229</f>
        <v>45017</v>
      </c>
      <c r="D230" s="125" t="s">
        <v>14</v>
      </c>
      <c r="E230" s="112"/>
      <c r="F230" s="126">
        <f>IF(Tabla1[[#This Row],[LECTURA ]]&gt;0,(E230-E226),0)</f>
        <v>0</v>
      </c>
      <c r="G230" s="82">
        <f t="shared" ref="G230:G232" si="250">VLOOKUP(C230,$A$5:$B$1000,2,0)*F230</f>
        <v>0</v>
      </c>
      <c r="H230" s="83">
        <f>IF(Tabla1[[#This Row],[VAR. LECTURA]]&gt;0,VLOOKUP(C230,'RECIBO DE LUZ'!$A$4:$T$99,20,0),0)</f>
        <v>0</v>
      </c>
      <c r="I230" s="174">
        <f t="shared" ref="I230" si="251">ROUND(+G230+H230+((G232+H232)/3),2)</f>
        <v>0</v>
      </c>
    </row>
    <row r="231" spans="1:9" x14ac:dyDescent="0.25">
      <c r="A231" s="206"/>
      <c r="B231" s="124"/>
      <c r="C231" s="113">
        <f t="shared" ref="C231" si="252">+A229</f>
        <v>45017</v>
      </c>
      <c r="D231" s="125" t="s">
        <v>32</v>
      </c>
      <c r="E231" s="112"/>
      <c r="F231" s="126">
        <f>IF(Tabla1[[#This Row],[LECTURA ]]&gt;0,(E231-E227),0)</f>
        <v>0</v>
      </c>
      <c r="G231" s="82">
        <f t="shared" si="250"/>
        <v>0</v>
      </c>
      <c r="H231" s="83">
        <f>IF(Tabla1[[#This Row],[VAR. LECTURA]]&gt;0,VLOOKUP(C231,'RECIBO DE LUZ'!$A$4:$T$99,20,0),0)</f>
        <v>0</v>
      </c>
      <c r="I231" s="174">
        <f t="shared" ref="I231" si="253">ROUND(G231+H231+((G232+H232)/3),2)</f>
        <v>0</v>
      </c>
    </row>
    <row r="232" spans="1:9" x14ac:dyDescent="0.25">
      <c r="A232" s="206"/>
      <c r="B232" s="124"/>
      <c r="C232" s="128">
        <f t="shared" ref="C232" si="254">+A229</f>
        <v>45017</v>
      </c>
      <c r="D232" s="125" t="s">
        <v>15</v>
      </c>
      <c r="E232" s="129"/>
      <c r="F232" s="127">
        <f t="shared" si="208"/>
        <v>0</v>
      </c>
      <c r="G232" s="82">
        <f t="shared" si="250"/>
        <v>0</v>
      </c>
      <c r="H232" s="83">
        <f>IF(Tabla1[[#This Row],[VAR. LECTURA]]&gt;0,VLOOKUP(C232,'RECIBO DE LUZ'!$A$4:$T$99,20,0),0)</f>
        <v>0</v>
      </c>
      <c r="I232" s="175">
        <f t="shared" ref="I232" si="255">ROUND((G232+H232)/3,2)</f>
        <v>0</v>
      </c>
    </row>
  </sheetData>
  <autoFilter ref="A4:A88" xr:uid="{83EB1389-A258-42BE-B81F-5E65C67B9F6E}"/>
  <mergeCells count="58">
    <mergeCell ref="A189:A192"/>
    <mergeCell ref="A193:A196"/>
    <mergeCell ref="A197:A200"/>
    <mergeCell ref="A201:A204"/>
    <mergeCell ref="A205:A208"/>
    <mergeCell ref="A169:A172"/>
    <mergeCell ref="A173:A176"/>
    <mergeCell ref="A177:A180"/>
    <mergeCell ref="A181:A184"/>
    <mergeCell ref="A185:A188"/>
    <mergeCell ref="A165:A168"/>
    <mergeCell ref="A73:A76"/>
    <mergeCell ref="A53:A56"/>
    <mergeCell ref="A57:A60"/>
    <mergeCell ref="A61:A64"/>
    <mergeCell ref="A65:A68"/>
    <mergeCell ref="A69:A72"/>
    <mergeCell ref="A85:A88"/>
    <mergeCell ref="A81:A84"/>
    <mergeCell ref="A77:A80"/>
    <mergeCell ref="A109:A112"/>
    <mergeCell ref="A113:A116"/>
    <mergeCell ref="A117:A120"/>
    <mergeCell ref="A89:A92"/>
    <mergeCell ref="A93:A96"/>
    <mergeCell ref="A97:A100"/>
    <mergeCell ref="A1:I2"/>
    <mergeCell ref="A49:A52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8"/>
    <mergeCell ref="A101:A104"/>
    <mergeCell ref="A105:A108"/>
    <mergeCell ref="A121:A124"/>
    <mergeCell ref="A125:A128"/>
    <mergeCell ref="A129:A132"/>
    <mergeCell ref="A133:A136"/>
    <mergeCell ref="A137:A140"/>
    <mergeCell ref="A161:A164"/>
    <mergeCell ref="A141:A144"/>
    <mergeCell ref="A145:A148"/>
    <mergeCell ref="A149:A152"/>
    <mergeCell ref="A153:A156"/>
    <mergeCell ref="A157:A160"/>
    <mergeCell ref="A229:A232"/>
    <mergeCell ref="A209:A212"/>
    <mergeCell ref="A213:A216"/>
    <mergeCell ref="A217:A220"/>
    <mergeCell ref="A221:A224"/>
    <mergeCell ref="A225:A228"/>
  </mergeCells>
  <phoneticPr fontId="10" type="noConversion"/>
  <pageMargins left="0.7" right="0.7" top="0.75" bottom="0.75" header="0.3" footer="0.3"/>
  <pageSetup paperSize="9" orientation="portrait" horizontalDpi="300" verticalDpi="300" r:id="rId1"/>
  <ignoredErrors>
    <ignoredError sqref="I7:I9 I6 I25 I77 I69 I65 I61 I57 I53 I45 I49 I41 I37 I33 I29 I21 I17 I13 I10:I12 I14:I16 I18:I20 I22:I24 I30:I32 I34:I36 I38:I40 I42:I44 I50:I52 I46:I48 I54:I56 I58:I60 I62:I64 I66:I68 I70:I72 I74:I76 I78:I84 I26:I28" calculatedColumn="1"/>
    <ignoredError sqref="F12:F76" formula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F913-0494-4494-859A-6C84AFC73D7B}">
  <dimension ref="A1:AK56"/>
  <sheetViews>
    <sheetView tabSelected="1" zoomScale="85" zoomScaleNormal="85" workbookViewId="0">
      <pane xSplit="1" ySplit="3" topLeftCell="B18" activePane="bottomRight" state="frozen"/>
      <selection activeCell="A2" sqref="A2"/>
      <selection pane="topRight" activeCell="B2" sqref="B2"/>
      <selection pane="bottomLeft" activeCell="A4" sqref="A4"/>
      <selection pane="bottomRight" activeCell="Q31" sqref="Q31"/>
    </sheetView>
  </sheetViews>
  <sheetFormatPr baseColWidth="10" defaultColWidth="16.7109375" defaultRowHeight="15" x14ac:dyDescent="0.25"/>
  <cols>
    <col min="1" max="1" width="11.7109375" style="99" customWidth="1"/>
    <col min="2" max="2" width="8.5703125" style="64" bestFit="1" customWidth="1"/>
    <col min="3" max="3" width="8.85546875" style="64" bestFit="1" customWidth="1"/>
    <col min="4" max="4" width="9.28515625" customWidth="1"/>
    <col min="5" max="5" width="11.85546875" bestFit="1" customWidth="1"/>
    <col min="6" max="6" width="7.85546875" customWidth="1"/>
    <col min="7" max="7" width="11.140625" bestFit="1" customWidth="1"/>
    <col min="8" max="8" width="10.140625" customWidth="1"/>
    <col min="9" max="9" width="11.28515625" bestFit="1" customWidth="1"/>
    <col min="10" max="10" width="10.140625" bestFit="1" customWidth="1"/>
    <col min="11" max="11" width="7" bestFit="1" customWidth="1"/>
    <col min="12" max="12" width="11.28515625" bestFit="1" customWidth="1"/>
    <col min="13" max="13" width="11" customWidth="1"/>
    <col min="14" max="14" width="9.5703125" customWidth="1"/>
    <col min="15" max="16" width="10.85546875" customWidth="1"/>
    <col min="17" max="17" width="12" style="170" bestFit="1" customWidth="1"/>
    <col min="18" max="18" width="3.140625" style="109" bestFit="1" customWidth="1"/>
    <col min="19" max="19" width="11.85546875" customWidth="1"/>
    <col min="20" max="20" width="10.42578125" customWidth="1"/>
    <col min="21" max="21" width="3" customWidth="1"/>
    <col min="22" max="22" width="10.42578125" customWidth="1"/>
    <col min="23" max="23" width="11.140625" customWidth="1"/>
    <col min="24" max="24" width="10.140625" bestFit="1" customWidth="1"/>
    <col min="25" max="25" width="6.5703125" bestFit="1" customWidth="1"/>
  </cols>
  <sheetData>
    <row r="1" spans="1:37" x14ac:dyDescent="0.25">
      <c r="A1" s="99">
        <v>1</v>
      </c>
      <c r="B1" s="64">
        <v>2</v>
      </c>
      <c r="C1" s="99">
        <v>3</v>
      </c>
      <c r="D1" s="64">
        <v>4</v>
      </c>
      <c r="E1" s="99">
        <v>5</v>
      </c>
      <c r="F1" s="64">
        <v>6</v>
      </c>
      <c r="G1" s="99">
        <v>7</v>
      </c>
      <c r="H1" s="64">
        <v>8</v>
      </c>
      <c r="I1" s="99">
        <v>9</v>
      </c>
      <c r="J1" s="64">
        <v>10</v>
      </c>
      <c r="K1" s="99">
        <v>11</v>
      </c>
      <c r="L1" s="64">
        <v>12</v>
      </c>
      <c r="M1" s="99">
        <v>13</v>
      </c>
      <c r="N1" s="64">
        <v>14</v>
      </c>
      <c r="O1" s="99">
        <v>15</v>
      </c>
      <c r="P1" s="64">
        <v>16</v>
      </c>
      <c r="Q1" s="176">
        <v>17</v>
      </c>
      <c r="R1" s="64">
        <v>18</v>
      </c>
      <c r="S1" s="99">
        <v>19</v>
      </c>
      <c r="T1" s="64">
        <v>20</v>
      </c>
      <c r="U1" s="99">
        <v>21</v>
      </c>
      <c r="V1" s="64">
        <v>22</v>
      </c>
      <c r="W1" s="99">
        <v>23</v>
      </c>
      <c r="X1" s="64">
        <v>24</v>
      </c>
      <c r="Y1" s="99">
        <v>25</v>
      </c>
    </row>
    <row r="2" spans="1:37" ht="21" customHeight="1" x14ac:dyDescent="0.25">
      <c r="B2" s="208" t="s">
        <v>24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V2" s="208" t="s">
        <v>71</v>
      </c>
      <c r="W2" s="208"/>
      <c r="X2" s="208"/>
      <c r="Y2" s="208"/>
    </row>
    <row r="3" spans="1:37" s="92" customFormat="1" ht="45" x14ac:dyDescent="0.25">
      <c r="A3" s="100" t="s">
        <v>49</v>
      </c>
      <c r="B3" s="87" t="s">
        <v>115</v>
      </c>
      <c r="C3" s="87" t="s">
        <v>3</v>
      </c>
      <c r="D3" s="87" t="s">
        <v>43</v>
      </c>
      <c r="E3" s="88" t="s">
        <v>51</v>
      </c>
      <c r="F3" s="87" t="s">
        <v>110</v>
      </c>
      <c r="G3" s="87" t="s">
        <v>111</v>
      </c>
      <c r="H3" s="88" t="s">
        <v>112</v>
      </c>
      <c r="I3" s="88" t="s">
        <v>113</v>
      </c>
      <c r="J3" s="87" t="s">
        <v>52</v>
      </c>
      <c r="K3" s="87" t="s">
        <v>53</v>
      </c>
      <c r="L3" s="87" t="s">
        <v>2</v>
      </c>
      <c r="M3" s="87" t="s">
        <v>48</v>
      </c>
      <c r="N3" s="87" t="s">
        <v>10</v>
      </c>
      <c r="O3" s="133" t="s">
        <v>60</v>
      </c>
      <c r="P3" s="134" t="s">
        <v>114</v>
      </c>
      <c r="Q3" s="177" t="s">
        <v>11</v>
      </c>
      <c r="R3" s="107"/>
      <c r="S3" s="87" t="s">
        <v>21</v>
      </c>
      <c r="T3" s="87" t="s">
        <v>50</v>
      </c>
      <c r="V3" s="88" t="s">
        <v>69</v>
      </c>
      <c r="W3" s="88" t="s">
        <v>70</v>
      </c>
      <c r="X3" s="134" t="s">
        <v>72</v>
      </c>
      <c r="Y3" s="134" t="s">
        <v>73</v>
      </c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</row>
    <row r="4" spans="1:37" x14ac:dyDescent="0.25">
      <c r="A4" s="105">
        <v>43313</v>
      </c>
      <c r="B4" s="103">
        <v>0.50760000000000005</v>
      </c>
      <c r="C4" s="102">
        <v>1562</v>
      </c>
      <c r="D4" s="97">
        <v>285</v>
      </c>
      <c r="E4" s="103">
        <v>1.33</v>
      </c>
      <c r="F4" s="104">
        <v>2.61</v>
      </c>
      <c r="G4" s="98">
        <f>B4*D4</f>
        <v>144.66600000000003</v>
      </c>
      <c r="H4" s="103">
        <v>4.2699999999999996</v>
      </c>
      <c r="I4" s="102">
        <v>11</v>
      </c>
      <c r="J4" s="98">
        <f t="shared" ref="J4:J39" si="0">SUM(E4:I4)+SUM(V4:W4)</f>
        <v>163.87600000000003</v>
      </c>
      <c r="K4" s="98">
        <f>J4*0.18</f>
        <v>29.497680000000006</v>
      </c>
      <c r="L4" s="98">
        <f>J4+K4</f>
        <v>193.37368000000004</v>
      </c>
      <c r="M4" s="101">
        <v>2.37</v>
      </c>
      <c r="N4" s="102">
        <v>34.61</v>
      </c>
      <c r="O4" s="101">
        <v>0</v>
      </c>
      <c r="P4" s="136">
        <v>0</v>
      </c>
      <c r="Q4" s="178">
        <f>SUM(L4:N4)</f>
        <v>230.35368000000005</v>
      </c>
      <c r="R4" s="107"/>
      <c r="S4" s="98">
        <f t="shared" ref="S4:S39" si="1">E4+F4+H4+I4+K4+M4+N4+O4+P4+SUM(V4:Y4)</f>
        <v>85.68768</v>
      </c>
      <c r="T4" s="98">
        <f t="shared" ref="T4:T23" si="2">S4/3</f>
        <v>28.562560000000001</v>
      </c>
      <c r="V4" s="102">
        <v>0</v>
      </c>
      <c r="W4" s="102">
        <v>0</v>
      </c>
      <c r="X4" s="136">
        <v>0</v>
      </c>
      <c r="Y4" s="136">
        <v>0</v>
      </c>
    </row>
    <row r="5" spans="1:37" x14ac:dyDescent="0.25">
      <c r="A5" s="105">
        <v>43344</v>
      </c>
      <c r="B5" s="103">
        <v>0.50729999999999997</v>
      </c>
      <c r="C5" s="102">
        <v>1859</v>
      </c>
      <c r="D5" s="97">
        <f>+C5-C4</f>
        <v>297</v>
      </c>
      <c r="E5" s="103">
        <v>1.33</v>
      </c>
      <c r="F5" s="104">
        <v>2.61</v>
      </c>
      <c r="G5" s="98">
        <f t="shared" ref="G5:G22" si="3">B5*D5</f>
        <v>150.66809999999998</v>
      </c>
      <c r="H5" s="103">
        <v>3.86</v>
      </c>
      <c r="I5" s="102">
        <v>12</v>
      </c>
      <c r="J5" s="98">
        <f t="shared" si="0"/>
        <v>170.46809999999999</v>
      </c>
      <c r="K5" s="98">
        <f>J5*0.18</f>
        <v>30.684257999999996</v>
      </c>
      <c r="L5" s="98">
        <f>J5+K5</f>
        <v>201.15235799999999</v>
      </c>
      <c r="M5" s="101">
        <v>2.4700000000000002</v>
      </c>
      <c r="N5" s="102">
        <v>35.020000000000003</v>
      </c>
      <c r="O5" s="101">
        <v>0</v>
      </c>
      <c r="P5" s="136">
        <v>0</v>
      </c>
      <c r="Q5" s="178">
        <f>SUM(L5:N5)</f>
        <v>238.642358</v>
      </c>
      <c r="R5" s="108"/>
      <c r="S5" s="98">
        <f t="shared" si="1"/>
        <v>87.974257999999992</v>
      </c>
      <c r="T5" s="98">
        <f t="shared" si="2"/>
        <v>29.324752666666665</v>
      </c>
      <c r="V5" s="102">
        <v>0</v>
      </c>
      <c r="W5" s="102">
        <v>0</v>
      </c>
      <c r="X5" s="136">
        <v>0</v>
      </c>
      <c r="Y5" s="136">
        <v>0</v>
      </c>
    </row>
    <row r="6" spans="1:37" x14ac:dyDescent="0.25">
      <c r="A6" s="105">
        <v>43374</v>
      </c>
      <c r="B6" s="103">
        <v>0.50729999999999997</v>
      </c>
      <c r="C6" s="102">
        <v>2235</v>
      </c>
      <c r="D6" s="97">
        <f t="shared" ref="D6:D22" si="4">+C6-C5</f>
        <v>376</v>
      </c>
      <c r="E6" s="103">
        <v>1.33</v>
      </c>
      <c r="F6" s="104">
        <v>2.61</v>
      </c>
      <c r="G6" s="98">
        <f t="shared" si="3"/>
        <v>190.7448</v>
      </c>
      <c r="H6" s="103">
        <v>3.46</v>
      </c>
      <c r="I6" s="102">
        <v>14.35</v>
      </c>
      <c r="J6" s="98">
        <f t="shared" si="0"/>
        <v>212.4948</v>
      </c>
      <c r="K6" s="98">
        <f>J6*0.18</f>
        <v>38.249063999999997</v>
      </c>
      <c r="L6" s="98">
        <f>J6+K6</f>
        <v>250.743864</v>
      </c>
      <c r="M6" s="101">
        <v>3.12</v>
      </c>
      <c r="N6" s="102">
        <v>35.42</v>
      </c>
      <c r="O6" s="101">
        <v>0</v>
      </c>
      <c r="P6" s="136">
        <v>0</v>
      </c>
      <c r="Q6" s="178">
        <f>SUM(L6:N6)</f>
        <v>289.28386399999999</v>
      </c>
      <c r="R6" s="108"/>
      <c r="S6" s="98">
        <f t="shared" si="1"/>
        <v>98.539063999999996</v>
      </c>
      <c r="T6" s="98">
        <f t="shared" si="2"/>
        <v>32.846354666666663</v>
      </c>
      <c r="V6" s="102">
        <v>0</v>
      </c>
      <c r="W6" s="102">
        <v>0</v>
      </c>
      <c r="X6" s="136">
        <v>0</v>
      </c>
      <c r="Y6" s="136">
        <v>0</v>
      </c>
    </row>
    <row r="7" spans="1:37" x14ac:dyDescent="0.25">
      <c r="A7" s="105">
        <v>43405</v>
      </c>
      <c r="B7" s="103">
        <v>0.50570000000000004</v>
      </c>
      <c r="C7" s="102">
        <v>2620</v>
      </c>
      <c r="D7" s="97">
        <f t="shared" si="4"/>
        <v>385</v>
      </c>
      <c r="E7" s="103">
        <v>1.33</v>
      </c>
      <c r="F7" s="104">
        <v>2.64</v>
      </c>
      <c r="G7" s="98">
        <f t="shared" si="3"/>
        <v>194.69450000000001</v>
      </c>
      <c r="H7" s="103">
        <v>3.04</v>
      </c>
      <c r="I7" s="102">
        <v>11.55</v>
      </c>
      <c r="J7" s="98">
        <f t="shared" si="0"/>
        <v>213.25450000000001</v>
      </c>
      <c r="K7" s="98">
        <f>J7*0.18</f>
        <v>38.385809999999999</v>
      </c>
      <c r="L7" s="98">
        <f>J7+K7</f>
        <v>251.64031</v>
      </c>
      <c r="M7" s="101">
        <v>3.2</v>
      </c>
      <c r="N7" s="102">
        <v>35.840000000000003</v>
      </c>
      <c r="O7" s="101">
        <v>0</v>
      </c>
      <c r="P7" s="136">
        <v>0</v>
      </c>
      <c r="Q7" s="178">
        <f>SUM(L7:N7)</f>
        <v>290.68030999999996</v>
      </c>
      <c r="R7" s="108"/>
      <c r="S7" s="98">
        <f t="shared" si="1"/>
        <v>95.985810000000015</v>
      </c>
      <c r="T7" s="98">
        <f t="shared" si="2"/>
        <v>31.995270000000005</v>
      </c>
      <c r="V7" s="102">
        <v>0</v>
      </c>
      <c r="W7" s="102">
        <v>0</v>
      </c>
      <c r="X7" s="136">
        <v>0</v>
      </c>
      <c r="Y7" s="136">
        <v>0</v>
      </c>
    </row>
    <row r="8" spans="1:37" x14ac:dyDescent="0.25">
      <c r="A8" s="105">
        <v>43435</v>
      </c>
      <c r="B8" s="103">
        <v>0.50719999999999998</v>
      </c>
      <c r="C8" s="102">
        <v>3036</v>
      </c>
      <c r="D8" s="97">
        <f t="shared" si="4"/>
        <v>416</v>
      </c>
      <c r="E8" s="103">
        <v>1.35</v>
      </c>
      <c r="F8" s="104">
        <v>2.69</v>
      </c>
      <c r="G8" s="98">
        <f t="shared" si="3"/>
        <v>210.99519999999998</v>
      </c>
      <c r="H8" s="103">
        <v>2.62</v>
      </c>
      <c r="I8" s="102">
        <v>11.9</v>
      </c>
      <c r="J8" s="98">
        <f t="shared" si="0"/>
        <v>229.55519999999999</v>
      </c>
      <c r="K8" s="98">
        <f>J8*0.18</f>
        <v>41.319935999999998</v>
      </c>
      <c r="L8" s="98">
        <f>J8+K8</f>
        <v>270.875136</v>
      </c>
      <c r="M8" s="101">
        <v>3.45</v>
      </c>
      <c r="N8" s="102">
        <v>36.26</v>
      </c>
      <c r="O8" s="101">
        <v>0</v>
      </c>
      <c r="P8" s="136">
        <v>0</v>
      </c>
      <c r="Q8" s="178">
        <f>SUM(L8:N8)</f>
        <v>310.58513599999998</v>
      </c>
      <c r="R8" s="108"/>
      <c r="S8" s="98">
        <f t="shared" si="1"/>
        <v>99.589935999999994</v>
      </c>
      <c r="T8" s="98">
        <f t="shared" si="2"/>
        <v>33.196645333333329</v>
      </c>
      <c r="V8" s="102">
        <v>0</v>
      </c>
      <c r="W8" s="102">
        <v>0</v>
      </c>
      <c r="X8" s="136">
        <v>0</v>
      </c>
      <c r="Y8" s="136">
        <v>0</v>
      </c>
    </row>
    <row r="9" spans="1:37" x14ac:dyDescent="0.25">
      <c r="A9" s="105">
        <v>43466</v>
      </c>
      <c r="B9" s="103">
        <v>0.5282</v>
      </c>
      <c r="C9" s="102">
        <v>3586</v>
      </c>
      <c r="D9" s="97">
        <f t="shared" si="4"/>
        <v>550</v>
      </c>
      <c r="E9" s="103">
        <v>1.35</v>
      </c>
      <c r="F9" s="104">
        <v>2.69</v>
      </c>
      <c r="G9" s="98">
        <f t="shared" si="3"/>
        <v>290.51</v>
      </c>
      <c r="H9" s="103">
        <v>2.62</v>
      </c>
      <c r="I9" s="102">
        <v>11.9</v>
      </c>
      <c r="J9" s="98">
        <f t="shared" si="0"/>
        <v>309.07</v>
      </c>
      <c r="K9" s="98">
        <v>41.319935999999998</v>
      </c>
      <c r="L9" s="98">
        <v>270.875136</v>
      </c>
      <c r="M9" s="101">
        <v>3.45</v>
      </c>
      <c r="N9" s="102">
        <v>36.26</v>
      </c>
      <c r="O9" s="101">
        <v>0</v>
      </c>
      <c r="P9" s="136">
        <v>0</v>
      </c>
      <c r="Q9" s="178">
        <v>310.58513599999998</v>
      </c>
      <c r="R9" s="108"/>
      <c r="S9" s="98">
        <f t="shared" si="1"/>
        <v>99.589935999999994</v>
      </c>
      <c r="T9" s="98">
        <f t="shared" si="2"/>
        <v>33.196645333333329</v>
      </c>
      <c r="V9" s="102">
        <v>0</v>
      </c>
      <c r="W9" s="102">
        <v>0</v>
      </c>
      <c r="X9" s="136">
        <v>0</v>
      </c>
      <c r="Y9" s="136">
        <v>0</v>
      </c>
    </row>
    <row r="10" spans="1:37" x14ac:dyDescent="0.25">
      <c r="A10" s="105">
        <v>43497</v>
      </c>
      <c r="B10" s="103">
        <v>0.5282</v>
      </c>
      <c r="C10" s="102">
        <v>4099</v>
      </c>
      <c r="D10" s="97">
        <f t="shared" si="4"/>
        <v>513</v>
      </c>
      <c r="E10" s="103">
        <v>1.35</v>
      </c>
      <c r="F10" s="104">
        <v>2.69</v>
      </c>
      <c r="G10" s="98">
        <f t="shared" si="3"/>
        <v>270.96660000000003</v>
      </c>
      <c r="H10" s="103">
        <v>1.77</v>
      </c>
      <c r="I10" s="102">
        <v>33.6</v>
      </c>
      <c r="J10" s="98">
        <f t="shared" si="0"/>
        <v>310.37660000000005</v>
      </c>
      <c r="K10" s="98">
        <f t="shared" ref="K10:K23" si="5">J10*0.18</f>
        <v>55.867788000000004</v>
      </c>
      <c r="L10" s="98">
        <f t="shared" ref="L10:L23" si="6">J10+K10</f>
        <v>366.24438800000007</v>
      </c>
      <c r="M10" s="101">
        <v>4.3099999999999996</v>
      </c>
      <c r="N10" s="102">
        <v>37.11</v>
      </c>
      <c r="O10" s="101">
        <v>0</v>
      </c>
      <c r="P10" s="136">
        <v>0</v>
      </c>
      <c r="Q10" s="178">
        <f t="shared" ref="Q10:Q21" si="7">SUM(L10:N10)</f>
        <v>407.66438800000009</v>
      </c>
      <c r="S10" s="98">
        <f t="shared" si="1"/>
        <v>136.697788</v>
      </c>
      <c r="T10" s="98">
        <f t="shared" si="2"/>
        <v>45.565929333333337</v>
      </c>
      <c r="V10" s="102">
        <v>0</v>
      </c>
      <c r="W10" s="102">
        <v>0</v>
      </c>
      <c r="X10" s="136">
        <v>0</v>
      </c>
      <c r="Y10" s="136">
        <v>0</v>
      </c>
    </row>
    <row r="11" spans="1:37" x14ac:dyDescent="0.25">
      <c r="A11" s="105">
        <v>43525</v>
      </c>
      <c r="B11" s="103">
        <v>0.53490000000000004</v>
      </c>
      <c r="C11" s="102">
        <v>4617</v>
      </c>
      <c r="D11" s="97">
        <f t="shared" si="4"/>
        <v>518</v>
      </c>
      <c r="E11" s="103">
        <v>1.35</v>
      </c>
      <c r="F11" s="104">
        <v>2.69</v>
      </c>
      <c r="G11" s="98">
        <f t="shared" si="3"/>
        <v>277.07820000000004</v>
      </c>
      <c r="H11" s="103">
        <v>1.33</v>
      </c>
      <c r="I11" s="102">
        <v>23.8</v>
      </c>
      <c r="J11" s="98">
        <f t="shared" si="0"/>
        <v>306.24820000000005</v>
      </c>
      <c r="K11" s="98">
        <f t="shared" si="5"/>
        <v>55.124676000000008</v>
      </c>
      <c r="L11" s="98">
        <f t="shared" si="6"/>
        <v>361.37287600000008</v>
      </c>
      <c r="M11" s="101">
        <v>4.3099999999999996</v>
      </c>
      <c r="N11" s="102">
        <v>37.11</v>
      </c>
      <c r="O11" s="101">
        <v>0</v>
      </c>
      <c r="P11" s="136">
        <v>0</v>
      </c>
      <c r="Q11" s="178">
        <f t="shared" si="7"/>
        <v>402.79287600000009</v>
      </c>
      <c r="S11" s="98">
        <f t="shared" si="1"/>
        <v>125.71467600000001</v>
      </c>
      <c r="T11" s="98">
        <f t="shared" si="2"/>
        <v>41.904892000000004</v>
      </c>
      <c r="V11" s="102">
        <v>0</v>
      </c>
      <c r="W11" s="102">
        <v>0</v>
      </c>
      <c r="X11" s="136">
        <v>0</v>
      </c>
      <c r="Y11" s="136">
        <v>0</v>
      </c>
    </row>
    <row r="12" spans="1:37" x14ac:dyDescent="0.25">
      <c r="A12" s="105">
        <v>43556</v>
      </c>
      <c r="B12" s="103">
        <v>0.53410000000000002</v>
      </c>
      <c r="C12" s="102">
        <v>5051</v>
      </c>
      <c r="D12" s="97">
        <f t="shared" si="4"/>
        <v>434</v>
      </c>
      <c r="E12" s="103">
        <v>1.35</v>
      </c>
      <c r="F12" s="104">
        <v>2.68</v>
      </c>
      <c r="G12" s="98">
        <f t="shared" si="3"/>
        <v>231.79940000000002</v>
      </c>
      <c r="H12" s="103">
        <v>0.89</v>
      </c>
      <c r="I12" s="102">
        <v>15.4</v>
      </c>
      <c r="J12" s="98">
        <f t="shared" si="0"/>
        <v>252.11940000000001</v>
      </c>
      <c r="K12" s="98">
        <f t="shared" si="5"/>
        <v>45.381492000000001</v>
      </c>
      <c r="L12" s="98">
        <f t="shared" si="6"/>
        <v>297.50089200000002</v>
      </c>
      <c r="M12" s="101">
        <v>3.65</v>
      </c>
      <c r="N12" s="102">
        <v>37.99</v>
      </c>
      <c r="O12" s="101">
        <v>0</v>
      </c>
      <c r="P12" s="136">
        <v>0</v>
      </c>
      <c r="Q12" s="178">
        <f t="shared" si="7"/>
        <v>339.14089200000001</v>
      </c>
      <c r="S12" s="98">
        <f t="shared" si="1"/>
        <v>107.34149200000002</v>
      </c>
      <c r="T12" s="98">
        <f t="shared" si="2"/>
        <v>35.780497333333336</v>
      </c>
      <c r="V12" s="102">
        <v>0</v>
      </c>
      <c r="W12" s="102">
        <v>0</v>
      </c>
      <c r="X12" s="136">
        <v>0</v>
      </c>
      <c r="Y12" s="136">
        <v>0</v>
      </c>
    </row>
    <row r="13" spans="1:37" x14ac:dyDescent="0.25">
      <c r="A13" s="105">
        <v>43586</v>
      </c>
      <c r="B13" s="103">
        <v>0.53369999999999995</v>
      </c>
      <c r="C13" s="102">
        <v>5500</v>
      </c>
      <c r="D13" s="97">
        <f t="shared" si="4"/>
        <v>449</v>
      </c>
      <c r="E13" s="103">
        <v>1.35</v>
      </c>
      <c r="F13" s="104">
        <v>2.68</v>
      </c>
      <c r="G13" s="98">
        <f t="shared" si="3"/>
        <v>239.63129999999998</v>
      </c>
      <c r="H13" s="103">
        <v>0.43</v>
      </c>
      <c r="I13" s="102">
        <v>12.95</v>
      </c>
      <c r="J13" s="98">
        <f t="shared" si="0"/>
        <v>257.04129999999998</v>
      </c>
      <c r="K13" s="98">
        <f t="shared" si="5"/>
        <v>46.267433999999994</v>
      </c>
      <c r="L13" s="98">
        <f t="shared" si="6"/>
        <v>303.30873399999996</v>
      </c>
      <c r="M13" s="101">
        <v>3.77</v>
      </c>
      <c r="N13" s="102">
        <v>38.450000000000003</v>
      </c>
      <c r="O13" s="101">
        <v>0</v>
      </c>
      <c r="P13" s="136">
        <v>0</v>
      </c>
      <c r="Q13" s="178">
        <f t="shared" si="7"/>
        <v>345.52873399999993</v>
      </c>
      <c r="S13" s="98">
        <f t="shared" si="1"/>
        <v>105.89743399999999</v>
      </c>
      <c r="T13" s="98">
        <f t="shared" si="2"/>
        <v>35.299144666666663</v>
      </c>
      <c r="V13" s="102">
        <v>0</v>
      </c>
      <c r="W13" s="102">
        <v>0</v>
      </c>
      <c r="X13" s="136">
        <v>0</v>
      </c>
      <c r="Y13" s="136">
        <v>0</v>
      </c>
    </row>
    <row r="14" spans="1:37" x14ac:dyDescent="0.25">
      <c r="A14" s="105">
        <v>43617</v>
      </c>
      <c r="B14" s="103">
        <v>0.53320000000000001</v>
      </c>
      <c r="C14" s="102">
        <v>5888</v>
      </c>
      <c r="D14" s="97">
        <f t="shared" si="4"/>
        <v>388</v>
      </c>
      <c r="E14" s="103">
        <v>1.35</v>
      </c>
      <c r="F14" s="104">
        <v>2.68</v>
      </c>
      <c r="G14" s="98">
        <f t="shared" si="3"/>
        <v>206.88159999999999</v>
      </c>
      <c r="H14" s="103">
        <v>0</v>
      </c>
      <c r="I14" s="102">
        <v>14</v>
      </c>
      <c r="J14" s="98">
        <f t="shared" si="0"/>
        <v>224.91159999999999</v>
      </c>
      <c r="K14" s="98">
        <f t="shared" si="5"/>
        <v>40.484088</v>
      </c>
      <c r="L14" s="98">
        <f t="shared" si="6"/>
        <v>265.39568800000001</v>
      </c>
      <c r="M14" s="101">
        <v>3.26</v>
      </c>
      <c r="N14" s="102">
        <v>0</v>
      </c>
      <c r="O14" s="101">
        <v>0</v>
      </c>
      <c r="P14" s="136">
        <v>0</v>
      </c>
      <c r="Q14" s="178">
        <f>SUM(L14:N14)</f>
        <v>268.655688</v>
      </c>
      <c r="S14" s="98">
        <f t="shared" si="1"/>
        <v>61.774087999999999</v>
      </c>
      <c r="T14" s="98">
        <f t="shared" si="2"/>
        <v>20.591362666666665</v>
      </c>
      <c r="V14" s="102">
        <v>0</v>
      </c>
      <c r="W14" s="102">
        <v>0</v>
      </c>
      <c r="X14" s="136">
        <v>0</v>
      </c>
      <c r="Y14" s="136">
        <v>0</v>
      </c>
    </row>
    <row r="15" spans="1:37" x14ac:dyDescent="0.25">
      <c r="A15" s="105">
        <v>43647</v>
      </c>
      <c r="B15" s="103">
        <v>0.53349999999999997</v>
      </c>
      <c r="C15" s="102">
        <v>6294</v>
      </c>
      <c r="D15" s="97">
        <f t="shared" si="4"/>
        <v>406</v>
      </c>
      <c r="E15" s="103">
        <v>1.35</v>
      </c>
      <c r="F15" s="104">
        <v>2.68</v>
      </c>
      <c r="G15" s="98">
        <f t="shared" si="3"/>
        <v>216.601</v>
      </c>
      <c r="H15" s="103">
        <v>0</v>
      </c>
      <c r="I15" s="102">
        <v>16.8</v>
      </c>
      <c r="J15" s="98">
        <f t="shared" si="0"/>
        <v>237.43100000000001</v>
      </c>
      <c r="K15" s="98">
        <f t="shared" si="5"/>
        <v>42.737580000000001</v>
      </c>
      <c r="L15" s="98">
        <f t="shared" si="6"/>
        <v>280.16858000000002</v>
      </c>
      <c r="M15" s="101">
        <v>3.41</v>
      </c>
      <c r="N15" s="102">
        <v>0</v>
      </c>
      <c r="O15" s="101">
        <v>0</v>
      </c>
      <c r="P15" s="136">
        <v>0</v>
      </c>
      <c r="Q15" s="178">
        <f t="shared" si="7"/>
        <v>283.57858000000004</v>
      </c>
      <c r="S15" s="98">
        <f t="shared" si="1"/>
        <v>66.977580000000003</v>
      </c>
      <c r="T15" s="98">
        <f t="shared" si="2"/>
        <v>22.325860000000002</v>
      </c>
      <c r="V15" s="102">
        <v>0</v>
      </c>
      <c r="W15" s="102">
        <v>0</v>
      </c>
      <c r="X15" s="136">
        <v>0</v>
      </c>
      <c r="Y15" s="136">
        <v>0</v>
      </c>
    </row>
    <row r="16" spans="1:37" x14ac:dyDescent="0.25">
      <c r="A16" s="105">
        <v>43678</v>
      </c>
      <c r="B16" s="103">
        <v>0.53100000000000003</v>
      </c>
      <c r="C16" s="102">
        <v>6726</v>
      </c>
      <c r="D16" s="97">
        <f t="shared" si="4"/>
        <v>432</v>
      </c>
      <c r="E16" s="103">
        <v>1.35</v>
      </c>
      <c r="F16" s="104">
        <v>2.68</v>
      </c>
      <c r="G16" s="98">
        <f t="shared" si="3"/>
        <v>229.39200000000002</v>
      </c>
      <c r="H16" s="103">
        <v>0</v>
      </c>
      <c r="I16" s="102">
        <v>17.5</v>
      </c>
      <c r="J16" s="98">
        <f t="shared" si="0"/>
        <v>250.92200000000003</v>
      </c>
      <c r="K16" s="98">
        <f t="shared" si="5"/>
        <v>45.165960000000005</v>
      </c>
      <c r="L16" s="98">
        <f t="shared" si="6"/>
        <v>296.08796000000001</v>
      </c>
      <c r="M16" s="101">
        <v>3.63</v>
      </c>
      <c r="N16" s="102">
        <v>0</v>
      </c>
      <c r="O16" s="101">
        <v>0</v>
      </c>
      <c r="P16" s="136">
        <v>0</v>
      </c>
      <c r="Q16" s="178">
        <f t="shared" si="7"/>
        <v>299.71796000000001</v>
      </c>
      <c r="S16" s="98">
        <f t="shared" si="1"/>
        <v>70.325960000000009</v>
      </c>
      <c r="T16" s="98">
        <f t="shared" si="2"/>
        <v>23.441986666666669</v>
      </c>
      <c r="V16" s="102">
        <v>0</v>
      </c>
      <c r="W16" s="102">
        <v>0</v>
      </c>
      <c r="X16" s="136">
        <v>0</v>
      </c>
      <c r="Y16" s="136">
        <v>0</v>
      </c>
    </row>
    <row r="17" spans="1:25" x14ac:dyDescent="0.25">
      <c r="A17" s="105">
        <v>43709</v>
      </c>
      <c r="B17" s="103">
        <v>0.52370000000000005</v>
      </c>
      <c r="C17" s="102">
        <v>7128</v>
      </c>
      <c r="D17" s="97">
        <f t="shared" si="4"/>
        <v>402</v>
      </c>
      <c r="E17" s="103">
        <v>1.34</v>
      </c>
      <c r="F17" s="104">
        <v>2.69</v>
      </c>
      <c r="G17" s="98">
        <f t="shared" si="3"/>
        <v>210.52740000000003</v>
      </c>
      <c r="H17" s="103">
        <v>0</v>
      </c>
      <c r="I17" s="102">
        <v>17.5</v>
      </c>
      <c r="J17" s="98">
        <f t="shared" si="0"/>
        <v>232.05740000000003</v>
      </c>
      <c r="K17" s="98">
        <f t="shared" si="5"/>
        <v>41.770332000000003</v>
      </c>
      <c r="L17" s="98">
        <f t="shared" si="6"/>
        <v>273.82773200000003</v>
      </c>
      <c r="M17" s="101">
        <v>3.38</v>
      </c>
      <c r="N17" s="102">
        <v>0</v>
      </c>
      <c r="O17" s="101">
        <v>0</v>
      </c>
      <c r="P17" s="136">
        <v>0</v>
      </c>
      <c r="Q17" s="178">
        <f t="shared" si="7"/>
        <v>277.20773200000002</v>
      </c>
      <c r="S17" s="98">
        <f t="shared" si="1"/>
        <v>66.680332000000007</v>
      </c>
      <c r="T17" s="98">
        <f t="shared" si="2"/>
        <v>22.226777333333334</v>
      </c>
      <c r="V17" s="102">
        <v>0</v>
      </c>
      <c r="W17" s="102">
        <v>0</v>
      </c>
      <c r="X17" s="136">
        <v>0</v>
      </c>
      <c r="Y17" s="136">
        <v>0</v>
      </c>
    </row>
    <row r="18" spans="1:25" x14ac:dyDescent="0.25">
      <c r="A18" s="105">
        <v>43739</v>
      </c>
      <c r="B18" s="103">
        <v>0.52939999999999998</v>
      </c>
      <c r="C18" s="102">
        <v>7573</v>
      </c>
      <c r="D18" s="97">
        <f t="shared" si="4"/>
        <v>445</v>
      </c>
      <c r="E18" s="103">
        <v>1.32</v>
      </c>
      <c r="F18" s="104">
        <v>2.7</v>
      </c>
      <c r="G18" s="98">
        <f t="shared" si="3"/>
        <v>235.583</v>
      </c>
      <c r="H18" s="103">
        <v>0</v>
      </c>
      <c r="I18" s="102">
        <v>14.7</v>
      </c>
      <c r="J18" s="98">
        <f t="shared" si="0"/>
        <v>254.303</v>
      </c>
      <c r="K18" s="98">
        <f t="shared" si="5"/>
        <v>45.774539999999995</v>
      </c>
      <c r="L18" s="98">
        <f t="shared" si="6"/>
        <v>300.07754</v>
      </c>
      <c r="M18" s="101">
        <v>3.74</v>
      </c>
      <c r="N18" s="102">
        <v>0</v>
      </c>
      <c r="O18" s="101">
        <v>0</v>
      </c>
      <c r="P18" s="136">
        <v>0</v>
      </c>
      <c r="Q18" s="178">
        <f t="shared" si="7"/>
        <v>303.81754000000001</v>
      </c>
      <c r="S18" s="98">
        <f t="shared" si="1"/>
        <v>68.234539999999996</v>
      </c>
      <c r="T18" s="98">
        <f t="shared" si="2"/>
        <v>22.744846666666664</v>
      </c>
      <c r="V18" s="102">
        <v>0</v>
      </c>
      <c r="W18" s="102">
        <v>0</v>
      </c>
      <c r="X18" s="136">
        <v>0</v>
      </c>
      <c r="Y18" s="136">
        <v>0</v>
      </c>
    </row>
    <row r="19" spans="1:25" x14ac:dyDescent="0.25">
      <c r="A19" s="105">
        <v>43770</v>
      </c>
      <c r="B19" s="103">
        <v>0.54369999999999996</v>
      </c>
      <c r="C19" s="102">
        <v>8083</v>
      </c>
      <c r="D19" s="97">
        <f t="shared" si="4"/>
        <v>510</v>
      </c>
      <c r="E19" s="103">
        <v>1.35</v>
      </c>
      <c r="F19" s="104">
        <v>2.69</v>
      </c>
      <c r="G19" s="98">
        <f t="shared" si="3"/>
        <v>277.28699999999998</v>
      </c>
      <c r="H19" s="103">
        <v>0</v>
      </c>
      <c r="I19" s="104">
        <v>28</v>
      </c>
      <c r="J19" s="98">
        <f t="shared" si="0"/>
        <v>309.327</v>
      </c>
      <c r="K19" s="98">
        <f t="shared" si="5"/>
        <v>55.67886</v>
      </c>
      <c r="L19" s="98">
        <f t="shared" si="6"/>
        <v>365.00585999999998</v>
      </c>
      <c r="M19" s="101">
        <v>4.28</v>
      </c>
      <c r="N19" s="102">
        <v>0</v>
      </c>
      <c r="O19" s="101">
        <v>0</v>
      </c>
      <c r="P19" s="136">
        <v>0</v>
      </c>
      <c r="Q19" s="178">
        <f t="shared" si="7"/>
        <v>369.28585999999996</v>
      </c>
      <c r="S19" s="98">
        <f t="shared" si="1"/>
        <v>91.998860000000008</v>
      </c>
      <c r="T19" s="98">
        <f t="shared" si="2"/>
        <v>30.666286666666668</v>
      </c>
      <c r="V19" s="104">
        <v>0</v>
      </c>
      <c r="W19" s="104">
        <v>0</v>
      </c>
      <c r="X19" s="136">
        <v>0</v>
      </c>
      <c r="Y19" s="136">
        <v>0</v>
      </c>
    </row>
    <row r="20" spans="1:25" x14ac:dyDescent="0.25">
      <c r="A20" s="105">
        <v>43800</v>
      </c>
      <c r="B20" s="103">
        <v>0.54369999999999996</v>
      </c>
      <c r="C20" s="102">
        <v>8524</v>
      </c>
      <c r="D20" s="97">
        <f t="shared" si="4"/>
        <v>441</v>
      </c>
      <c r="E20" s="103">
        <v>2.35</v>
      </c>
      <c r="F20" s="104">
        <v>3.69</v>
      </c>
      <c r="G20" s="98">
        <f t="shared" si="3"/>
        <v>239.77169999999998</v>
      </c>
      <c r="H20" s="103">
        <v>0</v>
      </c>
      <c r="I20" s="104">
        <v>13.3</v>
      </c>
      <c r="J20" s="98">
        <f t="shared" si="0"/>
        <v>259.11169999999998</v>
      </c>
      <c r="K20" s="98">
        <f t="shared" si="5"/>
        <v>46.640105999999996</v>
      </c>
      <c r="L20" s="98">
        <f t="shared" si="6"/>
        <v>305.75180599999999</v>
      </c>
      <c r="M20" s="101">
        <v>5.28</v>
      </c>
      <c r="N20" s="102">
        <v>0</v>
      </c>
      <c r="O20" s="101">
        <v>0</v>
      </c>
      <c r="P20" s="136">
        <v>0</v>
      </c>
      <c r="Q20" s="178">
        <f t="shared" si="7"/>
        <v>311.03180599999996</v>
      </c>
      <c r="S20" s="98">
        <f t="shared" si="1"/>
        <v>71.260105999999993</v>
      </c>
      <c r="T20" s="98">
        <f t="shared" si="2"/>
        <v>23.753368666666663</v>
      </c>
      <c r="V20" s="104">
        <v>0</v>
      </c>
      <c r="W20" s="104">
        <v>0</v>
      </c>
      <c r="X20" s="136">
        <v>0</v>
      </c>
      <c r="Y20" s="136">
        <v>0</v>
      </c>
    </row>
    <row r="21" spans="1:25" ht="15.75" x14ac:dyDescent="0.25">
      <c r="A21" s="106">
        <v>43831</v>
      </c>
      <c r="B21" s="137">
        <v>0.55310000000000004</v>
      </c>
      <c r="C21" s="102">
        <v>9038</v>
      </c>
      <c r="D21" s="97">
        <f t="shared" si="4"/>
        <v>514</v>
      </c>
      <c r="E21" s="103">
        <v>1.35</v>
      </c>
      <c r="F21" s="104">
        <v>2.69</v>
      </c>
      <c r="G21" s="98">
        <f t="shared" si="3"/>
        <v>284.29340000000002</v>
      </c>
      <c r="H21" s="103">
        <v>0</v>
      </c>
      <c r="I21" s="104">
        <v>25.2</v>
      </c>
      <c r="J21" s="98">
        <f t="shared" si="0"/>
        <v>313.53340000000003</v>
      </c>
      <c r="K21" s="98">
        <f t="shared" si="5"/>
        <v>56.436012000000005</v>
      </c>
      <c r="L21" s="98">
        <f t="shared" si="6"/>
        <v>369.96941200000003</v>
      </c>
      <c r="M21" s="101">
        <v>4.42</v>
      </c>
      <c r="N21" s="102">
        <v>0</v>
      </c>
      <c r="O21" s="101">
        <v>0</v>
      </c>
      <c r="P21" s="136">
        <v>0</v>
      </c>
      <c r="Q21" s="178">
        <f t="shared" si="7"/>
        <v>374.38941200000005</v>
      </c>
      <c r="S21" s="98">
        <f t="shared" si="1"/>
        <v>90.096012000000002</v>
      </c>
      <c r="T21" s="98">
        <f t="shared" si="2"/>
        <v>30.032004000000001</v>
      </c>
      <c r="V21" s="104">
        <v>0</v>
      </c>
      <c r="W21" s="104">
        <v>0</v>
      </c>
      <c r="X21" s="136">
        <v>0</v>
      </c>
      <c r="Y21" s="136">
        <v>0</v>
      </c>
    </row>
    <row r="22" spans="1:25" ht="15.75" x14ac:dyDescent="0.25">
      <c r="A22" s="106">
        <v>43862</v>
      </c>
      <c r="B22" s="137">
        <v>0.55130000000000001</v>
      </c>
      <c r="C22" s="102">
        <v>9576</v>
      </c>
      <c r="D22" s="97">
        <f t="shared" si="4"/>
        <v>538</v>
      </c>
      <c r="E22" s="103">
        <v>1.35</v>
      </c>
      <c r="F22" s="104">
        <v>2.69</v>
      </c>
      <c r="G22" s="98">
        <f t="shared" si="3"/>
        <v>296.5994</v>
      </c>
      <c r="H22" s="103">
        <v>0</v>
      </c>
      <c r="I22" s="104">
        <v>24.5</v>
      </c>
      <c r="J22" s="98">
        <f t="shared" si="0"/>
        <v>325.13940000000002</v>
      </c>
      <c r="K22" s="98">
        <f t="shared" si="5"/>
        <v>58.525092000000001</v>
      </c>
      <c r="L22" s="98">
        <f t="shared" si="6"/>
        <v>383.664492</v>
      </c>
      <c r="M22" s="101">
        <v>4.63</v>
      </c>
      <c r="N22" s="102">
        <v>0</v>
      </c>
      <c r="O22" s="101">
        <v>-0.23</v>
      </c>
      <c r="P22" s="136">
        <v>0</v>
      </c>
      <c r="Q22" s="178">
        <f>SUM(L22:O22)</f>
        <v>388.06449199999997</v>
      </c>
      <c r="S22" s="98">
        <f t="shared" si="1"/>
        <v>91.465091999999984</v>
      </c>
      <c r="T22" s="98">
        <f t="shared" si="2"/>
        <v>30.488363999999994</v>
      </c>
      <c r="V22" s="104">
        <v>0</v>
      </c>
      <c r="W22" s="104">
        <v>0</v>
      </c>
      <c r="X22" s="136">
        <v>0</v>
      </c>
      <c r="Y22" s="136">
        <v>0</v>
      </c>
    </row>
    <row r="23" spans="1:25" ht="15.75" x14ac:dyDescent="0.25">
      <c r="A23" s="106">
        <v>43891</v>
      </c>
      <c r="B23" s="137">
        <v>0.5474</v>
      </c>
      <c r="C23" s="102">
        <v>10120</v>
      </c>
      <c r="D23" s="97">
        <f>+C23-C22</f>
        <v>544</v>
      </c>
      <c r="E23" s="103">
        <v>1.35</v>
      </c>
      <c r="F23" s="104">
        <v>2.69</v>
      </c>
      <c r="G23" s="98">
        <f t="shared" ref="G23:G28" si="8">B23*D23</f>
        <v>297.78559999999999</v>
      </c>
      <c r="H23" s="103">
        <v>0</v>
      </c>
      <c r="I23" s="104">
        <v>23.1</v>
      </c>
      <c r="J23" s="98">
        <f t="shared" si="0"/>
        <v>324.92560000000003</v>
      </c>
      <c r="K23" s="98">
        <f t="shared" si="5"/>
        <v>58.486608000000004</v>
      </c>
      <c r="L23" s="98">
        <f t="shared" si="6"/>
        <v>383.41220800000002</v>
      </c>
      <c r="M23" s="101">
        <v>4.68</v>
      </c>
      <c r="N23" s="102">
        <v>0</v>
      </c>
      <c r="O23" s="101">
        <v>-0.33</v>
      </c>
      <c r="P23" s="136">
        <f>+O22*-1</f>
        <v>0.23</v>
      </c>
      <c r="Q23" s="178">
        <f>+L23+M23+N23+O23+P23+0.01</f>
        <v>388.00220800000005</v>
      </c>
      <c r="S23" s="98">
        <f t="shared" si="1"/>
        <v>90.206608000000017</v>
      </c>
      <c r="T23" s="98">
        <f t="shared" si="2"/>
        <v>30.068869333333339</v>
      </c>
      <c r="V23" s="104">
        <v>0</v>
      </c>
      <c r="W23" s="104">
        <v>0</v>
      </c>
      <c r="X23" s="136">
        <v>0</v>
      </c>
      <c r="Y23" s="136">
        <v>0</v>
      </c>
    </row>
    <row r="24" spans="1:25" ht="15.75" x14ac:dyDescent="0.25">
      <c r="A24" s="106">
        <v>43922</v>
      </c>
      <c r="B24" s="137">
        <v>0.5474</v>
      </c>
      <c r="C24" s="154">
        <f>+C23+D24</f>
        <v>10660</v>
      </c>
      <c r="D24" s="97">
        <v>540</v>
      </c>
      <c r="E24" s="103">
        <v>1.35</v>
      </c>
      <c r="F24" s="104">
        <v>2.69</v>
      </c>
      <c r="G24" s="98">
        <f t="shared" si="8"/>
        <v>295.596</v>
      </c>
      <c r="H24" s="103">
        <v>0</v>
      </c>
      <c r="I24" s="104">
        <v>23.1</v>
      </c>
      <c r="J24" s="98">
        <f t="shared" si="0"/>
        <v>322.73600000000005</v>
      </c>
      <c r="K24" s="98">
        <f t="shared" ref="K24" si="9">J24*0.18</f>
        <v>58.092480000000009</v>
      </c>
      <c r="L24" s="98">
        <f t="shared" ref="L24" si="10">J24+K24</f>
        <v>380.82848000000007</v>
      </c>
      <c r="M24" s="101">
        <v>0</v>
      </c>
      <c r="N24" s="102">
        <v>0</v>
      </c>
      <c r="O24" s="101">
        <v>-0.16</v>
      </c>
      <c r="P24" s="136">
        <f t="shared" ref="P24" si="11">+O23*-1</f>
        <v>0.33</v>
      </c>
      <c r="Q24" s="178">
        <f>+L24+M24+N24+O24+P24</f>
        <v>380.99848000000003</v>
      </c>
      <c r="S24" s="98">
        <f t="shared" si="1"/>
        <v>85.402480000000011</v>
      </c>
      <c r="T24" s="98">
        <f t="shared" ref="T24" si="12">S24/3</f>
        <v>28.467493333333337</v>
      </c>
      <c r="V24" s="104">
        <v>0</v>
      </c>
      <c r="W24" s="104">
        <v>0</v>
      </c>
      <c r="X24" s="136">
        <v>0</v>
      </c>
      <c r="Y24" s="136">
        <v>0</v>
      </c>
    </row>
    <row r="25" spans="1:25" ht="15.75" x14ac:dyDescent="0.25">
      <c r="A25" s="106">
        <v>43952</v>
      </c>
      <c r="B25" s="137">
        <v>0.5474</v>
      </c>
      <c r="C25" s="154">
        <f>+C24+D25</f>
        <v>11146</v>
      </c>
      <c r="D25" s="97">
        <v>486</v>
      </c>
      <c r="E25" s="103">
        <v>1.35</v>
      </c>
      <c r="F25" s="104">
        <v>2.69</v>
      </c>
      <c r="G25" s="98">
        <f t="shared" si="8"/>
        <v>266.03640000000001</v>
      </c>
      <c r="H25" s="103">
        <v>0</v>
      </c>
      <c r="I25" s="104">
        <v>13.65</v>
      </c>
      <c r="J25" s="98">
        <f t="shared" si="0"/>
        <v>283.72640000000001</v>
      </c>
      <c r="K25" s="98">
        <f t="shared" ref="K25" si="13">J25*0.18</f>
        <v>51.070751999999999</v>
      </c>
      <c r="L25" s="98">
        <f t="shared" ref="L25" si="14">J25+K25</f>
        <v>334.79715199999998</v>
      </c>
      <c r="M25" s="101">
        <v>0</v>
      </c>
      <c r="N25" s="102">
        <v>0</v>
      </c>
      <c r="O25" s="101">
        <v>-0.46</v>
      </c>
      <c r="P25" s="136">
        <f>+O24*-1</f>
        <v>0.16</v>
      </c>
      <c r="Q25" s="178">
        <f t="shared" ref="Q25" si="15">+L25+M25+N25+O25+P25</f>
        <v>334.49715200000003</v>
      </c>
      <c r="S25" s="98">
        <f t="shared" si="1"/>
        <v>68.460751999999999</v>
      </c>
      <c r="T25" s="98">
        <f t="shared" ref="T25" si="16">S25/3</f>
        <v>22.820250666666666</v>
      </c>
      <c r="V25" s="104">
        <v>0</v>
      </c>
      <c r="W25" s="104">
        <v>0</v>
      </c>
      <c r="X25" s="136">
        <v>0</v>
      </c>
      <c r="Y25" s="136">
        <v>0</v>
      </c>
    </row>
    <row r="26" spans="1:25" ht="15.75" x14ac:dyDescent="0.25">
      <c r="A26" s="106">
        <v>43983</v>
      </c>
      <c r="B26" s="137">
        <v>0.53449999999999998</v>
      </c>
      <c r="C26" s="154">
        <v>11708</v>
      </c>
      <c r="D26" s="97">
        <f>+C26-C25</f>
        <v>562</v>
      </c>
      <c r="E26" s="103">
        <v>1.35</v>
      </c>
      <c r="F26" s="104">
        <v>2.69</v>
      </c>
      <c r="G26" s="98">
        <f t="shared" si="8"/>
        <v>300.38900000000001</v>
      </c>
      <c r="H26" s="103">
        <v>36.28</v>
      </c>
      <c r="I26" s="104">
        <f>13.65+2.46</f>
        <v>16.11</v>
      </c>
      <c r="J26" s="98">
        <f t="shared" si="0"/>
        <v>356.81900000000007</v>
      </c>
      <c r="K26" s="98">
        <f t="shared" ref="K26" si="17">J26*0.18</f>
        <v>64.227420000000009</v>
      </c>
      <c r="L26" s="98">
        <f t="shared" ref="L26" si="18">J26+K26</f>
        <v>421.04642000000007</v>
      </c>
      <c r="M26" s="101">
        <v>13.66</v>
      </c>
      <c r="N26" s="102">
        <v>0</v>
      </c>
      <c r="O26" s="101">
        <v>-0.17</v>
      </c>
      <c r="P26" s="136">
        <f>+O25*-1</f>
        <v>0.46</v>
      </c>
      <c r="Q26" s="178">
        <f t="shared" ref="Q26:Q31" si="19">SUM(L26:P26)+SUM(X26:Y26)</f>
        <v>434.99642000000006</v>
      </c>
      <c r="S26" s="98">
        <f t="shared" si="1"/>
        <v>134.60742000000002</v>
      </c>
      <c r="T26" s="98">
        <f t="shared" ref="T26" si="20">S26/3</f>
        <v>44.869140000000009</v>
      </c>
      <c r="V26" s="104">
        <v>0</v>
      </c>
      <c r="W26" s="104">
        <v>0</v>
      </c>
      <c r="X26" s="136">
        <v>0</v>
      </c>
      <c r="Y26" s="136">
        <v>0</v>
      </c>
    </row>
    <row r="27" spans="1:25" ht="15.75" x14ac:dyDescent="0.25">
      <c r="A27" s="106">
        <v>44013</v>
      </c>
      <c r="B27" s="137">
        <v>0.55779999999999996</v>
      </c>
      <c r="C27" s="155">
        <v>12155</v>
      </c>
      <c r="D27" s="97">
        <f>+C27-C26</f>
        <v>447</v>
      </c>
      <c r="E27" s="103">
        <v>1.35</v>
      </c>
      <c r="F27" s="104">
        <v>2.69</v>
      </c>
      <c r="G27" s="98">
        <f t="shared" si="8"/>
        <v>249.33659999999998</v>
      </c>
      <c r="H27" s="103">
        <v>0</v>
      </c>
      <c r="I27" s="104">
        <v>16.8</v>
      </c>
      <c r="J27" s="98">
        <f t="shared" si="0"/>
        <v>270.17659999999995</v>
      </c>
      <c r="K27" s="98">
        <f t="shared" ref="K27" si="21">J27*0.18</f>
        <v>48.631787999999986</v>
      </c>
      <c r="L27" s="98">
        <f t="shared" ref="L27" si="22">J27+K27</f>
        <v>318.80838799999992</v>
      </c>
      <c r="M27" s="101">
        <v>3.84</v>
      </c>
      <c r="N27" s="102">
        <v>0</v>
      </c>
      <c r="O27" s="101">
        <v>-0.31</v>
      </c>
      <c r="P27" s="136">
        <f>+O26*-1</f>
        <v>0.17</v>
      </c>
      <c r="Q27" s="179">
        <f>+L27+M27+N27+O27+P27-0.25</f>
        <v>322.25838799999991</v>
      </c>
      <c r="S27" s="98">
        <f t="shared" si="1"/>
        <v>73.171787999999992</v>
      </c>
      <c r="T27" s="98">
        <f t="shared" ref="T27" si="23">S27/3</f>
        <v>24.390595999999999</v>
      </c>
      <c r="V27" s="104">
        <v>0</v>
      </c>
      <c r="W27" s="104">
        <v>0</v>
      </c>
      <c r="X27" s="136">
        <v>0</v>
      </c>
      <c r="Y27" s="136">
        <v>0</v>
      </c>
    </row>
    <row r="28" spans="1:25" ht="16.5" customHeight="1" x14ac:dyDescent="0.25">
      <c r="A28" s="106">
        <v>44044</v>
      </c>
      <c r="B28" s="137">
        <v>0.56430000000000002</v>
      </c>
      <c r="C28" s="155">
        <v>12582</v>
      </c>
      <c r="D28" s="97">
        <f>+C28-C27</f>
        <v>427</v>
      </c>
      <c r="E28" s="103">
        <v>1.36</v>
      </c>
      <c r="F28" s="104">
        <v>2.66</v>
      </c>
      <c r="G28" s="98">
        <f t="shared" si="8"/>
        <v>240.95610000000002</v>
      </c>
      <c r="H28" s="103">
        <v>0</v>
      </c>
      <c r="I28" s="104">
        <v>15.75</v>
      </c>
      <c r="J28" s="98">
        <f t="shared" si="0"/>
        <v>260.72610000000003</v>
      </c>
      <c r="K28" s="98">
        <f t="shared" ref="K28" si="24">J28*0.18</f>
        <v>46.930698000000007</v>
      </c>
      <c r="L28" s="98">
        <f t="shared" ref="L28" si="25">J28+K28</f>
        <v>307.65679800000004</v>
      </c>
      <c r="M28" s="101">
        <v>3.67</v>
      </c>
      <c r="N28" s="102">
        <v>0</v>
      </c>
      <c r="O28" s="101">
        <v>-0.14000000000000001</v>
      </c>
      <c r="P28" s="136">
        <f>+O27*-1</f>
        <v>0.31</v>
      </c>
      <c r="Q28" s="178">
        <f t="shared" si="19"/>
        <v>311.49679800000007</v>
      </c>
      <c r="S28" s="98">
        <f t="shared" si="1"/>
        <v>70.540698000000006</v>
      </c>
      <c r="T28" s="98">
        <f t="shared" ref="T28" si="26">S28/3</f>
        <v>23.513566000000001</v>
      </c>
      <c r="V28" s="104">
        <v>0</v>
      </c>
      <c r="W28" s="104">
        <v>0</v>
      </c>
      <c r="X28" s="136">
        <v>0</v>
      </c>
      <c r="Y28" s="136">
        <v>0</v>
      </c>
    </row>
    <row r="29" spans="1:25" ht="16.5" customHeight="1" x14ac:dyDescent="0.25">
      <c r="A29" s="106">
        <v>44075</v>
      </c>
      <c r="B29" s="137">
        <v>0.5716</v>
      </c>
      <c r="C29" s="155">
        <v>13023</v>
      </c>
      <c r="D29" s="97">
        <f>+C29-C28</f>
        <v>441</v>
      </c>
      <c r="E29" s="103">
        <v>1.36</v>
      </c>
      <c r="F29" s="104">
        <v>2.66</v>
      </c>
      <c r="G29" s="98">
        <f t="shared" ref="G29" si="27">B29*D29</f>
        <v>252.07560000000001</v>
      </c>
      <c r="H29" s="103">
        <v>0</v>
      </c>
      <c r="I29" s="104">
        <v>16.8</v>
      </c>
      <c r="J29" s="98">
        <f t="shared" si="0"/>
        <v>272.8956</v>
      </c>
      <c r="K29" s="98">
        <f t="shared" ref="K29" si="28">J29*0.18</f>
        <v>49.121207999999996</v>
      </c>
      <c r="L29" s="98">
        <f t="shared" ref="L29" si="29">J29+K29</f>
        <v>322.01680799999997</v>
      </c>
      <c r="M29" s="101">
        <v>3.79</v>
      </c>
      <c r="N29" s="102">
        <v>0</v>
      </c>
      <c r="O29" s="101">
        <v>-0.45</v>
      </c>
      <c r="P29" s="136">
        <f>+O28*-1</f>
        <v>0.14000000000000001</v>
      </c>
      <c r="Q29" s="178">
        <f t="shared" si="19"/>
        <v>325.49680799999999</v>
      </c>
      <c r="S29" s="98">
        <f t="shared" si="1"/>
        <v>73.421207999999993</v>
      </c>
      <c r="T29" s="98">
        <f t="shared" ref="T29" si="30">S29/3</f>
        <v>24.473735999999999</v>
      </c>
      <c r="V29" s="104">
        <v>0</v>
      </c>
      <c r="W29" s="104">
        <v>0</v>
      </c>
      <c r="X29" s="136">
        <v>0</v>
      </c>
      <c r="Y29" s="136">
        <v>0</v>
      </c>
    </row>
    <row r="30" spans="1:25" ht="16.5" customHeight="1" x14ac:dyDescent="0.25">
      <c r="A30" s="106">
        <v>44105</v>
      </c>
      <c r="B30" s="137">
        <v>0.57230000000000003</v>
      </c>
      <c r="C30" s="155">
        <v>13473</v>
      </c>
      <c r="D30" s="97">
        <f t="shared" ref="D30:D32" si="31">+C30-C29</f>
        <v>450</v>
      </c>
      <c r="E30" s="103">
        <v>1.36</v>
      </c>
      <c r="F30" s="104">
        <v>2.66</v>
      </c>
      <c r="G30" s="98">
        <f t="shared" ref="G30:G32" si="32">B30*D30</f>
        <v>257.53500000000003</v>
      </c>
      <c r="H30" s="103">
        <v>0.12</v>
      </c>
      <c r="I30" s="104">
        <v>14</v>
      </c>
      <c r="J30" s="98">
        <f t="shared" si="0"/>
        <v>275.67500000000001</v>
      </c>
      <c r="K30" s="98">
        <f t="shared" ref="K30:K32" si="33">J30*0.18</f>
        <v>49.621499999999997</v>
      </c>
      <c r="L30" s="98">
        <f t="shared" ref="L30:L32" si="34">J30+K30</f>
        <v>325.29650000000004</v>
      </c>
      <c r="M30" s="101">
        <v>3.87</v>
      </c>
      <c r="N30" s="102">
        <v>-8.59</v>
      </c>
      <c r="O30" s="101">
        <v>-0.03</v>
      </c>
      <c r="P30" s="136">
        <f t="shared" ref="P30:P32" si="35">+O29*-1</f>
        <v>0.45</v>
      </c>
      <c r="Q30" s="178">
        <f t="shared" si="19"/>
        <v>320.99650000000008</v>
      </c>
      <c r="S30" s="98">
        <f t="shared" si="1"/>
        <v>63.461500000000001</v>
      </c>
      <c r="T30" s="98">
        <f t="shared" ref="T30:T32" si="36">S30/3</f>
        <v>21.153833333333335</v>
      </c>
      <c r="V30" s="104">
        <v>0</v>
      </c>
      <c r="W30" s="104">
        <v>0</v>
      </c>
      <c r="X30" s="136">
        <v>0</v>
      </c>
      <c r="Y30" s="136">
        <v>0</v>
      </c>
    </row>
    <row r="31" spans="1:25" ht="16.5" customHeight="1" x14ac:dyDescent="0.25">
      <c r="A31" s="106">
        <v>44136</v>
      </c>
      <c r="B31" s="137">
        <v>0.57979999999999998</v>
      </c>
      <c r="C31" s="155">
        <v>13927</v>
      </c>
      <c r="D31" s="97">
        <f t="shared" si="31"/>
        <v>454</v>
      </c>
      <c r="E31" s="103">
        <v>1.36</v>
      </c>
      <c r="F31" s="104">
        <v>2.67</v>
      </c>
      <c r="G31" s="98">
        <f t="shared" si="32"/>
        <v>263.22919999999999</v>
      </c>
      <c r="H31" s="103">
        <v>0.12</v>
      </c>
      <c r="I31" s="104">
        <v>14</v>
      </c>
      <c r="J31" s="98">
        <f t="shared" si="0"/>
        <v>281.37919999999997</v>
      </c>
      <c r="K31" s="98">
        <f t="shared" si="33"/>
        <v>50.648255999999989</v>
      </c>
      <c r="L31" s="98">
        <f t="shared" si="34"/>
        <v>332.02745599999997</v>
      </c>
      <c r="M31" s="101">
        <v>3.9</v>
      </c>
      <c r="N31" s="102">
        <v>0</v>
      </c>
      <c r="O31" s="101">
        <v>-0.46</v>
      </c>
      <c r="P31" s="136">
        <f t="shared" si="35"/>
        <v>0.03</v>
      </c>
      <c r="Q31" s="178">
        <f t="shared" si="19"/>
        <v>335.49745599999994</v>
      </c>
      <c r="S31" s="98">
        <f t="shared" si="1"/>
        <v>72.268255999999994</v>
      </c>
      <c r="T31" s="98">
        <f t="shared" si="36"/>
        <v>24.089418666666663</v>
      </c>
      <c r="V31" s="104">
        <v>0</v>
      </c>
      <c r="W31" s="104">
        <v>0</v>
      </c>
      <c r="X31" s="136">
        <v>0</v>
      </c>
      <c r="Y31" s="136">
        <v>0</v>
      </c>
    </row>
    <row r="32" spans="1:25" ht="16.5" customHeight="1" x14ac:dyDescent="0.25">
      <c r="A32" s="106">
        <v>44166</v>
      </c>
      <c r="B32" s="137">
        <v>0.59160000000000001</v>
      </c>
      <c r="C32" s="155">
        <v>14399</v>
      </c>
      <c r="D32" s="97">
        <f t="shared" si="31"/>
        <v>472</v>
      </c>
      <c r="E32" s="103">
        <v>1.37</v>
      </c>
      <c r="F32" s="104">
        <v>2.69</v>
      </c>
      <c r="G32" s="98">
        <f t="shared" si="32"/>
        <v>279.23520000000002</v>
      </c>
      <c r="H32" s="103">
        <v>0</v>
      </c>
      <c r="I32" s="104">
        <v>13.65</v>
      </c>
      <c r="J32" s="98">
        <f t="shared" si="0"/>
        <v>296.9452</v>
      </c>
      <c r="K32" s="98">
        <f t="shared" si="33"/>
        <v>53.450136000000001</v>
      </c>
      <c r="L32" s="98">
        <f t="shared" si="34"/>
        <v>350.39533599999999</v>
      </c>
      <c r="M32" s="101">
        <v>4.0599999999999996</v>
      </c>
      <c r="N32" s="102">
        <v>0</v>
      </c>
      <c r="O32" s="101">
        <v>-0.42</v>
      </c>
      <c r="P32" s="136">
        <f t="shared" si="35"/>
        <v>0.46</v>
      </c>
      <c r="Q32" s="178">
        <f t="shared" ref="Q32:Q39" si="37">SUM(L32:P32)+SUM(X32:Y32)</f>
        <v>354.49533599999995</v>
      </c>
      <c r="S32" s="98">
        <f t="shared" si="1"/>
        <v>75.260135999999989</v>
      </c>
      <c r="T32" s="98">
        <f t="shared" si="36"/>
        <v>25.086711999999995</v>
      </c>
      <c r="V32" s="104">
        <v>0</v>
      </c>
      <c r="W32" s="104">
        <v>0</v>
      </c>
      <c r="X32" s="136">
        <v>0</v>
      </c>
      <c r="Y32" s="136">
        <v>0</v>
      </c>
    </row>
    <row r="33" spans="1:25" ht="16.5" customHeight="1" x14ac:dyDescent="0.25">
      <c r="A33" s="106">
        <v>44197</v>
      </c>
      <c r="B33" s="137">
        <v>0.59179999999999999</v>
      </c>
      <c r="C33" s="155">
        <v>14987</v>
      </c>
      <c r="D33" s="97">
        <f t="shared" ref="D33" si="38">+C33-C32</f>
        <v>588</v>
      </c>
      <c r="E33" s="103">
        <v>1.37</v>
      </c>
      <c r="F33" s="104">
        <v>2.69</v>
      </c>
      <c r="G33" s="98">
        <f t="shared" ref="G33" si="39">B33*D33</f>
        <v>347.97840000000002</v>
      </c>
      <c r="H33" s="103">
        <v>0</v>
      </c>
      <c r="I33" s="104">
        <v>28</v>
      </c>
      <c r="J33" s="98">
        <f t="shared" si="0"/>
        <v>380.03840000000002</v>
      </c>
      <c r="K33" s="98">
        <f t="shared" ref="K33" si="40">J33*0.18</f>
        <v>68.406912000000005</v>
      </c>
      <c r="L33" s="98">
        <f t="shared" ref="L33" si="41">J33+K33</f>
        <v>448.44531200000006</v>
      </c>
      <c r="M33" s="101">
        <v>5.17</v>
      </c>
      <c r="N33" s="102">
        <v>0</v>
      </c>
      <c r="O33" s="101">
        <v>-0.04</v>
      </c>
      <c r="P33" s="136">
        <f t="shared" ref="P33" si="42">+O32*-1</f>
        <v>0.42</v>
      </c>
      <c r="Q33" s="178">
        <f t="shared" si="37"/>
        <v>453.99531200000007</v>
      </c>
      <c r="S33" s="98">
        <f t="shared" si="1"/>
        <v>106.016912</v>
      </c>
      <c r="T33" s="98">
        <f t="shared" ref="T33" si="43">S33/3</f>
        <v>35.338970666666668</v>
      </c>
      <c r="V33" s="104">
        <v>0</v>
      </c>
      <c r="W33" s="104">
        <v>0</v>
      </c>
      <c r="X33" s="136">
        <v>0</v>
      </c>
      <c r="Y33" s="136">
        <v>0</v>
      </c>
    </row>
    <row r="34" spans="1:25" ht="16.5" customHeight="1" x14ac:dyDescent="0.25">
      <c r="A34" s="106">
        <v>44228</v>
      </c>
      <c r="B34" s="137">
        <v>0.59179999999999999</v>
      </c>
      <c r="C34" s="155">
        <v>15542</v>
      </c>
      <c r="D34" s="97">
        <f t="shared" ref="D34:D35" si="44">+C34-C33</f>
        <v>555</v>
      </c>
      <c r="E34" s="103">
        <v>1.38</v>
      </c>
      <c r="F34" s="104">
        <v>2.71</v>
      </c>
      <c r="G34" s="98">
        <f t="shared" ref="G34:G35" si="45">B34*D34</f>
        <v>328.44900000000001</v>
      </c>
      <c r="H34" s="103">
        <v>0.16</v>
      </c>
      <c r="I34" s="104">
        <v>26.6</v>
      </c>
      <c r="J34" s="98">
        <f t="shared" si="0"/>
        <v>359.29900000000004</v>
      </c>
      <c r="K34" s="98">
        <f t="shared" ref="K34:K35" si="46">J34*0.18</f>
        <v>64.673820000000006</v>
      </c>
      <c r="L34" s="98">
        <f t="shared" ref="L34:L35" si="47">J34+K34</f>
        <v>423.97282000000007</v>
      </c>
      <c r="M34" s="101">
        <v>4.88</v>
      </c>
      <c r="N34" s="102">
        <v>0.04</v>
      </c>
      <c r="O34" s="101">
        <v>-0.39</v>
      </c>
      <c r="P34" s="136">
        <f t="shared" ref="P34:P35" si="48">+O33*-1</f>
        <v>0.04</v>
      </c>
      <c r="Q34" s="178">
        <f t="shared" si="37"/>
        <v>428.54282000000012</v>
      </c>
      <c r="S34" s="98">
        <f t="shared" si="1"/>
        <v>100.09382000000001</v>
      </c>
      <c r="T34" s="98">
        <f t="shared" ref="T34:T35" si="49">S34/3</f>
        <v>33.364606666666667</v>
      </c>
      <c r="V34" s="104">
        <v>0</v>
      </c>
      <c r="W34" s="104">
        <v>0</v>
      </c>
      <c r="X34" s="136">
        <v>0</v>
      </c>
      <c r="Y34" s="136">
        <v>0</v>
      </c>
    </row>
    <row r="35" spans="1:25" ht="16.5" customHeight="1" x14ac:dyDescent="0.25">
      <c r="A35" s="106">
        <v>44256</v>
      </c>
      <c r="B35" s="137">
        <v>0.59099999999999997</v>
      </c>
      <c r="C35" s="155">
        <v>16137</v>
      </c>
      <c r="D35" s="97">
        <f t="shared" si="44"/>
        <v>595</v>
      </c>
      <c r="E35" s="103">
        <v>1.4</v>
      </c>
      <c r="F35" s="104">
        <v>2.74</v>
      </c>
      <c r="G35" s="98">
        <f t="shared" si="45"/>
        <v>351.64499999999998</v>
      </c>
      <c r="H35" s="103">
        <v>0.56999999999999995</v>
      </c>
      <c r="I35" s="104">
        <v>25.2</v>
      </c>
      <c r="J35" s="98">
        <f t="shared" si="0"/>
        <v>381.55499999999995</v>
      </c>
      <c r="K35" s="98">
        <f t="shared" si="46"/>
        <v>68.679899999999989</v>
      </c>
      <c r="L35" s="98">
        <f t="shared" si="47"/>
        <v>450.23489999999993</v>
      </c>
      <c r="M35" s="101">
        <v>5.24</v>
      </c>
      <c r="N35" s="102">
        <v>0</v>
      </c>
      <c r="O35" s="101">
        <v>-0.37</v>
      </c>
      <c r="P35" s="136">
        <f t="shared" si="48"/>
        <v>0.39</v>
      </c>
      <c r="Q35" s="178">
        <f t="shared" si="37"/>
        <v>455.49489999999992</v>
      </c>
      <c r="S35" s="98">
        <f t="shared" si="1"/>
        <v>103.84989999999998</v>
      </c>
      <c r="T35" s="98">
        <f t="shared" si="49"/>
        <v>34.616633333333326</v>
      </c>
      <c r="V35" s="104">
        <v>0</v>
      </c>
      <c r="W35" s="104">
        <v>0</v>
      </c>
      <c r="X35" s="136">
        <v>0</v>
      </c>
      <c r="Y35" s="136">
        <v>0</v>
      </c>
    </row>
    <row r="36" spans="1:25" ht="16.5" customHeight="1" x14ac:dyDescent="0.25">
      <c r="A36" s="106">
        <v>44287</v>
      </c>
      <c r="B36" s="137">
        <v>0.5948</v>
      </c>
      <c r="C36" s="155">
        <v>16757</v>
      </c>
      <c r="D36" s="97">
        <f t="shared" ref="D36" si="50">+C36-C35</f>
        <v>620</v>
      </c>
      <c r="E36" s="103">
        <v>1.41</v>
      </c>
      <c r="F36" s="104">
        <v>2.77</v>
      </c>
      <c r="G36" s="98">
        <f t="shared" ref="G36" si="51">B36*D36</f>
        <v>368.77600000000001</v>
      </c>
      <c r="H36" s="103">
        <v>0.78</v>
      </c>
      <c r="I36" s="104">
        <v>25.9</v>
      </c>
      <c r="J36" s="98">
        <f t="shared" si="0"/>
        <v>399.63599999999997</v>
      </c>
      <c r="K36" s="98">
        <f t="shared" ref="K36" si="52">J36*0.18</f>
        <v>71.934479999999994</v>
      </c>
      <c r="L36" s="98">
        <f t="shared" ref="L36" si="53">J36+K36</f>
        <v>471.57047999999998</v>
      </c>
      <c r="M36" s="101">
        <v>5.46</v>
      </c>
      <c r="N36" s="102">
        <v>0</v>
      </c>
      <c r="O36" s="101">
        <v>-0.43</v>
      </c>
      <c r="P36" s="136">
        <f t="shared" ref="P36" si="54">+O35*-1</f>
        <v>0.37</v>
      </c>
      <c r="Q36" s="178">
        <f t="shared" si="37"/>
        <v>476.97047999999995</v>
      </c>
      <c r="S36" s="98">
        <f t="shared" si="1"/>
        <v>108.19447999999998</v>
      </c>
      <c r="T36" s="98">
        <f t="shared" ref="T36" si="55">S36/3</f>
        <v>36.064826666666661</v>
      </c>
      <c r="V36" s="104">
        <v>0</v>
      </c>
      <c r="W36" s="104">
        <v>0</v>
      </c>
      <c r="X36" s="136">
        <v>0</v>
      </c>
      <c r="Y36" s="136">
        <v>0</v>
      </c>
    </row>
    <row r="37" spans="1:25" ht="16.5" customHeight="1" x14ac:dyDescent="0.25">
      <c r="A37" s="106">
        <v>44317</v>
      </c>
      <c r="B37" s="137">
        <v>0.5907</v>
      </c>
      <c r="C37" s="155">
        <v>17292</v>
      </c>
      <c r="D37" s="97">
        <f t="shared" ref="D37:D41" si="56">+C37-C36</f>
        <v>535</v>
      </c>
      <c r="E37" s="103">
        <v>1.44</v>
      </c>
      <c r="F37" s="104">
        <v>2.82</v>
      </c>
      <c r="G37" s="98">
        <f t="shared" ref="G37:G41" si="57">B37*D37</f>
        <v>316.02449999999999</v>
      </c>
      <c r="H37" s="103">
        <v>0</v>
      </c>
      <c r="I37" s="104">
        <v>28</v>
      </c>
      <c r="J37" s="98">
        <f t="shared" si="0"/>
        <v>348.28449999999998</v>
      </c>
      <c r="K37" s="98">
        <f t="shared" ref="K37:K41" si="58">J37*0.18</f>
        <v>62.691209999999991</v>
      </c>
      <c r="L37" s="98">
        <f t="shared" ref="L37:L41" si="59">J37+K37</f>
        <v>410.97570999999999</v>
      </c>
      <c r="M37" s="101">
        <v>4.71</v>
      </c>
      <c r="N37" s="102">
        <v>0</v>
      </c>
      <c r="O37" s="101">
        <v>-0.11</v>
      </c>
      <c r="P37" s="136">
        <f t="shared" ref="P37:P41" si="60">+O36*-1</f>
        <v>0.43</v>
      </c>
      <c r="Q37" s="178">
        <f t="shared" si="37"/>
        <v>416.00570999999997</v>
      </c>
      <c r="S37" s="98">
        <f t="shared" si="1"/>
        <v>99.98120999999999</v>
      </c>
      <c r="T37" s="98">
        <f t="shared" ref="T37:T41" si="61">S37/3</f>
        <v>33.327069999999999</v>
      </c>
      <c r="V37" s="104">
        <v>0</v>
      </c>
      <c r="W37" s="104">
        <v>0</v>
      </c>
      <c r="X37" s="136">
        <v>0</v>
      </c>
      <c r="Y37" s="136">
        <v>0</v>
      </c>
    </row>
    <row r="38" spans="1:25" ht="16.5" customHeight="1" x14ac:dyDescent="0.25">
      <c r="A38" s="106">
        <v>44348</v>
      </c>
      <c r="B38" s="137">
        <v>0.58130000000000004</v>
      </c>
      <c r="C38" s="155">
        <v>17805</v>
      </c>
      <c r="D38" s="97">
        <f t="shared" si="56"/>
        <v>513</v>
      </c>
      <c r="E38" s="103">
        <v>1.44</v>
      </c>
      <c r="F38" s="104">
        <v>2.83</v>
      </c>
      <c r="G38" s="98">
        <f t="shared" si="57"/>
        <v>298.20690000000002</v>
      </c>
      <c r="H38" s="103">
        <v>0.85</v>
      </c>
      <c r="I38" s="104">
        <v>30.8</v>
      </c>
      <c r="J38" s="98">
        <f t="shared" si="0"/>
        <v>334.12690000000003</v>
      </c>
      <c r="K38" s="98">
        <f t="shared" si="58"/>
        <v>60.142842000000002</v>
      </c>
      <c r="L38" s="98">
        <f t="shared" si="59"/>
        <v>394.26974200000006</v>
      </c>
      <c r="M38" s="101">
        <v>4.51</v>
      </c>
      <c r="N38" s="102">
        <v>0.03</v>
      </c>
      <c r="O38" s="101">
        <v>-0.43</v>
      </c>
      <c r="P38" s="136">
        <f t="shared" si="60"/>
        <v>0.11</v>
      </c>
      <c r="Q38" s="178">
        <f t="shared" si="37"/>
        <v>398.48974200000004</v>
      </c>
      <c r="S38" s="98">
        <f t="shared" si="1"/>
        <v>100.282842</v>
      </c>
      <c r="T38" s="98">
        <f t="shared" si="61"/>
        <v>33.427613999999998</v>
      </c>
      <c r="V38" s="104">
        <v>0</v>
      </c>
      <c r="W38" s="104">
        <v>0</v>
      </c>
      <c r="X38" s="136">
        <v>0</v>
      </c>
      <c r="Y38" s="136">
        <v>0</v>
      </c>
    </row>
    <row r="39" spans="1:25" ht="16.5" customHeight="1" x14ac:dyDescent="0.25">
      <c r="A39" s="106">
        <v>44378</v>
      </c>
      <c r="B39" s="137">
        <f>+VLOOKUP(A39,REGISTRO!A3:I10475,2,0)</f>
        <v>0.58650000000000002</v>
      </c>
      <c r="C39" s="153">
        <f>+VLOOKUP(B39,REGISTRO!B3:J10475,4,0)</f>
        <v>18312</v>
      </c>
      <c r="D39" s="97">
        <f t="shared" si="56"/>
        <v>507</v>
      </c>
      <c r="E39" s="103">
        <v>1.46</v>
      </c>
      <c r="F39" s="104">
        <v>2.87</v>
      </c>
      <c r="G39" s="98">
        <f t="shared" si="57"/>
        <v>297.35550000000001</v>
      </c>
      <c r="H39" s="103">
        <v>1.39</v>
      </c>
      <c r="I39" s="104">
        <v>34.299999999999997</v>
      </c>
      <c r="J39" s="98">
        <f t="shared" si="0"/>
        <v>337.37549999999999</v>
      </c>
      <c r="K39" s="98">
        <f t="shared" si="58"/>
        <v>60.727589999999992</v>
      </c>
      <c r="L39" s="98">
        <f>J39+K39</f>
        <v>398.10308999999995</v>
      </c>
      <c r="M39" s="101">
        <v>4.46</v>
      </c>
      <c r="N39" s="102">
        <v>0.12</v>
      </c>
      <c r="O39" s="101">
        <v>-0.12</v>
      </c>
      <c r="P39" s="136">
        <f t="shared" si="60"/>
        <v>0.43</v>
      </c>
      <c r="Q39" s="178">
        <f t="shared" si="37"/>
        <v>402.99308999999994</v>
      </c>
      <c r="S39" s="98">
        <f t="shared" si="1"/>
        <v>105.63758999999999</v>
      </c>
      <c r="T39" s="98">
        <f t="shared" si="61"/>
        <v>35.212529999999994</v>
      </c>
      <c r="V39" s="104">
        <v>0</v>
      </c>
      <c r="W39" s="104">
        <v>0</v>
      </c>
      <c r="X39" s="136">
        <v>0</v>
      </c>
      <c r="Y39" s="136">
        <v>0</v>
      </c>
    </row>
    <row r="40" spans="1:25" ht="16.5" customHeight="1" x14ac:dyDescent="0.25">
      <c r="A40" s="106">
        <v>44409</v>
      </c>
      <c r="B40" s="137">
        <f>+VLOOKUP(A40,REGISTRO!A4:I10476,2,0)</f>
        <v>0.59750000000000003</v>
      </c>
      <c r="C40" s="153">
        <f>+VLOOKUP(B40,REGISTRO!B4:J10476,4,0)</f>
        <v>18799</v>
      </c>
      <c r="D40" s="97">
        <f t="shared" si="56"/>
        <v>487</v>
      </c>
      <c r="E40" s="103">
        <v>1.49</v>
      </c>
      <c r="F40" s="104">
        <v>2.92</v>
      </c>
      <c r="G40" s="98">
        <f t="shared" si="57"/>
        <v>290.98250000000002</v>
      </c>
      <c r="H40" s="103">
        <v>1.06</v>
      </c>
      <c r="I40" s="104">
        <v>16.45</v>
      </c>
      <c r="J40" s="98">
        <f>SUM(E40:I40)+SUM(V40:W40)</f>
        <v>324.73250000000002</v>
      </c>
      <c r="K40" s="98">
        <f t="shared" si="58"/>
        <v>58.45185</v>
      </c>
      <c r="L40" s="98">
        <f t="shared" si="59"/>
        <v>383.18434999999999</v>
      </c>
      <c r="M40" s="101">
        <v>4.29</v>
      </c>
      <c r="N40" s="102">
        <v>0.15</v>
      </c>
      <c r="O40" s="101">
        <v>-0.39</v>
      </c>
      <c r="P40" s="136">
        <f t="shared" si="60"/>
        <v>0.12</v>
      </c>
      <c r="Q40" s="178">
        <f>SUM(L40:P40)+SUM(X40:Y40)</f>
        <v>404.49975000000001</v>
      </c>
      <c r="S40" s="98">
        <f>E40+F40+H40+I40+K40+M40+N40+O40+P40+SUM(V40:Y40)</f>
        <v>113.51725000000002</v>
      </c>
      <c r="T40" s="98">
        <f t="shared" si="61"/>
        <v>37.839083333333342</v>
      </c>
      <c r="V40" s="104">
        <v>5.31</v>
      </c>
      <c r="W40" s="104">
        <v>6.52</v>
      </c>
      <c r="X40" s="136">
        <v>14.53</v>
      </c>
      <c r="Y40" s="159">
        <f t="shared" ref="Y40" si="62">X40*0.18</f>
        <v>2.6153999999999997</v>
      </c>
    </row>
    <row r="41" spans="1:25" ht="16.5" customHeight="1" x14ac:dyDescent="0.25">
      <c r="A41" s="106">
        <v>44440</v>
      </c>
      <c r="B41" s="137">
        <f>+VLOOKUP(A41,REGISTRO!A5:I10477,2,0)</f>
        <v>0.61339999999999995</v>
      </c>
      <c r="C41" s="153">
        <f>+VLOOKUP(B41,REGISTRO!B5:J10477,4,0)</f>
        <v>19338</v>
      </c>
      <c r="D41" s="97">
        <f t="shared" si="56"/>
        <v>539</v>
      </c>
      <c r="E41" s="103">
        <v>1.52</v>
      </c>
      <c r="F41" s="104">
        <v>2.97</v>
      </c>
      <c r="G41" s="98">
        <f t="shared" si="57"/>
        <v>330.62259999999998</v>
      </c>
      <c r="H41" s="103">
        <v>0.79</v>
      </c>
      <c r="I41" s="104">
        <v>34.299999999999997</v>
      </c>
      <c r="J41" s="98">
        <f t="shared" ref="J41:J44" si="63">SUM(E41:I41)+SUM(V41:W41)</f>
        <v>370.20260000000002</v>
      </c>
      <c r="K41" s="98">
        <f t="shared" si="58"/>
        <v>66.636468000000008</v>
      </c>
      <c r="L41" s="98">
        <f t="shared" si="59"/>
        <v>436.839068</v>
      </c>
      <c r="M41" s="101">
        <v>4.74</v>
      </c>
      <c r="N41" s="102">
        <v>0.04</v>
      </c>
      <c r="O41" s="101">
        <v>-0.01</v>
      </c>
      <c r="P41" s="136">
        <f t="shared" si="60"/>
        <v>0.39</v>
      </c>
      <c r="Q41" s="178">
        <f t="shared" ref="Q41:Q44" si="64">SUM(L41:P41)</f>
        <v>441.99906800000002</v>
      </c>
      <c r="S41" s="98">
        <f>E41+F41+H41+I41+K41+M41+N41+O41+P41</f>
        <v>111.376468</v>
      </c>
      <c r="T41" s="98">
        <f t="shared" si="61"/>
        <v>37.125489333333334</v>
      </c>
      <c r="V41" s="104">
        <v>0</v>
      </c>
      <c r="W41" s="104">
        <v>0</v>
      </c>
      <c r="X41" s="136">
        <v>0</v>
      </c>
      <c r="Y41" s="136">
        <v>0</v>
      </c>
    </row>
    <row r="42" spans="1:25" ht="16.5" customHeight="1" x14ac:dyDescent="0.25">
      <c r="A42" s="106">
        <v>44470</v>
      </c>
      <c r="B42" s="137">
        <f>+VLOOKUP(A42,REGISTRO!A6:I10478,2,0)</f>
        <v>0.63029999999999997</v>
      </c>
      <c r="C42" s="153">
        <f>+VLOOKUP(B42,REGISTRO!B6:J10478,4,0)</f>
        <v>19793</v>
      </c>
      <c r="D42" s="97">
        <f t="shared" ref="D42:D44" si="65">+C42-C41</f>
        <v>455</v>
      </c>
      <c r="E42" s="103">
        <v>1.55</v>
      </c>
      <c r="F42" s="104">
        <v>3.02</v>
      </c>
      <c r="G42" s="98">
        <f t="shared" ref="G42:G44" si="66">B42*D42</f>
        <v>286.78649999999999</v>
      </c>
      <c r="H42" s="103">
        <v>0</v>
      </c>
      <c r="I42" s="104">
        <v>16.45</v>
      </c>
      <c r="J42" s="98">
        <f t="shared" si="63"/>
        <v>307.80649999999997</v>
      </c>
      <c r="K42" s="98">
        <f t="shared" ref="K42:K44" si="67">J42*0.18</f>
        <v>55.405169999999991</v>
      </c>
      <c r="L42" s="98">
        <f t="shared" ref="L42:L44" si="68">J42+K42</f>
        <v>363.21166999999997</v>
      </c>
      <c r="M42" s="101">
        <v>4</v>
      </c>
      <c r="N42" s="102">
        <v>0</v>
      </c>
      <c r="O42" s="101">
        <v>-0.23</v>
      </c>
      <c r="P42" s="136">
        <f t="shared" ref="P42:P44" si="69">+O41*-1</f>
        <v>0.01</v>
      </c>
      <c r="Q42" s="178">
        <f>SUM(L42:P42)</f>
        <v>366.99166999999994</v>
      </c>
      <c r="S42" s="98">
        <f>E42+F42+H42+I42+K42+M42+N42+O42+P42</f>
        <v>80.205169999999995</v>
      </c>
      <c r="T42" s="98">
        <f t="shared" ref="T42:T44" si="70">S42/3</f>
        <v>26.735056666666665</v>
      </c>
      <c r="V42" s="104">
        <v>0</v>
      </c>
      <c r="W42" s="104">
        <v>0</v>
      </c>
      <c r="X42" s="136">
        <v>0</v>
      </c>
      <c r="Y42" s="136">
        <v>0</v>
      </c>
    </row>
    <row r="43" spans="1:25" ht="16.5" customHeight="1" x14ac:dyDescent="0.25">
      <c r="A43" s="106">
        <v>44501</v>
      </c>
      <c r="B43" s="137">
        <f>+VLOOKUP(A43,REGISTRO!A7:I10479,2,0)</f>
        <v>0.64690000000000003</v>
      </c>
      <c r="C43" s="153">
        <f>+VLOOKUP(B43,REGISTRO!B7:J10479,4,0)</f>
        <v>20284</v>
      </c>
      <c r="D43" s="97">
        <f t="shared" si="65"/>
        <v>491</v>
      </c>
      <c r="E43" s="103">
        <v>1.56</v>
      </c>
      <c r="F43" s="104">
        <v>3.03</v>
      </c>
      <c r="G43" s="98">
        <f t="shared" si="66"/>
        <v>317.62790000000001</v>
      </c>
      <c r="H43" s="103">
        <v>0.06</v>
      </c>
      <c r="I43" s="104">
        <v>15.75</v>
      </c>
      <c r="J43" s="98">
        <f t="shared" si="63"/>
        <v>338.02789999999999</v>
      </c>
      <c r="K43" s="98">
        <f t="shared" si="67"/>
        <v>60.845021999999993</v>
      </c>
      <c r="L43" s="98">
        <f t="shared" si="68"/>
        <v>398.87292199999996</v>
      </c>
      <c r="M43" s="101">
        <v>4.32</v>
      </c>
      <c r="N43" s="102">
        <v>-15.28</v>
      </c>
      <c r="O43" s="101">
        <v>-0.15</v>
      </c>
      <c r="P43" s="136">
        <f t="shared" si="69"/>
        <v>0.23</v>
      </c>
      <c r="Q43" s="178">
        <f t="shared" si="64"/>
        <v>387.99292200000002</v>
      </c>
      <c r="S43" s="98">
        <f>E43+F43+H43+I43+K43+M43+N43+O43+P43</f>
        <v>70.365021999999996</v>
      </c>
      <c r="T43" s="98">
        <f t="shared" si="70"/>
        <v>23.455007333333331</v>
      </c>
      <c r="V43" s="104">
        <v>0</v>
      </c>
      <c r="W43" s="104">
        <v>0</v>
      </c>
      <c r="X43" s="136">
        <v>0</v>
      </c>
      <c r="Y43" s="136">
        <v>0</v>
      </c>
    </row>
    <row r="44" spans="1:25" ht="16.5" customHeight="1" x14ac:dyDescent="0.25">
      <c r="A44" s="106">
        <v>44531</v>
      </c>
      <c r="B44" s="137">
        <f>+VLOOKUP(A44,REGISTRO!A8:I10480,2,0)</f>
        <v>0.64480000000000004</v>
      </c>
      <c r="C44" s="153">
        <f>+VLOOKUP(B44,REGISTRO!B8:J10480,4,0)</f>
        <v>20759</v>
      </c>
      <c r="D44" s="97">
        <f t="shared" si="65"/>
        <v>475</v>
      </c>
      <c r="E44" s="103">
        <v>1.56</v>
      </c>
      <c r="F44" s="104">
        <v>3.03</v>
      </c>
      <c r="G44" s="98">
        <f t="shared" si="66"/>
        <v>306.28000000000003</v>
      </c>
      <c r="H44" s="103">
        <v>0</v>
      </c>
      <c r="I44" s="104">
        <v>12.95</v>
      </c>
      <c r="J44" s="98">
        <f t="shared" si="63"/>
        <v>323.82</v>
      </c>
      <c r="K44" s="98">
        <f t="shared" si="67"/>
        <v>58.287599999999998</v>
      </c>
      <c r="L44" s="98">
        <f t="shared" si="68"/>
        <v>382.10759999999999</v>
      </c>
      <c r="M44" s="101">
        <v>4.18</v>
      </c>
      <c r="N44" s="102">
        <v>0</v>
      </c>
      <c r="O44" s="101">
        <v>-0.44</v>
      </c>
      <c r="P44" s="136">
        <f t="shared" si="69"/>
        <v>0.15</v>
      </c>
      <c r="Q44" s="178">
        <f t="shared" si="64"/>
        <v>385.99759999999998</v>
      </c>
      <c r="S44" s="98">
        <f>E44+F44+H44+I44+K44+M44+N44+O44+P44</f>
        <v>79.717600000000004</v>
      </c>
      <c r="T44" s="98">
        <f t="shared" si="70"/>
        <v>26.572533333333336</v>
      </c>
      <c r="V44" s="104">
        <v>0</v>
      </c>
      <c r="W44" s="104">
        <v>0</v>
      </c>
      <c r="X44" s="136">
        <v>0</v>
      </c>
      <c r="Y44" s="136">
        <v>0</v>
      </c>
    </row>
    <row r="45" spans="1:25" ht="16.5" customHeight="1" x14ac:dyDescent="0.25">
      <c r="A45" s="106">
        <v>44562</v>
      </c>
      <c r="B45" s="137">
        <f>+VLOOKUP(A45,REGISTRO!A9:I10481,2,0)</f>
        <v>0.64580000000000004</v>
      </c>
      <c r="C45" s="153">
        <f>+VLOOKUP(B45,REGISTRO!B9:J10481,4,0)</f>
        <v>21331</v>
      </c>
      <c r="D45" s="97">
        <f t="shared" ref="D45:D53" si="71">+C45-C44</f>
        <v>572</v>
      </c>
      <c r="E45" s="103">
        <v>1.57</v>
      </c>
      <c r="F45" s="104">
        <v>3.06</v>
      </c>
      <c r="G45" s="98">
        <f t="shared" ref="G45:G53" si="72">B45*D45</f>
        <v>369.39760000000001</v>
      </c>
      <c r="H45" s="103">
        <v>0</v>
      </c>
      <c r="I45" s="104">
        <v>29.4</v>
      </c>
      <c r="J45" s="98">
        <f t="shared" ref="J45:J53" si="73">SUM(E45:I45)+SUM(V45:W45)</f>
        <v>403.42759999999998</v>
      </c>
      <c r="K45" s="98">
        <f t="shared" ref="K45:K53" si="74">J45*0.18</f>
        <v>72.616968</v>
      </c>
      <c r="L45" s="98">
        <f t="shared" ref="L45:L53" si="75">J45+K45</f>
        <v>476.04456799999997</v>
      </c>
      <c r="M45" s="101">
        <v>5.26</v>
      </c>
      <c r="N45" s="102">
        <v>0</v>
      </c>
      <c r="O45" s="101">
        <v>-0.25</v>
      </c>
      <c r="P45" s="136">
        <f t="shared" ref="P45:P53" si="76">+O44*-1</f>
        <v>0.44</v>
      </c>
      <c r="Q45" s="178">
        <f t="shared" ref="Q45:Q53" si="77">SUM(L45:P45)</f>
        <v>481.49456799999996</v>
      </c>
      <c r="S45" s="98">
        <f t="shared" ref="S45:S53" si="78">E45+F45+H45+I45+K45+M45+N45+O45+P45</f>
        <v>112.096968</v>
      </c>
      <c r="T45" s="98">
        <f t="shared" ref="T45:T53" si="79">S45/3</f>
        <v>37.365656000000001</v>
      </c>
      <c r="V45" s="104">
        <v>0</v>
      </c>
      <c r="W45" s="104">
        <v>0</v>
      </c>
      <c r="X45" s="136">
        <v>0</v>
      </c>
      <c r="Y45" s="136">
        <v>0</v>
      </c>
    </row>
    <row r="46" spans="1:25" ht="16.5" customHeight="1" x14ac:dyDescent="0.25">
      <c r="A46" s="106">
        <v>44593</v>
      </c>
      <c r="B46" s="137">
        <f>+VLOOKUP(A46,REGISTRO!A10:I10482,2,0)</f>
        <v>0.64710000000000001</v>
      </c>
      <c r="C46" s="153">
        <f>+VLOOKUP(B46,REGISTRO!B10:J10482,4,0)</f>
        <v>21879</v>
      </c>
      <c r="D46" s="97">
        <f t="shared" si="71"/>
        <v>548</v>
      </c>
      <c r="E46" s="103">
        <v>1.57</v>
      </c>
      <c r="F46" s="104">
        <v>3.06</v>
      </c>
      <c r="G46" s="98">
        <f t="shared" si="72"/>
        <v>354.61079999999998</v>
      </c>
      <c r="H46" s="103">
        <v>0</v>
      </c>
      <c r="I46" s="104">
        <v>32.9</v>
      </c>
      <c r="J46" s="98">
        <f t="shared" si="73"/>
        <v>392.14079999999996</v>
      </c>
      <c r="K46" s="98">
        <f t="shared" si="74"/>
        <v>70.585343999999992</v>
      </c>
      <c r="L46" s="98">
        <f t="shared" si="75"/>
        <v>462.72614399999998</v>
      </c>
      <c r="M46" s="101">
        <v>5.04</v>
      </c>
      <c r="N46" s="102">
        <v>0</v>
      </c>
      <c r="O46" s="101">
        <v>-0.02</v>
      </c>
      <c r="P46" s="136">
        <f t="shared" si="76"/>
        <v>0.25</v>
      </c>
      <c r="Q46" s="178">
        <f t="shared" si="77"/>
        <v>467.99614400000002</v>
      </c>
      <c r="S46" s="98">
        <f t="shared" si="78"/>
        <v>113.385344</v>
      </c>
      <c r="T46" s="98">
        <f t="shared" si="79"/>
        <v>37.79511466666667</v>
      </c>
      <c r="V46" s="104">
        <v>0</v>
      </c>
      <c r="W46" s="104">
        <v>0</v>
      </c>
      <c r="X46" s="136">
        <v>0</v>
      </c>
      <c r="Y46" s="136">
        <v>0</v>
      </c>
    </row>
    <row r="47" spans="1:25" ht="16.5" customHeight="1" x14ac:dyDescent="0.25">
      <c r="A47" s="106">
        <v>44621</v>
      </c>
      <c r="B47" s="137">
        <f>+VLOOKUP(A47,REGISTRO!A11:I10483,2,0)</f>
        <v>0.64990000000000003</v>
      </c>
      <c r="C47" s="153">
        <f>+VLOOKUP(B47,REGISTRO!B11:J10483,4,0)</f>
        <v>22470</v>
      </c>
      <c r="D47" s="97">
        <f t="shared" si="71"/>
        <v>591</v>
      </c>
      <c r="E47" s="103">
        <v>1.55</v>
      </c>
      <c r="F47" s="104">
        <v>3.07</v>
      </c>
      <c r="G47" s="98">
        <f t="shared" si="72"/>
        <v>384.09090000000003</v>
      </c>
      <c r="H47" s="103">
        <v>1.04</v>
      </c>
      <c r="I47" s="104">
        <v>29.4</v>
      </c>
      <c r="J47" s="98">
        <f t="shared" si="73"/>
        <v>419.15090000000004</v>
      </c>
      <c r="K47" s="98">
        <f t="shared" si="74"/>
        <v>75.447162000000006</v>
      </c>
      <c r="L47" s="98">
        <f t="shared" si="75"/>
        <v>494.59806200000003</v>
      </c>
      <c r="M47" s="101">
        <v>5.44</v>
      </c>
      <c r="N47" s="102">
        <v>0.05</v>
      </c>
      <c r="O47" s="101">
        <v>-0.11</v>
      </c>
      <c r="P47" s="136">
        <f t="shared" si="76"/>
        <v>0.02</v>
      </c>
      <c r="Q47" s="178">
        <f t="shared" si="77"/>
        <v>499.998062</v>
      </c>
      <c r="S47" s="98">
        <f t="shared" si="78"/>
        <v>115.907162</v>
      </c>
      <c r="T47" s="98">
        <f t="shared" si="79"/>
        <v>38.635720666666664</v>
      </c>
      <c r="V47" s="104">
        <v>0</v>
      </c>
      <c r="W47" s="104">
        <v>0</v>
      </c>
      <c r="X47" s="136">
        <v>0</v>
      </c>
      <c r="Y47" s="136">
        <v>0</v>
      </c>
    </row>
    <row r="48" spans="1:25" ht="16.5" customHeight="1" x14ac:dyDescent="0.25">
      <c r="A48" s="106">
        <v>44652</v>
      </c>
      <c r="B48" s="137">
        <f>+VLOOKUP(A48,REGISTRO!A12:I10484,2,0)</f>
        <v>0.65049999999999997</v>
      </c>
      <c r="C48" s="153">
        <f>+VLOOKUP(B48,REGISTRO!B12:J10484,4,0)</f>
        <v>23003</v>
      </c>
      <c r="D48" s="97">
        <f t="shared" si="71"/>
        <v>533</v>
      </c>
      <c r="E48" s="103">
        <v>1.56</v>
      </c>
      <c r="F48" s="104">
        <v>3.1</v>
      </c>
      <c r="G48" s="98">
        <f t="shared" si="72"/>
        <v>346.7165</v>
      </c>
      <c r="H48" s="103">
        <v>1.23</v>
      </c>
      <c r="I48" s="104">
        <v>34.299999999999997</v>
      </c>
      <c r="J48" s="98">
        <f t="shared" si="73"/>
        <v>386.90650000000005</v>
      </c>
      <c r="K48" s="98">
        <f t="shared" si="74"/>
        <v>69.643170000000012</v>
      </c>
      <c r="L48" s="98">
        <f t="shared" si="75"/>
        <v>456.54967000000005</v>
      </c>
      <c r="M48" s="101">
        <v>4.9000000000000004</v>
      </c>
      <c r="N48" s="102">
        <v>-82.32</v>
      </c>
      <c r="O48" s="101">
        <v>-0.31</v>
      </c>
      <c r="P48" s="136">
        <f t="shared" si="76"/>
        <v>0.11</v>
      </c>
      <c r="Q48" s="178">
        <f t="shared" si="77"/>
        <v>378.92967000000004</v>
      </c>
      <c r="S48" s="98">
        <f t="shared" si="78"/>
        <v>32.213170000000019</v>
      </c>
      <c r="T48" s="98">
        <f t="shared" si="79"/>
        <v>10.73772333333334</v>
      </c>
      <c r="V48" s="104">
        <v>0</v>
      </c>
      <c r="W48" s="104">
        <v>0</v>
      </c>
      <c r="X48" s="136">
        <v>0</v>
      </c>
      <c r="Y48" s="136">
        <v>0</v>
      </c>
    </row>
    <row r="49" spans="1:25" ht="16.5" customHeight="1" x14ac:dyDescent="0.25">
      <c r="A49" s="106">
        <v>44682</v>
      </c>
      <c r="B49" s="137">
        <f>+VLOOKUP(A49,REGISTRO!A13:I10485,2,0)</f>
        <v>0.65210000000000001</v>
      </c>
      <c r="C49" s="153">
        <f>+VLOOKUP(B49,REGISTRO!B13:J10485,4,0)</f>
        <v>23685</v>
      </c>
      <c r="D49" s="97">
        <f t="shared" si="71"/>
        <v>682</v>
      </c>
      <c r="E49" s="103">
        <v>1.58</v>
      </c>
      <c r="F49" s="104">
        <v>3.16</v>
      </c>
      <c r="G49" s="98">
        <f t="shared" si="72"/>
        <v>444.73220000000003</v>
      </c>
      <c r="H49" s="103">
        <v>0.41</v>
      </c>
      <c r="I49" s="104">
        <v>30.8</v>
      </c>
      <c r="J49" s="98">
        <f t="shared" si="73"/>
        <v>480.68220000000008</v>
      </c>
      <c r="K49" s="98">
        <f t="shared" si="74"/>
        <v>86.522796000000014</v>
      </c>
      <c r="L49" s="98">
        <f t="shared" si="75"/>
        <v>567.20499600000005</v>
      </c>
      <c r="M49" s="101">
        <v>6.27</v>
      </c>
      <c r="N49" s="102">
        <v>0</v>
      </c>
      <c r="O49" s="101">
        <v>-0.28000000000000003</v>
      </c>
      <c r="P49" s="136">
        <f t="shared" si="76"/>
        <v>0.31</v>
      </c>
      <c r="Q49" s="178">
        <f t="shared" si="77"/>
        <v>573.50499600000001</v>
      </c>
      <c r="S49" s="98">
        <f t="shared" si="78"/>
        <v>128.77279600000003</v>
      </c>
      <c r="T49" s="98">
        <f t="shared" si="79"/>
        <v>42.924265333333345</v>
      </c>
      <c r="V49" s="104">
        <v>0</v>
      </c>
      <c r="W49" s="104">
        <v>0</v>
      </c>
      <c r="X49" s="136">
        <v>0</v>
      </c>
      <c r="Y49" s="136">
        <v>0</v>
      </c>
    </row>
    <row r="50" spans="1:25" ht="16.5" customHeight="1" x14ac:dyDescent="0.25">
      <c r="A50" s="106">
        <v>44713</v>
      </c>
      <c r="B50" s="137">
        <f>+VLOOKUP(A50,REGISTRO!A14:I10486,2,0)</f>
        <v>0.65459999999999996</v>
      </c>
      <c r="C50" s="153">
        <f>+VLOOKUP(B50,REGISTRO!B14:J10486,4,0)</f>
        <v>24453</v>
      </c>
      <c r="D50" s="97">
        <f t="shared" si="71"/>
        <v>768</v>
      </c>
      <c r="E50" s="103">
        <v>1.61</v>
      </c>
      <c r="F50" s="104">
        <v>3.21</v>
      </c>
      <c r="G50" s="98">
        <f t="shared" si="72"/>
        <v>502.7328</v>
      </c>
      <c r="H50" s="103">
        <v>0.87</v>
      </c>
      <c r="I50" s="104">
        <v>35.200000000000003</v>
      </c>
      <c r="J50" s="98">
        <f t="shared" si="73"/>
        <v>543.62279999999998</v>
      </c>
      <c r="K50" s="98">
        <f t="shared" si="74"/>
        <v>97.852103999999997</v>
      </c>
      <c r="L50" s="98">
        <f t="shared" si="75"/>
        <v>641.47490399999992</v>
      </c>
      <c r="M50" s="101">
        <v>7.07</v>
      </c>
      <c r="N50" s="102">
        <v>0</v>
      </c>
      <c r="O50" s="101">
        <v>-0.24</v>
      </c>
      <c r="P50" s="136">
        <f t="shared" si="76"/>
        <v>0.28000000000000003</v>
      </c>
      <c r="Q50" s="178">
        <f>SUM(L50:P50)+SUM(X50:Y50)</f>
        <v>650.0049039999999</v>
      </c>
      <c r="S50" s="98">
        <f t="shared" si="78"/>
        <v>145.85210399999997</v>
      </c>
      <c r="T50" s="98">
        <f t="shared" si="79"/>
        <v>48.617367999999992</v>
      </c>
      <c r="V50" s="104">
        <v>0</v>
      </c>
      <c r="W50" s="104">
        <v>0</v>
      </c>
      <c r="X50" s="136">
        <v>1.2</v>
      </c>
      <c r="Y50" s="136">
        <v>0.22</v>
      </c>
    </row>
    <row r="51" spans="1:25" ht="16.5" customHeight="1" x14ac:dyDescent="0.25">
      <c r="A51" s="106">
        <v>44743</v>
      </c>
      <c r="B51" s="137">
        <f>+VLOOKUP(A51,REGISTRO!A15:I10487,2,0)</f>
        <v>0.65600000000000003</v>
      </c>
      <c r="C51" s="153">
        <f>+VLOOKUP(B51,REGISTRO!B15:J10487,4,0)</f>
        <v>25104</v>
      </c>
      <c r="D51" s="97">
        <f t="shared" si="71"/>
        <v>651</v>
      </c>
      <c r="E51" s="103">
        <v>1.61</v>
      </c>
      <c r="F51" s="104">
        <v>3.24</v>
      </c>
      <c r="G51" s="98">
        <f t="shared" si="72"/>
        <v>427.05600000000004</v>
      </c>
      <c r="H51" s="103">
        <v>1.04</v>
      </c>
      <c r="I51" s="104">
        <v>35.700000000000003</v>
      </c>
      <c r="J51" s="98">
        <f t="shared" si="73"/>
        <v>468.64600000000007</v>
      </c>
      <c r="K51" s="98">
        <f t="shared" si="74"/>
        <v>84.356280000000012</v>
      </c>
      <c r="L51" s="98">
        <f t="shared" si="75"/>
        <v>553.00228000000004</v>
      </c>
      <c r="M51" s="101">
        <v>5.99</v>
      </c>
      <c r="N51" s="102">
        <v>0</v>
      </c>
      <c r="O51" s="101">
        <v>-0.23</v>
      </c>
      <c r="P51" s="136">
        <f t="shared" si="76"/>
        <v>0.24</v>
      </c>
      <c r="Q51" s="178">
        <f t="shared" si="77"/>
        <v>559.00228000000004</v>
      </c>
      <c r="S51" s="98">
        <f t="shared" si="78"/>
        <v>131.94628000000003</v>
      </c>
      <c r="T51" s="98">
        <f t="shared" si="79"/>
        <v>43.982093333333346</v>
      </c>
      <c r="V51" s="104">
        <v>0</v>
      </c>
      <c r="W51" s="104">
        <v>0</v>
      </c>
      <c r="X51" s="136">
        <v>0</v>
      </c>
      <c r="Y51" s="136">
        <v>0</v>
      </c>
    </row>
    <row r="52" spans="1:25" ht="16.5" customHeight="1" x14ac:dyDescent="0.25">
      <c r="A52" s="106">
        <v>44774</v>
      </c>
      <c r="B52" s="137">
        <f>+VLOOKUP(A52,REGISTRO!A16:I10488,2,0)</f>
        <v>0.66420000000000001</v>
      </c>
      <c r="C52" s="153">
        <f>+VLOOKUP(B52,REGISTRO!B16:J10488,4,0)</f>
        <v>25650</v>
      </c>
      <c r="D52" s="97">
        <f t="shared" si="71"/>
        <v>546</v>
      </c>
      <c r="E52" s="103">
        <v>1.63</v>
      </c>
      <c r="F52" s="104">
        <v>3.27</v>
      </c>
      <c r="G52" s="98">
        <f t="shared" si="72"/>
        <v>362.65320000000003</v>
      </c>
      <c r="H52" s="103">
        <v>1.68</v>
      </c>
      <c r="I52" s="104">
        <v>38.5</v>
      </c>
      <c r="J52" s="98">
        <f t="shared" si="73"/>
        <v>407.73320000000001</v>
      </c>
      <c r="K52" s="98">
        <f t="shared" si="74"/>
        <v>73.391976</v>
      </c>
      <c r="L52" s="98">
        <f t="shared" si="75"/>
        <v>481.12517600000001</v>
      </c>
      <c r="M52" s="101">
        <v>5.0199999999999996</v>
      </c>
      <c r="N52" s="102">
        <f>0.1-150.21</f>
        <v>-150.11000000000001</v>
      </c>
      <c r="O52" s="101">
        <v>-0.26</v>
      </c>
      <c r="P52" s="136">
        <f t="shared" si="76"/>
        <v>0.23</v>
      </c>
      <c r="Q52" s="178">
        <f t="shared" si="77"/>
        <v>336.00517600000001</v>
      </c>
      <c r="S52" s="98">
        <f t="shared" si="78"/>
        <v>-26.648024000000021</v>
      </c>
      <c r="T52" s="98">
        <f t="shared" si="79"/>
        <v>-8.8826746666666736</v>
      </c>
      <c r="V52" s="104">
        <v>0</v>
      </c>
      <c r="W52" s="104">
        <v>0</v>
      </c>
      <c r="X52" s="136">
        <v>0</v>
      </c>
      <c r="Y52" s="136">
        <v>0</v>
      </c>
    </row>
    <row r="53" spans="1:25" ht="16.5" customHeight="1" x14ac:dyDescent="0.25">
      <c r="A53" s="106">
        <v>44805</v>
      </c>
      <c r="B53" s="137">
        <f>+VLOOKUP(A53,REGISTRO!A17:I10489,2,0)</f>
        <v>0.67989999999999995</v>
      </c>
      <c r="C53" s="153">
        <f>+VLOOKUP(B53,REGISTRO!B17:J10489,4,0)</f>
        <v>26166</v>
      </c>
      <c r="D53" s="97">
        <f t="shared" si="71"/>
        <v>516</v>
      </c>
      <c r="E53" s="103">
        <v>1.66</v>
      </c>
      <c r="F53" s="104">
        <v>3.31</v>
      </c>
      <c r="G53" s="98">
        <f t="shared" si="72"/>
        <v>350.82839999999999</v>
      </c>
      <c r="H53" s="103">
        <v>0.7</v>
      </c>
      <c r="I53" s="104">
        <v>35.700000000000003</v>
      </c>
      <c r="J53" s="98">
        <f t="shared" si="73"/>
        <v>392.19839999999999</v>
      </c>
      <c r="K53" s="98">
        <f t="shared" si="74"/>
        <v>70.595711999999992</v>
      </c>
      <c r="L53" s="98">
        <f t="shared" si="75"/>
        <v>462.79411199999998</v>
      </c>
      <c r="M53" s="101">
        <v>4.75</v>
      </c>
      <c r="N53" s="102">
        <v>0.01</v>
      </c>
      <c r="O53" s="101">
        <v>-0.32</v>
      </c>
      <c r="P53" s="136">
        <f t="shared" si="76"/>
        <v>0.26</v>
      </c>
      <c r="Q53" s="178">
        <f t="shared" si="77"/>
        <v>467.49411199999997</v>
      </c>
      <c r="S53" s="98">
        <f t="shared" si="78"/>
        <v>116.66571200000001</v>
      </c>
      <c r="T53" s="98">
        <f t="shared" si="79"/>
        <v>38.888570666666674</v>
      </c>
      <c r="V53" s="104">
        <v>0</v>
      </c>
      <c r="W53" s="104">
        <v>0</v>
      </c>
      <c r="X53" s="136">
        <v>0</v>
      </c>
      <c r="Y53" s="136">
        <v>0</v>
      </c>
    </row>
    <row r="54" spans="1:25" ht="16.5" customHeight="1" x14ac:dyDescent="0.25">
      <c r="A54" s="106">
        <v>44835</v>
      </c>
      <c r="B54" s="137">
        <f>+VLOOKUP(A54,REGISTRO!A18:I10490,2,0)</f>
        <v>0.68120000000000003</v>
      </c>
      <c r="C54" s="153">
        <f>+VLOOKUP(B54,REGISTRO!B18:J10490,4,0)</f>
        <v>26779</v>
      </c>
      <c r="D54" s="97">
        <f t="shared" ref="D54:D55" si="80">+C54-C53</f>
        <v>613</v>
      </c>
      <c r="E54" s="103">
        <v>1.66</v>
      </c>
      <c r="F54" s="104">
        <v>3.31</v>
      </c>
      <c r="G54" s="98">
        <f t="shared" ref="G54:G55" si="81">B54*D54</f>
        <v>417.57560000000001</v>
      </c>
      <c r="H54" s="103">
        <v>0.9</v>
      </c>
      <c r="I54" s="104">
        <v>34.299999999999997</v>
      </c>
      <c r="J54" s="98">
        <f t="shared" ref="J54:J55" si="82">SUM(E54:I54)+SUM(V54:W54)</f>
        <v>457.74560000000002</v>
      </c>
      <c r="K54" s="98">
        <f t="shared" ref="K54:K55" si="83">J54*0.18</f>
        <v>82.394208000000006</v>
      </c>
      <c r="L54" s="98">
        <f t="shared" ref="L54:L55" si="84">J54+K54</f>
        <v>540.13980800000002</v>
      </c>
      <c r="M54" s="101">
        <v>5.64</v>
      </c>
      <c r="N54" s="102">
        <v>0</v>
      </c>
      <c r="O54" s="101">
        <v>-0.11</v>
      </c>
      <c r="P54" s="136">
        <f t="shared" ref="P54:P55" si="85">+O53*-1</f>
        <v>0.32</v>
      </c>
      <c r="Q54" s="178">
        <f t="shared" ref="Q54:Q55" si="86">SUM(L54:P54)</f>
        <v>545.98980800000004</v>
      </c>
      <c r="S54" s="98">
        <f t="shared" ref="S54:S55" si="87">E54+F54+H54+I54+K54+M54+N54+O54+P54</f>
        <v>128.41420799999997</v>
      </c>
      <c r="T54" s="98">
        <f t="shared" ref="T54:T55" si="88">S54/3</f>
        <v>42.804735999999991</v>
      </c>
      <c r="V54" s="104">
        <v>0</v>
      </c>
      <c r="W54" s="104">
        <v>0</v>
      </c>
      <c r="X54" s="136">
        <v>0</v>
      </c>
      <c r="Y54" s="136">
        <v>0</v>
      </c>
    </row>
    <row r="55" spans="1:25" ht="16.5" customHeight="1" x14ac:dyDescent="0.25">
      <c r="A55" s="106">
        <v>44866</v>
      </c>
      <c r="B55" s="137">
        <f>+VLOOKUP(A55,REGISTRO!A19:I10491,2,0)</f>
        <v>0</v>
      </c>
      <c r="C55" s="153" t="e">
        <f>+VLOOKUP(B55,REGISTRO!B19:J10491,4,0)</f>
        <v>#N/A</v>
      </c>
      <c r="D55" s="97" t="e">
        <f t="shared" si="80"/>
        <v>#N/A</v>
      </c>
      <c r="E55" s="103"/>
      <c r="F55" s="104"/>
      <c r="G55" s="98" t="e">
        <f t="shared" si="81"/>
        <v>#N/A</v>
      </c>
      <c r="H55" s="103"/>
      <c r="I55" s="104"/>
      <c r="J55" s="98" t="e">
        <f t="shared" si="82"/>
        <v>#N/A</v>
      </c>
      <c r="K55" s="98" t="e">
        <f t="shared" si="83"/>
        <v>#N/A</v>
      </c>
      <c r="L55" s="98" t="e">
        <f t="shared" si="84"/>
        <v>#N/A</v>
      </c>
      <c r="M55" s="101"/>
      <c r="N55" s="102"/>
      <c r="O55" s="101"/>
      <c r="P55" s="136">
        <f t="shared" si="85"/>
        <v>0.11</v>
      </c>
      <c r="Q55" s="178" t="e">
        <f t="shared" si="86"/>
        <v>#N/A</v>
      </c>
      <c r="S55" s="98" t="e">
        <f t="shared" si="87"/>
        <v>#N/A</v>
      </c>
      <c r="T55" s="98" t="e">
        <f t="shared" si="88"/>
        <v>#N/A</v>
      </c>
      <c r="V55" s="104">
        <v>0</v>
      </c>
      <c r="W55" s="104">
        <v>0</v>
      </c>
      <c r="X55" s="136">
        <v>0</v>
      </c>
      <c r="Y55" s="136">
        <v>0</v>
      </c>
    </row>
    <row r="56" spans="1:25" ht="16.5" customHeight="1" x14ac:dyDescent="0.25">
      <c r="A56" s="106">
        <v>44896</v>
      </c>
      <c r="B56" s="137">
        <f>+VLOOKUP(A56,REGISTRO!A20:I10492,2,0)</f>
        <v>0</v>
      </c>
      <c r="C56" s="153" t="e">
        <f>+VLOOKUP(B56,REGISTRO!B20:J10492,4,0)</f>
        <v>#N/A</v>
      </c>
      <c r="D56" s="97" t="e">
        <f t="shared" ref="D56" si="89">+C56-C55</f>
        <v>#N/A</v>
      </c>
      <c r="E56" s="103"/>
      <c r="F56" s="104"/>
      <c r="G56" s="98" t="e">
        <f t="shared" ref="G56" si="90">B56*D56</f>
        <v>#N/A</v>
      </c>
      <c r="H56" s="103"/>
      <c r="I56" s="104"/>
      <c r="J56" s="98" t="e">
        <f t="shared" ref="J56" si="91">SUM(E56:I56)+SUM(V56:W56)</f>
        <v>#N/A</v>
      </c>
      <c r="K56" s="98" t="e">
        <f t="shared" ref="K56" si="92">J56*0.18</f>
        <v>#N/A</v>
      </c>
      <c r="L56" s="98" t="e">
        <f t="shared" ref="L56" si="93">J56+K56</f>
        <v>#N/A</v>
      </c>
      <c r="M56" s="101"/>
      <c r="N56" s="102"/>
      <c r="O56" s="101"/>
      <c r="P56" s="136">
        <f t="shared" ref="P56" si="94">+O55*-1</f>
        <v>0</v>
      </c>
      <c r="Q56" s="178" t="e">
        <f t="shared" ref="Q56" si="95">SUM(L56:P56)</f>
        <v>#N/A</v>
      </c>
      <c r="S56" s="98" t="e">
        <f t="shared" ref="S56" si="96">E56+F56+H56+I56+K56+M56+N56+O56+P56</f>
        <v>#N/A</v>
      </c>
      <c r="T56" s="98" t="e">
        <f t="shared" ref="T56" si="97">S56/3</f>
        <v>#N/A</v>
      </c>
      <c r="V56" s="104">
        <v>0</v>
      </c>
      <c r="W56" s="104">
        <v>0</v>
      </c>
      <c r="X56" s="136">
        <v>0</v>
      </c>
      <c r="Y56" s="136">
        <v>0</v>
      </c>
    </row>
  </sheetData>
  <mergeCells count="2">
    <mergeCell ref="B2:Q2"/>
    <mergeCell ref="V2:Y2"/>
  </mergeCells>
  <phoneticPr fontId="10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BFB8-4653-4A34-A0D4-476C2CD942C1}">
  <dimension ref="A1:R70"/>
  <sheetViews>
    <sheetView showGridLines="0" topLeftCell="B3" zoomScale="89" zoomScaleNormal="100" zoomScaleSheetLayoutView="70" workbookViewId="0">
      <selection activeCell="S21" sqref="S21"/>
    </sheetView>
  </sheetViews>
  <sheetFormatPr baseColWidth="10" defaultRowHeight="15" x14ac:dyDescent="0.25"/>
  <cols>
    <col min="1" max="1" width="7.7109375" hidden="1" customWidth="1"/>
    <col min="2" max="2" width="2.42578125" customWidth="1"/>
    <col min="3" max="3" width="13.42578125" customWidth="1"/>
    <col min="4" max="4" width="13.28515625" bestFit="1" customWidth="1"/>
    <col min="5" max="5" width="5.42578125" customWidth="1"/>
    <col min="6" max="7" width="11.28515625" bestFit="1" customWidth="1"/>
    <col min="8" max="8" width="1.85546875" customWidth="1"/>
    <col min="9" max="9" width="15.7109375" customWidth="1"/>
    <col min="10" max="11" width="13.140625" customWidth="1"/>
    <col min="12" max="12" width="14.28515625" customWidth="1"/>
    <col min="13" max="13" width="13.140625" customWidth="1"/>
    <col min="14" max="14" width="2.140625" customWidth="1"/>
    <col min="17" max="17" width="13.5703125" customWidth="1"/>
    <col min="18" max="18" width="3.5703125" customWidth="1"/>
  </cols>
  <sheetData>
    <row r="1" spans="1:18" x14ac:dyDescent="0.25"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18" ht="17.25" x14ac:dyDescent="0.3">
      <c r="A2" s="8" t="s">
        <v>49</v>
      </c>
      <c r="B2" s="132"/>
      <c r="C2" s="212" t="s">
        <v>24</v>
      </c>
      <c r="D2" s="212"/>
      <c r="E2" s="212"/>
      <c r="F2" s="149">
        <v>44805</v>
      </c>
      <c r="G2" s="149">
        <v>44835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</row>
    <row r="3" spans="1:18" ht="18" x14ac:dyDescent="0.4">
      <c r="A3" s="131">
        <v>43831</v>
      </c>
      <c r="B3" s="132"/>
      <c r="C3" s="213" t="s">
        <v>66</v>
      </c>
      <c r="D3" s="213"/>
      <c r="E3" s="213"/>
      <c r="F3" s="144">
        <f>VLOOKUP($F$2,'RECIBO DE LUZ'!$A$4:$T$99,5,0)</f>
        <v>1.66</v>
      </c>
      <c r="G3" s="142">
        <f>VLOOKUP($G$2,'RECIBO DE LUZ'!$A$4:$T$99,5,0)</f>
        <v>1.66</v>
      </c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1:18" ht="18" x14ac:dyDescent="0.4">
      <c r="A4" s="131">
        <v>43862</v>
      </c>
      <c r="B4" s="132"/>
      <c r="C4" s="213" t="s">
        <v>65</v>
      </c>
      <c r="D4" s="213"/>
      <c r="E4" s="213"/>
      <c r="F4" s="144">
        <f>VLOOKUP($F$2,'RECIBO DE LUZ'!$A$4:$T$99,6,0)</f>
        <v>3.31</v>
      </c>
      <c r="G4" s="142">
        <f>VLOOKUP($G$2,'RECIBO DE LUZ'!$A$4:$T$99,6,0)</f>
        <v>3.31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</row>
    <row r="5" spans="1:18" ht="30" x14ac:dyDescent="0.4">
      <c r="A5" s="131">
        <v>43891</v>
      </c>
      <c r="B5" s="132"/>
      <c r="C5" s="213" t="s">
        <v>64</v>
      </c>
      <c r="D5" s="213"/>
      <c r="E5" s="213"/>
      <c r="F5" s="144">
        <f>VLOOKUP($F$2,'RECIBO DE LUZ'!$A$4:$T$99,7,0)</f>
        <v>350.82839999999999</v>
      </c>
      <c r="G5" s="142">
        <f>VLOOKUP($G$2,'RECIBO DE LUZ'!$A$4:$T$99,7,0)</f>
        <v>417.57560000000001</v>
      </c>
      <c r="H5" s="132"/>
      <c r="I5" s="139" t="s">
        <v>41</v>
      </c>
      <c r="J5" s="140" t="s">
        <v>14</v>
      </c>
      <c r="K5" s="140" t="s">
        <v>32</v>
      </c>
      <c r="L5" s="140" t="s">
        <v>15</v>
      </c>
      <c r="M5" s="140" t="s">
        <v>31</v>
      </c>
      <c r="N5" s="132"/>
      <c r="O5" s="132"/>
      <c r="P5" s="132"/>
      <c r="Q5" s="132"/>
      <c r="R5" s="132"/>
    </row>
    <row r="6" spans="1:18" ht="18" x14ac:dyDescent="0.4">
      <c r="A6" s="131">
        <v>43922</v>
      </c>
      <c r="B6" s="132"/>
      <c r="C6" s="213" t="s">
        <v>63</v>
      </c>
      <c r="D6" s="213"/>
      <c r="E6" s="213"/>
      <c r="F6" s="144">
        <f>VLOOKUP($F$2,'RECIBO DE LUZ'!$A$4:$T$99,8,0)</f>
        <v>0.7</v>
      </c>
      <c r="G6" s="142">
        <f>VLOOKUP($G$2,'RECIBO DE LUZ'!$A$4:$T$99,8,0)</f>
        <v>0.9</v>
      </c>
      <c r="H6" s="132"/>
      <c r="I6" s="138">
        <f>+F23</f>
        <v>44805</v>
      </c>
      <c r="J6" s="181">
        <f>SUMIFS(REGISTRO!$I$5:$I$1048576,REGISTRO!$D$5:$D$1048576,REPORTE!J5,REGISTRO!$C$5:$C$1048576,REPORTE!I6)</f>
        <v>197.58</v>
      </c>
      <c r="K6" s="181">
        <f>SUMIFS(REGISTRO!$I$5:$I$1048576,REGISTRO!$D$5:$D$1048576,REPORTE!K5,REGISTRO!$C$5:$C$1048576,REPORTE!I6)</f>
        <v>246.53</v>
      </c>
      <c r="L6" s="181">
        <f>SUMIFS(REGISTRO!$I$5:$I$1048576,REGISTRO!$D$5:$D$1048576,REPORTE!L5,REGISTRO!$C$5:$C$1048576,REPORTE!I6)</f>
        <v>23.39</v>
      </c>
      <c r="M6" s="193">
        <f>SUM(J6:L6)</f>
        <v>467.5</v>
      </c>
      <c r="N6" s="132"/>
      <c r="O6" s="132"/>
      <c r="P6" s="132"/>
      <c r="Q6" s="132"/>
      <c r="R6" s="132"/>
    </row>
    <row r="7" spans="1:18" ht="19.5" customHeight="1" x14ac:dyDescent="0.4">
      <c r="A7" s="131">
        <v>43952</v>
      </c>
      <c r="B7" s="132"/>
      <c r="C7" s="213" t="s">
        <v>62</v>
      </c>
      <c r="D7" s="213"/>
      <c r="E7" s="213"/>
      <c r="F7" s="144">
        <f>VLOOKUP($F$2,'RECIBO DE LUZ'!$A$4:$T$99,9,0)</f>
        <v>35.700000000000003</v>
      </c>
      <c r="G7" s="142">
        <f>VLOOKUP($G$2,'RECIBO DE LUZ'!$A$4:$T$99,9,0)</f>
        <v>34.299999999999997</v>
      </c>
      <c r="H7" s="132"/>
      <c r="I7" s="141">
        <f>+G23</f>
        <v>44835</v>
      </c>
      <c r="J7" s="182">
        <f>SUMIFS(REGISTRO!$I$5:$I$1048576,REGISTRO!$D$5:$D$1048576,REPORTE!J5,REGISTRO!$C$5:$C$1048576,REPORTE!I7)+SUM(G18:G19)/3</f>
        <v>208.75</v>
      </c>
      <c r="K7" s="182">
        <f>SUMIFS(REGISTRO!$I$5:$I$1048576,REGISTRO!$D$5:$D$1048576,REPORTE!K5,REGISTRO!$C$5:$C$1048576,REPORTE!I7)+SUM(G18:G19)/3</f>
        <v>268.02</v>
      </c>
      <c r="L7" s="182">
        <f>SUMIFS(REGISTRO!$I$5:$I$1048576,REGISTRO!$D$5:$D$1048576,REPORTE!L5,REGISTRO!$C$5:$C$1048576,REPORTE!I7)+SUM(G18:G19)/3</f>
        <v>69.22</v>
      </c>
      <c r="M7" s="192">
        <f>SUM(J7:L7)</f>
        <v>545.99</v>
      </c>
      <c r="N7" s="132"/>
      <c r="O7" s="132"/>
      <c r="P7" s="132"/>
      <c r="Q7" s="132"/>
      <c r="R7" s="132"/>
    </row>
    <row r="8" spans="1:18" s="158" customFormat="1" ht="16.5" hidden="1" x14ac:dyDescent="0.35">
      <c r="A8" s="156"/>
      <c r="B8" s="157"/>
      <c r="C8" s="163" t="s">
        <v>69</v>
      </c>
      <c r="D8" s="164"/>
      <c r="E8" s="164"/>
      <c r="F8" s="160"/>
      <c r="G8" s="160">
        <f>VLOOKUP($G$2,'RECIBO DE LUZ'!$A$4:$TZ99,22,0)</f>
        <v>0</v>
      </c>
      <c r="H8" s="157"/>
      <c r="I8" s="132"/>
      <c r="J8" s="132"/>
      <c r="K8" s="132"/>
      <c r="L8" s="132"/>
      <c r="M8" s="132"/>
      <c r="N8" s="157"/>
      <c r="O8" s="157"/>
      <c r="P8" s="157"/>
      <c r="Q8" s="157"/>
      <c r="R8" s="157"/>
    </row>
    <row r="9" spans="1:18" s="158" customFormat="1" ht="16.5" hidden="1" x14ac:dyDescent="0.35">
      <c r="A9" s="156"/>
      <c r="B9" s="157"/>
      <c r="C9" s="165" t="s">
        <v>70</v>
      </c>
      <c r="D9" s="164"/>
      <c r="E9" s="164"/>
      <c r="F9" s="160"/>
      <c r="G9" s="160">
        <f>VLOOKUP($G$2,'RECIBO DE LUZ'!$A$4:$TZ100,23,0)</f>
        <v>0</v>
      </c>
      <c r="H9" s="157"/>
      <c r="I9" s="132"/>
      <c r="J9" s="132"/>
      <c r="K9" s="132"/>
      <c r="L9" s="132"/>
      <c r="M9" s="132"/>
      <c r="N9" s="157"/>
      <c r="O9" s="157"/>
      <c r="P9" s="157"/>
      <c r="Q9" s="157"/>
      <c r="R9" s="157"/>
    </row>
    <row r="10" spans="1:18" ht="18" x14ac:dyDescent="0.4">
      <c r="A10" s="131">
        <v>43983</v>
      </c>
      <c r="B10" s="132"/>
      <c r="C10" s="145"/>
      <c r="D10" s="145"/>
      <c r="E10" s="145"/>
      <c r="F10" s="144"/>
      <c r="G10" s="14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</row>
    <row r="11" spans="1:18" ht="18" x14ac:dyDescent="0.4">
      <c r="A11" s="131">
        <v>44013</v>
      </c>
      <c r="B11" s="132"/>
      <c r="C11" s="213" t="s">
        <v>67</v>
      </c>
      <c r="D11" s="213"/>
      <c r="E11" s="213"/>
      <c r="F11" s="144">
        <f>VLOOKUP($F$2,'RECIBO DE LUZ'!$A$4:$T$99,12,0)</f>
        <v>462.79411199999998</v>
      </c>
      <c r="G11" s="142">
        <f>VLOOKUP($G$2,'RECIBO DE LUZ'!$A$4:$T$99,12,0)</f>
        <v>540.13980800000002</v>
      </c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</row>
    <row r="12" spans="1:18" ht="17.25" x14ac:dyDescent="0.3">
      <c r="A12" s="131">
        <v>44044</v>
      </c>
      <c r="B12" s="132"/>
      <c r="C12" s="213" t="s">
        <v>1</v>
      </c>
      <c r="D12" s="213"/>
      <c r="E12" s="213"/>
      <c r="F12" s="144">
        <f>VLOOKUP($F$2,'RECIBO DE LUZ'!$A$4:$T$99,13,0)</f>
        <v>4.75</v>
      </c>
      <c r="G12" s="142">
        <f>VLOOKUP($G$2,'RECIBO DE LUZ'!$A$4:$T$99,13,0)</f>
        <v>5.64</v>
      </c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</row>
    <row r="13" spans="1:18" ht="17.25" x14ac:dyDescent="0.3">
      <c r="A13" s="131">
        <v>44075</v>
      </c>
      <c r="B13" s="132"/>
      <c r="C13" s="145"/>
      <c r="D13" s="145"/>
      <c r="E13" s="145"/>
      <c r="F13" s="144"/>
      <c r="G13" s="14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</row>
    <row r="14" spans="1:18" ht="17.25" x14ac:dyDescent="0.3">
      <c r="A14" s="131">
        <v>44105</v>
      </c>
      <c r="B14" s="132"/>
      <c r="C14" s="146" t="s">
        <v>2</v>
      </c>
      <c r="D14" s="146"/>
      <c r="E14" s="146"/>
      <c r="F14" s="144">
        <f>VLOOKUP($F$2,'RECIBO DE LUZ'!$A$4:$T$99,14,0)</f>
        <v>0.01</v>
      </c>
      <c r="G14" s="142">
        <f>VLOOKUP($G$2,'RECIBO DE LUZ'!$A$4:$T$99,14,0)</f>
        <v>0</v>
      </c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</row>
    <row r="15" spans="1:18" ht="17.25" x14ac:dyDescent="0.3">
      <c r="A15" s="131">
        <v>44136</v>
      </c>
      <c r="B15" s="132"/>
      <c r="C15" s="146" t="s">
        <v>0</v>
      </c>
      <c r="D15" s="146"/>
      <c r="E15" s="146"/>
      <c r="F15" s="144">
        <f>VLOOKUP($F$2,'RECIBO DE LUZ'!$A$4:$T$99,15,0)</f>
        <v>-0.32</v>
      </c>
      <c r="G15" s="142">
        <f>VLOOKUP($G$2,'RECIBO DE LUZ'!$A$4:$T$99,15,0)</f>
        <v>-0.11</v>
      </c>
      <c r="H15" s="132"/>
      <c r="N15" s="132"/>
      <c r="O15" s="132"/>
      <c r="P15" s="132"/>
      <c r="Q15" s="132"/>
      <c r="R15" s="132"/>
    </row>
    <row r="16" spans="1:18" ht="17.25" x14ac:dyDescent="0.3">
      <c r="A16" s="131">
        <v>44166</v>
      </c>
      <c r="B16" s="132"/>
      <c r="C16" s="146" t="s">
        <v>68</v>
      </c>
      <c r="D16" s="146"/>
      <c r="E16" s="146"/>
      <c r="F16" s="144">
        <f>VLOOKUP($F$2,'RECIBO DE LUZ'!$A$4:$T$99,16,0)</f>
        <v>0.26</v>
      </c>
      <c r="G16" s="142">
        <f>VLOOKUP($G$2,'RECIBO DE LUZ'!$A$4:$T$99,16,0)</f>
        <v>0.32</v>
      </c>
      <c r="H16" s="132"/>
      <c r="N16" s="132"/>
      <c r="O16" s="132"/>
      <c r="P16" s="132"/>
      <c r="Q16" s="132"/>
      <c r="R16" s="132"/>
    </row>
    <row r="17" spans="1:18" ht="11.25" customHeight="1" x14ac:dyDescent="0.3">
      <c r="A17" s="131"/>
      <c r="B17" s="132"/>
      <c r="C17" s="146"/>
      <c r="D17" s="146"/>
      <c r="E17" s="146"/>
      <c r="F17" s="144"/>
      <c r="G17" s="142"/>
      <c r="H17" s="132"/>
      <c r="N17" s="132"/>
      <c r="O17" s="132"/>
      <c r="P17" s="132"/>
      <c r="Q17" s="132"/>
      <c r="R17" s="132"/>
    </row>
    <row r="18" spans="1:18" ht="16.5" hidden="1" x14ac:dyDescent="0.35">
      <c r="A18" s="131"/>
      <c r="B18" s="132"/>
      <c r="C18" s="168" t="s">
        <v>72</v>
      </c>
      <c r="D18" s="164"/>
      <c r="E18" s="164"/>
      <c r="F18" s="160"/>
      <c r="G18" s="161">
        <f>VLOOKUP($G$2,'RECIBO DE LUZ'!$A$4:$TZ109,24,0)</f>
        <v>0</v>
      </c>
      <c r="H18" s="166"/>
      <c r="N18" s="132"/>
      <c r="O18" s="132"/>
      <c r="P18" s="132"/>
      <c r="Q18" s="132"/>
      <c r="R18" s="132"/>
    </row>
    <row r="19" spans="1:18" ht="16.5" hidden="1" x14ac:dyDescent="0.35">
      <c r="A19" s="131"/>
      <c r="B19" s="132"/>
      <c r="C19" s="169" t="s">
        <v>73</v>
      </c>
      <c r="D19" s="163"/>
      <c r="E19" s="163"/>
      <c r="F19" s="167"/>
      <c r="G19" s="162">
        <f>VLOOKUP($G$2,'RECIBO DE LUZ'!$A$4:$TZ110,25,0)</f>
        <v>0</v>
      </c>
      <c r="H19" s="166"/>
      <c r="N19" s="132"/>
      <c r="O19" s="132"/>
      <c r="P19" s="132"/>
      <c r="Q19" s="132"/>
      <c r="R19" s="132"/>
    </row>
    <row r="20" spans="1:18" ht="11.25" customHeight="1" x14ac:dyDescent="0.3">
      <c r="A20" s="131"/>
      <c r="B20" s="132"/>
      <c r="C20" s="146"/>
      <c r="D20" s="146"/>
      <c r="E20" s="146"/>
      <c r="F20" s="144"/>
      <c r="G20" s="142"/>
      <c r="H20" s="132"/>
      <c r="N20" s="132"/>
      <c r="O20" s="132"/>
      <c r="P20" s="132"/>
      <c r="Q20" s="132"/>
      <c r="R20" s="132"/>
    </row>
    <row r="21" spans="1:18" ht="15.75" x14ac:dyDescent="0.25">
      <c r="A21" s="131">
        <v>44228</v>
      </c>
      <c r="B21" s="132"/>
      <c r="C21" s="215" t="s">
        <v>11</v>
      </c>
      <c r="D21" s="215"/>
      <c r="E21" s="215"/>
      <c r="F21" s="180">
        <f>VLOOKUP($F$2,'RECIBO DE LUZ'!$A$4:$T$99,17,0)</f>
        <v>467.49411199999997</v>
      </c>
      <c r="G21" s="180">
        <f>VLOOKUP($G$2,'RECIBO DE LUZ'!$A$4:$T$99,17,0)</f>
        <v>545.98980800000004</v>
      </c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</row>
    <row r="22" spans="1:18" x14ac:dyDescent="0.25">
      <c r="A22" s="131">
        <v>44256</v>
      </c>
      <c r="B22" s="132"/>
      <c r="C22" s="143"/>
      <c r="D22" s="143"/>
      <c r="E22" s="143"/>
      <c r="F22" s="143"/>
      <c r="G22" s="143"/>
      <c r="H22" s="143"/>
      <c r="I22" s="210">
        <f>+I7</f>
        <v>44835</v>
      </c>
      <c r="J22" s="216" t="s">
        <v>35</v>
      </c>
      <c r="K22" s="217"/>
      <c r="L22" s="218"/>
      <c r="M22" s="132"/>
      <c r="N22" s="132"/>
      <c r="O22" s="209" t="s">
        <v>74</v>
      </c>
      <c r="P22" s="209"/>
      <c r="Q22" s="209"/>
      <c r="R22" s="132"/>
    </row>
    <row r="23" spans="1:18" ht="15.75" x14ac:dyDescent="0.25">
      <c r="A23" s="131">
        <v>44287</v>
      </c>
      <c r="B23" s="132"/>
      <c r="C23" s="143"/>
      <c r="D23" s="143"/>
      <c r="E23" s="143"/>
      <c r="F23" s="147">
        <f>+F2</f>
        <v>44805</v>
      </c>
      <c r="G23" s="147">
        <f>+G2</f>
        <v>44835</v>
      </c>
      <c r="H23" s="132"/>
      <c r="I23" s="211"/>
      <c r="J23" s="147" t="s">
        <v>14</v>
      </c>
      <c r="K23" s="147" t="s">
        <v>32</v>
      </c>
      <c r="L23" s="147" t="s">
        <v>15</v>
      </c>
      <c r="M23" s="147" t="s">
        <v>31</v>
      </c>
      <c r="N23" s="132"/>
      <c r="O23" s="209"/>
      <c r="P23" s="209"/>
      <c r="Q23" s="209"/>
      <c r="R23" s="132"/>
    </row>
    <row r="24" spans="1:18" ht="18.75" x14ac:dyDescent="0.3">
      <c r="A24" s="131">
        <v>44317</v>
      </c>
      <c r="B24" s="132"/>
      <c r="C24" s="214" t="s">
        <v>21</v>
      </c>
      <c r="D24" s="214"/>
      <c r="E24" s="214"/>
      <c r="F24" s="148">
        <f>F3+F4+F6+F7+F12+F15+F16</f>
        <v>46.06</v>
      </c>
      <c r="G24" s="152">
        <f>G3+G4+G6+G7+G12+G15+G16</f>
        <v>46.019999999999996</v>
      </c>
      <c r="H24" s="132"/>
      <c r="I24" s="147" t="s">
        <v>33</v>
      </c>
      <c r="J24" s="150">
        <f>J7-J6</f>
        <v>11.169999999999987</v>
      </c>
      <c r="K24" s="150">
        <f>K7-K6</f>
        <v>21.489999999999981</v>
      </c>
      <c r="L24" s="150">
        <f>L7-L6</f>
        <v>45.83</v>
      </c>
      <c r="M24" s="188">
        <f>SUM(J24:L24)</f>
        <v>78.489999999999966</v>
      </c>
      <c r="N24" s="132"/>
      <c r="O24" s="209"/>
      <c r="P24" s="209"/>
      <c r="Q24" s="209"/>
      <c r="R24" s="132"/>
    </row>
    <row r="25" spans="1:18" ht="18.75" x14ac:dyDescent="0.3">
      <c r="A25" s="131">
        <v>44348</v>
      </c>
      <c r="B25" s="132"/>
      <c r="C25" s="214" t="s">
        <v>61</v>
      </c>
      <c r="D25" s="214"/>
      <c r="E25" s="214"/>
      <c r="F25" s="148">
        <f>F24/3</f>
        <v>15.353333333333333</v>
      </c>
      <c r="G25" s="152">
        <f>G24/3</f>
        <v>15.339999999999998</v>
      </c>
      <c r="H25" s="132"/>
      <c r="I25" s="147" t="s">
        <v>34</v>
      </c>
      <c r="J25" s="151">
        <f>(J7/J6)-1</f>
        <v>5.6534062152039599E-2</v>
      </c>
      <c r="K25" s="151">
        <f>(K7/K6)-1</f>
        <v>8.7169918468340546E-2</v>
      </c>
      <c r="L25" s="151">
        <f>(L7/L6)-1</f>
        <v>1.959384352287302</v>
      </c>
      <c r="M25" s="189">
        <f>(M7/M6)-1</f>
        <v>0.16789304812834227</v>
      </c>
      <c r="N25" s="132"/>
      <c r="O25" s="209"/>
      <c r="P25" s="209"/>
      <c r="Q25" s="209"/>
      <c r="R25" s="132"/>
    </row>
    <row r="26" spans="1:18" x14ac:dyDescent="0.25">
      <c r="A26" s="131">
        <v>44378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209"/>
      <c r="P26" s="209"/>
      <c r="Q26" s="209"/>
      <c r="R26" s="132"/>
    </row>
    <row r="27" spans="1:18" ht="15" customHeight="1" x14ac:dyDescent="0.25">
      <c r="A27" s="131">
        <v>44409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</row>
    <row r="28" spans="1:18" x14ac:dyDescent="0.25">
      <c r="A28" s="131">
        <v>44440</v>
      </c>
      <c r="C28" s="65"/>
      <c r="P28" s="65"/>
    </row>
    <row r="29" spans="1:18" x14ac:dyDescent="0.25">
      <c r="A29" s="131">
        <v>44470</v>
      </c>
      <c r="M29" t="s">
        <v>98</v>
      </c>
    </row>
    <row r="30" spans="1:18" ht="15" customHeight="1" x14ac:dyDescent="0.25">
      <c r="A30" s="131">
        <v>44501</v>
      </c>
    </row>
    <row r="31" spans="1:18" x14ac:dyDescent="0.25">
      <c r="A31" s="131">
        <v>44531</v>
      </c>
      <c r="G31" t="s">
        <v>91</v>
      </c>
      <c r="I31">
        <v>3700</v>
      </c>
      <c r="J31">
        <f>3150+25</f>
        <v>3175</v>
      </c>
      <c r="K31">
        <f>+I31-J31</f>
        <v>525</v>
      </c>
      <c r="L31" s="199">
        <f>+K31/5</f>
        <v>105</v>
      </c>
      <c r="M31" s="201">
        <v>44886</v>
      </c>
    </row>
    <row r="32" spans="1:18" x14ac:dyDescent="0.25">
      <c r="A32" s="131"/>
      <c r="I32">
        <f>+I31/5</f>
        <v>740</v>
      </c>
      <c r="L32" s="67"/>
      <c r="M32" s="196"/>
    </row>
    <row r="33" spans="1:16" x14ac:dyDescent="0.25">
      <c r="A33" s="131"/>
      <c r="L33" s="67"/>
      <c r="M33" s="196"/>
    </row>
    <row r="34" spans="1:16" x14ac:dyDescent="0.25">
      <c r="A34" s="131"/>
      <c r="G34" t="s">
        <v>92</v>
      </c>
      <c r="I34">
        <v>1000</v>
      </c>
      <c r="L34" s="199">
        <v>200</v>
      </c>
      <c r="M34" s="196" t="s">
        <v>97</v>
      </c>
    </row>
    <row r="35" spans="1:16" x14ac:dyDescent="0.25">
      <c r="A35" s="131"/>
      <c r="L35" s="67"/>
      <c r="M35" s="196"/>
    </row>
    <row r="36" spans="1:16" x14ac:dyDescent="0.25">
      <c r="A36" s="131">
        <v>44562</v>
      </c>
      <c r="G36" t="s">
        <v>93</v>
      </c>
      <c r="L36" s="199">
        <v>78.704999999999984</v>
      </c>
      <c r="M36" s="201">
        <v>44837</v>
      </c>
    </row>
    <row r="37" spans="1:16" x14ac:dyDescent="0.25">
      <c r="A37" s="131">
        <v>44593</v>
      </c>
      <c r="L37" s="67"/>
      <c r="M37" s="196"/>
    </row>
    <row r="38" spans="1:16" x14ac:dyDescent="0.25">
      <c r="A38" s="131">
        <v>44621</v>
      </c>
      <c r="G38" t="s">
        <v>94</v>
      </c>
      <c r="L38" s="199">
        <f>435.71-I47</f>
        <v>47.199999999999989</v>
      </c>
      <c r="M38" s="196">
        <v>2023</v>
      </c>
    </row>
    <row r="39" spans="1:16" x14ac:dyDescent="0.25">
      <c r="A39" s="131">
        <v>44652</v>
      </c>
      <c r="L39" s="67"/>
      <c r="M39" s="196"/>
    </row>
    <row r="40" spans="1:16" x14ac:dyDescent="0.25">
      <c r="A40" s="131"/>
      <c r="G40" t="s">
        <v>95</v>
      </c>
      <c r="L40" s="199">
        <v>80</v>
      </c>
      <c r="M40" s="196" t="s">
        <v>97</v>
      </c>
    </row>
    <row r="41" spans="1:16" x14ac:dyDescent="0.25">
      <c r="A41" s="131"/>
      <c r="L41" s="67"/>
      <c r="M41" s="196"/>
    </row>
    <row r="42" spans="1:16" x14ac:dyDescent="0.25">
      <c r="A42" s="131"/>
      <c r="G42" t="s">
        <v>96</v>
      </c>
      <c r="L42" s="199">
        <v>5</v>
      </c>
      <c r="M42" s="196" t="s">
        <v>97</v>
      </c>
    </row>
    <row r="43" spans="1:16" x14ac:dyDescent="0.25">
      <c r="A43" s="131"/>
      <c r="L43" s="197"/>
      <c r="M43" s="196"/>
    </row>
    <row r="44" spans="1:16" x14ac:dyDescent="0.25">
      <c r="A44" s="131">
        <v>44682</v>
      </c>
      <c r="L44" s="200">
        <f>SUM(L31:L43)</f>
        <v>515.90499999999997</v>
      </c>
      <c r="M44" s="196"/>
    </row>
    <row r="45" spans="1:16" x14ac:dyDescent="0.25">
      <c r="A45" s="131">
        <v>44713</v>
      </c>
      <c r="L45" s="67"/>
    </row>
    <row r="46" spans="1:16" x14ac:dyDescent="0.25">
      <c r="A46" s="131"/>
      <c r="L46" s="67"/>
    </row>
    <row r="47" spans="1:16" x14ac:dyDescent="0.25">
      <c r="A47" s="131">
        <v>44743</v>
      </c>
      <c r="G47" t="s">
        <v>80</v>
      </c>
      <c r="I47" s="67">
        <v>388.51</v>
      </c>
      <c r="J47" s="204">
        <v>44743</v>
      </c>
      <c r="M47" s="196" t="s">
        <v>84</v>
      </c>
      <c r="O47" s="203">
        <v>105</v>
      </c>
      <c r="P47" t="s">
        <v>87</v>
      </c>
    </row>
    <row r="48" spans="1:16" x14ac:dyDescent="0.25">
      <c r="A48" s="131">
        <v>44774</v>
      </c>
      <c r="G48" t="s">
        <v>81</v>
      </c>
      <c r="I48" s="67">
        <v>200</v>
      </c>
      <c r="J48" s="204">
        <v>44743</v>
      </c>
      <c r="O48">
        <v>240.22</v>
      </c>
      <c r="P48" t="s">
        <v>85</v>
      </c>
    </row>
    <row r="49" spans="1:16" x14ac:dyDescent="0.25">
      <c r="A49" s="131">
        <v>44805</v>
      </c>
      <c r="G49" t="s">
        <v>82</v>
      </c>
      <c r="I49" s="67">
        <v>100</v>
      </c>
      <c r="J49" s="204">
        <v>44742</v>
      </c>
      <c r="O49" s="195">
        <v>132.61000000000001</v>
      </c>
      <c r="P49" t="s">
        <v>86</v>
      </c>
    </row>
    <row r="50" spans="1:16" x14ac:dyDescent="0.25">
      <c r="A50" s="131">
        <v>44835</v>
      </c>
      <c r="G50" t="s">
        <v>83</v>
      </c>
      <c r="I50" s="67">
        <f>910+249.73-O52</f>
        <v>526.9</v>
      </c>
      <c r="J50" s="204">
        <v>44743</v>
      </c>
      <c r="O50">
        <f>SUM(O48:O49)</f>
        <v>372.83000000000004</v>
      </c>
      <c r="P50" t="s">
        <v>89</v>
      </c>
    </row>
    <row r="51" spans="1:16" x14ac:dyDescent="0.25">
      <c r="A51" s="131">
        <v>44866</v>
      </c>
      <c r="I51" s="197"/>
      <c r="O51" s="195">
        <v>260</v>
      </c>
      <c r="P51" t="s">
        <v>88</v>
      </c>
    </row>
    <row r="52" spans="1:16" x14ac:dyDescent="0.25">
      <c r="A52" s="131">
        <v>44896</v>
      </c>
      <c r="G52" t="s">
        <v>90</v>
      </c>
      <c r="I52" s="198">
        <f>SUM(I47:I51)</f>
        <v>1215.4099999999999</v>
      </c>
      <c r="M52" s="204">
        <v>44750</v>
      </c>
      <c r="O52" s="194">
        <f>SUM(O50:O51)</f>
        <v>632.83000000000004</v>
      </c>
      <c r="P52" t="s">
        <v>31</v>
      </c>
    </row>
    <row r="55" spans="1:16" x14ac:dyDescent="0.25">
      <c r="J55" t="s">
        <v>99</v>
      </c>
      <c r="K55">
        <v>44.99</v>
      </c>
      <c r="L55">
        <v>29.99</v>
      </c>
    </row>
    <row r="56" spans="1:16" x14ac:dyDescent="0.25">
      <c r="J56" t="s">
        <v>100</v>
      </c>
      <c r="K56">
        <v>1</v>
      </c>
      <c r="L56">
        <v>1.5</v>
      </c>
      <c r="M56" t="s">
        <v>101</v>
      </c>
    </row>
    <row r="58" spans="1:16" x14ac:dyDescent="0.25">
      <c r="J58" t="s">
        <v>102</v>
      </c>
      <c r="K58" s="202">
        <v>2.5600000000000002E-3</v>
      </c>
    </row>
    <row r="59" spans="1:16" x14ac:dyDescent="0.25">
      <c r="J59" t="s">
        <v>103</v>
      </c>
      <c r="K59">
        <v>2400</v>
      </c>
      <c r="L59">
        <v>24000</v>
      </c>
    </row>
    <row r="65" spans="10:11" x14ac:dyDescent="0.25">
      <c r="J65" t="s">
        <v>104</v>
      </c>
      <c r="K65">
        <v>140</v>
      </c>
    </row>
    <row r="66" spans="10:11" x14ac:dyDescent="0.25">
      <c r="J66" t="s">
        <v>105</v>
      </c>
      <c r="K66">
        <v>25</v>
      </c>
    </row>
    <row r="67" spans="10:11" x14ac:dyDescent="0.25">
      <c r="J67" t="s">
        <v>106</v>
      </c>
      <c r="K67">
        <v>100</v>
      </c>
    </row>
    <row r="68" spans="10:11" x14ac:dyDescent="0.25">
      <c r="J68" t="s">
        <v>107</v>
      </c>
      <c r="K68">
        <v>30</v>
      </c>
    </row>
    <row r="69" spans="10:11" x14ac:dyDescent="0.25">
      <c r="J69" t="s">
        <v>108</v>
      </c>
      <c r="K69">
        <v>105</v>
      </c>
    </row>
    <row r="70" spans="10:11" x14ac:dyDescent="0.25">
      <c r="J70" t="s">
        <v>109</v>
      </c>
      <c r="K70">
        <v>160</v>
      </c>
    </row>
  </sheetData>
  <mergeCells count="14">
    <mergeCell ref="O22:Q26"/>
    <mergeCell ref="I22:I23"/>
    <mergeCell ref="C2:E2"/>
    <mergeCell ref="C3:E3"/>
    <mergeCell ref="C4:E4"/>
    <mergeCell ref="C5:E5"/>
    <mergeCell ref="C25:E25"/>
    <mergeCell ref="C24:E24"/>
    <mergeCell ref="C21:E21"/>
    <mergeCell ref="C12:E12"/>
    <mergeCell ref="C6:E6"/>
    <mergeCell ref="C7:E7"/>
    <mergeCell ref="C11:E11"/>
    <mergeCell ref="J22:L22"/>
  </mergeCells>
  <phoneticPr fontId="10" type="noConversion"/>
  <dataValidations count="1">
    <dataValidation type="list" showInputMessage="1" showErrorMessage="1" sqref="F2:G2" xr:uid="{52D8EE74-F25A-41CC-A24A-9EDE2599FE82}">
      <formula1>$A$2:$A$52</formula1>
    </dataValidation>
  </dataValidations>
  <pageMargins left="0.7" right="0.7" top="0.75" bottom="0.75" header="0.3" footer="0.3"/>
  <pageSetup scale="67" orientation="portrait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9CA1-A0A8-4DCD-8F71-A9BE2020C592}">
  <dimension ref="A1:V104"/>
  <sheetViews>
    <sheetView topLeftCell="A49" zoomScale="70" zoomScaleNormal="70" workbookViewId="0">
      <selection activeCell="K83" sqref="A83:K90"/>
    </sheetView>
  </sheetViews>
  <sheetFormatPr baseColWidth="10" defaultRowHeight="15" x14ac:dyDescent="0.25"/>
  <cols>
    <col min="1" max="1" width="6.85546875" customWidth="1"/>
    <col min="2" max="2" width="12.140625" bestFit="1" customWidth="1"/>
    <col min="3" max="3" width="14.7109375" customWidth="1"/>
    <col min="4" max="4" width="11.42578125" customWidth="1"/>
    <col min="5" max="5" width="11.42578125" style="67"/>
    <col min="7" max="7" width="13.5703125" customWidth="1"/>
    <col min="8" max="8" width="12" bestFit="1" customWidth="1"/>
    <col min="9" max="9" width="13.7109375" bestFit="1" customWidth="1"/>
    <col min="10" max="10" width="12" bestFit="1" customWidth="1"/>
    <col min="13" max="13" width="8.140625" customWidth="1"/>
    <col min="14" max="14" width="12" bestFit="1" customWidth="1"/>
    <col min="15" max="15" width="11.5703125" customWidth="1"/>
    <col min="19" max="19" width="12" customWidth="1"/>
    <col min="20" max="20" width="11.28515625" customWidth="1"/>
  </cols>
  <sheetData>
    <row r="1" spans="1:22" ht="16.5" thickBot="1" x14ac:dyDescent="0.3">
      <c r="A1" s="227" t="s">
        <v>24</v>
      </c>
      <c r="B1" s="227"/>
      <c r="C1" s="228"/>
      <c r="D1" s="37" t="s">
        <v>13</v>
      </c>
      <c r="E1" s="69" t="s">
        <v>18</v>
      </c>
      <c r="F1" s="38" t="s">
        <v>16</v>
      </c>
      <c r="G1" s="39" t="s">
        <v>19</v>
      </c>
      <c r="H1" s="39" t="s">
        <v>20</v>
      </c>
      <c r="I1" s="40" t="s">
        <v>27</v>
      </c>
      <c r="J1" s="40" t="s">
        <v>28</v>
      </c>
      <c r="K1" s="40" t="s">
        <v>29</v>
      </c>
      <c r="L1" s="40" t="s">
        <v>30</v>
      </c>
      <c r="M1" s="40" t="s">
        <v>25</v>
      </c>
      <c r="N1" s="40" t="s">
        <v>26</v>
      </c>
      <c r="O1" s="40" t="s">
        <v>12</v>
      </c>
      <c r="P1" s="40" t="s">
        <v>13</v>
      </c>
      <c r="Q1" s="40" t="s">
        <v>18</v>
      </c>
      <c r="R1" s="40" t="s">
        <v>16</v>
      </c>
      <c r="S1" s="40" t="s">
        <v>19</v>
      </c>
      <c r="T1" s="40" t="s">
        <v>20</v>
      </c>
      <c r="U1" s="57" t="s">
        <v>27</v>
      </c>
      <c r="V1" s="57" t="s">
        <v>28</v>
      </c>
    </row>
    <row r="2" spans="1:22" x14ac:dyDescent="0.25">
      <c r="A2" s="235" t="s">
        <v>7</v>
      </c>
      <c r="B2" s="236"/>
      <c r="C2" s="236"/>
      <c r="D2" s="51">
        <v>1.33</v>
      </c>
      <c r="E2" s="70">
        <v>1.33</v>
      </c>
      <c r="F2" s="51">
        <v>1.33</v>
      </c>
      <c r="G2" s="51">
        <v>1.33</v>
      </c>
      <c r="H2" s="51">
        <v>1.35</v>
      </c>
      <c r="I2" s="51">
        <v>1.35</v>
      </c>
      <c r="J2" s="51">
        <v>1.35</v>
      </c>
      <c r="K2" s="51">
        <v>1.35</v>
      </c>
      <c r="L2" s="51">
        <v>1.35</v>
      </c>
      <c r="M2" s="51">
        <v>1.35</v>
      </c>
      <c r="N2" s="51">
        <v>1.35</v>
      </c>
      <c r="O2" s="51">
        <v>1.35</v>
      </c>
      <c r="P2" s="51">
        <v>1.35</v>
      </c>
      <c r="Q2" s="51">
        <v>1.34</v>
      </c>
      <c r="R2" s="51">
        <v>1.32</v>
      </c>
      <c r="S2" s="51">
        <v>1.35</v>
      </c>
      <c r="T2" s="51">
        <v>2.35</v>
      </c>
      <c r="U2" s="51">
        <v>1.35</v>
      </c>
      <c r="V2" s="51">
        <v>1.35</v>
      </c>
    </row>
    <row r="3" spans="1:22" x14ac:dyDescent="0.25">
      <c r="A3" s="235" t="s">
        <v>8</v>
      </c>
      <c r="B3" s="236"/>
      <c r="C3" s="236"/>
      <c r="D3" s="8">
        <v>2.61</v>
      </c>
      <c r="E3" s="71">
        <v>2.61</v>
      </c>
      <c r="F3" s="8">
        <v>2.61</v>
      </c>
      <c r="G3" s="8">
        <v>2.64</v>
      </c>
      <c r="H3" s="8">
        <v>2.69</v>
      </c>
      <c r="I3" s="8">
        <v>2.69</v>
      </c>
      <c r="J3" s="8">
        <v>2.69</v>
      </c>
      <c r="K3" s="8">
        <v>2.69</v>
      </c>
      <c r="L3" s="8">
        <v>2.68</v>
      </c>
      <c r="M3" s="8">
        <v>2.68</v>
      </c>
      <c r="N3" s="8">
        <v>2.68</v>
      </c>
      <c r="O3" s="8">
        <v>2.68</v>
      </c>
      <c r="P3" s="8">
        <v>2.68</v>
      </c>
      <c r="Q3" s="8">
        <v>2.69</v>
      </c>
      <c r="R3" s="8">
        <v>2.7</v>
      </c>
      <c r="S3" s="8">
        <v>2.69</v>
      </c>
      <c r="T3" s="8">
        <v>3.69</v>
      </c>
      <c r="U3" s="8">
        <v>2.69</v>
      </c>
      <c r="V3" s="8">
        <v>2.69</v>
      </c>
    </row>
    <row r="4" spans="1:22" x14ac:dyDescent="0.25">
      <c r="A4" s="235" t="s">
        <v>9</v>
      </c>
      <c r="B4" s="236"/>
      <c r="C4" s="236"/>
      <c r="D4" s="42">
        <f>$N26*O24</f>
        <v>144.66600000000003</v>
      </c>
      <c r="E4" s="72">
        <f>N30*O28</f>
        <v>150.66809999999998</v>
      </c>
      <c r="F4" s="42">
        <f>N34*O32</f>
        <v>190.7448</v>
      </c>
      <c r="G4" s="42">
        <f>N38*O36</f>
        <v>194.69450000000001</v>
      </c>
      <c r="H4" s="43">
        <f>N42*O40</f>
        <v>210.99519999999998</v>
      </c>
      <c r="I4" s="43">
        <v>210.99519999999998</v>
      </c>
      <c r="J4" s="43">
        <f>$N50*$O48</f>
        <v>270.96660000000003</v>
      </c>
      <c r="K4" s="43">
        <f>N54*O52</f>
        <v>277.07820000000004</v>
      </c>
      <c r="L4" s="43">
        <f>N58*O56</f>
        <v>231.79940000000002</v>
      </c>
      <c r="M4" s="43">
        <f>$N62*$O60</f>
        <v>239.63129999999998</v>
      </c>
      <c r="N4" s="43">
        <f>$N66*$O64</f>
        <v>206.88159999999999</v>
      </c>
      <c r="O4" s="43">
        <f>$N70*$O64</f>
        <v>216.47919999999999</v>
      </c>
      <c r="P4" s="43">
        <f>$N74*$O72</f>
        <v>229.39200000000002</v>
      </c>
      <c r="Q4" s="43">
        <f>$N78*$O76</f>
        <v>210.52740000000003</v>
      </c>
      <c r="R4" s="43">
        <f>$N82*$O80</f>
        <v>235.583</v>
      </c>
      <c r="S4" s="43">
        <f>$N86*$O84</f>
        <v>277.28699999999998</v>
      </c>
      <c r="T4" s="43">
        <f>$N90*$O88</f>
        <v>239.77169999999998</v>
      </c>
      <c r="U4" s="43">
        <f>$N94*$O92</f>
        <v>284.29340000000002</v>
      </c>
      <c r="V4" s="43">
        <f>$N98*$O96</f>
        <v>296.5994</v>
      </c>
    </row>
    <row r="5" spans="1:22" x14ac:dyDescent="0.25">
      <c r="A5" s="235" t="s">
        <v>4</v>
      </c>
      <c r="B5" s="236"/>
      <c r="C5" s="236"/>
      <c r="D5" s="8">
        <v>4.2699999999999996</v>
      </c>
      <c r="E5" s="71">
        <v>3.86</v>
      </c>
      <c r="F5" s="8">
        <v>3.46</v>
      </c>
      <c r="G5" s="8">
        <v>3.04</v>
      </c>
      <c r="H5" s="8">
        <v>2.62</v>
      </c>
      <c r="I5" s="8">
        <v>2.62</v>
      </c>
      <c r="J5" s="8">
        <v>1.77</v>
      </c>
      <c r="K5" s="8">
        <v>1.33</v>
      </c>
      <c r="L5" s="8">
        <v>0.89</v>
      </c>
      <c r="M5" s="8">
        <v>0.43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35" t="s">
        <v>5</v>
      </c>
      <c r="B6" s="236"/>
      <c r="C6" s="236"/>
      <c r="D6" s="8">
        <v>11</v>
      </c>
      <c r="E6" s="71">
        <v>12</v>
      </c>
      <c r="F6" s="8">
        <v>14.35</v>
      </c>
      <c r="G6" s="8">
        <v>11.55</v>
      </c>
      <c r="H6" s="8">
        <v>11.9</v>
      </c>
      <c r="I6" s="8">
        <v>11.9</v>
      </c>
      <c r="J6" s="8">
        <v>33.6</v>
      </c>
      <c r="K6" s="8">
        <v>23.8</v>
      </c>
      <c r="L6" s="8">
        <v>15.4</v>
      </c>
      <c r="M6" s="8">
        <v>12.95</v>
      </c>
      <c r="N6" s="8">
        <v>14</v>
      </c>
      <c r="O6" s="8">
        <v>16.8</v>
      </c>
      <c r="P6" s="8">
        <v>17.5</v>
      </c>
      <c r="Q6" s="8">
        <v>17.5</v>
      </c>
      <c r="R6" s="8">
        <v>14.7</v>
      </c>
      <c r="S6" s="8">
        <v>28</v>
      </c>
      <c r="T6" s="8">
        <v>13.3</v>
      </c>
      <c r="U6" s="8">
        <v>25.2</v>
      </c>
      <c r="V6" s="8">
        <v>24.5</v>
      </c>
    </row>
    <row r="7" spans="1:22" x14ac:dyDescent="0.25">
      <c r="A7" s="5"/>
      <c r="B7" s="6"/>
      <c r="C7" s="6"/>
      <c r="D7" s="8"/>
      <c r="E7" s="7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5">
      <c r="A8" s="235" t="s">
        <v>6</v>
      </c>
      <c r="B8" s="236"/>
      <c r="C8" s="236"/>
      <c r="D8" s="44">
        <f>SUM(D2:D6)</f>
        <v>163.87600000000003</v>
      </c>
      <c r="E8" s="73">
        <f>SUM(E2:E6)</f>
        <v>170.46809999999999</v>
      </c>
      <c r="F8" s="44">
        <f>SUM(F2:F6)</f>
        <v>212.4948</v>
      </c>
      <c r="G8" s="44">
        <f>SUM(G2:G6)</f>
        <v>213.25450000000001</v>
      </c>
      <c r="H8" s="45">
        <f>SUM(H2:H6)</f>
        <v>229.55519999999999</v>
      </c>
      <c r="I8" s="45">
        <v>229.55519999999999</v>
      </c>
      <c r="J8" s="45">
        <f>SUM(J2:J6)</f>
        <v>310.37660000000005</v>
      </c>
      <c r="K8" s="45">
        <f t="shared" ref="K8:P8" si="0">SUM(K2:K6)</f>
        <v>306.24820000000005</v>
      </c>
      <c r="L8" s="45">
        <f t="shared" si="0"/>
        <v>252.11940000000001</v>
      </c>
      <c r="M8" s="45">
        <f t="shared" si="0"/>
        <v>257.04129999999998</v>
      </c>
      <c r="N8" s="45">
        <f t="shared" si="0"/>
        <v>224.91159999999999</v>
      </c>
      <c r="O8" s="45">
        <f t="shared" si="0"/>
        <v>237.3092</v>
      </c>
      <c r="P8" s="45">
        <f t="shared" si="0"/>
        <v>250.92200000000003</v>
      </c>
      <c r="Q8" s="45">
        <f t="shared" ref="Q8:V8" si="1">SUM(Q2:Q6)</f>
        <v>232.05740000000003</v>
      </c>
      <c r="R8" s="45">
        <f t="shared" si="1"/>
        <v>254.303</v>
      </c>
      <c r="S8" s="45">
        <f t="shared" si="1"/>
        <v>309.327</v>
      </c>
      <c r="T8" s="45">
        <f t="shared" si="1"/>
        <v>259.11169999999998</v>
      </c>
      <c r="U8" s="45">
        <f t="shared" si="1"/>
        <v>313.53340000000003</v>
      </c>
      <c r="V8" s="45">
        <f t="shared" si="1"/>
        <v>325.13940000000002</v>
      </c>
    </row>
    <row r="9" spans="1:22" x14ac:dyDescent="0.25">
      <c r="A9" s="235" t="s">
        <v>1</v>
      </c>
      <c r="B9" s="236"/>
      <c r="C9" s="236"/>
      <c r="D9" s="46">
        <f>D8*0.18</f>
        <v>29.497680000000006</v>
      </c>
      <c r="E9" s="74">
        <f>E8*0.18</f>
        <v>30.684257999999996</v>
      </c>
      <c r="F9" s="46">
        <f>F8*0.18</f>
        <v>38.249063999999997</v>
      </c>
      <c r="G9" s="46">
        <f>G8*0.18</f>
        <v>38.385809999999999</v>
      </c>
      <c r="H9" s="47">
        <f>H8*0.18</f>
        <v>41.319935999999998</v>
      </c>
      <c r="I9" s="47">
        <v>41.319935999999998</v>
      </c>
      <c r="J9" s="47">
        <f t="shared" ref="J9:T9" si="2">J8*0.18</f>
        <v>55.867788000000004</v>
      </c>
      <c r="K9" s="47">
        <f t="shared" si="2"/>
        <v>55.124676000000008</v>
      </c>
      <c r="L9" s="47">
        <f t="shared" si="2"/>
        <v>45.381492000000001</v>
      </c>
      <c r="M9" s="47">
        <f t="shared" si="2"/>
        <v>46.267433999999994</v>
      </c>
      <c r="N9" s="47">
        <f t="shared" si="2"/>
        <v>40.484088</v>
      </c>
      <c r="O9" s="47">
        <f t="shared" si="2"/>
        <v>42.715655999999996</v>
      </c>
      <c r="P9" s="47">
        <f t="shared" si="2"/>
        <v>45.165960000000005</v>
      </c>
      <c r="Q9" s="47">
        <f t="shared" si="2"/>
        <v>41.770332000000003</v>
      </c>
      <c r="R9" s="47">
        <f t="shared" si="2"/>
        <v>45.774539999999995</v>
      </c>
      <c r="S9" s="47">
        <f t="shared" si="2"/>
        <v>55.67886</v>
      </c>
      <c r="T9" s="47">
        <f t="shared" si="2"/>
        <v>46.640105999999996</v>
      </c>
      <c r="U9" s="47">
        <f t="shared" ref="U9:V9" si="3">U8*0.18</f>
        <v>56.436012000000005</v>
      </c>
      <c r="V9" s="47">
        <f t="shared" si="3"/>
        <v>58.525092000000001</v>
      </c>
    </row>
    <row r="10" spans="1:22" x14ac:dyDescent="0.25">
      <c r="A10" s="5"/>
      <c r="B10" s="6"/>
      <c r="C10" s="6"/>
      <c r="D10" s="8"/>
      <c r="E10" s="71"/>
      <c r="F10" s="8"/>
      <c r="G10" s="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1:22" x14ac:dyDescent="0.25">
      <c r="A11" s="5"/>
      <c r="B11" s="6"/>
      <c r="C11" s="6"/>
      <c r="D11" s="8"/>
      <c r="E11" s="71"/>
      <c r="F11" s="8"/>
      <c r="G11" s="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1:22" x14ac:dyDescent="0.25">
      <c r="A12" s="235" t="s">
        <v>2</v>
      </c>
      <c r="B12" s="236"/>
      <c r="C12" s="236"/>
      <c r="D12" s="49">
        <f>D8+D9</f>
        <v>193.37368000000004</v>
      </c>
      <c r="E12" s="75">
        <f>E8+E9</f>
        <v>201.15235799999999</v>
      </c>
      <c r="F12" s="49">
        <f>F8+F9</f>
        <v>250.743864</v>
      </c>
      <c r="G12" s="49">
        <f>G8+G9</f>
        <v>251.64031</v>
      </c>
      <c r="H12" s="50">
        <f>H8+H9</f>
        <v>270.875136</v>
      </c>
      <c r="I12" s="50">
        <v>270.875136</v>
      </c>
      <c r="J12" s="50">
        <f t="shared" ref="J12:S12" si="4">J8+J9</f>
        <v>366.24438800000007</v>
      </c>
      <c r="K12" s="50">
        <f t="shared" si="4"/>
        <v>361.37287600000008</v>
      </c>
      <c r="L12" s="50">
        <f t="shared" si="4"/>
        <v>297.50089200000002</v>
      </c>
      <c r="M12" s="50">
        <f t="shared" si="4"/>
        <v>303.30873399999996</v>
      </c>
      <c r="N12" s="50">
        <f t="shared" si="4"/>
        <v>265.39568800000001</v>
      </c>
      <c r="O12" s="50">
        <f t="shared" si="4"/>
        <v>280.024856</v>
      </c>
      <c r="P12" s="50">
        <f t="shared" si="4"/>
        <v>296.08796000000001</v>
      </c>
      <c r="Q12" s="50">
        <f t="shared" si="4"/>
        <v>273.82773200000003</v>
      </c>
      <c r="R12" s="50">
        <f t="shared" si="4"/>
        <v>300.07754</v>
      </c>
      <c r="S12" s="50">
        <f t="shared" si="4"/>
        <v>365.00585999999998</v>
      </c>
      <c r="T12" s="50">
        <f t="shared" ref="T12:U12" si="5">T8+T9</f>
        <v>305.75180599999999</v>
      </c>
      <c r="U12" s="50">
        <f t="shared" si="5"/>
        <v>369.96941200000003</v>
      </c>
      <c r="V12" s="50">
        <f t="shared" ref="V12" si="6">V8+V9</f>
        <v>383.664492</v>
      </c>
    </row>
    <row r="13" spans="1:22" x14ac:dyDescent="0.25">
      <c r="A13" s="235" t="s">
        <v>0</v>
      </c>
      <c r="B13" s="236"/>
      <c r="C13" s="236"/>
      <c r="D13" s="8">
        <v>2.37</v>
      </c>
      <c r="E13" s="71">
        <v>2.4700000000000002</v>
      </c>
      <c r="F13" s="8">
        <v>3.12</v>
      </c>
      <c r="G13" s="8">
        <v>3.2</v>
      </c>
      <c r="H13" s="48">
        <v>3.45</v>
      </c>
      <c r="I13" s="48">
        <v>3.45</v>
      </c>
      <c r="J13" s="48">
        <v>4.3099999999999996</v>
      </c>
      <c r="K13" s="48">
        <v>4.3099999999999996</v>
      </c>
      <c r="L13" s="48">
        <v>3.65</v>
      </c>
      <c r="M13" s="48">
        <v>3.77</v>
      </c>
      <c r="N13" s="48">
        <v>3.26</v>
      </c>
      <c r="O13" s="48">
        <v>3.41</v>
      </c>
      <c r="P13" s="48">
        <v>3.63</v>
      </c>
      <c r="Q13" s="48">
        <v>3.38</v>
      </c>
      <c r="R13" s="48">
        <v>3.74</v>
      </c>
      <c r="S13" s="48">
        <v>4.28</v>
      </c>
      <c r="T13" s="48">
        <v>5.28</v>
      </c>
      <c r="U13" s="48">
        <v>4.42</v>
      </c>
      <c r="V13" s="48">
        <v>4.63</v>
      </c>
    </row>
    <row r="14" spans="1:22" x14ac:dyDescent="0.25">
      <c r="A14" s="235" t="s">
        <v>10</v>
      </c>
      <c r="B14" s="236"/>
      <c r="C14" s="236"/>
      <c r="D14" s="8">
        <v>34.61</v>
      </c>
      <c r="E14" s="71">
        <v>35.020000000000003</v>
      </c>
      <c r="F14" s="8">
        <v>35.42</v>
      </c>
      <c r="G14" s="8">
        <v>35.840000000000003</v>
      </c>
      <c r="H14" s="48">
        <v>36.26</v>
      </c>
      <c r="I14" s="48">
        <v>36.26</v>
      </c>
      <c r="J14" s="48">
        <v>37.11</v>
      </c>
      <c r="K14" s="48">
        <v>37.11</v>
      </c>
      <c r="L14" s="48">
        <v>37.99</v>
      </c>
      <c r="M14" s="48">
        <v>38.450000000000003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</row>
    <row r="15" spans="1:22" ht="15.75" thickBot="1" x14ac:dyDescent="0.3">
      <c r="A15" s="5"/>
      <c r="B15" s="6"/>
      <c r="C15" s="6"/>
      <c r="D15" s="8"/>
      <c r="E15" s="7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9.5" thickBot="1" x14ac:dyDescent="0.35">
      <c r="A16" s="246" t="s">
        <v>11</v>
      </c>
      <c r="B16" s="247"/>
      <c r="C16" s="248"/>
      <c r="D16" s="41">
        <f t="shared" ref="D16:J16" si="7">SUM(D12:D14)</f>
        <v>230.35368000000005</v>
      </c>
      <c r="E16" s="68">
        <f t="shared" si="7"/>
        <v>238.642358</v>
      </c>
      <c r="F16" s="41">
        <f t="shared" si="7"/>
        <v>289.28386399999999</v>
      </c>
      <c r="G16" s="41">
        <f t="shared" si="7"/>
        <v>290.68030999999996</v>
      </c>
      <c r="H16" s="41">
        <f t="shared" si="7"/>
        <v>310.58513599999998</v>
      </c>
      <c r="I16" s="41">
        <v>310.58513599999998</v>
      </c>
      <c r="J16" s="41">
        <f t="shared" si="7"/>
        <v>407.66438800000009</v>
      </c>
      <c r="K16" s="41">
        <f t="shared" ref="K16:S16" si="8">SUM(K12:K14)</f>
        <v>402.79287600000009</v>
      </c>
      <c r="L16" s="41">
        <f t="shared" si="8"/>
        <v>339.14089200000001</v>
      </c>
      <c r="M16" s="41">
        <f t="shared" si="8"/>
        <v>345.52873399999993</v>
      </c>
      <c r="N16" s="41">
        <f t="shared" si="8"/>
        <v>268.655688</v>
      </c>
      <c r="O16" s="41">
        <f t="shared" si="8"/>
        <v>283.43485600000002</v>
      </c>
      <c r="P16" s="41">
        <f t="shared" si="8"/>
        <v>299.71796000000001</v>
      </c>
      <c r="Q16" s="41">
        <f t="shared" si="8"/>
        <v>277.20773200000002</v>
      </c>
      <c r="R16" s="41">
        <f t="shared" si="8"/>
        <v>303.81754000000001</v>
      </c>
      <c r="S16" s="41">
        <f t="shared" si="8"/>
        <v>369.28585999999996</v>
      </c>
      <c r="T16" s="41">
        <f t="shared" ref="T16:U16" si="9">SUM(T12:T14)</f>
        <v>311.03180599999996</v>
      </c>
      <c r="U16" s="41">
        <f t="shared" si="9"/>
        <v>374.38941200000005</v>
      </c>
      <c r="V16" s="41">
        <f t="shared" ref="V16" si="10">SUM(V12:V14)</f>
        <v>388.29449199999999</v>
      </c>
    </row>
    <row r="17" spans="1:22" ht="15.75" thickBot="1" x14ac:dyDescent="0.3">
      <c r="A17" s="2"/>
      <c r="D17" s="1"/>
      <c r="E17" s="76"/>
      <c r="F17" s="1"/>
      <c r="G17" s="1"/>
      <c r="H17" s="1"/>
      <c r="I17" s="1"/>
    </row>
    <row r="18" spans="1:22" ht="15.75" thickBot="1" x14ac:dyDescent="0.3">
      <c r="A18" s="249" t="s">
        <v>21</v>
      </c>
      <c r="B18" s="250"/>
      <c r="C18" s="251"/>
      <c r="D18" s="55">
        <f t="shared" ref="D18:N18" si="11">D2+D3+D5+D6+D9+D13+D14</f>
        <v>85.68768</v>
      </c>
      <c r="E18" s="66">
        <f t="shared" si="11"/>
        <v>87.974257999999992</v>
      </c>
      <c r="F18" s="52">
        <f t="shared" si="11"/>
        <v>98.539063999999996</v>
      </c>
      <c r="G18" s="52">
        <f t="shared" si="11"/>
        <v>95.985810000000015</v>
      </c>
      <c r="H18" s="52">
        <f t="shared" si="11"/>
        <v>99.589935999999994</v>
      </c>
      <c r="I18" s="52">
        <f t="shared" si="11"/>
        <v>99.589935999999994</v>
      </c>
      <c r="J18" s="53">
        <f t="shared" si="11"/>
        <v>136.697788</v>
      </c>
      <c r="K18" s="53">
        <f t="shared" si="11"/>
        <v>125.71467600000001</v>
      </c>
      <c r="L18" s="53">
        <f t="shared" si="11"/>
        <v>107.34149200000002</v>
      </c>
      <c r="M18" s="53">
        <f t="shared" si="11"/>
        <v>105.89743399999999</v>
      </c>
      <c r="N18" s="53">
        <f t="shared" si="11"/>
        <v>61.774087999999999</v>
      </c>
      <c r="O18" s="53">
        <f t="shared" ref="O18:S18" si="12">O2+O3+O5+O6+O9+O13+O14</f>
        <v>66.955655999999991</v>
      </c>
      <c r="P18" s="53">
        <f t="shared" si="12"/>
        <v>70.325960000000009</v>
      </c>
      <c r="Q18" s="53">
        <f t="shared" si="12"/>
        <v>66.680332000000007</v>
      </c>
      <c r="R18" s="54">
        <f t="shared" si="12"/>
        <v>68.234539999999996</v>
      </c>
      <c r="S18" s="54">
        <f t="shared" si="12"/>
        <v>91.998860000000008</v>
      </c>
      <c r="T18" s="54">
        <f>T2+T3+T5+T6+T9+T13+T14</f>
        <v>71.260105999999993</v>
      </c>
      <c r="U18" s="54">
        <f t="shared" ref="U18:V18" si="13">U2+U3+U5+U6+U9+U13+U14</f>
        <v>90.096012000000002</v>
      </c>
      <c r="V18" s="54">
        <f t="shared" si="13"/>
        <v>91.695091999999988</v>
      </c>
    </row>
    <row r="19" spans="1:22" ht="15.75" thickBot="1" x14ac:dyDescent="0.3">
      <c r="A19" s="249" t="s">
        <v>22</v>
      </c>
      <c r="B19" s="250"/>
      <c r="C19" s="250"/>
      <c r="D19" s="56">
        <f t="shared" ref="D19:O19" si="14">D18/3</f>
        <v>28.562560000000001</v>
      </c>
      <c r="E19" s="66">
        <f t="shared" si="14"/>
        <v>29.324752666666665</v>
      </c>
      <c r="F19" s="52">
        <f t="shared" si="14"/>
        <v>32.846354666666663</v>
      </c>
      <c r="G19" s="52">
        <f t="shared" si="14"/>
        <v>31.995270000000005</v>
      </c>
      <c r="H19" s="52">
        <f t="shared" si="14"/>
        <v>33.196645333333329</v>
      </c>
      <c r="I19" s="52">
        <f t="shared" si="14"/>
        <v>33.196645333333329</v>
      </c>
      <c r="J19" s="53">
        <f t="shared" si="14"/>
        <v>45.565929333333337</v>
      </c>
      <c r="K19" s="53">
        <f t="shared" si="14"/>
        <v>41.904892000000004</v>
      </c>
      <c r="L19" s="53">
        <f t="shared" si="14"/>
        <v>35.780497333333336</v>
      </c>
      <c r="M19" s="53">
        <f t="shared" si="14"/>
        <v>35.299144666666663</v>
      </c>
      <c r="N19" s="53">
        <f t="shared" si="14"/>
        <v>20.591362666666665</v>
      </c>
      <c r="O19" s="53">
        <f t="shared" si="14"/>
        <v>22.318551999999997</v>
      </c>
      <c r="P19" s="53">
        <f t="shared" ref="P19:V19" si="15">P18/3</f>
        <v>23.441986666666669</v>
      </c>
      <c r="Q19" s="53">
        <f t="shared" si="15"/>
        <v>22.226777333333334</v>
      </c>
      <c r="R19" s="53">
        <f t="shared" si="15"/>
        <v>22.744846666666664</v>
      </c>
      <c r="S19" s="53">
        <f t="shared" si="15"/>
        <v>30.666286666666668</v>
      </c>
      <c r="T19" s="53">
        <f t="shared" si="15"/>
        <v>23.753368666666663</v>
      </c>
      <c r="U19" s="53">
        <f t="shared" si="15"/>
        <v>30.032004000000001</v>
      </c>
      <c r="V19" s="53">
        <f t="shared" si="15"/>
        <v>30.565030666666662</v>
      </c>
    </row>
    <row r="20" spans="1:22" ht="15.75" thickBot="1" x14ac:dyDescent="0.3"/>
    <row r="21" spans="1:22" ht="19.5" thickBot="1" x14ac:dyDescent="0.35">
      <c r="A21" s="229" t="s">
        <v>38</v>
      </c>
      <c r="B21" s="230"/>
      <c r="C21" s="230"/>
      <c r="D21" s="230"/>
      <c r="E21" s="231"/>
      <c r="G21" s="229" t="s">
        <v>37</v>
      </c>
      <c r="H21" s="230"/>
      <c r="I21" s="230"/>
      <c r="J21" s="230"/>
      <c r="K21" s="231"/>
      <c r="M21" s="229" t="s">
        <v>3</v>
      </c>
      <c r="N21" s="252"/>
      <c r="O21" s="253"/>
    </row>
    <row r="22" spans="1:22" ht="15.75" thickBot="1" x14ac:dyDescent="0.3"/>
    <row r="23" spans="1:22" ht="15.75" thickBot="1" x14ac:dyDescent="0.3">
      <c r="A23" s="232" t="s">
        <v>13</v>
      </c>
      <c r="B23" s="33" t="s">
        <v>14</v>
      </c>
      <c r="C23" s="34" t="s">
        <v>32</v>
      </c>
      <c r="D23" s="35" t="s">
        <v>15</v>
      </c>
      <c r="E23" s="77"/>
      <c r="H23" s="33" t="s">
        <v>14</v>
      </c>
      <c r="I23" s="34" t="s">
        <v>32</v>
      </c>
      <c r="J23" s="35" t="s">
        <v>15</v>
      </c>
      <c r="M23" s="243" t="s">
        <v>13</v>
      </c>
      <c r="N23" s="10" t="s">
        <v>3</v>
      </c>
      <c r="O23" s="11" t="s">
        <v>39</v>
      </c>
    </row>
    <row r="24" spans="1:22" ht="15.75" customHeight="1" x14ac:dyDescent="0.25">
      <c r="A24" s="233"/>
      <c r="B24" s="8">
        <v>384</v>
      </c>
      <c r="C24" s="8">
        <v>137</v>
      </c>
      <c r="D24" s="8"/>
      <c r="E24" s="77"/>
      <c r="G24" s="17" t="s">
        <v>36</v>
      </c>
      <c r="H24" s="21">
        <f>B26</f>
        <v>42.130800000000008</v>
      </c>
      <c r="I24" s="21">
        <f>C26</f>
        <v>35.532000000000004</v>
      </c>
      <c r="J24" s="21">
        <f>D26</f>
        <v>67.003200000000007</v>
      </c>
      <c r="M24" s="244"/>
      <c r="N24">
        <v>1562</v>
      </c>
      <c r="O24">
        <v>0.50760000000000005</v>
      </c>
    </row>
    <row r="25" spans="1:22" ht="15.75" thickBot="1" x14ac:dyDescent="0.3">
      <c r="A25" s="233"/>
      <c r="B25" s="8">
        <f>B24-301</f>
        <v>83</v>
      </c>
      <c r="C25" s="8">
        <f>C24-67</f>
        <v>70</v>
      </c>
      <c r="D25" s="8">
        <f>N26-(B25+C25)</f>
        <v>132</v>
      </c>
      <c r="G25" s="17" t="s">
        <v>23</v>
      </c>
      <c r="H25" s="16">
        <f>D$19</f>
        <v>28.562560000000001</v>
      </c>
      <c r="I25" s="16">
        <f>D$19</f>
        <v>28.562560000000001</v>
      </c>
      <c r="J25" s="16">
        <f>D$19</f>
        <v>28.562560000000001</v>
      </c>
      <c r="M25" s="244"/>
    </row>
    <row r="26" spans="1:22" ht="16.5" thickBot="1" x14ac:dyDescent="0.3">
      <c r="A26" s="234"/>
      <c r="B26" s="31">
        <f>B25*$O24</f>
        <v>42.130800000000008</v>
      </c>
      <c r="C26" s="31">
        <f>C25*$O24</f>
        <v>35.532000000000004</v>
      </c>
      <c r="D26" s="32">
        <f>D25*$O24</f>
        <v>67.003200000000007</v>
      </c>
      <c r="E26" s="78">
        <f>SUM(B26:D26)</f>
        <v>144.666</v>
      </c>
      <c r="G26" s="18" t="s">
        <v>40</v>
      </c>
      <c r="H26" s="23">
        <f>H24+H25</f>
        <v>70.693360000000013</v>
      </c>
      <c r="I26" s="23">
        <f>I24+I25</f>
        <v>64.094560000000001</v>
      </c>
      <c r="J26" s="23">
        <f>J24+J25</f>
        <v>95.565760000000012</v>
      </c>
      <c r="M26" s="245"/>
      <c r="N26" s="254">
        <f>N24-1277</f>
        <v>285</v>
      </c>
      <c r="O26" s="254"/>
      <c r="P26" t="s">
        <v>17</v>
      </c>
    </row>
    <row r="27" spans="1:22" ht="19.5" customHeight="1" thickBot="1" x14ac:dyDescent="0.35">
      <c r="A27" s="232" t="s">
        <v>18</v>
      </c>
      <c r="B27" s="33" t="s">
        <v>14</v>
      </c>
      <c r="C27" s="34" t="s">
        <v>32</v>
      </c>
      <c r="D27" s="35" t="s">
        <v>15</v>
      </c>
      <c r="E27" s="79"/>
      <c r="G27" s="19" t="s">
        <v>13</v>
      </c>
      <c r="H27" s="25">
        <f>H26+(J26/3)</f>
        <v>102.54861333333335</v>
      </c>
      <c r="I27" s="25">
        <f>I26+($J$26/3)</f>
        <v>95.949813333333339</v>
      </c>
      <c r="J27" s="25">
        <f>J26/3</f>
        <v>31.855253333333337</v>
      </c>
      <c r="K27" s="22">
        <f>H27+I27+J27</f>
        <v>230.35368000000003</v>
      </c>
      <c r="M27" s="243" t="s">
        <v>18</v>
      </c>
      <c r="N27" s="10" t="s">
        <v>3</v>
      </c>
      <c r="O27" s="11" t="s">
        <v>39</v>
      </c>
    </row>
    <row r="28" spans="1:22" x14ac:dyDescent="0.25">
      <c r="A28" s="233"/>
      <c r="B28" s="8">
        <v>511</v>
      </c>
      <c r="C28" s="8">
        <v>197</v>
      </c>
      <c r="D28" s="8"/>
      <c r="E28" s="77"/>
      <c r="G28" s="17" t="s">
        <v>36</v>
      </c>
      <c r="H28" s="21">
        <f>B30</f>
        <v>64.427099999999996</v>
      </c>
      <c r="I28" s="21">
        <f>C30</f>
        <v>30.437999999999999</v>
      </c>
      <c r="J28" s="21">
        <f>D30</f>
        <v>55.802999999999997</v>
      </c>
      <c r="K28" s="26"/>
      <c r="L28" s="7"/>
      <c r="M28" s="244"/>
      <c r="N28">
        <v>1859</v>
      </c>
      <c r="O28">
        <v>0.50729999999999997</v>
      </c>
    </row>
    <row r="29" spans="1:22" ht="15.75" thickBot="1" x14ac:dyDescent="0.3">
      <c r="A29" s="233"/>
      <c r="B29" s="8">
        <f>B28-B24</f>
        <v>127</v>
      </c>
      <c r="C29" s="8">
        <f>C28-C24</f>
        <v>60</v>
      </c>
      <c r="D29" s="8">
        <f>N30-(B29+C29)</f>
        <v>110</v>
      </c>
      <c r="G29" s="17" t="s">
        <v>23</v>
      </c>
      <c r="H29" s="15">
        <f>E19</f>
        <v>29.324752666666665</v>
      </c>
      <c r="I29" s="15">
        <f>E19</f>
        <v>29.324752666666665</v>
      </c>
      <c r="J29" s="15">
        <f>E19</f>
        <v>29.324752666666665</v>
      </c>
      <c r="K29" s="26"/>
      <c r="L29" s="7"/>
      <c r="M29" s="244"/>
    </row>
    <row r="30" spans="1:22" ht="16.5" thickBot="1" x14ac:dyDescent="0.3">
      <c r="A30" s="234"/>
      <c r="B30" s="14">
        <f>B29*$O28</f>
        <v>64.427099999999996</v>
      </c>
      <c r="C30" s="14">
        <f>C29*$O28</f>
        <v>30.437999999999999</v>
      </c>
      <c r="D30" s="14">
        <f>D29*$O28</f>
        <v>55.802999999999997</v>
      </c>
      <c r="E30" s="80">
        <f>SUM(B30:D30)</f>
        <v>150.66809999999998</v>
      </c>
      <c r="G30" s="18" t="s">
        <v>40</v>
      </c>
      <c r="H30" s="20">
        <f>H28+H29</f>
        <v>93.751852666666665</v>
      </c>
      <c r="I30" s="20">
        <f>I28+I29</f>
        <v>59.762752666666664</v>
      </c>
      <c r="J30" s="20">
        <f>J28+J29</f>
        <v>85.127752666666666</v>
      </c>
      <c r="K30" s="26"/>
      <c r="M30" s="245"/>
      <c r="N30" s="254">
        <f>N28-N24</f>
        <v>297</v>
      </c>
      <c r="O30" s="254"/>
    </row>
    <row r="31" spans="1:22" ht="19.5" customHeight="1" thickBot="1" x14ac:dyDescent="0.35">
      <c r="A31" s="232" t="s">
        <v>16</v>
      </c>
      <c r="B31" s="33" t="s">
        <v>14</v>
      </c>
      <c r="C31" s="34" t="s">
        <v>32</v>
      </c>
      <c r="D31" s="35" t="s">
        <v>15</v>
      </c>
      <c r="E31" s="79"/>
      <c r="G31" s="19" t="s">
        <v>18</v>
      </c>
      <c r="H31" s="25">
        <f>H30+(J30/3)</f>
        <v>122.12777022222222</v>
      </c>
      <c r="I31" s="25">
        <f>I30+(J30/3)</f>
        <v>88.138670222222217</v>
      </c>
      <c r="J31" s="25">
        <f>J30/3</f>
        <v>28.375917555555557</v>
      </c>
      <c r="K31" s="22">
        <f>H31+I31+J31</f>
        <v>238.642358</v>
      </c>
      <c r="M31" s="243" t="s">
        <v>16</v>
      </c>
      <c r="N31" s="10" t="s">
        <v>3</v>
      </c>
      <c r="O31" s="11" t="s">
        <v>39</v>
      </c>
    </row>
    <row r="32" spans="1:22" ht="15.75" customHeight="1" x14ac:dyDescent="0.25">
      <c r="A32" s="233"/>
      <c r="B32" s="8">
        <v>640</v>
      </c>
      <c r="C32" s="8">
        <v>292</v>
      </c>
      <c r="D32" s="8"/>
      <c r="E32" s="77"/>
      <c r="G32" s="17" t="s">
        <v>36</v>
      </c>
      <c r="H32" s="21">
        <f>B34</f>
        <v>65.441699999999997</v>
      </c>
      <c r="I32" s="21">
        <f>C34</f>
        <v>48.1935</v>
      </c>
      <c r="J32" s="21">
        <f>D34</f>
        <v>77.1096</v>
      </c>
      <c r="K32" s="26"/>
      <c r="L32" s="7"/>
      <c r="M32" s="244"/>
      <c r="N32">
        <v>2235</v>
      </c>
      <c r="O32">
        <v>0.50729999999999997</v>
      </c>
    </row>
    <row r="33" spans="1:15" ht="15.75" thickBot="1" x14ac:dyDescent="0.3">
      <c r="A33" s="233"/>
      <c r="B33" s="8">
        <f>B32-B28</f>
        <v>129</v>
      </c>
      <c r="C33" s="8">
        <f>C32-C28</f>
        <v>95</v>
      </c>
      <c r="D33" s="8">
        <f>N34-(B33+C33)</f>
        <v>152</v>
      </c>
      <c r="G33" s="17" t="s">
        <v>23</v>
      </c>
      <c r="H33" s="15">
        <f>$F19</f>
        <v>32.846354666666663</v>
      </c>
      <c r="I33" s="15">
        <f>$F19</f>
        <v>32.846354666666663</v>
      </c>
      <c r="J33" s="15">
        <f>$F19</f>
        <v>32.846354666666663</v>
      </c>
      <c r="K33" s="26"/>
      <c r="M33" s="244"/>
    </row>
    <row r="34" spans="1:15" ht="16.5" thickBot="1" x14ac:dyDescent="0.3">
      <c r="A34" s="234"/>
      <c r="B34" s="14">
        <f>B33*$O32</f>
        <v>65.441699999999997</v>
      </c>
      <c r="C34" s="14">
        <f>C33*$O32</f>
        <v>48.1935</v>
      </c>
      <c r="D34" s="14">
        <f>D33*$O32</f>
        <v>77.1096</v>
      </c>
      <c r="E34" s="80">
        <f>SUM(B34:D34)</f>
        <v>190.7448</v>
      </c>
      <c r="G34" s="18" t="s">
        <v>40</v>
      </c>
      <c r="H34" s="20">
        <f>H32+H33</f>
        <v>98.288054666666653</v>
      </c>
      <c r="I34" s="20">
        <f>I32+I33</f>
        <v>81.039854666666656</v>
      </c>
      <c r="J34" s="20">
        <f>J32+J33</f>
        <v>109.95595466666666</v>
      </c>
      <c r="K34" s="26"/>
      <c r="M34" s="245"/>
      <c r="N34" s="254">
        <f>N32-N28</f>
        <v>376</v>
      </c>
      <c r="O34" s="254"/>
    </row>
    <row r="35" spans="1:15" ht="19.5" customHeight="1" thickBot="1" x14ac:dyDescent="0.35">
      <c r="A35" s="232" t="s">
        <v>19</v>
      </c>
      <c r="B35" s="33" t="s">
        <v>14</v>
      </c>
      <c r="C35" s="34" t="s">
        <v>32</v>
      </c>
      <c r="D35" s="35" t="s">
        <v>15</v>
      </c>
      <c r="E35" s="79"/>
      <c r="G35" s="19" t="s">
        <v>16</v>
      </c>
      <c r="H35" s="25">
        <f>H34+(J34/3)</f>
        <v>134.94003955555553</v>
      </c>
      <c r="I35" s="25">
        <f>I34+(J34/3)</f>
        <v>117.69183955555553</v>
      </c>
      <c r="J35" s="25">
        <f>J34/3</f>
        <v>36.651984888888883</v>
      </c>
      <c r="K35" s="22">
        <f>H35+I35+J35</f>
        <v>289.28386399999994</v>
      </c>
      <c r="M35" s="243" t="s">
        <v>19</v>
      </c>
      <c r="N35" s="10" t="s">
        <v>3</v>
      </c>
      <c r="O35" s="11" t="s">
        <v>39</v>
      </c>
    </row>
    <row r="36" spans="1:15" ht="18" customHeight="1" x14ac:dyDescent="0.25">
      <c r="A36" s="233"/>
      <c r="B36" s="8">
        <v>783</v>
      </c>
      <c r="C36" s="8">
        <v>433</v>
      </c>
      <c r="D36" s="8"/>
      <c r="E36" s="77"/>
      <c r="G36" s="24" t="s">
        <v>36</v>
      </c>
      <c r="H36" s="21">
        <f>B38</f>
        <v>72.315100000000001</v>
      </c>
      <c r="I36" s="21">
        <f>C38</f>
        <v>71.303700000000006</v>
      </c>
      <c r="J36" s="21">
        <f>D38</f>
        <v>51.075700000000005</v>
      </c>
      <c r="K36" s="26"/>
      <c r="M36" s="244"/>
      <c r="N36">
        <v>2620</v>
      </c>
      <c r="O36">
        <v>0.50570000000000004</v>
      </c>
    </row>
    <row r="37" spans="1:15" ht="18" customHeight="1" thickBot="1" x14ac:dyDescent="0.3">
      <c r="A37" s="233"/>
      <c r="B37" s="8">
        <f>B36-B32</f>
        <v>143</v>
      </c>
      <c r="C37" s="8">
        <f>C36-C32</f>
        <v>141</v>
      </c>
      <c r="D37" s="8">
        <f>N38-(B37+C37)</f>
        <v>101</v>
      </c>
      <c r="G37" s="17" t="s">
        <v>23</v>
      </c>
      <c r="H37" s="15">
        <f>$G19</f>
        <v>31.995270000000005</v>
      </c>
      <c r="I37" s="15">
        <f>$G19</f>
        <v>31.995270000000005</v>
      </c>
      <c r="J37" s="15">
        <f>$G19</f>
        <v>31.995270000000005</v>
      </c>
      <c r="K37" s="26"/>
      <c r="M37" s="244"/>
    </row>
    <row r="38" spans="1:15" ht="16.5" thickBot="1" x14ac:dyDescent="0.3">
      <c r="A38" s="234"/>
      <c r="B38" s="14">
        <f>B37*$O36</f>
        <v>72.315100000000001</v>
      </c>
      <c r="C38" s="14">
        <f>C37*$O36</f>
        <v>71.303700000000006</v>
      </c>
      <c r="D38" s="14">
        <f>D37*$O36</f>
        <v>51.075700000000005</v>
      </c>
      <c r="E38" s="80">
        <f>SUM(B38:D38)</f>
        <v>194.69450000000003</v>
      </c>
      <c r="G38" s="18" t="s">
        <v>40</v>
      </c>
      <c r="H38" s="20">
        <f>H36+H37</f>
        <v>104.31037000000001</v>
      </c>
      <c r="I38" s="20">
        <f>I36+I37</f>
        <v>103.29897000000001</v>
      </c>
      <c r="J38" s="20">
        <f>J36+J37</f>
        <v>83.070970000000017</v>
      </c>
      <c r="K38" s="26"/>
      <c r="M38" s="245"/>
      <c r="N38" s="254">
        <f>N36-N32</f>
        <v>385</v>
      </c>
      <c r="O38" s="254"/>
    </row>
    <row r="39" spans="1:15" ht="19.5" customHeight="1" thickBot="1" x14ac:dyDescent="0.35">
      <c r="A39" s="232" t="s">
        <v>20</v>
      </c>
      <c r="B39" s="33" t="s">
        <v>14</v>
      </c>
      <c r="C39" s="34" t="s">
        <v>32</v>
      </c>
      <c r="D39" s="35" t="s">
        <v>15</v>
      </c>
      <c r="E39" s="79"/>
      <c r="G39" s="19" t="s">
        <v>19</v>
      </c>
      <c r="H39" s="25">
        <f>H38+(J38/3)</f>
        <v>132.00069333333334</v>
      </c>
      <c r="I39" s="25">
        <f>I38+(J38/3)</f>
        <v>130.98929333333336</v>
      </c>
      <c r="J39" s="25">
        <f>J38/3</f>
        <v>27.690323333333339</v>
      </c>
      <c r="K39" s="22">
        <f>H39+I39+J39</f>
        <v>290.68031000000008</v>
      </c>
      <c r="M39" s="243" t="s">
        <v>20</v>
      </c>
      <c r="N39" s="10" t="s">
        <v>3</v>
      </c>
      <c r="O39" s="11" t="s">
        <v>39</v>
      </c>
    </row>
    <row r="40" spans="1:15" x14ac:dyDescent="0.25">
      <c r="A40" s="233"/>
      <c r="B40" s="8">
        <v>934</v>
      </c>
      <c r="C40" s="8">
        <v>613</v>
      </c>
      <c r="D40" s="8"/>
      <c r="E40" s="79"/>
      <c r="G40" s="17" t="s">
        <v>36</v>
      </c>
      <c r="H40" s="16">
        <f>B42</f>
        <v>76.587199999999996</v>
      </c>
      <c r="I40" s="16">
        <f>C42</f>
        <v>91.295999999999992</v>
      </c>
      <c r="J40" s="16">
        <f>D42</f>
        <v>43.112000000000002</v>
      </c>
      <c r="K40" s="26"/>
      <c r="M40" s="244"/>
      <c r="N40" s="4">
        <v>3036</v>
      </c>
      <c r="O40" s="3">
        <v>0.50719999999999998</v>
      </c>
    </row>
    <row r="41" spans="1:15" ht="15.75" thickBot="1" x14ac:dyDescent="0.3">
      <c r="A41" s="233"/>
      <c r="B41" s="8">
        <f>B40-B36</f>
        <v>151</v>
      </c>
      <c r="C41" s="8">
        <f>C40-C36</f>
        <v>180</v>
      </c>
      <c r="D41" s="8">
        <f>N42-(B41+C41)</f>
        <v>85</v>
      </c>
      <c r="G41" s="17" t="s">
        <v>23</v>
      </c>
      <c r="H41" s="15">
        <f>$H19</f>
        <v>33.196645333333329</v>
      </c>
      <c r="I41" s="15">
        <f>$H19</f>
        <v>33.196645333333329</v>
      </c>
      <c r="J41" s="15">
        <f>$H19</f>
        <v>33.196645333333329</v>
      </c>
      <c r="K41" s="26"/>
      <c r="M41" s="244"/>
    </row>
    <row r="42" spans="1:15" ht="16.5" thickBot="1" x14ac:dyDescent="0.3">
      <c r="A42" s="234"/>
      <c r="B42" s="14">
        <f>B41*$O40</f>
        <v>76.587199999999996</v>
      </c>
      <c r="C42" s="14">
        <f>C41*$O40</f>
        <v>91.295999999999992</v>
      </c>
      <c r="D42" s="14">
        <f>D41*$O40</f>
        <v>43.112000000000002</v>
      </c>
      <c r="E42" s="80">
        <f>SUM(B42:D42)</f>
        <v>210.99519999999998</v>
      </c>
      <c r="G42" s="18" t="s">
        <v>40</v>
      </c>
      <c r="H42" s="20">
        <f>H40+H41</f>
        <v>109.78384533333332</v>
      </c>
      <c r="I42" s="20">
        <f>I40+I41</f>
        <v>124.49264533333331</v>
      </c>
      <c r="J42" s="20">
        <f>J40+J41</f>
        <v>76.308645333333331</v>
      </c>
      <c r="K42" s="26"/>
      <c r="M42" s="245"/>
      <c r="N42" s="254">
        <f>N40-N36</f>
        <v>416</v>
      </c>
      <c r="O42" s="254"/>
    </row>
    <row r="43" spans="1:15" ht="19.5" customHeight="1" thickBot="1" x14ac:dyDescent="0.35">
      <c r="A43" s="237" t="s">
        <v>27</v>
      </c>
      <c r="B43" s="33" t="s">
        <v>14</v>
      </c>
      <c r="C43" s="34" t="s">
        <v>32</v>
      </c>
      <c r="D43" s="35" t="s">
        <v>15</v>
      </c>
      <c r="E43" s="79"/>
      <c r="G43" s="19" t="s">
        <v>20</v>
      </c>
      <c r="H43" s="25">
        <f>H42+(J42/3)</f>
        <v>135.22006044444441</v>
      </c>
      <c r="I43" s="25">
        <f>I42+(J42/3)</f>
        <v>149.92886044444441</v>
      </c>
      <c r="J43" s="25">
        <f>J42/3</f>
        <v>25.43621511111111</v>
      </c>
      <c r="K43" s="22">
        <f>H43+I43+J43</f>
        <v>310.58513599999992</v>
      </c>
      <c r="M43" s="240" t="s">
        <v>27</v>
      </c>
      <c r="N43" s="12" t="s">
        <v>3</v>
      </c>
      <c r="O43" s="13" t="s">
        <v>39</v>
      </c>
    </row>
    <row r="44" spans="1:15" x14ac:dyDescent="0.25">
      <c r="A44" s="238"/>
      <c r="B44" s="8">
        <v>1106</v>
      </c>
      <c r="C44" s="8">
        <v>845</v>
      </c>
      <c r="D44" s="8"/>
      <c r="E44" s="79"/>
      <c r="G44" s="29" t="s">
        <v>36</v>
      </c>
      <c r="H44" s="16">
        <v>76.587199999999996</v>
      </c>
      <c r="I44" s="16">
        <v>91.295999999999992</v>
      </c>
      <c r="J44" s="16">
        <v>43.112000000000002</v>
      </c>
      <c r="K44" s="26"/>
      <c r="M44" s="241"/>
      <c r="N44">
        <v>3586</v>
      </c>
      <c r="O44">
        <v>0.5282</v>
      </c>
    </row>
    <row r="45" spans="1:15" ht="15.75" thickBot="1" x14ac:dyDescent="0.3">
      <c r="A45" s="238"/>
      <c r="B45" s="8">
        <f>B44-B40</f>
        <v>172</v>
      </c>
      <c r="C45" s="8">
        <f>C44-C40</f>
        <v>232</v>
      </c>
      <c r="D45" s="8">
        <f>N46-(B45+C45)</f>
        <v>146</v>
      </c>
      <c r="G45" s="29" t="s">
        <v>23</v>
      </c>
      <c r="H45" s="15">
        <v>33.196645333333329</v>
      </c>
      <c r="I45" s="15">
        <v>33.196645333333329</v>
      </c>
      <c r="J45" s="15">
        <v>33.196645333333329</v>
      </c>
      <c r="K45" s="26"/>
      <c r="M45" s="241"/>
    </row>
    <row r="46" spans="1:15" ht="16.5" thickBot="1" x14ac:dyDescent="0.3">
      <c r="A46" s="239"/>
      <c r="B46" s="36">
        <f>B45*$O44</f>
        <v>90.850400000000008</v>
      </c>
      <c r="C46" s="36">
        <f>C45*$O44</f>
        <v>122.5424</v>
      </c>
      <c r="D46" s="36">
        <f>D45*$O44</f>
        <v>77.117199999999997</v>
      </c>
      <c r="E46" s="80">
        <f>SUM(B46:D46)</f>
        <v>290.51</v>
      </c>
      <c r="G46" s="29" t="s">
        <v>40</v>
      </c>
      <c r="H46" s="30">
        <f>H44+H45</f>
        <v>109.78384533333332</v>
      </c>
      <c r="I46" s="30">
        <f>I44+I45</f>
        <v>124.49264533333331</v>
      </c>
      <c r="J46" s="30">
        <f>J44+J45</f>
        <v>76.308645333333331</v>
      </c>
      <c r="K46" s="26"/>
      <c r="M46" s="242"/>
      <c r="N46" s="226">
        <f>N44-N40</f>
        <v>550</v>
      </c>
      <c r="O46" s="226"/>
    </row>
    <row r="47" spans="1:15" ht="19.5" customHeight="1" thickBot="1" x14ac:dyDescent="0.35">
      <c r="A47" s="237" t="s">
        <v>28</v>
      </c>
      <c r="B47" s="33" t="s">
        <v>14</v>
      </c>
      <c r="C47" s="34" t="s">
        <v>32</v>
      </c>
      <c r="D47" s="35" t="s">
        <v>15</v>
      </c>
      <c r="E47" s="79"/>
      <c r="G47" s="27" t="s">
        <v>27</v>
      </c>
      <c r="H47" s="28">
        <f>H46+(J46/3)</f>
        <v>135.22006044444441</v>
      </c>
      <c r="I47" s="28">
        <f>I46+(J46/3)</f>
        <v>149.92886044444441</v>
      </c>
      <c r="J47" s="28">
        <f>J46/3</f>
        <v>25.43621511111111</v>
      </c>
      <c r="K47" s="22">
        <f>H47+I47+J47</f>
        <v>310.58513599999992</v>
      </c>
      <c r="M47" s="240" t="s">
        <v>28</v>
      </c>
      <c r="N47" s="12" t="s">
        <v>3</v>
      </c>
      <c r="O47" s="13" t="s">
        <v>39</v>
      </c>
    </row>
    <row r="48" spans="1:15" x14ac:dyDescent="0.25">
      <c r="A48" s="238"/>
      <c r="B48" s="8">
        <v>1311</v>
      </c>
      <c r="C48" s="8">
        <v>1130</v>
      </c>
      <c r="D48" s="8"/>
      <c r="E48" s="79"/>
      <c r="G48" s="29" t="s">
        <v>36</v>
      </c>
      <c r="H48" s="16">
        <f>B50</f>
        <v>108.28100000000001</v>
      </c>
      <c r="I48" s="16">
        <f>C50</f>
        <v>150.53700000000001</v>
      </c>
      <c r="J48" s="16">
        <f>D50</f>
        <v>12.1486</v>
      </c>
      <c r="K48" s="26"/>
      <c r="M48" s="241"/>
      <c r="N48">
        <v>4099</v>
      </c>
      <c r="O48">
        <v>0.5282</v>
      </c>
    </row>
    <row r="49" spans="1:15" ht="15.75" thickBot="1" x14ac:dyDescent="0.3">
      <c r="A49" s="238"/>
      <c r="B49" s="8">
        <f>B48-B44</f>
        <v>205</v>
      </c>
      <c r="C49" s="8">
        <f>C48-C44</f>
        <v>285</v>
      </c>
      <c r="D49" s="8">
        <f>N50-(B49+C49)</f>
        <v>23</v>
      </c>
      <c r="G49" s="29" t="s">
        <v>23</v>
      </c>
      <c r="H49" s="15">
        <f>J19</f>
        <v>45.565929333333337</v>
      </c>
      <c r="I49" s="15">
        <f>J19</f>
        <v>45.565929333333337</v>
      </c>
      <c r="J49" s="15">
        <f>J19</f>
        <v>45.565929333333337</v>
      </c>
      <c r="K49" s="26"/>
      <c r="M49" s="241"/>
    </row>
    <row r="50" spans="1:15" ht="16.5" thickBot="1" x14ac:dyDescent="0.3">
      <c r="A50" s="239"/>
      <c r="B50" s="36">
        <f>B49*$O48</f>
        <v>108.28100000000001</v>
      </c>
      <c r="C50" s="36">
        <f>C49*$O48</f>
        <v>150.53700000000001</v>
      </c>
      <c r="D50" s="36">
        <f>D49*$O48</f>
        <v>12.1486</v>
      </c>
      <c r="E50" s="80">
        <f>SUM(B50:D50)</f>
        <v>270.96659999999997</v>
      </c>
      <c r="G50" s="29" t="s">
        <v>40</v>
      </c>
      <c r="H50" s="30">
        <f>H48+H49</f>
        <v>153.84692933333335</v>
      </c>
      <c r="I50" s="30">
        <f>I48+I49</f>
        <v>196.10292933333335</v>
      </c>
      <c r="J50" s="30">
        <f>J48+J49</f>
        <v>57.714529333333338</v>
      </c>
      <c r="K50" s="26"/>
      <c r="M50" s="242"/>
      <c r="N50" s="226">
        <f>N48-N44</f>
        <v>513</v>
      </c>
      <c r="O50" s="226"/>
    </row>
    <row r="51" spans="1:15" ht="19.5" customHeight="1" thickBot="1" x14ac:dyDescent="0.35">
      <c r="A51" s="237" t="s">
        <v>29</v>
      </c>
      <c r="B51" s="33" t="s">
        <v>14</v>
      </c>
      <c r="C51" s="34" t="s">
        <v>32</v>
      </c>
      <c r="D51" s="35" t="s">
        <v>15</v>
      </c>
      <c r="E51" s="79"/>
      <c r="G51" s="27" t="s">
        <v>28</v>
      </c>
      <c r="H51" s="28">
        <f>H50+(J50/3)</f>
        <v>173.08510577777778</v>
      </c>
      <c r="I51" s="28">
        <f>I50+(J50/3)</f>
        <v>215.34110577777778</v>
      </c>
      <c r="J51" s="28">
        <f>J50/3</f>
        <v>19.238176444444445</v>
      </c>
      <c r="K51" s="22">
        <f>H51+I51+J51</f>
        <v>407.66438800000003</v>
      </c>
      <c r="M51" s="240" t="s">
        <v>29</v>
      </c>
      <c r="N51" s="12" t="s">
        <v>3</v>
      </c>
      <c r="O51" s="13" t="s">
        <v>39</v>
      </c>
    </row>
    <row r="52" spans="1:15" x14ac:dyDescent="0.25">
      <c r="A52" s="238"/>
      <c r="B52" s="8">
        <v>1421</v>
      </c>
      <c r="C52" s="8">
        <v>1287</v>
      </c>
      <c r="D52" s="8"/>
      <c r="E52" s="79"/>
      <c r="G52" s="29" t="s">
        <v>36</v>
      </c>
      <c r="H52" s="16">
        <f>B54</f>
        <v>58.839000000000006</v>
      </c>
      <c r="I52" s="16">
        <f>C54</f>
        <v>83.979300000000009</v>
      </c>
      <c r="J52" s="16">
        <f>D54</f>
        <v>134.25990000000002</v>
      </c>
      <c r="K52" s="26"/>
      <c r="M52" s="241"/>
      <c r="N52">
        <v>4617</v>
      </c>
      <c r="O52">
        <v>0.53490000000000004</v>
      </c>
    </row>
    <row r="53" spans="1:15" ht="15.75" thickBot="1" x14ac:dyDescent="0.3">
      <c r="A53" s="238"/>
      <c r="B53" s="8">
        <f>B52-B48</f>
        <v>110</v>
      </c>
      <c r="C53" s="8">
        <f>C52-C48</f>
        <v>157</v>
      </c>
      <c r="D53" s="8">
        <f>N54-(B53+C53)</f>
        <v>251</v>
      </c>
      <c r="G53" s="29" t="s">
        <v>23</v>
      </c>
      <c r="H53" s="15">
        <f>$K19</f>
        <v>41.904892000000004</v>
      </c>
      <c r="I53" s="15">
        <f>$K19</f>
        <v>41.904892000000004</v>
      </c>
      <c r="J53" s="15">
        <f>$K19</f>
        <v>41.904892000000004</v>
      </c>
      <c r="K53" s="26"/>
      <c r="M53" s="241"/>
    </row>
    <row r="54" spans="1:15" ht="16.5" thickBot="1" x14ac:dyDescent="0.3">
      <c r="A54" s="239"/>
      <c r="B54" s="36">
        <f>B53*$O52</f>
        <v>58.839000000000006</v>
      </c>
      <c r="C54" s="36">
        <f>C53*$O52</f>
        <v>83.979300000000009</v>
      </c>
      <c r="D54" s="36">
        <f>D53*$O52</f>
        <v>134.25990000000002</v>
      </c>
      <c r="E54" s="80">
        <f>SUM(B54:D54)</f>
        <v>277.07820000000004</v>
      </c>
      <c r="G54" s="29" t="s">
        <v>40</v>
      </c>
      <c r="H54" s="30">
        <f>H52+H53</f>
        <v>100.74389200000002</v>
      </c>
      <c r="I54" s="30">
        <f>I52+I53</f>
        <v>125.88419200000001</v>
      </c>
      <c r="J54" s="30">
        <f>J52+J53</f>
        <v>176.16479200000003</v>
      </c>
      <c r="K54" s="26"/>
      <c r="M54" s="242"/>
      <c r="N54" s="226">
        <f>N52-N48</f>
        <v>518</v>
      </c>
      <c r="O54" s="226"/>
    </row>
    <row r="55" spans="1:15" ht="19.5" customHeight="1" thickBot="1" x14ac:dyDescent="0.35">
      <c r="A55" s="237" t="s">
        <v>30</v>
      </c>
      <c r="B55" s="33" t="s">
        <v>14</v>
      </c>
      <c r="C55" s="34" t="s">
        <v>32</v>
      </c>
      <c r="D55" s="35" t="s">
        <v>15</v>
      </c>
      <c r="E55" s="79"/>
      <c r="G55" s="27" t="s">
        <v>29</v>
      </c>
      <c r="H55" s="28">
        <f>H54+(J54/3)</f>
        <v>159.46548933333335</v>
      </c>
      <c r="I55" s="28">
        <f>I54+(J54/3)</f>
        <v>184.60578933333335</v>
      </c>
      <c r="J55" s="28">
        <f>J54/3</f>
        <v>58.721597333333342</v>
      </c>
      <c r="K55" s="22">
        <f>H55+I55+J55</f>
        <v>402.79287600000004</v>
      </c>
      <c r="M55" s="240" t="s">
        <v>30</v>
      </c>
      <c r="N55" s="12" t="s">
        <v>3</v>
      </c>
      <c r="O55" s="13" t="s">
        <v>39</v>
      </c>
    </row>
    <row r="56" spans="1:15" x14ac:dyDescent="0.25">
      <c r="A56" s="238"/>
      <c r="B56" s="8">
        <v>1579</v>
      </c>
      <c r="C56" s="8">
        <v>1474</v>
      </c>
      <c r="D56" s="8"/>
      <c r="E56" s="79"/>
      <c r="G56" s="29" t="s">
        <v>36</v>
      </c>
      <c r="H56" s="16">
        <f>B58</f>
        <v>84.387799999999999</v>
      </c>
      <c r="I56" s="16">
        <f>C58</f>
        <v>99.8767</v>
      </c>
      <c r="J56" s="16">
        <f>D58</f>
        <v>47.5349</v>
      </c>
      <c r="K56" s="26"/>
      <c r="M56" s="241"/>
      <c r="N56">
        <v>5051</v>
      </c>
      <c r="O56">
        <v>0.53410000000000002</v>
      </c>
    </row>
    <row r="57" spans="1:15" ht="15.75" thickBot="1" x14ac:dyDescent="0.3">
      <c r="A57" s="238"/>
      <c r="B57" s="8">
        <f>B56-B52</f>
        <v>158</v>
      </c>
      <c r="C57" s="8">
        <f>C56-C52</f>
        <v>187</v>
      </c>
      <c r="D57" s="8">
        <f>N58-(B57+C57)</f>
        <v>89</v>
      </c>
      <c r="G57" s="29" t="s">
        <v>23</v>
      </c>
      <c r="H57" s="15">
        <f>$L19</f>
        <v>35.780497333333336</v>
      </c>
      <c r="I57" s="15">
        <f>$L19</f>
        <v>35.780497333333336</v>
      </c>
      <c r="J57" s="15">
        <f>$L19</f>
        <v>35.780497333333336</v>
      </c>
      <c r="K57" s="26"/>
      <c r="M57" s="241"/>
    </row>
    <row r="58" spans="1:15" ht="16.5" thickBot="1" x14ac:dyDescent="0.3">
      <c r="A58" s="239"/>
      <c r="B58" s="36">
        <f>B57*$O56</f>
        <v>84.387799999999999</v>
      </c>
      <c r="C58" s="36">
        <f>C57*$O56</f>
        <v>99.8767</v>
      </c>
      <c r="D58" s="36">
        <f>D57*$O56</f>
        <v>47.5349</v>
      </c>
      <c r="E58" s="80">
        <f>SUM(B58:D58)</f>
        <v>231.79939999999999</v>
      </c>
      <c r="G58" s="29" t="s">
        <v>40</v>
      </c>
      <c r="H58" s="30">
        <f>H56+H57</f>
        <v>120.16829733333333</v>
      </c>
      <c r="I58" s="30">
        <f>I56+I57</f>
        <v>135.65719733333333</v>
      </c>
      <c r="J58" s="30">
        <f>J56+J57</f>
        <v>83.315397333333337</v>
      </c>
      <c r="K58" s="26"/>
      <c r="M58" s="242"/>
      <c r="N58" s="226">
        <f>N56-N52</f>
        <v>434</v>
      </c>
      <c r="O58" s="226"/>
    </row>
    <row r="59" spans="1:15" ht="19.5" customHeight="1" thickBot="1" x14ac:dyDescent="0.35">
      <c r="A59" s="237" t="s">
        <v>25</v>
      </c>
      <c r="B59" s="33" t="s">
        <v>14</v>
      </c>
      <c r="C59" s="34" t="s">
        <v>32</v>
      </c>
      <c r="D59" s="35" t="s">
        <v>15</v>
      </c>
      <c r="E59" s="79"/>
      <c r="G59" s="27" t="s">
        <v>30</v>
      </c>
      <c r="H59" s="28">
        <f>H58+(J58/3)</f>
        <v>147.94009644444444</v>
      </c>
      <c r="I59" s="28">
        <f>I58+(J58/3)</f>
        <v>163.42899644444444</v>
      </c>
      <c r="J59" s="28">
        <f>J58/3</f>
        <v>27.771799111111111</v>
      </c>
      <c r="K59" s="22">
        <f>H59+I59+J59</f>
        <v>339.14089200000001</v>
      </c>
      <c r="M59" s="240" t="s">
        <v>25</v>
      </c>
      <c r="N59" s="12" t="s">
        <v>3</v>
      </c>
      <c r="O59" s="13" t="s">
        <v>39</v>
      </c>
    </row>
    <row r="60" spans="1:15" x14ac:dyDescent="0.25">
      <c r="A60" s="238"/>
      <c r="B60" s="8">
        <v>1709</v>
      </c>
      <c r="C60" s="8">
        <v>1639</v>
      </c>
      <c r="D60" s="8"/>
      <c r="E60" s="79"/>
      <c r="G60" s="29" t="s">
        <v>36</v>
      </c>
      <c r="H60" s="16">
        <f>B62</f>
        <v>69.381</v>
      </c>
      <c r="I60" s="16">
        <f>C62</f>
        <v>88.06049999999999</v>
      </c>
      <c r="J60" s="16">
        <f>D62</f>
        <v>82.189799999999991</v>
      </c>
      <c r="K60" s="26"/>
      <c r="M60" s="241"/>
      <c r="N60">
        <v>5500</v>
      </c>
      <c r="O60">
        <v>0.53369999999999995</v>
      </c>
    </row>
    <row r="61" spans="1:15" ht="15.75" thickBot="1" x14ac:dyDescent="0.3">
      <c r="A61" s="238"/>
      <c r="B61" s="8">
        <f>B60-B56</f>
        <v>130</v>
      </c>
      <c r="C61" s="8">
        <f>C60-C56</f>
        <v>165</v>
      </c>
      <c r="D61" s="8">
        <f>N62-(B61+C61)</f>
        <v>154</v>
      </c>
      <c r="G61" s="29" t="s">
        <v>23</v>
      </c>
      <c r="H61" s="15">
        <f>$M19</f>
        <v>35.299144666666663</v>
      </c>
      <c r="I61" s="15">
        <f>$M19</f>
        <v>35.299144666666663</v>
      </c>
      <c r="J61" s="15">
        <f>$M19</f>
        <v>35.299144666666663</v>
      </c>
      <c r="K61" s="26"/>
      <c r="M61" s="241"/>
    </row>
    <row r="62" spans="1:15" ht="16.5" thickBot="1" x14ac:dyDescent="0.3">
      <c r="A62" s="239"/>
      <c r="B62" s="36">
        <f>B61*$O60</f>
        <v>69.381</v>
      </c>
      <c r="C62" s="36">
        <f>C61*$O60</f>
        <v>88.06049999999999</v>
      </c>
      <c r="D62" s="36">
        <f>D61*$O60</f>
        <v>82.189799999999991</v>
      </c>
      <c r="E62" s="80">
        <f>SUM(B62:D62)</f>
        <v>239.63129999999998</v>
      </c>
      <c r="G62" s="29" t="s">
        <v>40</v>
      </c>
      <c r="H62" s="30">
        <f>H60+H61</f>
        <v>104.68014466666666</v>
      </c>
      <c r="I62" s="30">
        <f>I60+I61</f>
        <v>123.35964466666665</v>
      </c>
      <c r="J62" s="30">
        <f>J60+J61</f>
        <v>117.48894466666665</v>
      </c>
      <c r="K62" s="26"/>
      <c r="M62" s="242"/>
      <c r="N62" s="226">
        <f>N60-N56</f>
        <v>449</v>
      </c>
      <c r="O62" s="226"/>
    </row>
    <row r="63" spans="1:15" ht="19.5" customHeight="1" thickBot="1" x14ac:dyDescent="0.35">
      <c r="A63" s="237" t="s">
        <v>26</v>
      </c>
      <c r="B63" s="33" t="s">
        <v>14</v>
      </c>
      <c r="C63" s="34" t="s">
        <v>32</v>
      </c>
      <c r="D63" s="35" t="s">
        <v>15</v>
      </c>
      <c r="E63" s="79"/>
      <c r="G63" s="27" t="s">
        <v>25</v>
      </c>
      <c r="H63" s="28">
        <f>H62+(J62/3)</f>
        <v>143.84312622222222</v>
      </c>
      <c r="I63" s="28">
        <f>I62+(J62/3)</f>
        <v>162.52262622222221</v>
      </c>
      <c r="J63" s="28">
        <f>J62/3</f>
        <v>39.162981555555554</v>
      </c>
      <c r="K63" s="22">
        <f>H63+I63+J63</f>
        <v>345.52873399999999</v>
      </c>
      <c r="M63" s="240" t="s">
        <v>26</v>
      </c>
      <c r="N63" s="12" t="s">
        <v>3</v>
      </c>
      <c r="O63" s="13" t="s">
        <v>39</v>
      </c>
    </row>
    <row r="64" spans="1:15" x14ac:dyDescent="0.25">
      <c r="A64" s="238"/>
      <c r="B64" s="8">
        <v>1863</v>
      </c>
      <c r="C64" s="8">
        <v>1854</v>
      </c>
      <c r="D64" s="8"/>
      <c r="E64" s="79"/>
      <c r="G64" s="29" t="s">
        <v>36</v>
      </c>
      <c r="H64" s="16">
        <f>B66</f>
        <v>82.112800000000007</v>
      </c>
      <c r="I64" s="16">
        <f>C66</f>
        <v>114.63800000000001</v>
      </c>
      <c r="J64" s="16">
        <f>D66</f>
        <v>10.130800000000001</v>
      </c>
      <c r="K64" s="26"/>
      <c r="M64" s="241"/>
      <c r="N64">
        <v>5888</v>
      </c>
      <c r="O64">
        <v>0.53320000000000001</v>
      </c>
    </row>
    <row r="65" spans="1:15" ht="15.75" thickBot="1" x14ac:dyDescent="0.3">
      <c r="A65" s="238"/>
      <c r="B65" s="8">
        <f>B64-B60</f>
        <v>154</v>
      </c>
      <c r="C65" s="8">
        <f>C64-C60</f>
        <v>215</v>
      </c>
      <c r="D65" s="8">
        <f>N66-(B65+C65)</f>
        <v>19</v>
      </c>
      <c r="G65" s="29" t="s">
        <v>23</v>
      </c>
      <c r="H65" s="15">
        <f>$N19</f>
        <v>20.591362666666665</v>
      </c>
      <c r="I65" s="15">
        <f>$N19</f>
        <v>20.591362666666665</v>
      </c>
      <c r="J65" s="15">
        <f>$N19</f>
        <v>20.591362666666665</v>
      </c>
      <c r="K65" s="26"/>
      <c r="M65" s="241"/>
    </row>
    <row r="66" spans="1:15" ht="16.5" thickBot="1" x14ac:dyDescent="0.3">
      <c r="A66" s="239"/>
      <c r="B66" s="36">
        <f>B65*$O64</f>
        <v>82.112800000000007</v>
      </c>
      <c r="C66" s="36">
        <f>C65*$O64</f>
        <v>114.63800000000001</v>
      </c>
      <c r="D66" s="36">
        <f>D65*$O64</f>
        <v>10.130800000000001</v>
      </c>
      <c r="E66" s="80">
        <f>SUM(B66:D66)</f>
        <v>206.88160000000002</v>
      </c>
      <c r="G66" s="29" t="s">
        <v>40</v>
      </c>
      <c r="H66" s="30">
        <f>H64+H65</f>
        <v>102.70416266666668</v>
      </c>
      <c r="I66" s="30">
        <f>I64+I65</f>
        <v>135.22936266666667</v>
      </c>
      <c r="J66" s="30">
        <f>J64+J65</f>
        <v>30.722162666666666</v>
      </c>
      <c r="K66" s="26"/>
      <c r="M66" s="242"/>
      <c r="N66" s="226">
        <f>N64-N60</f>
        <v>388</v>
      </c>
      <c r="O66" s="226"/>
    </row>
    <row r="67" spans="1:15" ht="19.5" customHeight="1" thickBot="1" x14ac:dyDescent="0.35">
      <c r="A67" s="237" t="s">
        <v>12</v>
      </c>
      <c r="B67" s="33" t="s">
        <v>14</v>
      </c>
      <c r="C67" s="34" t="s">
        <v>32</v>
      </c>
      <c r="D67" s="35" t="s">
        <v>15</v>
      </c>
      <c r="E67" s="79"/>
      <c r="G67" s="27" t="s">
        <v>26</v>
      </c>
      <c r="H67" s="28">
        <f>H66+(J66/3)</f>
        <v>112.94488355555556</v>
      </c>
      <c r="I67" s="28">
        <f>I66+(J66/3)</f>
        <v>145.47008355555556</v>
      </c>
      <c r="J67" s="28">
        <f>J66/3</f>
        <v>10.240720888888889</v>
      </c>
      <c r="K67" s="22">
        <f>H67+I67+J67</f>
        <v>268.65568800000005</v>
      </c>
      <c r="M67" s="240" t="s">
        <v>12</v>
      </c>
      <c r="N67" s="12" t="s">
        <v>3</v>
      </c>
      <c r="O67" s="13" t="s">
        <v>39</v>
      </c>
    </row>
    <row r="68" spans="1:15" ht="18.75" customHeight="1" x14ac:dyDescent="0.25">
      <c r="A68" s="238"/>
      <c r="B68" s="8">
        <v>1936</v>
      </c>
      <c r="C68" s="8">
        <v>1996</v>
      </c>
      <c r="D68" s="8"/>
      <c r="E68" s="79"/>
      <c r="G68" s="29" t="s">
        <v>36</v>
      </c>
      <c r="H68" s="16">
        <f>B70</f>
        <v>38.945499999999996</v>
      </c>
      <c r="I68" s="16">
        <f>C70</f>
        <v>75.756999999999991</v>
      </c>
      <c r="J68" s="16">
        <f>D70</f>
        <v>101.8985</v>
      </c>
      <c r="K68" s="26"/>
      <c r="M68" s="241"/>
      <c r="N68">
        <v>6294</v>
      </c>
      <c r="O68">
        <v>0.53349999999999997</v>
      </c>
    </row>
    <row r="69" spans="1:15" ht="18.75" customHeight="1" thickBot="1" x14ac:dyDescent="0.3">
      <c r="A69" s="238"/>
      <c r="B69" s="8">
        <f>B68-B64</f>
        <v>73</v>
      </c>
      <c r="C69" s="8">
        <f>C68-C64</f>
        <v>142</v>
      </c>
      <c r="D69" s="8">
        <f>N70-(B69+C69)</f>
        <v>191</v>
      </c>
      <c r="G69" s="29" t="s">
        <v>23</v>
      </c>
      <c r="H69" s="15">
        <f>$O19</f>
        <v>22.318551999999997</v>
      </c>
      <c r="I69" s="15">
        <f>$O19</f>
        <v>22.318551999999997</v>
      </c>
      <c r="J69" s="15">
        <f>$O19</f>
        <v>22.318551999999997</v>
      </c>
      <c r="K69" s="26"/>
      <c r="M69" s="241"/>
    </row>
    <row r="70" spans="1:15" ht="18.75" customHeight="1" thickBot="1" x14ac:dyDescent="0.3">
      <c r="A70" s="239"/>
      <c r="B70" s="36">
        <f>B69*$O68</f>
        <v>38.945499999999996</v>
      </c>
      <c r="C70" s="36">
        <f>C69*$O68</f>
        <v>75.756999999999991</v>
      </c>
      <c r="D70" s="36">
        <f>D69*$O68</f>
        <v>101.8985</v>
      </c>
      <c r="E70" s="80">
        <f>SUM(B70:D70)</f>
        <v>216.601</v>
      </c>
      <c r="G70" s="29" t="s">
        <v>40</v>
      </c>
      <c r="H70" s="30">
        <f>H68+H69</f>
        <v>61.264051999999992</v>
      </c>
      <c r="I70" s="30">
        <f>I68+I69</f>
        <v>98.075551999999988</v>
      </c>
      <c r="J70" s="30">
        <f>J68+J69</f>
        <v>124.217052</v>
      </c>
      <c r="K70" s="26"/>
      <c r="M70" s="242"/>
      <c r="N70" s="226">
        <f>N68-N64</f>
        <v>406</v>
      </c>
      <c r="O70" s="226"/>
    </row>
    <row r="71" spans="1:15" ht="18.75" customHeight="1" thickBot="1" x14ac:dyDescent="0.35">
      <c r="A71" s="237" t="s">
        <v>13</v>
      </c>
      <c r="B71" s="33" t="s">
        <v>14</v>
      </c>
      <c r="C71" s="34" t="s">
        <v>32</v>
      </c>
      <c r="D71" s="35" t="s">
        <v>15</v>
      </c>
      <c r="E71" s="79"/>
      <c r="G71" s="27" t="s">
        <v>12</v>
      </c>
      <c r="H71" s="28">
        <f>H70+(J70/3)</f>
        <v>102.669736</v>
      </c>
      <c r="I71" s="28">
        <f>I70+(J70/3)</f>
        <v>139.481236</v>
      </c>
      <c r="J71" s="28">
        <f>J70/3</f>
        <v>41.405684000000001</v>
      </c>
      <c r="K71" s="22">
        <f>H71+I71+J71</f>
        <v>283.55665599999998</v>
      </c>
      <c r="M71" s="240" t="s">
        <v>13</v>
      </c>
      <c r="N71" s="12" t="s">
        <v>3</v>
      </c>
      <c r="O71" s="13" t="s">
        <v>39</v>
      </c>
    </row>
    <row r="72" spans="1:15" ht="18.75" customHeight="1" x14ac:dyDescent="0.25">
      <c r="A72" s="238"/>
      <c r="B72" s="8">
        <v>2045</v>
      </c>
      <c r="C72" s="8">
        <v>2174</v>
      </c>
      <c r="D72" s="8"/>
      <c r="E72" s="79"/>
      <c r="G72" s="29" t="s">
        <v>36</v>
      </c>
      <c r="H72" s="16">
        <f>B74</f>
        <v>57.879000000000005</v>
      </c>
      <c r="I72" s="16">
        <f>C74</f>
        <v>94.518000000000001</v>
      </c>
      <c r="J72" s="16">
        <f>D74</f>
        <v>76.995000000000005</v>
      </c>
      <c r="K72" s="26"/>
      <c r="M72" s="241"/>
      <c r="N72">
        <v>6726</v>
      </c>
      <c r="O72">
        <v>0.53100000000000003</v>
      </c>
    </row>
    <row r="73" spans="1:15" ht="18.75" customHeight="1" thickBot="1" x14ac:dyDescent="0.3">
      <c r="A73" s="238"/>
      <c r="B73" s="8">
        <f>B72-B68</f>
        <v>109</v>
      </c>
      <c r="C73" s="8">
        <f>C72-C68</f>
        <v>178</v>
      </c>
      <c r="D73" s="8">
        <f>N74-(B73+C73)</f>
        <v>145</v>
      </c>
      <c r="G73" s="29" t="s">
        <v>23</v>
      </c>
      <c r="H73" s="15">
        <f>P$19</f>
        <v>23.441986666666669</v>
      </c>
      <c r="I73" s="15">
        <f>P$19</f>
        <v>23.441986666666669</v>
      </c>
      <c r="J73" s="15">
        <f>P$19</f>
        <v>23.441986666666669</v>
      </c>
      <c r="K73" s="26"/>
      <c r="M73" s="241"/>
    </row>
    <row r="74" spans="1:15" ht="18.75" customHeight="1" thickBot="1" x14ac:dyDescent="0.3">
      <c r="A74" s="239"/>
      <c r="B74" s="36">
        <f>B73*$O72</f>
        <v>57.879000000000005</v>
      </c>
      <c r="C74" s="36">
        <f>C73*$O72</f>
        <v>94.518000000000001</v>
      </c>
      <c r="D74" s="36">
        <f>D73*$O72</f>
        <v>76.995000000000005</v>
      </c>
      <c r="E74" s="80">
        <f>SUM(B74:D74)</f>
        <v>229.392</v>
      </c>
      <c r="G74" s="29" t="s">
        <v>40</v>
      </c>
      <c r="H74" s="30">
        <f>H72+H73</f>
        <v>81.32098666666667</v>
      </c>
      <c r="I74" s="30">
        <f>I72+I73</f>
        <v>117.95998666666667</v>
      </c>
      <c r="J74" s="30">
        <f>J72+J73</f>
        <v>100.43698666666667</v>
      </c>
      <c r="K74" s="26"/>
      <c r="M74" s="242"/>
      <c r="N74" s="226">
        <f>N72-N68</f>
        <v>432</v>
      </c>
      <c r="O74" s="226"/>
    </row>
    <row r="75" spans="1:15" ht="18.75" customHeight="1" thickBot="1" x14ac:dyDescent="0.35">
      <c r="A75" s="237" t="s">
        <v>18</v>
      </c>
      <c r="B75" s="33" t="s">
        <v>14</v>
      </c>
      <c r="C75" s="34" t="s">
        <v>32</v>
      </c>
      <c r="D75" s="35" t="s">
        <v>15</v>
      </c>
      <c r="E75" s="79"/>
      <c r="G75" s="27" t="s">
        <v>13</v>
      </c>
      <c r="H75" s="28">
        <f>H74+(J74/3)</f>
        <v>114.79998222222223</v>
      </c>
      <c r="I75" s="28">
        <f>I74+(J74/3)</f>
        <v>151.43898222222222</v>
      </c>
      <c r="J75" s="28">
        <f>J74/3</f>
        <v>33.478995555555557</v>
      </c>
      <c r="K75" s="22">
        <f>H75+I75+J75</f>
        <v>299.71796000000001</v>
      </c>
      <c r="M75" s="240" t="s">
        <v>18</v>
      </c>
      <c r="N75" s="12" t="s">
        <v>3</v>
      </c>
      <c r="O75" s="13" t="s">
        <v>39</v>
      </c>
    </row>
    <row r="76" spans="1:15" x14ac:dyDescent="0.25">
      <c r="A76" s="238"/>
      <c r="B76" s="8">
        <v>2156</v>
      </c>
      <c r="C76" s="8">
        <v>2340</v>
      </c>
      <c r="D76" s="8"/>
      <c r="E76" s="79"/>
      <c r="G76" s="29" t="s">
        <v>36</v>
      </c>
      <c r="H76" s="16">
        <f>B78</f>
        <v>58.130700000000004</v>
      </c>
      <c r="I76" s="16">
        <f>C78</f>
        <v>86.934200000000004</v>
      </c>
      <c r="J76" s="16">
        <f>D78</f>
        <v>65.462500000000006</v>
      </c>
      <c r="K76" s="26"/>
      <c r="M76" s="241"/>
      <c r="N76">
        <v>7128</v>
      </c>
      <c r="O76">
        <v>0.52370000000000005</v>
      </c>
    </row>
    <row r="77" spans="1:15" ht="15.75" thickBot="1" x14ac:dyDescent="0.3">
      <c r="A77" s="238"/>
      <c r="B77" s="8">
        <f>B76-B72</f>
        <v>111</v>
      </c>
      <c r="C77" s="8">
        <f>C76-C72</f>
        <v>166</v>
      </c>
      <c r="D77" s="8">
        <f>N78-(B77+C77)</f>
        <v>125</v>
      </c>
      <c r="G77" s="29" t="s">
        <v>23</v>
      </c>
      <c r="H77" s="15">
        <f>$Q19</f>
        <v>22.226777333333334</v>
      </c>
      <c r="I77" s="15">
        <f>$Q19</f>
        <v>22.226777333333334</v>
      </c>
      <c r="J77" s="15">
        <f>$Q19</f>
        <v>22.226777333333334</v>
      </c>
      <c r="K77" s="26"/>
      <c r="M77" s="241"/>
    </row>
    <row r="78" spans="1:15" ht="16.5" thickBot="1" x14ac:dyDescent="0.3">
      <c r="A78" s="239"/>
      <c r="B78" s="36">
        <f>B77*$O76</f>
        <v>58.130700000000004</v>
      </c>
      <c r="C78" s="36">
        <f>C77*$O76</f>
        <v>86.934200000000004</v>
      </c>
      <c r="D78" s="36">
        <f>D77*$O76</f>
        <v>65.462500000000006</v>
      </c>
      <c r="E78" s="80">
        <f>SUM(B78:D78)</f>
        <v>210.52740000000003</v>
      </c>
      <c r="G78" s="29" t="s">
        <v>40</v>
      </c>
      <c r="H78" s="30">
        <f>H76+H77</f>
        <v>80.357477333333335</v>
      </c>
      <c r="I78" s="30">
        <f>I76+I77</f>
        <v>109.16097733333334</v>
      </c>
      <c r="J78" s="30">
        <f>J76+J77</f>
        <v>87.689277333333337</v>
      </c>
      <c r="K78" s="26"/>
      <c r="M78" s="242"/>
      <c r="N78" s="226">
        <f>N76-N72</f>
        <v>402</v>
      </c>
      <c r="O78" s="226"/>
    </row>
    <row r="79" spans="1:15" ht="19.5" customHeight="1" thickBot="1" x14ac:dyDescent="0.35">
      <c r="A79" s="237" t="s">
        <v>16</v>
      </c>
      <c r="B79" s="33" t="s">
        <v>14</v>
      </c>
      <c r="C79" s="34" t="s">
        <v>32</v>
      </c>
      <c r="D79" s="35" t="s">
        <v>15</v>
      </c>
      <c r="E79" s="79"/>
      <c r="G79" s="27" t="s">
        <v>18</v>
      </c>
      <c r="H79" s="28">
        <f>H78+(J78/3)</f>
        <v>109.58723644444444</v>
      </c>
      <c r="I79" s="28">
        <f>I78+(J78/3)</f>
        <v>138.39073644444446</v>
      </c>
      <c r="J79" s="28">
        <f>J78/3</f>
        <v>29.229759111111111</v>
      </c>
      <c r="K79" s="22">
        <f>H79+I79+J79</f>
        <v>277.20773200000002</v>
      </c>
      <c r="M79" s="240" t="s">
        <v>16</v>
      </c>
      <c r="N79" s="12" t="s">
        <v>3</v>
      </c>
      <c r="O79" s="13" t="s">
        <v>39</v>
      </c>
    </row>
    <row r="80" spans="1:15" x14ac:dyDescent="0.25">
      <c r="A80" s="238"/>
      <c r="B80" s="8">
        <v>2282</v>
      </c>
      <c r="C80" s="8">
        <v>2551</v>
      </c>
      <c r="D80" s="8"/>
      <c r="E80" s="79"/>
      <c r="G80" s="29" t="s">
        <v>36</v>
      </c>
      <c r="H80" s="16">
        <f>B82</f>
        <v>66.704399999999993</v>
      </c>
      <c r="I80" s="16">
        <f>C82</f>
        <v>111.7034</v>
      </c>
      <c r="J80" s="16">
        <f>D82</f>
        <v>57.175199999999997</v>
      </c>
      <c r="K80" s="26"/>
      <c r="M80" s="241"/>
      <c r="N80">
        <v>7573</v>
      </c>
      <c r="O80">
        <v>0.52939999999999998</v>
      </c>
    </row>
    <row r="81" spans="1:15" ht="15.75" thickBot="1" x14ac:dyDescent="0.3">
      <c r="A81" s="238"/>
      <c r="B81" s="8">
        <f>B80-B76</f>
        <v>126</v>
      </c>
      <c r="C81" s="8">
        <f>C80-C76</f>
        <v>211</v>
      </c>
      <c r="D81" s="8">
        <f>N82-(B81+C81)</f>
        <v>108</v>
      </c>
      <c r="G81" s="29" t="s">
        <v>23</v>
      </c>
      <c r="H81" s="15">
        <f>$R19</f>
        <v>22.744846666666664</v>
      </c>
      <c r="I81" s="15">
        <f>$R19</f>
        <v>22.744846666666664</v>
      </c>
      <c r="J81" s="15">
        <f>$R19</f>
        <v>22.744846666666664</v>
      </c>
      <c r="K81" s="26"/>
      <c r="M81" s="241"/>
    </row>
    <row r="82" spans="1:15" ht="17.25" customHeight="1" thickBot="1" x14ac:dyDescent="0.3">
      <c r="A82" s="239"/>
      <c r="B82" s="36">
        <f>B81*$O80</f>
        <v>66.704399999999993</v>
      </c>
      <c r="C82" s="36">
        <f>C81*$O80</f>
        <v>111.7034</v>
      </c>
      <c r="D82" s="36">
        <f>D81*$O80</f>
        <v>57.175199999999997</v>
      </c>
      <c r="E82" s="80">
        <f>SUM(B82:D82)</f>
        <v>235.583</v>
      </c>
      <c r="G82" s="29" t="s">
        <v>40</v>
      </c>
      <c r="H82" s="30">
        <f>H80+H81</f>
        <v>89.449246666666653</v>
      </c>
      <c r="I82" s="30">
        <f>I80+I81</f>
        <v>134.44824666666668</v>
      </c>
      <c r="J82" s="30">
        <f>J80+J81</f>
        <v>79.920046666666664</v>
      </c>
      <c r="K82" s="26"/>
      <c r="M82" s="242"/>
      <c r="N82" s="226">
        <f>N80-N76</f>
        <v>445</v>
      </c>
      <c r="O82" s="226"/>
    </row>
    <row r="83" spans="1:15" ht="19.5" customHeight="1" thickBot="1" x14ac:dyDescent="0.35">
      <c r="A83" s="237" t="s">
        <v>19</v>
      </c>
      <c r="B83" s="33" t="s">
        <v>14</v>
      </c>
      <c r="C83" s="34" t="s">
        <v>32</v>
      </c>
      <c r="D83" s="35" t="s">
        <v>15</v>
      </c>
      <c r="E83" s="79"/>
      <c r="G83" s="27" t="s">
        <v>16</v>
      </c>
      <c r="H83" s="28">
        <f>H82+(J82/3)</f>
        <v>116.0892622222222</v>
      </c>
      <c r="I83" s="28">
        <f>I82+(J82/3)</f>
        <v>161.08826222222223</v>
      </c>
      <c r="J83" s="28">
        <f>J82/3</f>
        <v>26.640015555555554</v>
      </c>
      <c r="K83" s="22">
        <f>H83+I83+J83</f>
        <v>303.81754000000001</v>
      </c>
      <c r="M83" s="240" t="s">
        <v>19</v>
      </c>
      <c r="N83" s="12" t="s">
        <v>3</v>
      </c>
      <c r="O83" s="13" t="s">
        <v>39</v>
      </c>
    </row>
    <row r="84" spans="1:15" x14ac:dyDescent="0.25">
      <c r="A84" s="238"/>
      <c r="B84" s="8">
        <v>2400</v>
      </c>
      <c r="C84" s="8">
        <v>2779</v>
      </c>
      <c r="D84" s="8"/>
      <c r="E84" s="79"/>
      <c r="G84" s="29" t="s">
        <v>36</v>
      </c>
      <c r="H84" s="16">
        <f>B86</f>
        <v>64.156599999999997</v>
      </c>
      <c r="I84" s="16">
        <f>C86</f>
        <v>123.96359999999999</v>
      </c>
      <c r="J84" s="16">
        <f>D86</f>
        <v>89.166799999999995</v>
      </c>
      <c r="K84" s="26"/>
      <c r="M84" s="241"/>
      <c r="N84">
        <v>8083</v>
      </c>
      <c r="O84">
        <v>0.54369999999999996</v>
      </c>
    </row>
    <row r="85" spans="1:15" ht="15.75" thickBot="1" x14ac:dyDescent="0.3">
      <c r="A85" s="238"/>
      <c r="B85" s="8">
        <f>B84-B80</f>
        <v>118</v>
      </c>
      <c r="C85" s="8">
        <f>C84-C80</f>
        <v>228</v>
      </c>
      <c r="D85" s="8">
        <f>N86-(B85+C85)</f>
        <v>164</v>
      </c>
      <c r="G85" s="29" t="s">
        <v>23</v>
      </c>
      <c r="H85" s="15">
        <f>$S19</f>
        <v>30.666286666666668</v>
      </c>
      <c r="I85" s="15">
        <f>$S19</f>
        <v>30.666286666666668</v>
      </c>
      <c r="J85" s="15">
        <f>$S19</f>
        <v>30.666286666666668</v>
      </c>
      <c r="K85" s="26"/>
      <c r="M85" s="241"/>
    </row>
    <row r="86" spans="1:15" ht="19.5" customHeight="1" thickBot="1" x14ac:dyDescent="0.3">
      <c r="A86" s="239"/>
      <c r="B86" s="36">
        <f>B85*$O84</f>
        <v>64.156599999999997</v>
      </c>
      <c r="C86" s="36">
        <f>C85*$O84</f>
        <v>123.96359999999999</v>
      </c>
      <c r="D86" s="36">
        <f>D85*$O84</f>
        <v>89.166799999999995</v>
      </c>
      <c r="E86" s="80">
        <f>SUM(B86:D86)</f>
        <v>277.28699999999998</v>
      </c>
      <c r="G86" s="29" t="s">
        <v>40</v>
      </c>
      <c r="H86" s="30">
        <f>H84+H85</f>
        <v>94.822886666666662</v>
      </c>
      <c r="I86" s="30">
        <f>I84+I85</f>
        <v>154.62988666666666</v>
      </c>
      <c r="J86" s="30">
        <f>J84+J85</f>
        <v>119.83308666666666</v>
      </c>
      <c r="K86" s="26"/>
      <c r="M86" s="242"/>
      <c r="N86" s="226">
        <f>N84-N80</f>
        <v>510</v>
      </c>
      <c r="O86" s="226"/>
    </row>
    <row r="87" spans="1:15" ht="19.5" customHeight="1" thickBot="1" x14ac:dyDescent="0.35">
      <c r="A87" s="237" t="s">
        <v>20</v>
      </c>
      <c r="B87" s="33" t="s">
        <v>14</v>
      </c>
      <c r="C87" s="34" t="s">
        <v>32</v>
      </c>
      <c r="D87" s="35" t="s">
        <v>15</v>
      </c>
      <c r="E87" s="79"/>
      <c r="G87" s="27" t="s">
        <v>19</v>
      </c>
      <c r="H87" s="28">
        <f>H86+(J86/3)</f>
        <v>134.76724888888887</v>
      </c>
      <c r="I87" s="28">
        <f>I86+(J86/3)</f>
        <v>194.57424888888889</v>
      </c>
      <c r="J87" s="28">
        <f>J86/3</f>
        <v>39.944362222222217</v>
      </c>
      <c r="K87" s="22">
        <f>H87+I87+J87</f>
        <v>369.28585999999996</v>
      </c>
      <c r="M87" s="240" t="s">
        <v>20</v>
      </c>
      <c r="N87" s="12" t="s">
        <v>3</v>
      </c>
      <c r="O87" s="13" t="s">
        <v>39</v>
      </c>
    </row>
    <row r="88" spans="1:15" x14ac:dyDescent="0.25">
      <c r="A88" s="238"/>
      <c r="B88" s="8">
        <v>2540</v>
      </c>
      <c r="C88" s="8">
        <v>2961</v>
      </c>
      <c r="D88" s="8"/>
      <c r="E88" s="79"/>
      <c r="G88" s="29" t="s">
        <v>36</v>
      </c>
      <c r="H88" s="16">
        <f>B90</f>
        <v>76.117999999999995</v>
      </c>
      <c r="I88" s="16">
        <f>C90</f>
        <v>98.953399999999988</v>
      </c>
      <c r="J88" s="16">
        <f>D90</f>
        <v>64.700299999999999</v>
      </c>
      <c r="K88" s="26"/>
      <c r="M88" s="241"/>
      <c r="N88">
        <v>8524</v>
      </c>
      <c r="O88">
        <v>0.54369999999999996</v>
      </c>
    </row>
    <row r="89" spans="1:15" ht="15.75" thickBot="1" x14ac:dyDescent="0.3">
      <c r="A89" s="238"/>
      <c r="B89" s="8">
        <f>B88-B84</f>
        <v>140</v>
      </c>
      <c r="C89" s="8">
        <f>C88-C84</f>
        <v>182</v>
      </c>
      <c r="D89" s="8">
        <f>N90-(B89+C89)</f>
        <v>119</v>
      </c>
      <c r="G89" s="29" t="s">
        <v>23</v>
      </c>
      <c r="H89" s="15">
        <f>$T19</f>
        <v>23.753368666666663</v>
      </c>
      <c r="I89" s="15">
        <f t="shared" ref="I89:J89" si="16">$T19</f>
        <v>23.753368666666663</v>
      </c>
      <c r="J89" s="15">
        <f t="shared" si="16"/>
        <v>23.753368666666663</v>
      </c>
      <c r="K89" s="26"/>
      <c r="M89" s="241"/>
    </row>
    <row r="90" spans="1:15" ht="16.5" thickBot="1" x14ac:dyDescent="0.3">
      <c r="A90" s="239"/>
      <c r="B90" s="36">
        <f>B89*$O88</f>
        <v>76.117999999999995</v>
      </c>
      <c r="C90" s="36">
        <f>C89*$O88</f>
        <v>98.953399999999988</v>
      </c>
      <c r="D90" s="36">
        <f>D89*$O88</f>
        <v>64.700299999999999</v>
      </c>
      <c r="E90" s="80">
        <f>SUM(B90:D90)</f>
        <v>239.77169999999998</v>
      </c>
      <c r="G90" s="29" t="s">
        <v>40</v>
      </c>
      <c r="H90" s="30">
        <f>H88+H89</f>
        <v>99.871368666666655</v>
      </c>
      <c r="I90" s="30">
        <f>I88+I89</f>
        <v>122.70676866666665</v>
      </c>
      <c r="J90" s="30">
        <f>J88+J89</f>
        <v>88.453668666666658</v>
      </c>
      <c r="K90" s="26"/>
      <c r="M90" s="242"/>
      <c r="N90" s="226">
        <f>N88-N84</f>
        <v>441</v>
      </c>
      <c r="O90" s="226"/>
    </row>
    <row r="91" spans="1:15" ht="19.5" customHeight="1" thickBot="1" x14ac:dyDescent="0.35">
      <c r="A91" s="219" t="s">
        <v>27</v>
      </c>
      <c r="B91" s="33" t="s">
        <v>14</v>
      </c>
      <c r="C91" s="34" t="s">
        <v>32</v>
      </c>
      <c r="D91" s="35" t="s">
        <v>15</v>
      </c>
      <c r="E91" s="79"/>
      <c r="G91" s="27" t="s">
        <v>20</v>
      </c>
      <c r="H91" s="28">
        <f>H90+(J90/3)</f>
        <v>129.35592488888886</v>
      </c>
      <c r="I91" s="28">
        <f>I90+(J90/3)</f>
        <v>152.19132488888886</v>
      </c>
      <c r="J91" s="28">
        <f>J90/3</f>
        <v>29.484556222222221</v>
      </c>
      <c r="K91" s="22">
        <f>H91+I91+J91</f>
        <v>311.03180599999996</v>
      </c>
      <c r="M91" s="222" t="s">
        <v>27</v>
      </c>
      <c r="N91" s="62" t="s">
        <v>3</v>
      </c>
      <c r="O91" s="63" t="s">
        <v>39</v>
      </c>
    </row>
    <row r="92" spans="1:15" x14ac:dyDescent="0.25">
      <c r="A92" s="220"/>
      <c r="B92" s="8">
        <v>2711</v>
      </c>
      <c r="C92" s="8">
        <v>3238</v>
      </c>
      <c r="D92" s="8"/>
      <c r="E92" s="79"/>
      <c r="G92" s="59" t="s">
        <v>36</v>
      </c>
      <c r="H92" s="16">
        <f>B94</f>
        <v>94.580100000000002</v>
      </c>
      <c r="I92" s="16">
        <f>C94</f>
        <v>153.20870000000002</v>
      </c>
      <c r="J92" s="16">
        <f>D94</f>
        <v>36.504600000000003</v>
      </c>
      <c r="K92" s="26"/>
      <c r="M92" s="223"/>
      <c r="N92">
        <v>9038</v>
      </c>
      <c r="O92">
        <v>0.55310000000000004</v>
      </c>
    </row>
    <row r="93" spans="1:15" ht="15.75" thickBot="1" x14ac:dyDescent="0.3">
      <c r="A93" s="220"/>
      <c r="B93" s="8">
        <f>B92-B88</f>
        <v>171</v>
      </c>
      <c r="C93" s="8">
        <f>C92-C88</f>
        <v>277</v>
      </c>
      <c r="D93" s="8">
        <f>N94-(B93+C93)</f>
        <v>66</v>
      </c>
      <c r="G93" s="59" t="s">
        <v>23</v>
      </c>
      <c r="H93" s="15">
        <f>$U19</f>
        <v>30.032004000000001</v>
      </c>
      <c r="I93" s="15">
        <f>$U19</f>
        <v>30.032004000000001</v>
      </c>
      <c r="J93" s="15">
        <f t="shared" ref="J93" si="17">$U19</f>
        <v>30.032004000000001</v>
      </c>
      <c r="K93" s="26"/>
      <c r="M93" s="223"/>
    </row>
    <row r="94" spans="1:15" ht="16.5" thickBot="1" x14ac:dyDescent="0.3">
      <c r="A94" s="221"/>
      <c r="B94" s="58">
        <f>B93*$O92</f>
        <v>94.580100000000002</v>
      </c>
      <c r="C94" s="58">
        <f>C93*$O92</f>
        <v>153.20870000000002</v>
      </c>
      <c r="D94" s="58">
        <f>D93*$O92</f>
        <v>36.504600000000003</v>
      </c>
      <c r="E94" s="80">
        <f>SUM(B94:D94)</f>
        <v>284.29340000000002</v>
      </c>
      <c r="G94" s="59" t="s">
        <v>40</v>
      </c>
      <c r="H94" s="30">
        <f>H92+H93</f>
        <v>124.612104</v>
      </c>
      <c r="I94" s="30">
        <f>I92+I93</f>
        <v>183.24070400000002</v>
      </c>
      <c r="J94" s="30">
        <f>J92+J93</f>
        <v>66.536604000000011</v>
      </c>
      <c r="K94" s="26"/>
      <c r="M94" s="224"/>
      <c r="N94" s="225">
        <f>N92-N88</f>
        <v>514</v>
      </c>
      <c r="O94" s="225"/>
    </row>
    <row r="95" spans="1:15" ht="19.5" customHeight="1" thickBot="1" x14ac:dyDescent="0.35">
      <c r="A95" s="219" t="s">
        <v>28</v>
      </c>
      <c r="B95" s="33" t="s">
        <v>14</v>
      </c>
      <c r="C95" s="34" t="s">
        <v>32</v>
      </c>
      <c r="D95" s="35" t="s">
        <v>15</v>
      </c>
      <c r="E95" s="79"/>
      <c r="G95" s="60" t="s">
        <v>27</v>
      </c>
      <c r="H95" s="61">
        <f>H94+(J94/3)</f>
        <v>146.79097200000001</v>
      </c>
      <c r="I95" s="61">
        <f>I94+(J94/3)</f>
        <v>205.41957200000002</v>
      </c>
      <c r="J95" s="61">
        <f>J94/3</f>
        <v>22.178868000000005</v>
      </c>
      <c r="K95" s="22">
        <f>H95+I95+J95</f>
        <v>374.38941200000005</v>
      </c>
      <c r="M95" s="219" t="s">
        <v>28</v>
      </c>
      <c r="N95" s="12" t="s">
        <v>3</v>
      </c>
      <c r="O95" s="13" t="s">
        <v>39</v>
      </c>
    </row>
    <row r="96" spans="1:15" x14ac:dyDescent="0.25">
      <c r="A96" s="220"/>
      <c r="B96" s="8">
        <v>2822</v>
      </c>
      <c r="C96" s="8">
        <v>3425</v>
      </c>
      <c r="D96" s="8"/>
      <c r="E96" s="79"/>
      <c r="G96" s="59" t="s">
        <v>36</v>
      </c>
      <c r="H96" s="16">
        <f>B98</f>
        <v>61.194299999999998</v>
      </c>
      <c r="I96" s="16">
        <f>C98</f>
        <v>103.09310000000001</v>
      </c>
      <c r="J96" s="16">
        <f>D98</f>
        <v>132.31200000000001</v>
      </c>
      <c r="K96" s="26"/>
      <c r="M96" s="220"/>
      <c r="N96">
        <v>9576</v>
      </c>
      <c r="O96">
        <v>0.55130000000000001</v>
      </c>
    </row>
    <row r="97" spans="1:15" ht="15.75" thickBot="1" x14ac:dyDescent="0.3">
      <c r="A97" s="220"/>
      <c r="B97" s="8">
        <f>B96-B92</f>
        <v>111</v>
      </c>
      <c r="C97" s="8">
        <f>C96-C92</f>
        <v>187</v>
      </c>
      <c r="D97" s="8">
        <f>N98-(B97+C97)</f>
        <v>240</v>
      </c>
      <c r="G97" s="59" t="s">
        <v>23</v>
      </c>
      <c r="H97" s="15">
        <f>$V19</f>
        <v>30.565030666666662</v>
      </c>
      <c r="I97" s="15">
        <f>$V19</f>
        <v>30.565030666666662</v>
      </c>
      <c r="J97" s="15">
        <f>$V19</f>
        <v>30.565030666666662</v>
      </c>
      <c r="K97" s="26"/>
      <c r="M97" s="220"/>
    </row>
    <row r="98" spans="1:15" ht="16.5" thickBot="1" x14ac:dyDescent="0.3">
      <c r="A98" s="221"/>
      <c r="B98" s="36">
        <f>B97*$O96</f>
        <v>61.194299999999998</v>
      </c>
      <c r="C98" s="36">
        <f>C97*$O96</f>
        <v>103.09310000000001</v>
      </c>
      <c r="D98" s="36">
        <f>D97*$O96</f>
        <v>132.31200000000001</v>
      </c>
      <c r="E98" s="80">
        <f>SUM(B98:D98)</f>
        <v>296.5994</v>
      </c>
      <c r="G98" s="59" t="s">
        <v>40</v>
      </c>
      <c r="H98" s="30">
        <f>H96+H97</f>
        <v>91.759330666666656</v>
      </c>
      <c r="I98" s="30">
        <f>I96+I97</f>
        <v>133.65813066666666</v>
      </c>
      <c r="J98" s="30">
        <f>J96+J97</f>
        <v>162.87703066666668</v>
      </c>
      <c r="K98" s="26"/>
      <c r="M98" s="221"/>
      <c r="N98" s="226">
        <f>N96-N92</f>
        <v>538</v>
      </c>
      <c r="O98" s="226"/>
    </row>
    <row r="99" spans="1:15" ht="19.5" customHeight="1" thickBot="1" x14ac:dyDescent="0.35">
      <c r="A99" s="219" t="s">
        <v>29</v>
      </c>
      <c r="B99" s="33" t="s">
        <v>14</v>
      </c>
      <c r="C99" s="34" t="s">
        <v>32</v>
      </c>
      <c r="D99" s="35" t="s">
        <v>15</v>
      </c>
      <c r="E99" s="79"/>
      <c r="G99" s="60" t="s">
        <v>28</v>
      </c>
      <c r="H99" s="61">
        <f>H98+(J98/3)</f>
        <v>146.05167422222223</v>
      </c>
      <c r="I99" s="61">
        <f>I98+(J98/3)</f>
        <v>187.95047422222223</v>
      </c>
      <c r="J99" s="61">
        <f>J98/3</f>
        <v>54.292343555555561</v>
      </c>
      <c r="K99" s="22">
        <f>H99+I99+J99</f>
        <v>388.29449199999999</v>
      </c>
      <c r="M99" s="219" t="s">
        <v>29</v>
      </c>
      <c r="N99" s="12" t="s">
        <v>3</v>
      </c>
      <c r="O99" s="13" t="s">
        <v>39</v>
      </c>
    </row>
    <row r="100" spans="1:15" x14ac:dyDescent="0.25">
      <c r="A100" s="220"/>
      <c r="B100" s="8">
        <v>2822</v>
      </c>
      <c r="C100" s="8">
        <v>3425</v>
      </c>
      <c r="D100" s="8"/>
      <c r="E100" s="79"/>
      <c r="G100" s="59" t="s">
        <v>36</v>
      </c>
      <c r="H100" s="16">
        <f>B102</f>
        <v>0</v>
      </c>
      <c r="I100" s="16">
        <f>C102</f>
        <v>0</v>
      </c>
      <c r="J100" s="16">
        <f>D102</f>
        <v>0</v>
      </c>
      <c r="K100" s="26"/>
      <c r="M100" s="220"/>
      <c r="N100">
        <v>9576</v>
      </c>
      <c r="O100">
        <v>0.55130000000000001</v>
      </c>
    </row>
    <row r="101" spans="1:15" ht="15.75" thickBot="1" x14ac:dyDescent="0.3">
      <c r="A101" s="220"/>
      <c r="B101" s="8">
        <f>B100-B96</f>
        <v>0</v>
      </c>
      <c r="C101" s="8">
        <f>C100-C96</f>
        <v>0</v>
      </c>
      <c r="D101" s="8">
        <f>N102-(B101+C101)</f>
        <v>0</v>
      </c>
      <c r="G101" s="59" t="s">
        <v>23</v>
      </c>
      <c r="H101" s="15">
        <f>$V23</f>
        <v>0</v>
      </c>
      <c r="I101" s="15">
        <f>$V23</f>
        <v>0</v>
      </c>
      <c r="J101" s="15">
        <f>$V23</f>
        <v>0</v>
      </c>
      <c r="K101" s="26"/>
      <c r="M101" s="220"/>
    </row>
    <row r="102" spans="1:15" ht="16.5" thickBot="1" x14ac:dyDescent="0.3">
      <c r="A102" s="221"/>
      <c r="B102" s="36">
        <f>B101*$O100</f>
        <v>0</v>
      </c>
      <c r="C102" s="36">
        <f>C101*$O100</f>
        <v>0</v>
      </c>
      <c r="D102" s="36">
        <f>D101*$O100</f>
        <v>0</v>
      </c>
      <c r="E102" s="80">
        <f>SUM(B102:D102)</f>
        <v>0</v>
      </c>
      <c r="G102" s="59" t="s">
        <v>40</v>
      </c>
      <c r="H102" s="30">
        <f>H100+H101</f>
        <v>0</v>
      </c>
      <c r="I102" s="30">
        <f>I100+I101</f>
        <v>0</v>
      </c>
      <c r="J102" s="30">
        <f>J100+J101</f>
        <v>0</v>
      </c>
      <c r="K102" s="26"/>
      <c r="M102" s="221"/>
      <c r="N102" s="226">
        <f>N100-N96</f>
        <v>0</v>
      </c>
      <c r="O102" s="226"/>
    </row>
    <row r="103" spans="1:15" x14ac:dyDescent="0.25">
      <c r="M103" s="9"/>
    </row>
    <row r="104" spans="1:15" x14ac:dyDescent="0.25">
      <c r="M104" s="9"/>
    </row>
  </sheetData>
  <mergeCells count="77">
    <mergeCell ref="A99:A102"/>
    <mergeCell ref="M99:M102"/>
    <mergeCell ref="N102:O102"/>
    <mergeCell ref="N50:O50"/>
    <mergeCell ref="A16:C16"/>
    <mergeCell ref="A18:C18"/>
    <mergeCell ref="A19:C19"/>
    <mergeCell ref="M21:O21"/>
    <mergeCell ref="N26:O26"/>
    <mergeCell ref="N30:O30"/>
    <mergeCell ref="N46:O46"/>
    <mergeCell ref="N34:O34"/>
    <mergeCell ref="N38:O38"/>
    <mergeCell ref="N42:O42"/>
    <mergeCell ref="A31:A34"/>
    <mergeCell ref="A35:A38"/>
    <mergeCell ref="A39:A42"/>
    <mergeCell ref="A43:A46"/>
    <mergeCell ref="N90:O90"/>
    <mergeCell ref="N86:O86"/>
    <mergeCell ref="N82:O82"/>
    <mergeCell ref="N78:O78"/>
    <mergeCell ref="N74:O74"/>
    <mergeCell ref="N70:O70"/>
    <mergeCell ref="N66:O66"/>
    <mergeCell ref="N62:O62"/>
    <mergeCell ref="N58:O58"/>
    <mergeCell ref="N54:O54"/>
    <mergeCell ref="M79:M82"/>
    <mergeCell ref="M83:M86"/>
    <mergeCell ref="M87:M90"/>
    <mergeCell ref="A87:A90"/>
    <mergeCell ref="M23:M26"/>
    <mergeCell ref="M27:M30"/>
    <mergeCell ref="M31:M34"/>
    <mergeCell ref="M35:M38"/>
    <mergeCell ref="M39:M42"/>
    <mergeCell ref="M43:M46"/>
    <mergeCell ref="M47:M50"/>
    <mergeCell ref="M51:M54"/>
    <mergeCell ref="M55:M58"/>
    <mergeCell ref="M59:M62"/>
    <mergeCell ref="M63:M66"/>
    <mergeCell ref="M67:M70"/>
    <mergeCell ref="M71:M74"/>
    <mergeCell ref="M75:M78"/>
    <mergeCell ref="A67:A70"/>
    <mergeCell ref="A71:A74"/>
    <mergeCell ref="A75:A78"/>
    <mergeCell ref="A79:A82"/>
    <mergeCell ref="A83:A86"/>
    <mergeCell ref="A47:A50"/>
    <mergeCell ref="A51:A54"/>
    <mergeCell ref="A55:A58"/>
    <mergeCell ref="A59:A62"/>
    <mergeCell ref="A63:A66"/>
    <mergeCell ref="A1:C1"/>
    <mergeCell ref="G21:K21"/>
    <mergeCell ref="A21:E21"/>
    <mergeCell ref="A23:A26"/>
    <mergeCell ref="A27:A30"/>
    <mergeCell ref="A8:C8"/>
    <mergeCell ref="A9:C9"/>
    <mergeCell ref="A12:C12"/>
    <mergeCell ref="A13:C13"/>
    <mergeCell ref="A14:C14"/>
    <mergeCell ref="A4:C4"/>
    <mergeCell ref="A5:C5"/>
    <mergeCell ref="A2:C2"/>
    <mergeCell ref="A3:C3"/>
    <mergeCell ref="A6:C6"/>
    <mergeCell ref="A91:A94"/>
    <mergeCell ref="M91:M94"/>
    <mergeCell ref="N94:O94"/>
    <mergeCell ref="A95:A98"/>
    <mergeCell ref="M95:M98"/>
    <mergeCell ref="N98:O98"/>
  </mergeCells>
  <phoneticPr fontId="10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E3C5-FE2D-4091-ACF9-D87E4179ADA2}">
  <dimension ref="A1:F44"/>
  <sheetViews>
    <sheetView topLeftCell="A19" zoomScale="85" zoomScaleNormal="85" workbookViewId="0">
      <selection activeCell="A45" sqref="A45"/>
    </sheetView>
  </sheetViews>
  <sheetFormatPr baseColWidth="10" defaultRowHeight="15" x14ac:dyDescent="0.25"/>
  <cols>
    <col min="1" max="1" width="17" style="184" bestFit="1" customWidth="1"/>
    <col min="2" max="2" width="10.7109375" style="67" bestFit="1" customWidth="1"/>
    <col min="3" max="4" width="9.85546875" style="67" bestFit="1" customWidth="1"/>
    <col min="5" max="6" width="12.5703125" style="67" bestFit="1" customWidth="1"/>
    <col min="7" max="40" width="8" bestFit="1" customWidth="1"/>
    <col min="41" max="41" width="12.5703125" bestFit="1" customWidth="1"/>
  </cols>
  <sheetData>
    <row r="1" spans="1:6" x14ac:dyDescent="0.25">
      <c r="A1" s="185" t="s">
        <v>56</v>
      </c>
      <c r="B1" s="123" t="s">
        <v>54</v>
      </c>
      <c r="C1"/>
      <c r="D1"/>
      <c r="E1"/>
      <c r="F1"/>
    </row>
    <row r="2" spans="1:6" x14ac:dyDescent="0.25">
      <c r="A2" s="186" t="s">
        <v>58</v>
      </c>
      <c r="B2" s="1" t="s">
        <v>15</v>
      </c>
      <c r="C2" s="1" t="s">
        <v>14</v>
      </c>
      <c r="D2" s="1" t="s">
        <v>32</v>
      </c>
      <c r="E2" t="s">
        <v>55</v>
      </c>
      <c r="F2"/>
    </row>
    <row r="3" spans="1:6" x14ac:dyDescent="0.25">
      <c r="A3" s="187">
        <v>43313</v>
      </c>
      <c r="B3" s="183">
        <v>31.86</v>
      </c>
      <c r="C3" s="183">
        <v>102.55</v>
      </c>
      <c r="D3" s="183">
        <v>95.95</v>
      </c>
      <c r="E3" s="183">
        <v>230.36</v>
      </c>
      <c r="F3"/>
    </row>
    <row r="4" spans="1:6" x14ac:dyDescent="0.25">
      <c r="A4" s="187">
        <v>43344</v>
      </c>
      <c r="B4" s="183">
        <v>28.38</v>
      </c>
      <c r="C4" s="183">
        <v>122.13</v>
      </c>
      <c r="D4" s="183">
        <v>88.14</v>
      </c>
      <c r="E4" s="183">
        <v>238.64999999999998</v>
      </c>
      <c r="F4"/>
    </row>
    <row r="5" spans="1:6" x14ac:dyDescent="0.25">
      <c r="A5" s="187">
        <v>43374</v>
      </c>
      <c r="B5" s="183">
        <v>36.65</v>
      </c>
      <c r="C5" s="183">
        <v>134.94</v>
      </c>
      <c r="D5" s="183">
        <v>117.69</v>
      </c>
      <c r="E5" s="183">
        <v>289.27999999999997</v>
      </c>
      <c r="F5"/>
    </row>
    <row r="6" spans="1:6" x14ac:dyDescent="0.25">
      <c r="A6" s="187">
        <v>43405</v>
      </c>
      <c r="B6" s="183">
        <v>27.69</v>
      </c>
      <c r="C6" s="183">
        <v>132</v>
      </c>
      <c r="D6" s="183">
        <v>130.99</v>
      </c>
      <c r="E6" s="183">
        <v>290.68</v>
      </c>
      <c r="F6"/>
    </row>
    <row r="7" spans="1:6" x14ac:dyDescent="0.25">
      <c r="A7" s="187">
        <v>43435</v>
      </c>
      <c r="B7" s="183">
        <v>25.44</v>
      </c>
      <c r="C7" s="183">
        <v>135.22</v>
      </c>
      <c r="D7" s="183">
        <v>149.93</v>
      </c>
      <c r="E7" s="183">
        <v>310.59000000000003</v>
      </c>
      <c r="F7"/>
    </row>
    <row r="8" spans="1:6" x14ac:dyDescent="0.25">
      <c r="A8" s="187">
        <v>43466</v>
      </c>
      <c r="B8" s="183">
        <v>36.770000000000003</v>
      </c>
      <c r="C8" s="183">
        <v>160.82</v>
      </c>
      <c r="D8" s="183">
        <v>192.51</v>
      </c>
      <c r="E8" s="183">
        <v>390.1</v>
      </c>
      <c r="F8"/>
    </row>
    <row r="9" spans="1:6" x14ac:dyDescent="0.25">
      <c r="A9" s="187">
        <v>43497</v>
      </c>
      <c r="B9" s="183">
        <v>19.239999999999998</v>
      </c>
      <c r="C9" s="183">
        <v>173.09</v>
      </c>
      <c r="D9" s="183">
        <v>215.34</v>
      </c>
      <c r="E9" s="183">
        <v>407.67</v>
      </c>
      <c r="F9"/>
    </row>
    <row r="10" spans="1:6" x14ac:dyDescent="0.25">
      <c r="A10" s="187">
        <v>43525</v>
      </c>
      <c r="B10" s="183">
        <v>58.72</v>
      </c>
      <c r="C10" s="183">
        <v>159.47</v>
      </c>
      <c r="D10" s="183">
        <v>184.61</v>
      </c>
      <c r="E10" s="183">
        <v>402.8</v>
      </c>
      <c r="F10"/>
    </row>
    <row r="11" spans="1:6" x14ac:dyDescent="0.25">
      <c r="A11" s="187">
        <v>43556</v>
      </c>
      <c r="B11" s="183">
        <v>27.77</v>
      </c>
      <c r="C11" s="183">
        <v>147.94</v>
      </c>
      <c r="D11" s="183">
        <v>163.43</v>
      </c>
      <c r="E11" s="183">
        <v>339.14</v>
      </c>
      <c r="F11"/>
    </row>
    <row r="12" spans="1:6" x14ac:dyDescent="0.25">
      <c r="A12" s="187">
        <v>43586</v>
      </c>
      <c r="B12" s="183">
        <v>39.159999999999997</v>
      </c>
      <c r="C12" s="183">
        <v>143.84</v>
      </c>
      <c r="D12" s="183">
        <v>162.52000000000001</v>
      </c>
      <c r="E12" s="183">
        <v>345.52</v>
      </c>
      <c r="F12"/>
    </row>
    <row r="13" spans="1:6" x14ac:dyDescent="0.25">
      <c r="A13" s="187">
        <v>43617</v>
      </c>
      <c r="B13" s="183">
        <v>10.24</v>
      </c>
      <c r="C13" s="183">
        <v>112.94</v>
      </c>
      <c r="D13" s="183">
        <v>145.47</v>
      </c>
      <c r="E13" s="183">
        <v>268.64999999999998</v>
      </c>
      <c r="F13"/>
    </row>
    <row r="14" spans="1:6" x14ac:dyDescent="0.25">
      <c r="A14" s="187">
        <v>43647</v>
      </c>
      <c r="B14" s="183">
        <v>41.41</v>
      </c>
      <c r="C14" s="183">
        <v>102.68</v>
      </c>
      <c r="D14" s="183">
        <v>139.49</v>
      </c>
      <c r="E14" s="183">
        <v>283.58000000000004</v>
      </c>
      <c r="F14"/>
    </row>
    <row r="15" spans="1:6" x14ac:dyDescent="0.25">
      <c r="A15" s="187">
        <v>43678</v>
      </c>
      <c r="B15" s="183">
        <v>33.479999999999997</v>
      </c>
      <c r="C15" s="183">
        <v>114.8</v>
      </c>
      <c r="D15" s="183">
        <v>151.44</v>
      </c>
      <c r="E15" s="183">
        <v>299.72000000000003</v>
      </c>
      <c r="F15"/>
    </row>
    <row r="16" spans="1:6" x14ac:dyDescent="0.25">
      <c r="A16" s="187">
        <v>43709</v>
      </c>
      <c r="B16" s="183">
        <v>29.23</v>
      </c>
      <c r="C16" s="183">
        <v>109.59</v>
      </c>
      <c r="D16" s="183">
        <v>138.38999999999999</v>
      </c>
      <c r="E16" s="183">
        <v>277.20999999999998</v>
      </c>
      <c r="F16"/>
    </row>
    <row r="17" spans="1:6" x14ac:dyDescent="0.25">
      <c r="A17" s="187">
        <v>43739</v>
      </c>
      <c r="B17" s="183">
        <v>26.64</v>
      </c>
      <c r="C17" s="183">
        <v>116.09</v>
      </c>
      <c r="D17" s="183">
        <v>161.09</v>
      </c>
      <c r="E17" s="183">
        <v>303.82000000000005</v>
      </c>
      <c r="F17"/>
    </row>
    <row r="18" spans="1:6" x14ac:dyDescent="0.25">
      <c r="A18" s="187">
        <v>43770</v>
      </c>
      <c r="B18" s="183">
        <v>39.94</v>
      </c>
      <c r="C18" s="183">
        <v>134.77000000000001</v>
      </c>
      <c r="D18" s="183">
        <v>194.57</v>
      </c>
      <c r="E18" s="183">
        <v>369.28</v>
      </c>
      <c r="F18"/>
    </row>
    <row r="19" spans="1:6" x14ac:dyDescent="0.25">
      <c r="A19" s="187">
        <v>43800</v>
      </c>
      <c r="B19" s="183">
        <v>29.48</v>
      </c>
      <c r="C19" s="183">
        <v>129.36000000000001</v>
      </c>
      <c r="D19" s="183">
        <v>152.19</v>
      </c>
      <c r="E19" s="183">
        <v>311.02999999999997</v>
      </c>
      <c r="F19"/>
    </row>
    <row r="20" spans="1:6" x14ac:dyDescent="0.25">
      <c r="A20" s="187">
        <v>43831</v>
      </c>
      <c r="B20" s="183">
        <v>22.18</v>
      </c>
      <c r="C20" s="183">
        <v>146.79</v>
      </c>
      <c r="D20" s="183">
        <v>205.42</v>
      </c>
      <c r="E20" s="183">
        <v>374.39</v>
      </c>
      <c r="F20"/>
    </row>
    <row r="21" spans="1:6" x14ac:dyDescent="0.25">
      <c r="A21" s="187">
        <v>43862</v>
      </c>
      <c r="B21" s="183">
        <v>54.27</v>
      </c>
      <c r="C21" s="183">
        <v>145.94999999999999</v>
      </c>
      <c r="D21" s="183">
        <v>187.85</v>
      </c>
      <c r="E21" s="183">
        <v>388.07</v>
      </c>
      <c r="F21"/>
    </row>
    <row r="22" spans="1:6" x14ac:dyDescent="0.25">
      <c r="A22" s="187">
        <v>43891</v>
      </c>
      <c r="B22" s="183">
        <v>41.04</v>
      </c>
      <c r="C22" s="183">
        <v>141.18</v>
      </c>
      <c r="D22" s="183">
        <v>205.77</v>
      </c>
      <c r="E22" s="183">
        <v>387.99</v>
      </c>
      <c r="F22"/>
    </row>
    <row r="23" spans="1:6" x14ac:dyDescent="0.25">
      <c r="A23" s="187">
        <v>43922</v>
      </c>
      <c r="B23" s="183">
        <v>22.08</v>
      </c>
      <c r="C23" s="183">
        <v>151.27000000000001</v>
      </c>
      <c r="D23" s="183">
        <v>207.65</v>
      </c>
      <c r="E23" s="183">
        <v>381</v>
      </c>
      <c r="F23"/>
    </row>
    <row r="24" spans="1:6" x14ac:dyDescent="0.25">
      <c r="A24" s="187">
        <v>43952</v>
      </c>
      <c r="B24" s="183">
        <v>30.96</v>
      </c>
      <c r="C24" s="183">
        <v>126.59</v>
      </c>
      <c r="D24" s="183">
        <v>176.95</v>
      </c>
      <c r="E24" s="183">
        <v>334.5</v>
      </c>
      <c r="F24"/>
    </row>
    <row r="25" spans="1:6" x14ac:dyDescent="0.25">
      <c r="A25" s="187">
        <v>43983</v>
      </c>
      <c r="B25" s="183">
        <v>54.51</v>
      </c>
      <c r="C25" s="183">
        <v>167.26</v>
      </c>
      <c r="D25" s="183">
        <v>213.23</v>
      </c>
      <c r="E25" s="183">
        <v>435</v>
      </c>
      <c r="F25"/>
    </row>
    <row r="26" spans="1:6" x14ac:dyDescent="0.25">
      <c r="A26" s="187">
        <v>44013</v>
      </c>
      <c r="B26" s="183">
        <v>31</v>
      </c>
      <c r="C26" s="183">
        <v>127.9</v>
      </c>
      <c r="D26" s="183">
        <v>163.6</v>
      </c>
      <c r="E26" s="183">
        <v>322.5</v>
      </c>
      <c r="F26"/>
    </row>
    <row r="27" spans="1:6" x14ac:dyDescent="0.25">
      <c r="A27" s="187">
        <v>44044</v>
      </c>
      <c r="B27" s="183">
        <v>14.8</v>
      </c>
      <c r="C27" s="183">
        <v>136.5</v>
      </c>
      <c r="D27" s="183">
        <v>160.19999999999999</v>
      </c>
      <c r="E27" s="183">
        <v>311.5</v>
      </c>
      <c r="F27"/>
    </row>
    <row r="28" spans="1:6" x14ac:dyDescent="0.25">
      <c r="A28" s="187">
        <v>44075</v>
      </c>
      <c r="B28" s="183">
        <v>45.69</v>
      </c>
      <c r="C28" s="183">
        <v>130.18</v>
      </c>
      <c r="D28" s="183">
        <v>149.62</v>
      </c>
      <c r="E28" s="183">
        <v>325.49</v>
      </c>
      <c r="F28"/>
    </row>
    <row r="29" spans="1:6" x14ac:dyDescent="0.25">
      <c r="A29" s="187">
        <v>44105</v>
      </c>
      <c r="B29" s="183">
        <v>31.28</v>
      </c>
      <c r="C29" s="183">
        <v>130.27000000000001</v>
      </c>
      <c r="D29" s="183">
        <v>159.44999999999999</v>
      </c>
      <c r="E29" s="183">
        <v>321</v>
      </c>
      <c r="F29"/>
    </row>
    <row r="30" spans="1:6" x14ac:dyDescent="0.25">
      <c r="A30" s="187">
        <v>44136</v>
      </c>
      <c r="B30" s="183">
        <v>28.13</v>
      </c>
      <c r="C30" s="183">
        <v>135.71</v>
      </c>
      <c r="D30" s="183">
        <v>171.66</v>
      </c>
      <c r="E30" s="183">
        <v>335.5</v>
      </c>
      <c r="F30"/>
    </row>
    <row r="31" spans="1:6" x14ac:dyDescent="0.25">
      <c r="A31" s="187">
        <v>44166</v>
      </c>
      <c r="B31" s="183">
        <v>29.07</v>
      </c>
      <c r="C31" s="183">
        <v>153.54</v>
      </c>
      <c r="D31" s="183">
        <v>171.88</v>
      </c>
      <c r="E31" s="183">
        <v>354.49</v>
      </c>
      <c r="F31"/>
    </row>
    <row r="32" spans="1:6" x14ac:dyDescent="0.25">
      <c r="A32" s="187">
        <v>44197</v>
      </c>
      <c r="B32" s="183">
        <v>49.06</v>
      </c>
      <c r="C32" s="183">
        <v>172.58</v>
      </c>
      <c r="D32" s="183">
        <v>232.35</v>
      </c>
      <c r="E32" s="183">
        <v>453.99</v>
      </c>
      <c r="F32"/>
    </row>
    <row r="33" spans="1:6" x14ac:dyDescent="0.25">
      <c r="A33" s="187">
        <v>44228</v>
      </c>
      <c r="B33" s="183">
        <v>41.3</v>
      </c>
      <c r="C33" s="183">
        <v>143.91</v>
      </c>
      <c r="D33" s="183">
        <v>243.33</v>
      </c>
      <c r="E33" s="183">
        <v>428.53999999999996</v>
      </c>
      <c r="F33"/>
    </row>
    <row r="34" spans="1:6" x14ac:dyDescent="0.25">
      <c r="A34" s="187">
        <v>44256</v>
      </c>
      <c r="B34" s="183">
        <v>61.97</v>
      </c>
      <c r="C34" s="183">
        <v>158.63999999999999</v>
      </c>
      <c r="D34" s="183">
        <v>234.88</v>
      </c>
      <c r="E34" s="183">
        <v>455.49</v>
      </c>
      <c r="F34"/>
    </row>
    <row r="35" spans="1:6" x14ac:dyDescent="0.25">
      <c r="A35" s="187">
        <v>44287</v>
      </c>
      <c r="B35" s="183">
        <v>53.26</v>
      </c>
      <c r="C35" s="183">
        <v>159.51</v>
      </c>
      <c r="D35" s="183">
        <v>264.2</v>
      </c>
      <c r="E35" s="183">
        <v>476.96999999999997</v>
      </c>
      <c r="F35"/>
    </row>
    <row r="36" spans="1:6" x14ac:dyDescent="0.25">
      <c r="A36" s="187">
        <v>44317</v>
      </c>
      <c r="B36" s="183">
        <v>48.52</v>
      </c>
      <c r="C36" s="183">
        <v>158.05000000000001</v>
      </c>
      <c r="D36" s="183">
        <v>209.44</v>
      </c>
      <c r="E36" s="183">
        <v>416.01</v>
      </c>
      <c r="F36"/>
    </row>
    <row r="37" spans="1:6" x14ac:dyDescent="0.25">
      <c r="A37" s="187">
        <v>44348</v>
      </c>
      <c r="B37" s="183">
        <v>34.78</v>
      </c>
      <c r="C37" s="183">
        <v>147.85</v>
      </c>
      <c r="D37" s="183">
        <v>215.86</v>
      </c>
      <c r="E37" s="183">
        <v>398.49</v>
      </c>
      <c r="F37"/>
    </row>
    <row r="38" spans="1:6" x14ac:dyDescent="0.25">
      <c r="A38" s="187">
        <v>44378</v>
      </c>
      <c r="B38" s="183">
        <v>62.37</v>
      </c>
      <c r="C38" s="183">
        <v>151.54</v>
      </c>
      <c r="D38" s="183">
        <v>189.08</v>
      </c>
      <c r="E38" s="183">
        <v>402.99</v>
      </c>
      <c r="F38"/>
    </row>
    <row r="39" spans="1:6" x14ac:dyDescent="0.25">
      <c r="A39" s="187">
        <v>44409</v>
      </c>
      <c r="B39" s="183">
        <v>46.47</v>
      </c>
      <c r="C39" s="183">
        <v>153.02000000000001</v>
      </c>
      <c r="D39" s="183">
        <v>205.01</v>
      </c>
      <c r="E39" s="183">
        <v>404.5</v>
      </c>
      <c r="F39"/>
    </row>
    <row r="40" spans="1:6" x14ac:dyDescent="0.25">
      <c r="A40" s="187">
        <v>44440</v>
      </c>
      <c r="B40" s="183">
        <v>53.47</v>
      </c>
      <c r="C40" s="183">
        <v>161.13999999999999</v>
      </c>
      <c r="D40" s="183">
        <v>227.39</v>
      </c>
      <c r="E40" s="183">
        <v>442</v>
      </c>
      <c r="F40"/>
    </row>
    <row r="41" spans="1:6" x14ac:dyDescent="0.25">
      <c r="A41" s="187">
        <v>44470</v>
      </c>
      <c r="B41" s="183">
        <v>44.63</v>
      </c>
      <c r="C41" s="183">
        <v>128.72</v>
      </c>
      <c r="D41" s="183">
        <v>193.64</v>
      </c>
      <c r="E41" s="183">
        <v>366.99</v>
      </c>
      <c r="F41"/>
    </row>
    <row r="42" spans="1:6" x14ac:dyDescent="0.25">
      <c r="A42" s="191">
        <v>44501</v>
      </c>
      <c r="B42" s="135">
        <v>44.48</v>
      </c>
      <c r="C42" s="135">
        <v>132.62</v>
      </c>
      <c r="D42" s="135">
        <v>210.9</v>
      </c>
      <c r="E42" s="135">
        <v>388</v>
      </c>
      <c r="F42"/>
    </row>
    <row r="43" spans="1:6" x14ac:dyDescent="0.25">
      <c r="A43" s="191">
        <v>44531</v>
      </c>
      <c r="B43" s="135">
        <v>40.880000000000003</v>
      </c>
      <c r="C43" s="135">
        <v>134.51</v>
      </c>
      <c r="D43" s="135">
        <v>210.6</v>
      </c>
      <c r="E43" s="135">
        <v>385.99</v>
      </c>
      <c r="F43"/>
    </row>
    <row r="44" spans="1:6" x14ac:dyDescent="0.25">
      <c r="A44" s="187" t="s">
        <v>55</v>
      </c>
      <c r="B44" s="135">
        <v>1528.3</v>
      </c>
      <c r="C44" s="135">
        <v>5727.4600000000019</v>
      </c>
      <c r="D44" s="135">
        <v>7393.71</v>
      </c>
      <c r="E44" s="135">
        <v>14649.469999999996</v>
      </c>
      <c r="F44"/>
    </row>
  </sheetData>
  <conditionalFormatting pivot="1" sqref="B3:B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:C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:D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3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DEE7-D90B-4A5A-AF72-913AE10193FA}">
  <dimension ref="A1:Y40"/>
  <sheetViews>
    <sheetView zoomScale="70" zoomScaleNormal="70" workbookViewId="0">
      <selection activeCell="E22" sqref="E22"/>
    </sheetView>
  </sheetViews>
  <sheetFormatPr baseColWidth="10" defaultRowHeight="15" x14ac:dyDescent="0.25"/>
  <cols>
    <col min="1" max="1" width="11.42578125" style="184"/>
  </cols>
  <sheetData>
    <row r="1" spans="1:25" x14ac:dyDescent="0.25">
      <c r="A1" s="184" t="str">
        <f>+'RECIBO DE LUZ'!A3</f>
        <v>MES</v>
      </c>
      <c r="B1" t="str">
        <f>+'RECIBO DE LUZ'!B3</f>
        <v>KWh S/.</v>
      </c>
      <c r="C1" t="str">
        <f>+'RECIBO DE LUZ'!C3</f>
        <v>LECTURA</v>
      </c>
      <c r="D1" t="str">
        <f>+'RECIBO DE LUZ'!D3</f>
        <v>VAR. LECTURA</v>
      </c>
      <c r="E1" t="str">
        <f>+'RECIBO DE LUZ'!E3</f>
        <v>REPOSICIÓN Y MANTENIM.</v>
      </c>
      <c r="F1" t="str">
        <f>+'RECIBO DE LUZ'!F3</f>
        <v>CARGO FIJO</v>
      </c>
      <c r="G1" t="str">
        <f>+'RECIBO DE LUZ'!G3</f>
        <v>CARGO ENERGIA</v>
      </c>
      <c r="H1" t="str">
        <f>+'RECIBO DE LUZ'!H3</f>
        <v>INTERES CONVENIO</v>
      </c>
      <c r="I1" t="str">
        <f>+'RECIBO DE LUZ'!I3</f>
        <v>ALUMBRADO PUBLICO</v>
      </c>
      <c r="J1" t="str">
        <f>+'RECIBO DE LUZ'!J3</f>
        <v>SUBTOTAL</v>
      </c>
      <c r="K1" t="str">
        <f>+'RECIBO DE LUZ'!K3</f>
        <v>IGV</v>
      </c>
      <c r="L1" t="str">
        <f>+'RECIBO DE LUZ'!L3</f>
        <v>TOTAL MES ACTUAL</v>
      </c>
      <c r="M1" t="str">
        <f>+'RECIBO DE LUZ'!M3</f>
        <v>APORTE DE LEY:</v>
      </c>
      <c r="N1" t="str">
        <f>+'RECIBO DE LUZ'!N3</f>
        <v>cuota de convenio</v>
      </c>
      <c r="O1" t="str">
        <f>+'RECIBO DE LUZ'!O3</f>
        <v>REDONDEO</v>
      </c>
      <c r="P1" t="str">
        <f>+'RECIBO DE LUZ'!P3</f>
        <v>REDONDEO 2</v>
      </c>
      <c r="Q1" t="str">
        <f>+'RECIBO DE LUZ'!Q3</f>
        <v>TOTAL A PAGAR :</v>
      </c>
      <c r="R1">
        <f>+'RECIBO DE LUZ'!R3</f>
        <v>0</v>
      </c>
      <c r="S1" t="str">
        <f>+'RECIBO DE LUZ'!S3</f>
        <v>CONSUMO DE ENERGIA ADICIONAL</v>
      </c>
      <c r="T1" t="str">
        <f>+'RECIBO DE LUZ'!T3</f>
        <v>C.E.A. INDIVID.</v>
      </c>
      <c r="U1">
        <f>+'RECIBO DE LUZ'!U3</f>
        <v>0</v>
      </c>
      <c r="V1" t="str">
        <f>+'RECIBO DE LUZ'!V3</f>
        <v>COR-Fus. o interr (s/r)</v>
      </c>
      <c r="W1" t="str">
        <f>+'RECIBO DE LUZ'!W3</f>
        <v>REP-Fus. o interrup(s/r)</v>
      </c>
      <c r="X1" t="str">
        <f>+'RECIBO DE LUZ'!X3</f>
        <v>Cambio precios 2017-2020</v>
      </c>
      <c r="Y1" t="str">
        <f>+'RECIBO DE LUZ'!Y3</f>
        <v>I.G.V. 18% Refact.</v>
      </c>
    </row>
    <row r="2" spans="1:25" x14ac:dyDescent="0.25">
      <c r="A2" s="184">
        <f>+'RECIBO DE LUZ'!A4</f>
        <v>43313</v>
      </c>
      <c r="B2">
        <f>+'RECIBO DE LUZ'!B4</f>
        <v>0.50760000000000005</v>
      </c>
      <c r="C2">
        <f>+'RECIBO DE LUZ'!C4</f>
        <v>1562</v>
      </c>
      <c r="D2">
        <f>+'RECIBO DE LUZ'!D4</f>
        <v>285</v>
      </c>
      <c r="E2">
        <f>+'RECIBO DE LUZ'!E4</f>
        <v>1.33</v>
      </c>
      <c r="F2">
        <f>+'RECIBO DE LUZ'!F4</f>
        <v>2.61</v>
      </c>
      <c r="G2">
        <f>+'RECIBO DE LUZ'!G4</f>
        <v>144.66600000000003</v>
      </c>
      <c r="H2">
        <f>+'RECIBO DE LUZ'!H4</f>
        <v>4.2699999999999996</v>
      </c>
      <c r="I2">
        <f>+'RECIBO DE LUZ'!I4</f>
        <v>11</v>
      </c>
      <c r="J2">
        <f>+'RECIBO DE LUZ'!J4</f>
        <v>163.87600000000003</v>
      </c>
      <c r="K2">
        <f>+'RECIBO DE LUZ'!K4</f>
        <v>29.497680000000006</v>
      </c>
      <c r="L2">
        <f>+'RECIBO DE LUZ'!L4</f>
        <v>193.37368000000004</v>
      </c>
      <c r="M2">
        <f>+'RECIBO DE LUZ'!M4</f>
        <v>2.37</v>
      </c>
      <c r="N2">
        <f>+'RECIBO DE LUZ'!N4</f>
        <v>34.61</v>
      </c>
      <c r="O2">
        <f>+'RECIBO DE LUZ'!O4</f>
        <v>0</v>
      </c>
      <c r="P2">
        <f>+'RECIBO DE LUZ'!P4</f>
        <v>0</v>
      </c>
      <c r="Q2">
        <f>+'RECIBO DE LUZ'!Q4</f>
        <v>230.35368000000005</v>
      </c>
      <c r="R2">
        <f>+'RECIBO DE LUZ'!R4</f>
        <v>0</v>
      </c>
      <c r="S2">
        <f>+'RECIBO DE LUZ'!S4</f>
        <v>85.68768</v>
      </c>
      <c r="T2">
        <f>+'RECIBO DE LUZ'!T4</f>
        <v>28.562560000000001</v>
      </c>
      <c r="U2">
        <f>+'RECIBO DE LUZ'!U4</f>
        <v>0</v>
      </c>
      <c r="V2">
        <f>+'RECIBO DE LUZ'!V4</f>
        <v>0</v>
      </c>
      <c r="W2">
        <f>+'RECIBO DE LUZ'!W4</f>
        <v>0</v>
      </c>
      <c r="X2">
        <f>+'RECIBO DE LUZ'!X4</f>
        <v>0</v>
      </c>
      <c r="Y2">
        <f>+'RECIBO DE LUZ'!Y4</f>
        <v>0</v>
      </c>
    </row>
    <row r="3" spans="1:25" x14ac:dyDescent="0.25">
      <c r="A3" s="184">
        <f>+'RECIBO DE LUZ'!A5</f>
        <v>43344</v>
      </c>
      <c r="B3">
        <f>+'RECIBO DE LUZ'!B5</f>
        <v>0.50729999999999997</v>
      </c>
      <c r="C3">
        <f>+'RECIBO DE LUZ'!C5</f>
        <v>1859</v>
      </c>
      <c r="D3">
        <f>+'RECIBO DE LUZ'!D5</f>
        <v>297</v>
      </c>
      <c r="E3">
        <f>+'RECIBO DE LUZ'!E5</f>
        <v>1.33</v>
      </c>
      <c r="F3">
        <f>+'RECIBO DE LUZ'!F5</f>
        <v>2.61</v>
      </c>
      <c r="G3">
        <f>+'RECIBO DE LUZ'!G5</f>
        <v>150.66809999999998</v>
      </c>
      <c r="H3">
        <f>+'RECIBO DE LUZ'!H5</f>
        <v>3.86</v>
      </c>
      <c r="I3">
        <f>+'RECIBO DE LUZ'!I5</f>
        <v>12</v>
      </c>
      <c r="J3">
        <f>+'RECIBO DE LUZ'!J5</f>
        <v>170.46809999999999</v>
      </c>
      <c r="K3">
        <f>+'RECIBO DE LUZ'!K5</f>
        <v>30.684257999999996</v>
      </c>
      <c r="L3">
        <f>+'RECIBO DE LUZ'!L5</f>
        <v>201.15235799999999</v>
      </c>
      <c r="M3">
        <f>+'RECIBO DE LUZ'!M5</f>
        <v>2.4700000000000002</v>
      </c>
      <c r="N3">
        <f>+'RECIBO DE LUZ'!N5</f>
        <v>35.020000000000003</v>
      </c>
      <c r="O3">
        <f>+'RECIBO DE LUZ'!O5</f>
        <v>0</v>
      </c>
      <c r="P3">
        <f>+'RECIBO DE LUZ'!P5</f>
        <v>0</v>
      </c>
      <c r="Q3">
        <f>+'RECIBO DE LUZ'!Q5</f>
        <v>238.642358</v>
      </c>
      <c r="R3">
        <f>+'RECIBO DE LUZ'!R5</f>
        <v>0</v>
      </c>
      <c r="S3">
        <f>+'RECIBO DE LUZ'!S5</f>
        <v>87.974257999999992</v>
      </c>
      <c r="T3">
        <f>+'RECIBO DE LUZ'!T5</f>
        <v>29.324752666666665</v>
      </c>
      <c r="U3">
        <f>+'RECIBO DE LUZ'!U5</f>
        <v>0</v>
      </c>
      <c r="V3">
        <f>+'RECIBO DE LUZ'!V5</f>
        <v>0</v>
      </c>
      <c r="W3">
        <f>+'RECIBO DE LUZ'!W5</f>
        <v>0</v>
      </c>
      <c r="X3">
        <f>+'RECIBO DE LUZ'!X5</f>
        <v>0</v>
      </c>
      <c r="Y3">
        <f>+'RECIBO DE LUZ'!Y5</f>
        <v>0</v>
      </c>
    </row>
    <row r="4" spans="1:25" x14ac:dyDescent="0.25">
      <c r="A4" s="184">
        <f>+'RECIBO DE LUZ'!A6</f>
        <v>43374</v>
      </c>
      <c r="B4">
        <f>+'RECIBO DE LUZ'!B6</f>
        <v>0.50729999999999997</v>
      </c>
      <c r="C4">
        <f>+'RECIBO DE LUZ'!C6</f>
        <v>2235</v>
      </c>
      <c r="D4">
        <f>+'RECIBO DE LUZ'!D6</f>
        <v>376</v>
      </c>
      <c r="E4">
        <f>+'RECIBO DE LUZ'!E6</f>
        <v>1.33</v>
      </c>
      <c r="F4">
        <f>+'RECIBO DE LUZ'!F6</f>
        <v>2.61</v>
      </c>
      <c r="G4">
        <f>+'RECIBO DE LUZ'!G6</f>
        <v>190.7448</v>
      </c>
      <c r="H4">
        <f>+'RECIBO DE LUZ'!H6</f>
        <v>3.46</v>
      </c>
      <c r="I4">
        <f>+'RECIBO DE LUZ'!I6</f>
        <v>14.35</v>
      </c>
      <c r="J4">
        <f>+'RECIBO DE LUZ'!J6</f>
        <v>212.4948</v>
      </c>
      <c r="K4">
        <f>+'RECIBO DE LUZ'!K6</f>
        <v>38.249063999999997</v>
      </c>
      <c r="L4">
        <f>+'RECIBO DE LUZ'!L6</f>
        <v>250.743864</v>
      </c>
      <c r="M4">
        <f>+'RECIBO DE LUZ'!M6</f>
        <v>3.12</v>
      </c>
      <c r="N4">
        <f>+'RECIBO DE LUZ'!N6</f>
        <v>35.42</v>
      </c>
      <c r="O4">
        <f>+'RECIBO DE LUZ'!O6</f>
        <v>0</v>
      </c>
      <c r="P4">
        <f>+'RECIBO DE LUZ'!P6</f>
        <v>0</v>
      </c>
      <c r="Q4">
        <f>+'RECIBO DE LUZ'!Q6</f>
        <v>289.28386399999999</v>
      </c>
      <c r="R4">
        <f>+'RECIBO DE LUZ'!R6</f>
        <v>0</v>
      </c>
      <c r="S4">
        <f>+'RECIBO DE LUZ'!S6</f>
        <v>98.539063999999996</v>
      </c>
      <c r="T4">
        <f>+'RECIBO DE LUZ'!T6</f>
        <v>32.846354666666663</v>
      </c>
      <c r="U4">
        <f>+'RECIBO DE LUZ'!U6</f>
        <v>0</v>
      </c>
      <c r="V4">
        <f>+'RECIBO DE LUZ'!V6</f>
        <v>0</v>
      </c>
      <c r="W4">
        <f>+'RECIBO DE LUZ'!W6</f>
        <v>0</v>
      </c>
      <c r="X4">
        <f>+'RECIBO DE LUZ'!X6</f>
        <v>0</v>
      </c>
      <c r="Y4">
        <f>+'RECIBO DE LUZ'!Y6</f>
        <v>0</v>
      </c>
    </row>
    <row r="5" spans="1:25" x14ac:dyDescent="0.25">
      <c r="A5" s="184">
        <f>+'RECIBO DE LUZ'!A7</f>
        <v>43405</v>
      </c>
      <c r="B5">
        <f>+'RECIBO DE LUZ'!B7</f>
        <v>0.50570000000000004</v>
      </c>
      <c r="C5">
        <f>+'RECIBO DE LUZ'!C7</f>
        <v>2620</v>
      </c>
      <c r="D5">
        <f>+'RECIBO DE LUZ'!D7</f>
        <v>385</v>
      </c>
      <c r="E5">
        <f>+'RECIBO DE LUZ'!E7</f>
        <v>1.33</v>
      </c>
      <c r="F5">
        <f>+'RECIBO DE LUZ'!F7</f>
        <v>2.64</v>
      </c>
      <c r="G5">
        <f>+'RECIBO DE LUZ'!G7</f>
        <v>194.69450000000001</v>
      </c>
      <c r="H5">
        <f>+'RECIBO DE LUZ'!H7</f>
        <v>3.04</v>
      </c>
      <c r="I5">
        <f>+'RECIBO DE LUZ'!I7</f>
        <v>11.55</v>
      </c>
      <c r="J5">
        <f>+'RECIBO DE LUZ'!J7</f>
        <v>213.25450000000001</v>
      </c>
      <c r="K5">
        <f>+'RECIBO DE LUZ'!K7</f>
        <v>38.385809999999999</v>
      </c>
      <c r="L5">
        <f>+'RECIBO DE LUZ'!L7</f>
        <v>251.64031</v>
      </c>
      <c r="M5">
        <f>+'RECIBO DE LUZ'!M7</f>
        <v>3.2</v>
      </c>
      <c r="N5">
        <f>+'RECIBO DE LUZ'!N7</f>
        <v>35.840000000000003</v>
      </c>
      <c r="O5">
        <f>+'RECIBO DE LUZ'!O7</f>
        <v>0</v>
      </c>
      <c r="P5">
        <f>+'RECIBO DE LUZ'!P7</f>
        <v>0</v>
      </c>
      <c r="Q5">
        <f>+'RECIBO DE LUZ'!Q7</f>
        <v>290.68030999999996</v>
      </c>
      <c r="R5">
        <f>+'RECIBO DE LUZ'!R7</f>
        <v>0</v>
      </c>
      <c r="S5">
        <f>+'RECIBO DE LUZ'!S7</f>
        <v>95.985810000000015</v>
      </c>
      <c r="T5">
        <f>+'RECIBO DE LUZ'!T7</f>
        <v>31.995270000000005</v>
      </c>
      <c r="U5">
        <f>+'RECIBO DE LUZ'!U7</f>
        <v>0</v>
      </c>
      <c r="V5">
        <f>+'RECIBO DE LUZ'!V7</f>
        <v>0</v>
      </c>
      <c r="W5">
        <f>+'RECIBO DE LUZ'!W7</f>
        <v>0</v>
      </c>
      <c r="X5">
        <f>+'RECIBO DE LUZ'!X7</f>
        <v>0</v>
      </c>
      <c r="Y5">
        <f>+'RECIBO DE LUZ'!Y7</f>
        <v>0</v>
      </c>
    </row>
    <row r="6" spans="1:25" x14ac:dyDescent="0.25">
      <c r="A6" s="184">
        <f>+'RECIBO DE LUZ'!A8</f>
        <v>43435</v>
      </c>
      <c r="B6">
        <f>+'RECIBO DE LUZ'!B8</f>
        <v>0.50719999999999998</v>
      </c>
      <c r="C6">
        <f>+'RECIBO DE LUZ'!C8</f>
        <v>3036</v>
      </c>
      <c r="D6">
        <f>+'RECIBO DE LUZ'!D8</f>
        <v>416</v>
      </c>
      <c r="E6">
        <f>+'RECIBO DE LUZ'!E8</f>
        <v>1.35</v>
      </c>
      <c r="F6">
        <f>+'RECIBO DE LUZ'!F8</f>
        <v>2.69</v>
      </c>
      <c r="G6">
        <f>+'RECIBO DE LUZ'!G8</f>
        <v>210.99519999999998</v>
      </c>
      <c r="H6">
        <f>+'RECIBO DE LUZ'!H8</f>
        <v>2.62</v>
      </c>
      <c r="I6">
        <f>+'RECIBO DE LUZ'!I8</f>
        <v>11.9</v>
      </c>
      <c r="J6">
        <f>+'RECIBO DE LUZ'!J8</f>
        <v>229.55519999999999</v>
      </c>
      <c r="K6">
        <f>+'RECIBO DE LUZ'!K8</f>
        <v>41.319935999999998</v>
      </c>
      <c r="L6">
        <f>+'RECIBO DE LUZ'!L8</f>
        <v>270.875136</v>
      </c>
      <c r="M6">
        <f>+'RECIBO DE LUZ'!M8</f>
        <v>3.45</v>
      </c>
      <c r="N6">
        <f>+'RECIBO DE LUZ'!N8</f>
        <v>36.26</v>
      </c>
      <c r="O6">
        <f>+'RECIBO DE LUZ'!O8</f>
        <v>0</v>
      </c>
      <c r="P6">
        <f>+'RECIBO DE LUZ'!P8</f>
        <v>0</v>
      </c>
      <c r="Q6">
        <f>+'RECIBO DE LUZ'!Q8</f>
        <v>310.58513599999998</v>
      </c>
      <c r="R6">
        <f>+'RECIBO DE LUZ'!R8</f>
        <v>0</v>
      </c>
      <c r="S6">
        <f>+'RECIBO DE LUZ'!S8</f>
        <v>99.589935999999994</v>
      </c>
      <c r="T6">
        <f>+'RECIBO DE LUZ'!T8</f>
        <v>33.196645333333329</v>
      </c>
      <c r="U6">
        <f>+'RECIBO DE LUZ'!U8</f>
        <v>0</v>
      </c>
      <c r="V6">
        <f>+'RECIBO DE LUZ'!V8</f>
        <v>0</v>
      </c>
      <c r="W6">
        <f>+'RECIBO DE LUZ'!W8</f>
        <v>0</v>
      </c>
      <c r="X6">
        <f>+'RECIBO DE LUZ'!X8</f>
        <v>0</v>
      </c>
      <c r="Y6">
        <f>+'RECIBO DE LUZ'!Y8</f>
        <v>0</v>
      </c>
    </row>
    <row r="7" spans="1:25" x14ac:dyDescent="0.25">
      <c r="A7" s="184">
        <f>+'RECIBO DE LUZ'!A9</f>
        <v>43466</v>
      </c>
      <c r="B7">
        <f>+'RECIBO DE LUZ'!B9</f>
        <v>0.5282</v>
      </c>
      <c r="C7">
        <f>+'RECIBO DE LUZ'!C9</f>
        <v>3586</v>
      </c>
      <c r="D7">
        <f>+'RECIBO DE LUZ'!D9</f>
        <v>550</v>
      </c>
      <c r="E7">
        <f>+'RECIBO DE LUZ'!E9</f>
        <v>1.35</v>
      </c>
      <c r="F7">
        <f>+'RECIBO DE LUZ'!F9</f>
        <v>2.69</v>
      </c>
      <c r="G7">
        <f>+'RECIBO DE LUZ'!G9</f>
        <v>290.51</v>
      </c>
      <c r="H7">
        <f>+'RECIBO DE LUZ'!H9</f>
        <v>2.62</v>
      </c>
      <c r="I7">
        <f>+'RECIBO DE LUZ'!I9</f>
        <v>11.9</v>
      </c>
      <c r="J7">
        <f>+'RECIBO DE LUZ'!J9</f>
        <v>309.07</v>
      </c>
      <c r="K7">
        <f>+'RECIBO DE LUZ'!K9</f>
        <v>41.319935999999998</v>
      </c>
      <c r="L7">
        <f>+'RECIBO DE LUZ'!L9</f>
        <v>270.875136</v>
      </c>
      <c r="M7">
        <f>+'RECIBO DE LUZ'!M9</f>
        <v>3.45</v>
      </c>
      <c r="N7">
        <f>+'RECIBO DE LUZ'!N9</f>
        <v>36.26</v>
      </c>
      <c r="O7">
        <f>+'RECIBO DE LUZ'!O9</f>
        <v>0</v>
      </c>
      <c r="P7">
        <f>+'RECIBO DE LUZ'!P9</f>
        <v>0</v>
      </c>
      <c r="Q7">
        <f>+'RECIBO DE LUZ'!Q9</f>
        <v>310.58513599999998</v>
      </c>
      <c r="R7">
        <f>+'RECIBO DE LUZ'!R9</f>
        <v>0</v>
      </c>
      <c r="S7">
        <f>+'RECIBO DE LUZ'!S9</f>
        <v>99.589935999999994</v>
      </c>
      <c r="T7">
        <f>+'RECIBO DE LUZ'!T9</f>
        <v>33.196645333333329</v>
      </c>
      <c r="U7">
        <f>+'RECIBO DE LUZ'!U9</f>
        <v>0</v>
      </c>
      <c r="V7">
        <f>+'RECIBO DE LUZ'!V9</f>
        <v>0</v>
      </c>
      <c r="W7">
        <f>+'RECIBO DE LUZ'!W9</f>
        <v>0</v>
      </c>
      <c r="X7">
        <f>+'RECIBO DE LUZ'!X9</f>
        <v>0</v>
      </c>
      <c r="Y7">
        <f>+'RECIBO DE LUZ'!Y9</f>
        <v>0</v>
      </c>
    </row>
    <row r="8" spans="1:25" x14ac:dyDescent="0.25">
      <c r="A8" s="184">
        <f>+'RECIBO DE LUZ'!A10</f>
        <v>43497</v>
      </c>
      <c r="B8">
        <f>+'RECIBO DE LUZ'!B10</f>
        <v>0.5282</v>
      </c>
      <c r="C8">
        <f>+'RECIBO DE LUZ'!C10</f>
        <v>4099</v>
      </c>
      <c r="D8">
        <f>+'RECIBO DE LUZ'!D10</f>
        <v>513</v>
      </c>
      <c r="E8">
        <f>+'RECIBO DE LUZ'!E10</f>
        <v>1.35</v>
      </c>
      <c r="F8">
        <f>+'RECIBO DE LUZ'!F10</f>
        <v>2.69</v>
      </c>
      <c r="G8">
        <f>+'RECIBO DE LUZ'!G10</f>
        <v>270.96660000000003</v>
      </c>
      <c r="H8">
        <f>+'RECIBO DE LUZ'!H10</f>
        <v>1.77</v>
      </c>
      <c r="I8">
        <f>+'RECIBO DE LUZ'!I10</f>
        <v>33.6</v>
      </c>
      <c r="J8">
        <f>+'RECIBO DE LUZ'!J10</f>
        <v>310.37660000000005</v>
      </c>
      <c r="K8">
        <f>+'RECIBO DE LUZ'!K10</f>
        <v>55.867788000000004</v>
      </c>
      <c r="L8">
        <f>+'RECIBO DE LUZ'!L10</f>
        <v>366.24438800000007</v>
      </c>
      <c r="M8">
        <f>+'RECIBO DE LUZ'!M10</f>
        <v>4.3099999999999996</v>
      </c>
      <c r="N8">
        <f>+'RECIBO DE LUZ'!N10</f>
        <v>37.11</v>
      </c>
      <c r="O8">
        <f>+'RECIBO DE LUZ'!O10</f>
        <v>0</v>
      </c>
      <c r="P8">
        <f>+'RECIBO DE LUZ'!P10</f>
        <v>0</v>
      </c>
      <c r="Q8">
        <f>+'RECIBO DE LUZ'!Q10</f>
        <v>407.66438800000009</v>
      </c>
      <c r="R8">
        <f>+'RECIBO DE LUZ'!R10</f>
        <v>0</v>
      </c>
      <c r="S8">
        <f>+'RECIBO DE LUZ'!S10</f>
        <v>136.697788</v>
      </c>
      <c r="T8">
        <f>+'RECIBO DE LUZ'!T10</f>
        <v>45.565929333333337</v>
      </c>
      <c r="U8">
        <f>+'RECIBO DE LUZ'!U10</f>
        <v>0</v>
      </c>
      <c r="V8">
        <f>+'RECIBO DE LUZ'!V10</f>
        <v>0</v>
      </c>
      <c r="W8">
        <f>+'RECIBO DE LUZ'!W10</f>
        <v>0</v>
      </c>
      <c r="X8">
        <f>+'RECIBO DE LUZ'!X10</f>
        <v>0</v>
      </c>
      <c r="Y8">
        <f>+'RECIBO DE LUZ'!Y10</f>
        <v>0</v>
      </c>
    </row>
    <row r="9" spans="1:25" x14ac:dyDescent="0.25">
      <c r="A9" s="184">
        <f>+'RECIBO DE LUZ'!A11</f>
        <v>43525</v>
      </c>
      <c r="B9">
        <f>+'RECIBO DE LUZ'!B11</f>
        <v>0.53490000000000004</v>
      </c>
      <c r="C9">
        <f>+'RECIBO DE LUZ'!C11</f>
        <v>4617</v>
      </c>
      <c r="D9">
        <f>+'RECIBO DE LUZ'!D11</f>
        <v>518</v>
      </c>
      <c r="E9">
        <f>+'RECIBO DE LUZ'!E11</f>
        <v>1.35</v>
      </c>
      <c r="F9">
        <f>+'RECIBO DE LUZ'!F11</f>
        <v>2.69</v>
      </c>
      <c r="G9">
        <f>+'RECIBO DE LUZ'!G11</f>
        <v>277.07820000000004</v>
      </c>
      <c r="H9">
        <f>+'RECIBO DE LUZ'!H11</f>
        <v>1.33</v>
      </c>
      <c r="I9">
        <f>+'RECIBO DE LUZ'!I11</f>
        <v>23.8</v>
      </c>
      <c r="J9">
        <f>+'RECIBO DE LUZ'!J11</f>
        <v>306.24820000000005</v>
      </c>
      <c r="K9">
        <f>+'RECIBO DE LUZ'!K11</f>
        <v>55.124676000000008</v>
      </c>
      <c r="L9">
        <f>+'RECIBO DE LUZ'!L11</f>
        <v>361.37287600000008</v>
      </c>
      <c r="M9">
        <f>+'RECIBO DE LUZ'!M11</f>
        <v>4.3099999999999996</v>
      </c>
      <c r="N9">
        <f>+'RECIBO DE LUZ'!N11</f>
        <v>37.11</v>
      </c>
      <c r="O9">
        <f>+'RECIBO DE LUZ'!O11</f>
        <v>0</v>
      </c>
      <c r="P9">
        <f>+'RECIBO DE LUZ'!P11</f>
        <v>0</v>
      </c>
      <c r="Q9">
        <f>+'RECIBO DE LUZ'!Q11</f>
        <v>402.79287600000009</v>
      </c>
      <c r="R9">
        <f>+'RECIBO DE LUZ'!R11</f>
        <v>0</v>
      </c>
      <c r="S9">
        <f>+'RECIBO DE LUZ'!S11</f>
        <v>125.71467600000001</v>
      </c>
      <c r="T9">
        <f>+'RECIBO DE LUZ'!T11</f>
        <v>41.904892000000004</v>
      </c>
      <c r="U9">
        <f>+'RECIBO DE LUZ'!U11</f>
        <v>0</v>
      </c>
      <c r="V9">
        <f>+'RECIBO DE LUZ'!V11</f>
        <v>0</v>
      </c>
      <c r="W9">
        <f>+'RECIBO DE LUZ'!W11</f>
        <v>0</v>
      </c>
      <c r="X9">
        <f>+'RECIBO DE LUZ'!X11</f>
        <v>0</v>
      </c>
      <c r="Y9">
        <f>+'RECIBO DE LUZ'!Y11</f>
        <v>0</v>
      </c>
    </row>
    <row r="10" spans="1:25" x14ac:dyDescent="0.25">
      <c r="A10" s="184">
        <f>+'RECIBO DE LUZ'!A12</f>
        <v>43556</v>
      </c>
      <c r="B10">
        <f>+'RECIBO DE LUZ'!B12</f>
        <v>0.53410000000000002</v>
      </c>
      <c r="C10">
        <f>+'RECIBO DE LUZ'!C12</f>
        <v>5051</v>
      </c>
      <c r="D10">
        <f>+'RECIBO DE LUZ'!D12</f>
        <v>434</v>
      </c>
      <c r="E10">
        <f>+'RECIBO DE LUZ'!E12</f>
        <v>1.35</v>
      </c>
      <c r="F10">
        <f>+'RECIBO DE LUZ'!F12</f>
        <v>2.68</v>
      </c>
      <c r="G10">
        <f>+'RECIBO DE LUZ'!G12</f>
        <v>231.79940000000002</v>
      </c>
      <c r="H10">
        <f>+'RECIBO DE LUZ'!H12</f>
        <v>0.89</v>
      </c>
      <c r="I10">
        <f>+'RECIBO DE LUZ'!I12</f>
        <v>15.4</v>
      </c>
      <c r="J10">
        <f>+'RECIBO DE LUZ'!J12</f>
        <v>252.11940000000001</v>
      </c>
      <c r="K10">
        <f>+'RECIBO DE LUZ'!K12</f>
        <v>45.381492000000001</v>
      </c>
      <c r="L10">
        <f>+'RECIBO DE LUZ'!L12</f>
        <v>297.50089200000002</v>
      </c>
      <c r="M10">
        <f>+'RECIBO DE LUZ'!M12</f>
        <v>3.65</v>
      </c>
      <c r="N10">
        <f>+'RECIBO DE LUZ'!N12</f>
        <v>37.99</v>
      </c>
      <c r="O10">
        <f>+'RECIBO DE LUZ'!O12</f>
        <v>0</v>
      </c>
      <c r="P10">
        <f>+'RECIBO DE LUZ'!P12</f>
        <v>0</v>
      </c>
      <c r="Q10">
        <f>+'RECIBO DE LUZ'!Q12</f>
        <v>339.14089200000001</v>
      </c>
      <c r="R10">
        <f>+'RECIBO DE LUZ'!R12</f>
        <v>0</v>
      </c>
      <c r="S10">
        <f>+'RECIBO DE LUZ'!S12</f>
        <v>107.34149200000002</v>
      </c>
      <c r="T10">
        <f>+'RECIBO DE LUZ'!T12</f>
        <v>35.780497333333336</v>
      </c>
      <c r="U10">
        <f>+'RECIBO DE LUZ'!U12</f>
        <v>0</v>
      </c>
      <c r="V10">
        <f>+'RECIBO DE LUZ'!V12</f>
        <v>0</v>
      </c>
      <c r="W10">
        <f>+'RECIBO DE LUZ'!W12</f>
        <v>0</v>
      </c>
      <c r="X10">
        <f>+'RECIBO DE LUZ'!X12</f>
        <v>0</v>
      </c>
      <c r="Y10">
        <f>+'RECIBO DE LUZ'!Y12</f>
        <v>0</v>
      </c>
    </row>
    <row r="11" spans="1:25" x14ac:dyDescent="0.25">
      <c r="A11" s="184">
        <f>+'RECIBO DE LUZ'!A13</f>
        <v>43586</v>
      </c>
      <c r="B11">
        <f>+'RECIBO DE LUZ'!B13</f>
        <v>0.53369999999999995</v>
      </c>
      <c r="C11">
        <f>+'RECIBO DE LUZ'!C13</f>
        <v>5500</v>
      </c>
      <c r="D11">
        <f>+'RECIBO DE LUZ'!D13</f>
        <v>449</v>
      </c>
      <c r="E11">
        <f>+'RECIBO DE LUZ'!E13</f>
        <v>1.35</v>
      </c>
      <c r="F11">
        <f>+'RECIBO DE LUZ'!F13</f>
        <v>2.68</v>
      </c>
      <c r="G11">
        <f>+'RECIBO DE LUZ'!G13</f>
        <v>239.63129999999998</v>
      </c>
      <c r="H11">
        <f>+'RECIBO DE LUZ'!H13</f>
        <v>0.43</v>
      </c>
      <c r="I11">
        <f>+'RECIBO DE LUZ'!I13</f>
        <v>12.95</v>
      </c>
      <c r="J11">
        <f>+'RECIBO DE LUZ'!J13</f>
        <v>257.04129999999998</v>
      </c>
      <c r="K11">
        <f>+'RECIBO DE LUZ'!K13</f>
        <v>46.267433999999994</v>
      </c>
      <c r="L11">
        <f>+'RECIBO DE LUZ'!L13</f>
        <v>303.30873399999996</v>
      </c>
      <c r="M11">
        <f>+'RECIBO DE LUZ'!M13</f>
        <v>3.77</v>
      </c>
      <c r="N11">
        <f>+'RECIBO DE LUZ'!N13</f>
        <v>38.450000000000003</v>
      </c>
      <c r="O11">
        <f>+'RECIBO DE LUZ'!O13</f>
        <v>0</v>
      </c>
      <c r="P11">
        <f>+'RECIBO DE LUZ'!P13</f>
        <v>0</v>
      </c>
      <c r="Q11">
        <f>+'RECIBO DE LUZ'!Q13</f>
        <v>345.52873399999993</v>
      </c>
      <c r="R11">
        <f>+'RECIBO DE LUZ'!R13</f>
        <v>0</v>
      </c>
      <c r="S11">
        <f>+'RECIBO DE LUZ'!S13</f>
        <v>105.89743399999999</v>
      </c>
      <c r="T11">
        <f>+'RECIBO DE LUZ'!T13</f>
        <v>35.299144666666663</v>
      </c>
      <c r="U11">
        <f>+'RECIBO DE LUZ'!U13</f>
        <v>0</v>
      </c>
      <c r="V11">
        <f>+'RECIBO DE LUZ'!V13</f>
        <v>0</v>
      </c>
      <c r="W11">
        <f>+'RECIBO DE LUZ'!W13</f>
        <v>0</v>
      </c>
      <c r="X11">
        <f>+'RECIBO DE LUZ'!X13</f>
        <v>0</v>
      </c>
      <c r="Y11">
        <f>+'RECIBO DE LUZ'!Y13</f>
        <v>0</v>
      </c>
    </row>
    <row r="12" spans="1:25" x14ac:dyDescent="0.25">
      <c r="A12" s="184">
        <f>+'RECIBO DE LUZ'!A14</f>
        <v>43617</v>
      </c>
      <c r="B12">
        <f>+'RECIBO DE LUZ'!B14</f>
        <v>0.53320000000000001</v>
      </c>
      <c r="C12">
        <f>+'RECIBO DE LUZ'!C14</f>
        <v>5888</v>
      </c>
      <c r="D12">
        <f>+'RECIBO DE LUZ'!D14</f>
        <v>388</v>
      </c>
      <c r="E12">
        <f>+'RECIBO DE LUZ'!E14</f>
        <v>1.35</v>
      </c>
      <c r="F12">
        <f>+'RECIBO DE LUZ'!F14</f>
        <v>2.68</v>
      </c>
      <c r="G12">
        <f>+'RECIBO DE LUZ'!G14</f>
        <v>206.88159999999999</v>
      </c>
      <c r="H12">
        <f>+'RECIBO DE LUZ'!H14</f>
        <v>0</v>
      </c>
      <c r="I12">
        <f>+'RECIBO DE LUZ'!I14</f>
        <v>14</v>
      </c>
      <c r="J12">
        <f>+'RECIBO DE LUZ'!J14</f>
        <v>224.91159999999999</v>
      </c>
      <c r="K12">
        <f>+'RECIBO DE LUZ'!K14</f>
        <v>40.484088</v>
      </c>
      <c r="L12">
        <f>+'RECIBO DE LUZ'!L14</f>
        <v>265.39568800000001</v>
      </c>
      <c r="M12">
        <f>+'RECIBO DE LUZ'!M14</f>
        <v>3.26</v>
      </c>
      <c r="N12">
        <f>+'RECIBO DE LUZ'!N14</f>
        <v>0</v>
      </c>
      <c r="O12">
        <f>+'RECIBO DE LUZ'!O14</f>
        <v>0</v>
      </c>
      <c r="P12">
        <f>+'RECIBO DE LUZ'!P14</f>
        <v>0</v>
      </c>
      <c r="Q12">
        <f>+'RECIBO DE LUZ'!Q14</f>
        <v>268.655688</v>
      </c>
      <c r="R12">
        <f>+'RECIBO DE LUZ'!R14</f>
        <v>0</v>
      </c>
      <c r="S12">
        <f>+'RECIBO DE LUZ'!S14</f>
        <v>61.774087999999999</v>
      </c>
      <c r="T12">
        <f>+'RECIBO DE LUZ'!T14</f>
        <v>20.591362666666665</v>
      </c>
      <c r="U12">
        <f>+'RECIBO DE LUZ'!U14</f>
        <v>0</v>
      </c>
      <c r="V12">
        <f>+'RECIBO DE LUZ'!V14</f>
        <v>0</v>
      </c>
      <c r="W12">
        <f>+'RECIBO DE LUZ'!W14</f>
        <v>0</v>
      </c>
      <c r="X12">
        <f>+'RECIBO DE LUZ'!X14</f>
        <v>0</v>
      </c>
      <c r="Y12">
        <f>+'RECIBO DE LUZ'!Y14</f>
        <v>0</v>
      </c>
    </row>
    <row r="13" spans="1:25" x14ac:dyDescent="0.25">
      <c r="A13" s="184">
        <f>+'RECIBO DE LUZ'!A15</f>
        <v>43647</v>
      </c>
      <c r="B13">
        <f>+'RECIBO DE LUZ'!B15</f>
        <v>0.53349999999999997</v>
      </c>
      <c r="C13">
        <f>+'RECIBO DE LUZ'!C15</f>
        <v>6294</v>
      </c>
      <c r="D13">
        <f>+'RECIBO DE LUZ'!D15</f>
        <v>406</v>
      </c>
      <c r="E13">
        <f>+'RECIBO DE LUZ'!E15</f>
        <v>1.35</v>
      </c>
      <c r="F13">
        <f>+'RECIBO DE LUZ'!F15</f>
        <v>2.68</v>
      </c>
      <c r="G13">
        <f>+'RECIBO DE LUZ'!G15</f>
        <v>216.601</v>
      </c>
      <c r="H13">
        <f>+'RECIBO DE LUZ'!H15</f>
        <v>0</v>
      </c>
      <c r="I13">
        <f>+'RECIBO DE LUZ'!I15</f>
        <v>16.8</v>
      </c>
      <c r="J13">
        <f>+'RECIBO DE LUZ'!J15</f>
        <v>237.43100000000001</v>
      </c>
      <c r="K13">
        <f>+'RECIBO DE LUZ'!K15</f>
        <v>42.737580000000001</v>
      </c>
      <c r="L13">
        <f>+'RECIBO DE LUZ'!L15</f>
        <v>280.16858000000002</v>
      </c>
      <c r="M13">
        <f>+'RECIBO DE LUZ'!M15</f>
        <v>3.41</v>
      </c>
      <c r="N13">
        <f>+'RECIBO DE LUZ'!N15</f>
        <v>0</v>
      </c>
      <c r="O13">
        <f>+'RECIBO DE LUZ'!O15</f>
        <v>0</v>
      </c>
      <c r="P13">
        <f>+'RECIBO DE LUZ'!P15</f>
        <v>0</v>
      </c>
      <c r="Q13">
        <f>+'RECIBO DE LUZ'!Q15</f>
        <v>283.57858000000004</v>
      </c>
      <c r="R13">
        <f>+'RECIBO DE LUZ'!R15</f>
        <v>0</v>
      </c>
      <c r="S13">
        <f>+'RECIBO DE LUZ'!S15</f>
        <v>66.977580000000003</v>
      </c>
      <c r="T13">
        <f>+'RECIBO DE LUZ'!T15</f>
        <v>22.325860000000002</v>
      </c>
      <c r="U13">
        <f>+'RECIBO DE LUZ'!U15</f>
        <v>0</v>
      </c>
      <c r="V13">
        <f>+'RECIBO DE LUZ'!V15</f>
        <v>0</v>
      </c>
      <c r="W13">
        <f>+'RECIBO DE LUZ'!W15</f>
        <v>0</v>
      </c>
      <c r="X13">
        <f>+'RECIBO DE LUZ'!X15</f>
        <v>0</v>
      </c>
      <c r="Y13">
        <f>+'RECIBO DE LUZ'!Y15</f>
        <v>0</v>
      </c>
    </row>
    <row r="14" spans="1:25" x14ac:dyDescent="0.25">
      <c r="A14" s="184">
        <f>+'RECIBO DE LUZ'!A16</f>
        <v>43678</v>
      </c>
      <c r="B14">
        <f>+'RECIBO DE LUZ'!B16</f>
        <v>0.53100000000000003</v>
      </c>
      <c r="C14">
        <f>+'RECIBO DE LUZ'!C16</f>
        <v>6726</v>
      </c>
      <c r="D14">
        <f>+'RECIBO DE LUZ'!D16</f>
        <v>432</v>
      </c>
      <c r="E14">
        <f>+'RECIBO DE LUZ'!E16</f>
        <v>1.35</v>
      </c>
      <c r="F14">
        <f>+'RECIBO DE LUZ'!F16</f>
        <v>2.68</v>
      </c>
      <c r="G14">
        <f>+'RECIBO DE LUZ'!G16</f>
        <v>229.39200000000002</v>
      </c>
      <c r="H14">
        <f>+'RECIBO DE LUZ'!H16</f>
        <v>0</v>
      </c>
      <c r="I14">
        <f>+'RECIBO DE LUZ'!I16</f>
        <v>17.5</v>
      </c>
      <c r="J14">
        <f>+'RECIBO DE LUZ'!J16</f>
        <v>250.92200000000003</v>
      </c>
      <c r="K14">
        <f>+'RECIBO DE LUZ'!K16</f>
        <v>45.165960000000005</v>
      </c>
      <c r="L14">
        <f>+'RECIBO DE LUZ'!L16</f>
        <v>296.08796000000001</v>
      </c>
      <c r="M14">
        <f>+'RECIBO DE LUZ'!M16</f>
        <v>3.63</v>
      </c>
      <c r="N14">
        <f>+'RECIBO DE LUZ'!N16</f>
        <v>0</v>
      </c>
      <c r="O14">
        <f>+'RECIBO DE LUZ'!O16</f>
        <v>0</v>
      </c>
      <c r="P14">
        <f>+'RECIBO DE LUZ'!P16</f>
        <v>0</v>
      </c>
      <c r="Q14">
        <f>+'RECIBO DE LUZ'!Q16</f>
        <v>299.71796000000001</v>
      </c>
      <c r="R14">
        <f>+'RECIBO DE LUZ'!R16</f>
        <v>0</v>
      </c>
      <c r="S14">
        <f>+'RECIBO DE LUZ'!S16</f>
        <v>70.325960000000009</v>
      </c>
      <c r="T14">
        <f>+'RECIBO DE LUZ'!T16</f>
        <v>23.441986666666669</v>
      </c>
      <c r="U14">
        <f>+'RECIBO DE LUZ'!U16</f>
        <v>0</v>
      </c>
      <c r="V14">
        <f>+'RECIBO DE LUZ'!V16</f>
        <v>0</v>
      </c>
      <c r="W14">
        <f>+'RECIBO DE LUZ'!W16</f>
        <v>0</v>
      </c>
      <c r="X14">
        <f>+'RECIBO DE LUZ'!X16</f>
        <v>0</v>
      </c>
      <c r="Y14">
        <f>+'RECIBO DE LUZ'!Y16</f>
        <v>0</v>
      </c>
    </row>
    <row r="15" spans="1:25" x14ac:dyDescent="0.25">
      <c r="A15" s="184">
        <f>+'RECIBO DE LUZ'!A17</f>
        <v>43709</v>
      </c>
      <c r="B15">
        <f>+'RECIBO DE LUZ'!B17</f>
        <v>0.52370000000000005</v>
      </c>
      <c r="C15">
        <f>+'RECIBO DE LUZ'!C17</f>
        <v>7128</v>
      </c>
      <c r="D15">
        <f>+'RECIBO DE LUZ'!D17</f>
        <v>402</v>
      </c>
      <c r="E15">
        <f>+'RECIBO DE LUZ'!E17</f>
        <v>1.34</v>
      </c>
      <c r="F15">
        <f>+'RECIBO DE LUZ'!F17</f>
        <v>2.69</v>
      </c>
      <c r="G15">
        <f>+'RECIBO DE LUZ'!G17</f>
        <v>210.52740000000003</v>
      </c>
      <c r="H15">
        <f>+'RECIBO DE LUZ'!H17</f>
        <v>0</v>
      </c>
      <c r="I15">
        <f>+'RECIBO DE LUZ'!I17</f>
        <v>17.5</v>
      </c>
      <c r="J15">
        <f>+'RECIBO DE LUZ'!J17</f>
        <v>232.05740000000003</v>
      </c>
      <c r="K15">
        <f>+'RECIBO DE LUZ'!K17</f>
        <v>41.770332000000003</v>
      </c>
      <c r="L15">
        <f>+'RECIBO DE LUZ'!L17</f>
        <v>273.82773200000003</v>
      </c>
      <c r="M15">
        <f>+'RECIBO DE LUZ'!M17</f>
        <v>3.38</v>
      </c>
      <c r="N15">
        <f>+'RECIBO DE LUZ'!N17</f>
        <v>0</v>
      </c>
      <c r="O15">
        <f>+'RECIBO DE LUZ'!O17</f>
        <v>0</v>
      </c>
      <c r="P15">
        <f>+'RECIBO DE LUZ'!P17</f>
        <v>0</v>
      </c>
      <c r="Q15">
        <f>+'RECIBO DE LUZ'!Q17</f>
        <v>277.20773200000002</v>
      </c>
      <c r="R15">
        <f>+'RECIBO DE LUZ'!R17</f>
        <v>0</v>
      </c>
      <c r="S15">
        <f>+'RECIBO DE LUZ'!S17</f>
        <v>66.680332000000007</v>
      </c>
      <c r="T15">
        <f>+'RECIBO DE LUZ'!T17</f>
        <v>22.226777333333334</v>
      </c>
      <c r="U15">
        <f>+'RECIBO DE LUZ'!U17</f>
        <v>0</v>
      </c>
      <c r="V15">
        <f>+'RECIBO DE LUZ'!V17</f>
        <v>0</v>
      </c>
      <c r="W15">
        <f>+'RECIBO DE LUZ'!W17</f>
        <v>0</v>
      </c>
      <c r="X15">
        <f>+'RECIBO DE LUZ'!X17</f>
        <v>0</v>
      </c>
      <c r="Y15">
        <f>+'RECIBO DE LUZ'!Y17</f>
        <v>0</v>
      </c>
    </row>
    <row r="16" spans="1:25" x14ac:dyDescent="0.25">
      <c r="A16" s="184">
        <f>+'RECIBO DE LUZ'!A18</f>
        <v>43739</v>
      </c>
      <c r="B16">
        <f>+'RECIBO DE LUZ'!B18</f>
        <v>0.52939999999999998</v>
      </c>
      <c r="C16">
        <f>+'RECIBO DE LUZ'!C18</f>
        <v>7573</v>
      </c>
      <c r="D16">
        <f>+'RECIBO DE LUZ'!D18</f>
        <v>445</v>
      </c>
      <c r="E16">
        <f>+'RECIBO DE LUZ'!E18</f>
        <v>1.32</v>
      </c>
      <c r="F16">
        <f>+'RECIBO DE LUZ'!F18</f>
        <v>2.7</v>
      </c>
      <c r="G16">
        <f>+'RECIBO DE LUZ'!G18</f>
        <v>235.583</v>
      </c>
      <c r="H16">
        <f>+'RECIBO DE LUZ'!H18</f>
        <v>0</v>
      </c>
      <c r="I16">
        <f>+'RECIBO DE LUZ'!I18</f>
        <v>14.7</v>
      </c>
      <c r="J16">
        <f>+'RECIBO DE LUZ'!J18</f>
        <v>254.303</v>
      </c>
      <c r="K16">
        <f>+'RECIBO DE LUZ'!K18</f>
        <v>45.774539999999995</v>
      </c>
      <c r="L16">
        <f>+'RECIBO DE LUZ'!L18</f>
        <v>300.07754</v>
      </c>
      <c r="M16">
        <f>+'RECIBO DE LUZ'!M18</f>
        <v>3.74</v>
      </c>
      <c r="N16">
        <f>+'RECIBO DE LUZ'!N18</f>
        <v>0</v>
      </c>
      <c r="O16">
        <f>+'RECIBO DE LUZ'!O18</f>
        <v>0</v>
      </c>
      <c r="P16">
        <f>+'RECIBO DE LUZ'!P18</f>
        <v>0</v>
      </c>
      <c r="Q16">
        <f>+'RECIBO DE LUZ'!Q18</f>
        <v>303.81754000000001</v>
      </c>
      <c r="R16">
        <f>+'RECIBO DE LUZ'!R18</f>
        <v>0</v>
      </c>
      <c r="S16">
        <f>+'RECIBO DE LUZ'!S18</f>
        <v>68.234539999999996</v>
      </c>
      <c r="T16">
        <f>+'RECIBO DE LUZ'!T18</f>
        <v>22.744846666666664</v>
      </c>
      <c r="U16">
        <f>+'RECIBO DE LUZ'!U18</f>
        <v>0</v>
      </c>
      <c r="V16">
        <f>+'RECIBO DE LUZ'!V18</f>
        <v>0</v>
      </c>
      <c r="W16">
        <f>+'RECIBO DE LUZ'!W18</f>
        <v>0</v>
      </c>
      <c r="X16">
        <f>+'RECIBO DE LUZ'!X18</f>
        <v>0</v>
      </c>
      <c r="Y16">
        <f>+'RECIBO DE LUZ'!Y18</f>
        <v>0</v>
      </c>
    </row>
    <row r="17" spans="1:25" x14ac:dyDescent="0.25">
      <c r="A17" s="184">
        <f>+'RECIBO DE LUZ'!A19</f>
        <v>43770</v>
      </c>
      <c r="B17">
        <f>+'RECIBO DE LUZ'!B19</f>
        <v>0.54369999999999996</v>
      </c>
      <c r="C17">
        <f>+'RECIBO DE LUZ'!C19</f>
        <v>8083</v>
      </c>
      <c r="D17">
        <f>+'RECIBO DE LUZ'!D19</f>
        <v>510</v>
      </c>
      <c r="E17">
        <f>+'RECIBO DE LUZ'!E19</f>
        <v>1.35</v>
      </c>
      <c r="F17">
        <f>+'RECIBO DE LUZ'!F19</f>
        <v>2.69</v>
      </c>
      <c r="G17">
        <f>+'RECIBO DE LUZ'!G19</f>
        <v>277.28699999999998</v>
      </c>
      <c r="H17">
        <f>+'RECIBO DE LUZ'!H19</f>
        <v>0</v>
      </c>
      <c r="I17">
        <f>+'RECIBO DE LUZ'!I19</f>
        <v>28</v>
      </c>
      <c r="J17">
        <f>+'RECIBO DE LUZ'!J19</f>
        <v>309.327</v>
      </c>
      <c r="K17">
        <f>+'RECIBO DE LUZ'!K19</f>
        <v>55.67886</v>
      </c>
      <c r="L17">
        <f>+'RECIBO DE LUZ'!L19</f>
        <v>365.00585999999998</v>
      </c>
      <c r="M17">
        <f>+'RECIBO DE LUZ'!M19</f>
        <v>4.28</v>
      </c>
      <c r="N17">
        <f>+'RECIBO DE LUZ'!N19</f>
        <v>0</v>
      </c>
      <c r="O17">
        <f>+'RECIBO DE LUZ'!O19</f>
        <v>0</v>
      </c>
      <c r="P17">
        <f>+'RECIBO DE LUZ'!P19</f>
        <v>0</v>
      </c>
      <c r="Q17">
        <f>+'RECIBO DE LUZ'!Q19</f>
        <v>369.28585999999996</v>
      </c>
      <c r="R17">
        <f>+'RECIBO DE LUZ'!R19</f>
        <v>0</v>
      </c>
      <c r="S17">
        <f>+'RECIBO DE LUZ'!S19</f>
        <v>91.998860000000008</v>
      </c>
      <c r="T17">
        <f>+'RECIBO DE LUZ'!T19</f>
        <v>30.666286666666668</v>
      </c>
      <c r="U17">
        <f>+'RECIBO DE LUZ'!U19</f>
        <v>0</v>
      </c>
      <c r="V17">
        <f>+'RECIBO DE LUZ'!V19</f>
        <v>0</v>
      </c>
      <c r="W17">
        <f>+'RECIBO DE LUZ'!W19</f>
        <v>0</v>
      </c>
      <c r="X17">
        <f>+'RECIBO DE LUZ'!X19</f>
        <v>0</v>
      </c>
      <c r="Y17">
        <f>+'RECIBO DE LUZ'!Y19</f>
        <v>0</v>
      </c>
    </row>
    <row r="18" spans="1:25" x14ac:dyDescent="0.25">
      <c r="A18" s="184">
        <f>+'RECIBO DE LUZ'!A20</f>
        <v>43800</v>
      </c>
      <c r="B18">
        <f>+'RECIBO DE LUZ'!B20</f>
        <v>0.54369999999999996</v>
      </c>
      <c r="C18">
        <f>+'RECIBO DE LUZ'!C20</f>
        <v>8524</v>
      </c>
      <c r="D18">
        <f>+'RECIBO DE LUZ'!D20</f>
        <v>441</v>
      </c>
      <c r="E18">
        <f>+'RECIBO DE LUZ'!E20</f>
        <v>2.35</v>
      </c>
      <c r="F18">
        <f>+'RECIBO DE LUZ'!F20</f>
        <v>3.69</v>
      </c>
      <c r="G18">
        <f>+'RECIBO DE LUZ'!G20</f>
        <v>239.77169999999998</v>
      </c>
      <c r="H18">
        <f>+'RECIBO DE LUZ'!H20</f>
        <v>0</v>
      </c>
      <c r="I18">
        <f>+'RECIBO DE LUZ'!I20</f>
        <v>13.3</v>
      </c>
      <c r="J18">
        <f>+'RECIBO DE LUZ'!J20</f>
        <v>259.11169999999998</v>
      </c>
      <c r="K18">
        <f>+'RECIBO DE LUZ'!K20</f>
        <v>46.640105999999996</v>
      </c>
      <c r="L18">
        <f>+'RECIBO DE LUZ'!L20</f>
        <v>305.75180599999999</v>
      </c>
      <c r="M18">
        <f>+'RECIBO DE LUZ'!M20</f>
        <v>5.28</v>
      </c>
      <c r="N18">
        <f>+'RECIBO DE LUZ'!N20</f>
        <v>0</v>
      </c>
      <c r="O18">
        <f>+'RECIBO DE LUZ'!O20</f>
        <v>0</v>
      </c>
      <c r="P18">
        <f>+'RECIBO DE LUZ'!P20</f>
        <v>0</v>
      </c>
      <c r="Q18">
        <f>+'RECIBO DE LUZ'!Q20</f>
        <v>311.03180599999996</v>
      </c>
      <c r="R18">
        <f>+'RECIBO DE LUZ'!R20</f>
        <v>0</v>
      </c>
      <c r="S18">
        <f>+'RECIBO DE LUZ'!S20</f>
        <v>71.260105999999993</v>
      </c>
      <c r="T18">
        <f>+'RECIBO DE LUZ'!T20</f>
        <v>23.753368666666663</v>
      </c>
      <c r="U18">
        <f>+'RECIBO DE LUZ'!U20</f>
        <v>0</v>
      </c>
      <c r="V18">
        <f>+'RECIBO DE LUZ'!V20</f>
        <v>0</v>
      </c>
      <c r="W18">
        <f>+'RECIBO DE LUZ'!W20</f>
        <v>0</v>
      </c>
      <c r="X18">
        <f>+'RECIBO DE LUZ'!X20</f>
        <v>0</v>
      </c>
      <c r="Y18">
        <f>+'RECIBO DE LUZ'!Y20</f>
        <v>0</v>
      </c>
    </row>
    <row r="19" spans="1:25" x14ac:dyDescent="0.25">
      <c r="A19" s="184">
        <f>+'RECIBO DE LUZ'!A21</f>
        <v>43831</v>
      </c>
      <c r="B19">
        <f>+'RECIBO DE LUZ'!B21</f>
        <v>0.55310000000000004</v>
      </c>
      <c r="C19">
        <f>+'RECIBO DE LUZ'!C21</f>
        <v>9038</v>
      </c>
      <c r="D19">
        <f>+'RECIBO DE LUZ'!D21</f>
        <v>514</v>
      </c>
      <c r="E19">
        <f>+'RECIBO DE LUZ'!E21</f>
        <v>1.35</v>
      </c>
      <c r="F19">
        <f>+'RECIBO DE LUZ'!F21</f>
        <v>2.69</v>
      </c>
      <c r="G19">
        <f>+'RECIBO DE LUZ'!G21</f>
        <v>284.29340000000002</v>
      </c>
      <c r="H19">
        <f>+'RECIBO DE LUZ'!H21</f>
        <v>0</v>
      </c>
      <c r="I19">
        <f>+'RECIBO DE LUZ'!I21</f>
        <v>25.2</v>
      </c>
      <c r="J19">
        <f>+'RECIBO DE LUZ'!J21</f>
        <v>313.53340000000003</v>
      </c>
      <c r="K19">
        <f>+'RECIBO DE LUZ'!K21</f>
        <v>56.436012000000005</v>
      </c>
      <c r="L19">
        <f>+'RECIBO DE LUZ'!L21</f>
        <v>369.96941200000003</v>
      </c>
      <c r="M19">
        <f>+'RECIBO DE LUZ'!M21</f>
        <v>4.42</v>
      </c>
      <c r="N19">
        <f>+'RECIBO DE LUZ'!N21</f>
        <v>0</v>
      </c>
      <c r="O19">
        <f>+'RECIBO DE LUZ'!O21</f>
        <v>0</v>
      </c>
      <c r="P19">
        <f>+'RECIBO DE LUZ'!P21</f>
        <v>0</v>
      </c>
      <c r="Q19">
        <f>+'RECIBO DE LUZ'!Q21</f>
        <v>374.38941200000005</v>
      </c>
      <c r="R19">
        <f>+'RECIBO DE LUZ'!R21</f>
        <v>0</v>
      </c>
      <c r="S19">
        <f>+'RECIBO DE LUZ'!S21</f>
        <v>90.096012000000002</v>
      </c>
      <c r="T19">
        <f>+'RECIBO DE LUZ'!T21</f>
        <v>30.032004000000001</v>
      </c>
      <c r="U19">
        <f>+'RECIBO DE LUZ'!U21</f>
        <v>0</v>
      </c>
      <c r="V19">
        <f>+'RECIBO DE LUZ'!V21</f>
        <v>0</v>
      </c>
      <c r="W19">
        <f>+'RECIBO DE LUZ'!W21</f>
        <v>0</v>
      </c>
      <c r="X19">
        <f>+'RECIBO DE LUZ'!X21</f>
        <v>0</v>
      </c>
      <c r="Y19">
        <f>+'RECIBO DE LUZ'!Y21</f>
        <v>0</v>
      </c>
    </row>
    <row r="20" spans="1:25" x14ac:dyDescent="0.25">
      <c r="A20" s="184">
        <f>+'RECIBO DE LUZ'!A22</f>
        <v>43862</v>
      </c>
      <c r="B20">
        <f>+'RECIBO DE LUZ'!B22</f>
        <v>0.55130000000000001</v>
      </c>
      <c r="C20">
        <f>+'RECIBO DE LUZ'!C22</f>
        <v>9576</v>
      </c>
      <c r="D20">
        <f>+'RECIBO DE LUZ'!D22</f>
        <v>538</v>
      </c>
      <c r="E20">
        <f>+'RECIBO DE LUZ'!E22</f>
        <v>1.35</v>
      </c>
      <c r="F20">
        <f>+'RECIBO DE LUZ'!F22</f>
        <v>2.69</v>
      </c>
      <c r="G20">
        <f>+'RECIBO DE LUZ'!G22</f>
        <v>296.5994</v>
      </c>
      <c r="H20">
        <f>+'RECIBO DE LUZ'!H22</f>
        <v>0</v>
      </c>
      <c r="I20">
        <f>+'RECIBO DE LUZ'!I22</f>
        <v>24.5</v>
      </c>
      <c r="J20">
        <f>+'RECIBO DE LUZ'!J22</f>
        <v>325.13940000000002</v>
      </c>
      <c r="K20">
        <f>+'RECIBO DE LUZ'!K22</f>
        <v>58.525092000000001</v>
      </c>
      <c r="L20">
        <f>+'RECIBO DE LUZ'!L22</f>
        <v>383.664492</v>
      </c>
      <c r="M20">
        <f>+'RECIBO DE LUZ'!M22</f>
        <v>4.63</v>
      </c>
      <c r="N20">
        <f>+'RECIBO DE LUZ'!N22</f>
        <v>0</v>
      </c>
      <c r="O20">
        <f>+'RECIBO DE LUZ'!O22</f>
        <v>-0.23</v>
      </c>
      <c r="P20">
        <f>+'RECIBO DE LUZ'!P22</f>
        <v>0</v>
      </c>
      <c r="Q20">
        <f>+'RECIBO DE LUZ'!Q22</f>
        <v>388.06449199999997</v>
      </c>
      <c r="R20">
        <f>+'RECIBO DE LUZ'!R22</f>
        <v>0</v>
      </c>
      <c r="S20">
        <f>+'RECIBO DE LUZ'!S22</f>
        <v>91.465091999999984</v>
      </c>
      <c r="T20">
        <f>+'RECIBO DE LUZ'!T22</f>
        <v>30.488363999999994</v>
      </c>
      <c r="U20">
        <f>+'RECIBO DE LUZ'!U22</f>
        <v>0</v>
      </c>
      <c r="V20">
        <f>+'RECIBO DE LUZ'!V22</f>
        <v>0</v>
      </c>
      <c r="W20">
        <f>+'RECIBO DE LUZ'!W22</f>
        <v>0</v>
      </c>
      <c r="X20">
        <f>+'RECIBO DE LUZ'!X22</f>
        <v>0</v>
      </c>
      <c r="Y20">
        <f>+'RECIBO DE LUZ'!Y22</f>
        <v>0</v>
      </c>
    </row>
    <row r="21" spans="1:25" x14ac:dyDescent="0.25">
      <c r="A21" s="184">
        <f>+'RECIBO DE LUZ'!A23</f>
        <v>43891</v>
      </c>
      <c r="B21">
        <f>+'RECIBO DE LUZ'!B23</f>
        <v>0.5474</v>
      </c>
      <c r="C21">
        <f>+'RECIBO DE LUZ'!C23</f>
        <v>10120</v>
      </c>
      <c r="D21">
        <f>+'RECIBO DE LUZ'!D23</f>
        <v>544</v>
      </c>
      <c r="E21">
        <f>+'RECIBO DE LUZ'!E23</f>
        <v>1.35</v>
      </c>
      <c r="F21">
        <f>+'RECIBO DE LUZ'!F23</f>
        <v>2.69</v>
      </c>
      <c r="G21">
        <f>+'RECIBO DE LUZ'!G23</f>
        <v>297.78559999999999</v>
      </c>
      <c r="H21">
        <f>+'RECIBO DE LUZ'!H23</f>
        <v>0</v>
      </c>
      <c r="I21">
        <f>+'RECIBO DE LUZ'!I23</f>
        <v>23.1</v>
      </c>
      <c r="J21">
        <f>+'RECIBO DE LUZ'!J23</f>
        <v>324.92560000000003</v>
      </c>
      <c r="K21">
        <f>+'RECIBO DE LUZ'!K23</f>
        <v>58.486608000000004</v>
      </c>
      <c r="L21">
        <f>+'RECIBO DE LUZ'!L23</f>
        <v>383.41220800000002</v>
      </c>
      <c r="M21">
        <f>+'RECIBO DE LUZ'!M23</f>
        <v>4.68</v>
      </c>
      <c r="N21">
        <f>+'RECIBO DE LUZ'!N23</f>
        <v>0</v>
      </c>
      <c r="O21">
        <f>+'RECIBO DE LUZ'!O23</f>
        <v>-0.33</v>
      </c>
      <c r="P21">
        <f>+'RECIBO DE LUZ'!P23</f>
        <v>0.23</v>
      </c>
      <c r="Q21">
        <f>+'RECIBO DE LUZ'!Q23</f>
        <v>388.00220800000005</v>
      </c>
      <c r="R21">
        <f>+'RECIBO DE LUZ'!R23</f>
        <v>0</v>
      </c>
      <c r="S21">
        <f>+'RECIBO DE LUZ'!S23</f>
        <v>90.206608000000017</v>
      </c>
      <c r="T21">
        <f>+'RECIBO DE LUZ'!T23</f>
        <v>30.068869333333339</v>
      </c>
      <c r="U21">
        <f>+'RECIBO DE LUZ'!U23</f>
        <v>0</v>
      </c>
      <c r="V21">
        <f>+'RECIBO DE LUZ'!V23</f>
        <v>0</v>
      </c>
      <c r="W21">
        <f>+'RECIBO DE LUZ'!W23</f>
        <v>0</v>
      </c>
      <c r="X21">
        <f>+'RECIBO DE LUZ'!X23</f>
        <v>0</v>
      </c>
      <c r="Y21">
        <f>+'RECIBO DE LUZ'!Y23</f>
        <v>0</v>
      </c>
    </row>
    <row r="22" spans="1:25" x14ac:dyDescent="0.25">
      <c r="A22" s="184">
        <f>+'RECIBO DE LUZ'!A24</f>
        <v>43922</v>
      </c>
      <c r="B22">
        <f>+'RECIBO DE LUZ'!B24</f>
        <v>0.5474</v>
      </c>
      <c r="C22">
        <f>+'RECIBO DE LUZ'!C24</f>
        <v>10660</v>
      </c>
      <c r="D22">
        <f>+'RECIBO DE LUZ'!D24</f>
        <v>540</v>
      </c>
      <c r="E22">
        <f>+'RECIBO DE LUZ'!E24</f>
        <v>1.35</v>
      </c>
      <c r="F22">
        <f>+'RECIBO DE LUZ'!F24</f>
        <v>2.69</v>
      </c>
      <c r="G22">
        <f>+'RECIBO DE LUZ'!G24</f>
        <v>295.596</v>
      </c>
      <c r="H22">
        <f>+'RECIBO DE LUZ'!H24</f>
        <v>0</v>
      </c>
      <c r="I22">
        <f>+'RECIBO DE LUZ'!I24</f>
        <v>23.1</v>
      </c>
      <c r="J22">
        <f>+'RECIBO DE LUZ'!J24</f>
        <v>322.73600000000005</v>
      </c>
      <c r="K22">
        <f>+'RECIBO DE LUZ'!K24</f>
        <v>58.092480000000009</v>
      </c>
      <c r="L22">
        <f>+'RECIBO DE LUZ'!L24</f>
        <v>380.82848000000007</v>
      </c>
      <c r="M22">
        <f>+'RECIBO DE LUZ'!M24</f>
        <v>0</v>
      </c>
      <c r="N22">
        <f>+'RECIBO DE LUZ'!N24</f>
        <v>0</v>
      </c>
      <c r="O22">
        <f>+'RECIBO DE LUZ'!O24</f>
        <v>-0.16</v>
      </c>
      <c r="P22">
        <f>+'RECIBO DE LUZ'!P24</f>
        <v>0.33</v>
      </c>
      <c r="Q22">
        <f>+'RECIBO DE LUZ'!Q24</f>
        <v>380.99848000000003</v>
      </c>
      <c r="R22">
        <f>+'RECIBO DE LUZ'!R24</f>
        <v>0</v>
      </c>
      <c r="S22">
        <f>+'RECIBO DE LUZ'!S24</f>
        <v>85.402480000000011</v>
      </c>
      <c r="T22">
        <f>+'RECIBO DE LUZ'!T24</f>
        <v>28.467493333333337</v>
      </c>
      <c r="U22">
        <f>+'RECIBO DE LUZ'!U24</f>
        <v>0</v>
      </c>
      <c r="V22">
        <f>+'RECIBO DE LUZ'!V24</f>
        <v>0</v>
      </c>
      <c r="W22">
        <f>+'RECIBO DE LUZ'!W24</f>
        <v>0</v>
      </c>
      <c r="X22">
        <f>+'RECIBO DE LUZ'!X24</f>
        <v>0</v>
      </c>
      <c r="Y22">
        <f>+'RECIBO DE LUZ'!Y24</f>
        <v>0</v>
      </c>
    </row>
    <row r="23" spans="1:25" x14ac:dyDescent="0.25">
      <c r="A23" s="184">
        <f>+'RECIBO DE LUZ'!A25</f>
        <v>43952</v>
      </c>
      <c r="B23">
        <f>+'RECIBO DE LUZ'!B25</f>
        <v>0.5474</v>
      </c>
      <c r="C23">
        <f>+'RECIBO DE LUZ'!C25</f>
        <v>11146</v>
      </c>
      <c r="D23">
        <f>+'RECIBO DE LUZ'!D25</f>
        <v>486</v>
      </c>
      <c r="E23">
        <f>+'RECIBO DE LUZ'!E25</f>
        <v>1.35</v>
      </c>
      <c r="F23">
        <f>+'RECIBO DE LUZ'!F25</f>
        <v>2.69</v>
      </c>
      <c r="G23">
        <f>+'RECIBO DE LUZ'!G25</f>
        <v>266.03640000000001</v>
      </c>
      <c r="H23">
        <f>+'RECIBO DE LUZ'!H25</f>
        <v>0</v>
      </c>
      <c r="I23">
        <f>+'RECIBO DE LUZ'!I25</f>
        <v>13.65</v>
      </c>
      <c r="J23">
        <f>+'RECIBO DE LUZ'!J25</f>
        <v>283.72640000000001</v>
      </c>
      <c r="K23">
        <f>+'RECIBO DE LUZ'!K25</f>
        <v>51.070751999999999</v>
      </c>
      <c r="L23">
        <f>+'RECIBO DE LUZ'!L25</f>
        <v>334.79715199999998</v>
      </c>
      <c r="M23">
        <f>+'RECIBO DE LUZ'!M25</f>
        <v>0</v>
      </c>
      <c r="N23">
        <f>+'RECIBO DE LUZ'!N25</f>
        <v>0</v>
      </c>
      <c r="O23">
        <f>+'RECIBO DE LUZ'!O25</f>
        <v>-0.46</v>
      </c>
      <c r="P23">
        <f>+'RECIBO DE LUZ'!P25</f>
        <v>0.16</v>
      </c>
      <c r="Q23">
        <f>+'RECIBO DE LUZ'!Q25</f>
        <v>334.49715200000003</v>
      </c>
      <c r="R23">
        <f>+'RECIBO DE LUZ'!R25</f>
        <v>0</v>
      </c>
      <c r="S23">
        <f>+'RECIBO DE LUZ'!S25</f>
        <v>68.460751999999999</v>
      </c>
      <c r="T23">
        <f>+'RECIBO DE LUZ'!T25</f>
        <v>22.820250666666666</v>
      </c>
      <c r="U23">
        <f>+'RECIBO DE LUZ'!U25</f>
        <v>0</v>
      </c>
      <c r="V23">
        <f>+'RECIBO DE LUZ'!V25</f>
        <v>0</v>
      </c>
      <c r="W23">
        <f>+'RECIBO DE LUZ'!W25</f>
        <v>0</v>
      </c>
      <c r="X23">
        <f>+'RECIBO DE LUZ'!X25</f>
        <v>0</v>
      </c>
      <c r="Y23">
        <f>+'RECIBO DE LUZ'!Y25</f>
        <v>0</v>
      </c>
    </row>
    <row r="24" spans="1:25" x14ac:dyDescent="0.25">
      <c r="A24" s="184">
        <f>+'RECIBO DE LUZ'!A26</f>
        <v>43983</v>
      </c>
      <c r="B24">
        <f>+'RECIBO DE LUZ'!B26</f>
        <v>0.53449999999999998</v>
      </c>
      <c r="C24">
        <f>+'RECIBO DE LUZ'!C26</f>
        <v>11708</v>
      </c>
      <c r="D24">
        <f>+'RECIBO DE LUZ'!D26</f>
        <v>562</v>
      </c>
      <c r="E24">
        <f>+'RECIBO DE LUZ'!E26</f>
        <v>1.35</v>
      </c>
      <c r="F24">
        <f>+'RECIBO DE LUZ'!F26</f>
        <v>2.69</v>
      </c>
      <c r="G24">
        <f>+'RECIBO DE LUZ'!G26</f>
        <v>300.38900000000001</v>
      </c>
      <c r="H24">
        <f>+'RECIBO DE LUZ'!H26</f>
        <v>36.28</v>
      </c>
      <c r="I24">
        <f>+'RECIBO DE LUZ'!I26</f>
        <v>16.11</v>
      </c>
      <c r="J24">
        <f>+'RECIBO DE LUZ'!J26</f>
        <v>356.81900000000007</v>
      </c>
      <c r="K24">
        <f>+'RECIBO DE LUZ'!K26</f>
        <v>64.227420000000009</v>
      </c>
      <c r="L24">
        <f>+'RECIBO DE LUZ'!L26</f>
        <v>421.04642000000007</v>
      </c>
      <c r="M24">
        <f>+'RECIBO DE LUZ'!M26</f>
        <v>13.66</v>
      </c>
      <c r="N24">
        <f>+'RECIBO DE LUZ'!N26</f>
        <v>0</v>
      </c>
      <c r="O24">
        <f>+'RECIBO DE LUZ'!O26</f>
        <v>-0.17</v>
      </c>
      <c r="P24">
        <f>+'RECIBO DE LUZ'!P26</f>
        <v>0.46</v>
      </c>
      <c r="Q24">
        <f>+'RECIBO DE LUZ'!Q26</f>
        <v>434.99642000000006</v>
      </c>
      <c r="R24">
        <f>+'RECIBO DE LUZ'!R26</f>
        <v>0</v>
      </c>
      <c r="S24">
        <f>+'RECIBO DE LUZ'!S26</f>
        <v>134.60742000000002</v>
      </c>
      <c r="T24">
        <f>+'RECIBO DE LUZ'!T26</f>
        <v>44.869140000000009</v>
      </c>
      <c r="U24">
        <f>+'RECIBO DE LUZ'!U26</f>
        <v>0</v>
      </c>
      <c r="V24">
        <f>+'RECIBO DE LUZ'!V26</f>
        <v>0</v>
      </c>
      <c r="W24">
        <f>+'RECIBO DE LUZ'!W26</f>
        <v>0</v>
      </c>
      <c r="X24">
        <f>+'RECIBO DE LUZ'!X26</f>
        <v>0</v>
      </c>
      <c r="Y24">
        <f>+'RECIBO DE LUZ'!Y26</f>
        <v>0</v>
      </c>
    </row>
    <row r="25" spans="1:25" x14ac:dyDescent="0.25">
      <c r="A25" s="184">
        <f>+'RECIBO DE LUZ'!A27</f>
        <v>44013</v>
      </c>
      <c r="B25">
        <f>+'RECIBO DE LUZ'!B27</f>
        <v>0.55779999999999996</v>
      </c>
      <c r="C25">
        <f>+'RECIBO DE LUZ'!C27</f>
        <v>12155</v>
      </c>
      <c r="D25">
        <f>+'RECIBO DE LUZ'!D27</f>
        <v>447</v>
      </c>
      <c r="E25">
        <f>+'RECIBO DE LUZ'!E27</f>
        <v>1.35</v>
      </c>
      <c r="F25">
        <f>+'RECIBO DE LUZ'!F27</f>
        <v>2.69</v>
      </c>
      <c r="G25">
        <f>+'RECIBO DE LUZ'!G27</f>
        <v>249.33659999999998</v>
      </c>
      <c r="H25">
        <f>+'RECIBO DE LUZ'!H27</f>
        <v>0</v>
      </c>
      <c r="I25">
        <f>+'RECIBO DE LUZ'!I27</f>
        <v>16.8</v>
      </c>
      <c r="J25">
        <f>+'RECIBO DE LUZ'!J27</f>
        <v>270.17659999999995</v>
      </c>
      <c r="K25">
        <f>+'RECIBO DE LUZ'!K27</f>
        <v>48.631787999999986</v>
      </c>
      <c r="L25">
        <f>+'RECIBO DE LUZ'!L27</f>
        <v>318.80838799999992</v>
      </c>
      <c r="M25">
        <f>+'RECIBO DE LUZ'!M27</f>
        <v>3.84</v>
      </c>
      <c r="N25">
        <f>+'RECIBO DE LUZ'!N27</f>
        <v>0</v>
      </c>
      <c r="O25">
        <f>+'RECIBO DE LUZ'!O27</f>
        <v>-0.31</v>
      </c>
      <c r="P25">
        <f>+'RECIBO DE LUZ'!P27</f>
        <v>0.17</v>
      </c>
      <c r="Q25">
        <f>+'RECIBO DE LUZ'!Q27</f>
        <v>322.25838799999991</v>
      </c>
      <c r="R25">
        <f>+'RECIBO DE LUZ'!R27</f>
        <v>0</v>
      </c>
      <c r="S25">
        <f>+'RECIBO DE LUZ'!S27</f>
        <v>73.171787999999992</v>
      </c>
      <c r="T25">
        <f>+'RECIBO DE LUZ'!T27</f>
        <v>24.390595999999999</v>
      </c>
      <c r="U25">
        <f>+'RECIBO DE LUZ'!U27</f>
        <v>0</v>
      </c>
      <c r="V25">
        <f>+'RECIBO DE LUZ'!V27</f>
        <v>0</v>
      </c>
      <c r="W25">
        <f>+'RECIBO DE LUZ'!W27</f>
        <v>0</v>
      </c>
      <c r="X25">
        <f>+'RECIBO DE LUZ'!X27</f>
        <v>0</v>
      </c>
      <c r="Y25">
        <f>+'RECIBO DE LUZ'!Y27</f>
        <v>0</v>
      </c>
    </row>
    <row r="26" spans="1:25" x14ac:dyDescent="0.25">
      <c r="A26" s="184">
        <f>+'RECIBO DE LUZ'!A28</f>
        <v>44044</v>
      </c>
      <c r="B26">
        <f>+'RECIBO DE LUZ'!B28</f>
        <v>0.56430000000000002</v>
      </c>
      <c r="C26">
        <f>+'RECIBO DE LUZ'!C28</f>
        <v>12582</v>
      </c>
      <c r="D26">
        <f>+'RECIBO DE LUZ'!D28</f>
        <v>427</v>
      </c>
      <c r="E26">
        <f>+'RECIBO DE LUZ'!E28</f>
        <v>1.36</v>
      </c>
      <c r="F26">
        <f>+'RECIBO DE LUZ'!F28</f>
        <v>2.66</v>
      </c>
      <c r="G26">
        <f>+'RECIBO DE LUZ'!G28</f>
        <v>240.95610000000002</v>
      </c>
      <c r="H26">
        <f>+'RECIBO DE LUZ'!H28</f>
        <v>0</v>
      </c>
      <c r="I26">
        <f>+'RECIBO DE LUZ'!I28</f>
        <v>15.75</v>
      </c>
      <c r="J26">
        <f>+'RECIBO DE LUZ'!J28</f>
        <v>260.72610000000003</v>
      </c>
      <c r="K26">
        <f>+'RECIBO DE LUZ'!K28</f>
        <v>46.930698000000007</v>
      </c>
      <c r="L26">
        <f>+'RECIBO DE LUZ'!L28</f>
        <v>307.65679800000004</v>
      </c>
      <c r="M26">
        <f>+'RECIBO DE LUZ'!M28</f>
        <v>3.67</v>
      </c>
      <c r="N26">
        <f>+'RECIBO DE LUZ'!N28</f>
        <v>0</v>
      </c>
      <c r="O26">
        <f>+'RECIBO DE LUZ'!O28</f>
        <v>-0.14000000000000001</v>
      </c>
      <c r="P26">
        <f>+'RECIBO DE LUZ'!P28</f>
        <v>0.31</v>
      </c>
      <c r="Q26">
        <f>+'RECIBO DE LUZ'!Q28</f>
        <v>311.49679800000007</v>
      </c>
      <c r="R26">
        <f>+'RECIBO DE LUZ'!R28</f>
        <v>0</v>
      </c>
      <c r="S26">
        <f>+'RECIBO DE LUZ'!S28</f>
        <v>70.540698000000006</v>
      </c>
      <c r="T26">
        <f>+'RECIBO DE LUZ'!T28</f>
        <v>23.513566000000001</v>
      </c>
      <c r="U26">
        <f>+'RECIBO DE LUZ'!U28</f>
        <v>0</v>
      </c>
      <c r="V26">
        <f>+'RECIBO DE LUZ'!V28</f>
        <v>0</v>
      </c>
      <c r="W26">
        <f>+'RECIBO DE LUZ'!W28</f>
        <v>0</v>
      </c>
      <c r="X26">
        <f>+'RECIBO DE LUZ'!X28</f>
        <v>0</v>
      </c>
      <c r="Y26">
        <f>+'RECIBO DE LUZ'!Y28</f>
        <v>0</v>
      </c>
    </row>
    <row r="27" spans="1:25" x14ac:dyDescent="0.25">
      <c r="A27" s="184">
        <f>+'RECIBO DE LUZ'!A29</f>
        <v>44075</v>
      </c>
      <c r="B27">
        <f>+'RECIBO DE LUZ'!B29</f>
        <v>0.5716</v>
      </c>
      <c r="C27">
        <f>+'RECIBO DE LUZ'!C29</f>
        <v>13023</v>
      </c>
      <c r="D27">
        <f>+'RECIBO DE LUZ'!D29</f>
        <v>441</v>
      </c>
      <c r="E27">
        <f>+'RECIBO DE LUZ'!E29</f>
        <v>1.36</v>
      </c>
      <c r="F27">
        <f>+'RECIBO DE LUZ'!F29</f>
        <v>2.66</v>
      </c>
      <c r="G27">
        <f>+'RECIBO DE LUZ'!G29</f>
        <v>252.07560000000001</v>
      </c>
      <c r="H27">
        <f>+'RECIBO DE LUZ'!H29</f>
        <v>0</v>
      </c>
      <c r="I27">
        <f>+'RECIBO DE LUZ'!I29</f>
        <v>16.8</v>
      </c>
      <c r="J27">
        <f>+'RECIBO DE LUZ'!J29</f>
        <v>272.8956</v>
      </c>
      <c r="K27">
        <f>+'RECIBO DE LUZ'!K29</f>
        <v>49.121207999999996</v>
      </c>
      <c r="L27">
        <f>+'RECIBO DE LUZ'!L29</f>
        <v>322.01680799999997</v>
      </c>
      <c r="M27">
        <f>+'RECIBO DE LUZ'!M29</f>
        <v>3.79</v>
      </c>
      <c r="N27">
        <f>+'RECIBO DE LUZ'!N29</f>
        <v>0</v>
      </c>
      <c r="O27">
        <f>+'RECIBO DE LUZ'!O29</f>
        <v>-0.45</v>
      </c>
      <c r="P27">
        <f>+'RECIBO DE LUZ'!P29</f>
        <v>0.14000000000000001</v>
      </c>
      <c r="Q27">
        <f>+'RECIBO DE LUZ'!Q29</f>
        <v>325.49680799999999</v>
      </c>
      <c r="R27">
        <f>+'RECIBO DE LUZ'!R29</f>
        <v>0</v>
      </c>
      <c r="S27">
        <f>+'RECIBO DE LUZ'!S29</f>
        <v>73.421207999999993</v>
      </c>
      <c r="T27">
        <f>+'RECIBO DE LUZ'!T29</f>
        <v>24.473735999999999</v>
      </c>
      <c r="U27">
        <f>+'RECIBO DE LUZ'!U29</f>
        <v>0</v>
      </c>
      <c r="V27">
        <f>+'RECIBO DE LUZ'!V29</f>
        <v>0</v>
      </c>
      <c r="W27">
        <f>+'RECIBO DE LUZ'!W29</f>
        <v>0</v>
      </c>
      <c r="X27">
        <f>+'RECIBO DE LUZ'!X29</f>
        <v>0</v>
      </c>
      <c r="Y27">
        <f>+'RECIBO DE LUZ'!Y29</f>
        <v>0</v>
      </c>
    </row>
    <row r="28" spans="1:25" x14ac:dyDescent="0.25">
      <c r="A28" s="184">
        <f>+'RECIBO DE LUZ'!A30</f>
        <v>44105</v>
      </c>
      <c r="B28">
        <f>+'RECIBO DE LUZ'!B30</f>
        <v>0.57230000000000003</v>
      </c>
      <c r="C28">
        <f>+'RECIBO DE LUZ'!C30</f>
        <v>13473</v>
      </c>
      <c r="D28">
        <f>+'RECIBO DE LUZ'!D30</f>
        <v>450</v>
      </c>
      <c r="E28">
        <f>+'RECIBO DE LUZ'!E30</f>
        <v>1.36</v>
      </c>
      <c r="F28">
        <f>+'RECIBO DE LUZ'!F30</f>
        <v>2.66</v>
      </c>
      <c r="G28">
        <f>+'RECIBO DE LUZ'!G30</f>
        <v>257.53500000000003</v>
      </c>
      <c r="H28">
        <f>+'RECIBO DE LUZ'!H30</f>
        <v>0.12</v>
      </c>
      <c r="I28">
        <f>+'RECIBO DE LUZ'!I30</f>
        <v>14</v>
      </c>
      <c r="J28">
        <f>+'RECIBO DE LUZ'!J30</f>
        <v>275.67500000000001</v>
      </c>
      <c r="K28">
        <f>+'RECIBO DE LUZ'!K30</f>
        <v>49.621499999999997</v>
      </c>
      <c r="L28">
        <f>+'RECIBO DE LUZ'!L30</f>
        <v>325.29650000000004</v>
      </c>
      <c r="M28">
        <f>+'RECIBO DE LUZ'!M30</f>
        <v>3.87</v>
      </c>
      <c r="N28">
        <f>+'RECIBO DE LUZ'!N30</f>
        <v>-8.59</v>
      </c>
      <c r="O28">
        <f>+'RECIBO DE LUZ'!O30</f>
        <v>-0.03</v>
      </c>
      <c r="P28">
        <f>+'RECIBO DE LUZ'!P30</f>
        <v>0.45</v>
      </c>
      <c r="Q28">
        <f>+'RECIBO DE LUZ'!Q30</f>
        <v>320.99650000000008</v>
      </c>
      <c r="R28">
        <f>+'RECIBO DE LUZ'!R30</f>
        <v>0</v>
      </c>
      <c r="S28">
        <f>+'RECIBO DE LUZ'!S30</f>
        <v>63.461500000000001</v>
      </c>
      <c r="T28">
        <f>+'RECIBO DE LUZ'!T30</f>
        <v>21.153833333333335</v>
      </c>
      <c r="U28">
        <f>+'RECIBO DE LUZ'!U30</f>
        <v>0</v>
      </c>
      <c r="V28">
        <f>+'RECIBO DE LUZ'!V30</f>
        <v>0</v>
      </c>
      <c r="W28">
        <f>+'RECIBO DE LUZ'!W30</f>
        <v>0</v>
      </c>
      <c r="X28">
        <f>+'RECIBO DE LUZ'!X30</f>
        <v>0</v>
      </c>
      <c r="Y28">
        <f>+'RECIBO DE LUZ'!Y30</f>
        <v>0</v>
      </c>
    </row>
    <row r="29" spans="1:25" x14ac:dyDescent="0.25">
      <c r="A29" s="184">
        <f>+'RECIBO DE LUZ'!A31</f>
        <v>44136</v>
      </c>
      <c r="B29">
        <f>+'RECIBO DE LUZ'!B31</f>
        <v>0.57979999999999998</v>
      </c>
      <c r="C29">
        <f>+'RECIBO DE LUZ'!C31</f>
        <v>13927</v>
      </c>
      <c r="D29">
        <f>+'RECIBO DE LUZ'!D31</f>
        <v>454</v>
      </c>
      <c r="E29">
        <f>+'RECIBO DE LUZ'!E31</f>
        <v>1.36</v>
      </c>
      <c r="F29">
        <f>+'RECIBO DE LUZ'!F31</f>
        <v>2.67</v>
      </c>
      <c r="G29">
        <f>+'RECIBO DE LUZ'!G31</f>
        <v>263.22919999999999</v>
      </c>
      <c r="H29">
        <f>+'RECIBO DE LUZ'!H31</f>
        <v>0.12</v>
      </c>
      <c r="I29">
        <f>+'RECIBO DE LUZ'!I31</f>
        <v>14</v>
      </c>
      <c r="J29">
        <f>+'RECIBO DE LUZ'!J31</f>
        <v>281.37919999999997</v>
      </c>
      <c r="K29">
        <f>+'RECIBO DE LUZ'!K31</f>
        <v>50.648255999999989</v>
      </c>
      <c r="L29">
        <f>+'RECIBO DE LUZ'!L31</f>
        <v>332.02745599999997</v>
      </c>
      <c r="M29">
        <f>+'RECIBO DE LUZ'!M31</f>
        <v>3.9</v>
      </c>
      <c r="N29">
        <f>+'RECIBO DE LUZ'!N31</f>
        <v>0</v>
      </c>
      <c r="O29">
        <f>+'RECIBO DE LUZ'!O31</f>
        <v>-0.46</v>
      </c>
      <c r="P29">
        <f>+'RECIBO DE LUZ'!P31</f>
        <v>0.03</v>
      </c>
      <c r="Q29">
        <f>+'RECIBO DE LUZ'!Q31</f>
        <v>335.49745599999994</v>
      </c>
      <c r="R29">
        <f>+'RECIBO DE LUZ'!R31</f>
        <v>0</v>
      </c>
      <c r="S29">
        <f>+'RECIBO DE LUZ'!S31</f>
        <v>72.268255999999994</v>
      </c>
      <c r="T29">
        <f>+'RECIBO DE LUZ'!T31</f>
        <v>24.089418666666663</v>
      </c>
      <c r="U29">
        <f>+'RECIBO DE LUZ'!U31</f>
        <v>0</v>
      </c>
      <c r="V29">
        <f>+'RECIBO DE LUZ'!V31</f>
        <v>0</v>
      </c>
      <c r="W29">
        <f>+'RECIBO DE LUZ'!W31</f>
        <v>0</v>
      </c>
      <c r="X29">
        <f>+'RECIBO DE LUZ'!X31</f>
        <v>0</v>
      </c>
      <c r="Y29">
        <f>+'RECIBO DE LUZ'!Y31</f>
        <v>0</v>
      </c>
    </row>
    <row r="30" spans="1:25" x14ac:dyDescent="0.25">
      <c r="A30" s="184">
        <f>+'RECIBO DE LUZ'!A32</f>
        <v>44166</v>
      </c>
      <c r="B30">
        <f>+'RECIBO DE LUZ'!B32</f>
        <v>0.59160000000000001</v>
      </c>
      <c r="C30">
        <f>+'RECIBO DE LUZ'!C32</f>
        <v>14399</v>
      </c>
      <c r="D30">
        <f>+'RECIBO DE LUZ'!D32</f>
        <v>472</v>
      </c>
      <c r="E30">
        <f>+'RECIBO DE LUZ'!E32</f>
        <v>1.37</v>
      </c>
      <c r="F30">
        <f>+'RECIBO DE LUZ'!F32</f>
        <v>2.69</v>
      </c>
      <c r="G30">
        <f>+'RECIBO DE LUZ'!G32</f>
        <v>279.23520000000002</v>
      </c>
      <c r="H30">
        <f>+'RECIBO DE LUZ'!H32</f>
        <v>0</v>
      </c>
      <c r="I30">
        <f>+'RECIBO DE LUZ'!I32</f>
        <v>13.65</v>
      </c>
      <c r="J30">
        <f>+'RECIBO DE LUZ'!J32</f>
        <v>296.9452</v>
      </c>
      <c r="K30">
        <f>+'RECIBO DE LUZ'!K32</f>
        <v>53.450136000000001</v>
      </c>
      <c r="L30">
        <f>+'RECIBO DE LUZ'!L32</f>
        <v>350.39533599999999</v>
      </c>
      <c r="M30">
        <f>+'RECIBO DE LUZ'!M32</f>
        <v>4.0599999999999996</v>
      </c>
      <c r="N30">
        <f>+'RECIBO DE LUZ'!N32</f>
        <v>0</v>
      </c>
      <c r="O30">
        <f>+'RECIBO DE LUZ'!O32</f>
        <v>-0.42</v>
      </c>
      <c r="P30">
        <f>+'RECIBO DE LUZ'!P32</f>
        <v>0.46</v>
      </c>
      <c r="Q30">
        <f>+'RECIBO DE LUZ'!Q32</f>
        <v>354.49533599999995</v>
      </c>
      <c r="R30">
        <f>+'RECIBO DE LUZ'!R32</f>
        <v>0</v>
      </c>
      <c r="S30">
        <f>+'RECIBO DE LUZ'!S32</f>
        <v>75.260135999999989</v>
      </c>
      <c r="T30">
        <f>+'RECIBO DE LUZ'!T32</f>
        <v>25.086711999999995</v>
      </c>
      <c r="U30">
        <f>+'RECIBO DE LUZ'!U32</f>
        <v>0</v>
      </c>
      <c r="V30">
        <f>+'RECIBO DE LUZ'!V32</f>
        <v>0</v>
      </c>
      <c r="W30">
        <f>+'RECIBO DE LUZ'!W32</f>
        <v>0</v>
      </c>
      <c r="X30">
        <f>+'RECIBO DE LUZ'!X32</f>
        <v>0</v>
      </c>
      <c r="Y30">
        <f>+'RECIBO DE LUZ'!Y32</f>
        <v>0</v>
      </c>
    </row>
    <row r="31" spans="1:25" x14ac:dyDescent="0.25">
      <c r="A31" s="184">
        <f>+'RECIBO DE LUZ'!A33</f>
        <v>44197</v>
      </c>
      <c r="B31">
        <f>+'RECIBO DE LUZ'!B33</f>
        <v>0.59179999999999999</v>
      </c>
      <c r="C31">
        <f>+'RECIBO DE LUZ'!C33</f>
        <v>14987</v>
      </c>
      <c r="D31">
        <f>+'RECIBO DE LUZ'!D33</f>
        <v>588</v>
      </c>
      <c r="E31">
        <f>+'RECIBO DE LUZ'!E33</f>
        <v>1.37</v>
      </c>
      <c r="F31">
        <f>+'RECIBO DE LUZ'!F33</f>
        <v>2.69</v>
      </c>
      <c r="G31">
        <f>+'RECIBO DE LUZ'!G33</f>
        <v>347.97840000000002</v>
      </c>
      <c r="H31">
        <f>+'RECIBO DE LUZ'!H33</f>
        <v>0</v>
      </c>
      <c r="I31">
        <f>+'RECIBO DE LUZ'!I33</f>
        <v>28</v>
      </c>
      <c r="J31">
        <f>+'RECIBO DE LUZ'!J33</f>
        <v>380.03840000000002</v>
      </c>
      <c r="K31">
        <f>+'RECIBO DE LUZ'!K33</f>
        <v>68.406912000000005</v>
      </c>
      <c r="L31">
        <f>+'RECIBO DE LUZ'!L33</f>
        <v>448.44531200000006</v>
      </c>
      <c r="M31">
        <f>+'RECIBO DE LUZ'!M33</f>
        <v>5.17</v>
      </c>
      <c r="N31">
        <f>+'RECIBO DE LUZ'!N33</f>
        <v>0</v>
      </c>
      <c r="O31">
        <f>+'RECIBO DE LUZ'!O33</f>
        <v>-0.04</v>
      </c>
      <c r="P31">
        <f>+'RECIBO DE LUZ'!P33</f>
        <v>0.42</v>
      </c>
      <c r="Q31">
        <f>+'RECIBO DE LUZ'!Q33</f>
        <v>453.99531200000007</v>
      </c>
      <c r="R31">
        <f>+'RECIBO DE LUZ'!R33</f>
        <v>0</v>
      </c>
      <c r="S31">
        <f>+'RECIBO DE LUZ'!S33</f>
        <v>106.016912</v>
      </c>
      <c r="T31">
        <f>+'RECIBO DE LUZ'!T33</f>
        <v>35.338970666666668</v>
      </c>
      <c r="U31">
        <f>+'RECIBO DE LUZ'!U33</f>
        <v>0</v>
      </c>
      <c r="V31">
        <f>+'RECIBO DE LUZ'!V33</f>
        <v>0</v>
      </c>
      <c r="W31">
        <f>+'RECIBO DE LUZ'!W33</f>
        <v>0</v>
      </c>
      <c r="X31">
        <f>+'RECIBO DE LUZ'!X33</f>
        <v>0</v>
      </c>
      <c r="Y31">
        <f>+'RECIBO DE LUZ'!Y33</f>
        <v>0</v>
      </c>
    </row>
    <row r="32" spans="1:25" x14ac:dyDescent="0.25">
      <c r="A32" s="184">
        <f>+'RECIBO DE LUZ'!A34</f>
        <v>44228</v>
      </c>
      <c r="B32">
        <f>+'RECIBO DE LUZ'!B34</f>
        <v>0.59179999999999999</v>
      </c>
      <c r="C32">
        <f>+'RECIBO DE LUZ'!C34</f>
        <v>15542</v>
      </c>
      <c r="D32">
        <f>+'RECIBO DE LUZ'!D34</f>
        <v>555</v>
      </c>
      <c r="E32">
        <f>+'RECIBO DE LUZ'!E34</f>
        <v>1.38</v>
      </c>
      <c r="F32">
        <f>+'RECIBO DE LUZ'!F34</f>
        <v>2.71</v>
      </c>
      <c r="G32">
        <f>+'RECIBO DE LUZ'!G34</f>
        <v>328.44900000000001</v>
      </c>
      <c r="H32">
        <f>+'RECIBO DE LUZ'!H34</f>
        <v>0.16</v>
      </c>
      <c r="I32">
        <f>+'RECIBO DE LUZ'!I34</f>
        <v>26.6</v>
      </c>
      <c r="J32">
        <f>+'RECIBO DE LUZ'!J34</f>
        <v>359.29900000000004</v>
      </c>
      <c r="K32">
        <f>+'RECIBO DE LUZ'!K34</f>
        <v>64.673820000000006</v>
      </c>
      <c r="L32">
        <f>+'RECIBO DE LUZ'!L34</f>
        <v>423.97282000000007</v>
      </c>
      <c r="M32">
        <f>+'RECIBO DE LUZ'!M34</f>
        <v>4.88</v>
      </c>
      <c r="N32">
        <f>+'RECIBO DE LUZ'!N34</f>
        <v>0.04</v>
      </c>
      <c r="O32">
        <f>+'RECIBO DE LUZ'!O34</f>
        <v>-0.39</v>
      </c>
      <c r="P32">
        <f>+'RECIBO DE LUZ'!P34</f>
        <v>0.04</v>
      </c>
      <c r="Q32">
        <f>+'RECIBO DE LUZ'!Q34</f>
        <v>428.54282000000012</v>
      </c>
      <c r="R32">
        <f>+'RECIBO DE LUZ'!R34</f>
        <v>0</v>
      </c>
      <c r="S32">
        <f>+'RECIBO DE LUZ'!S34</f>
        <v>100.09382000000001</v>
      </c>
      <c r="T32">
        <f>+'RECIBO DE LUZ'!T34</f>
        <v>33.364606666666667</v>
      </c>
      <c r="U32">
        <f>+'RECIBO DE LUZ'!U34</f>
        <v>0</v>
      </c>
      <c r="V32">
        <f>+'RECIBO DE LUZ'!V34</f>
        <v>0</v>
      </c>
      <c r="W32">
        <f>+'RECIBO DE LUZ'!W34</f>
        <v>0</v>
      </c>
      <c r="X32">
        <f>+'RECIBO DE LUZ'!X34</f>
        <v>0</v>
      </c>
      <c r="Y32">
        <f>+'RECIBO DE LUZ'!Y34</f>
        <v>0</v>
      </c>
    </row>
    <row r="33" spans="1:25" x14ac:dyDescent="0.25">
      <c r="A33" s="184">
        <f>+'RECIBO DE LUZ'!A35</f>
        <v>44256</v>
      </c>
      <c r="B33">
        <f>+'RECIBO DE LUZ'!B35</f>
        <v>0.59099999999999997</v>
      </c>
      <c r="C33">
        <f>+'RECIBO DE LUZ'!C35</f>
        <v>16137</v>
      </c>
      <c r="D33">
        <f>+'RECIBO DE LUZ'!D35</f>
        <v>595</v>
      </c>
      <c r="E33">
        <f>+'RECIBO DE LUZ'!E35</f>
        <v>1.4</v>
      </c>
      <c r="F33">
        <f>+'RECIBO DE LUZ'!F35</f>
        <v>2.74</v>
      </c>
      <c r="G33">
        <f>+'RECIBO DE LUZ'!G35</f>
        <v>351.64499999999998</v>
      </c>
      <c r="H33">
        <f>+'RECIBO DE LUZ'!H35</f>
        <v>0.56999999999999995</v>
      </c>
      <c r="I33">
        <f>+'RECIBO DE LUZ'!I35</f>
        <v>25.2</v>
      </c>
      <c r="J33">
        <f>+'RECIBO DE LUZ'!J35</f>
        <v>381.55499999999995</v>
      </c>
      <c r="K33">
        <f>+'RECIBO DE LUZ'!K35</f>
        <v>68.679899999999989</v>
      </c>
      <c r="L33">
        <f>+'RECIBO DE LUZ'!L35</f>
        <v>450.23489999999993</v>
      </c>
      <c r="M33">
        <f>+'RECIBO DE LUZ'!M35</f>
        <v>5.24</v>
      </c>
      <c r="N33">
        <f>+'RECIBO DE LUZ'!N35</f>
        <v>0</v>
      </c>
      <c r="O33">
        <f>+'RECIBO DE LUZ'!O35</f>
        <v>-0.37</v>
      </c>
      <c r="P33">
        <f>+'RECIBO DE LUZ'!P35</f>
        <v>0.39</v>
      </c>
      <c r="Q33">
        <f>+'RECIBO DE LUZ'!Q35</f>
        <v>455.49489999999992</v>
      </c>
      <c r="R33">
        <f>+'RECIBO DE LUZ'!R35</f>
        <v>0</v>
      </c>
      <c r="S33">
        <f>+'RECIBO DE LUZ'!S35</f>
        <v>103.84989999999998</v>
      </c>
      <c r="T33">
        <f>+'RECIBO DE LUZ'!T35</f>
        <v>34.616633333333326</v>
      </c>
      <c r="U33">
        <f>+'RECIBO DE LUZ'!U35</f>
        <v>0</v>
      </c>
      <c r="V33">
        <f>+'RECIBO DE LUZ'!V35</f>
        <v>0</v>
      </c>
      <c r="W33">
        <f>+'RECIBO DE LUZ'!W35</f>
        <v>0</v>
      </c>
      <c r="X33">
        <f>+'RECIBO DE LUZ'!X35</f>
        <v>0</v>
      </c>
      <c r="Y33">
        <f>+'RECIBO DE LUZ'!Y35</f>
        <v>0</v>
      </c>
    </row>
    <row r="34" spans="1:25" x14ac:dyDescent="0.25">
      <c r="A34" s="184">
        <f>+'RECIBO DE LUZ'!A36</f>
        <v>44287</v>
      </c>
      <c r="B34">
        <f>+'RECIBO DE LUZ'!B36</f>
        <v>0.5948</v>
      </c>
      <c r="C34">
        <f>+'RECIBO DE LUZ'!C36</f>
        <v>16757</v>
      </c>
      <c r="D34">
        <f>+'RECIBO DE LUZ'!D36</f>
        <v>620</v>
      </c>
      <c r="E34">
        <f>+'RECIBO DE LUZ'!E36</f>
        <v>1.41</v>
      </c>
      <c r="F34">
        <f>+'RECIBO DE LUZ'!F36</f>
        <v>2.77</v>
      </c>
      <c r="G34">
        <f>+'RECIBO DE LUZ'!G36</f>
        <v>368.77600000000001</v>
      </c>
      <c r="H34">
        <f>+'RECIBO DE LUZ'!H36</f>
        <v>0.78</v>
      </c>
      <c r="I34">
        <f>+'RECIBO DE LUZ'!I36</f>
        <v>25.9</v>
      </c>
      <c r="J34">
        <f>+'RECIBO DE LUZ'!J36</f>
        <v>399.63599999999997</v>
      </c>
      <c r="K34">
        <f>+'RECIBO DE LUZ'!K36</f>
        <v>71.934479999999994</v>
      </c>
      <c r="L34">
        <f>+'RECIBO DE LUZ'!L36</f>
        <v>471.57047999999998</v>
      </c>
      <c r="M34">
        <f>+'RECIBO DE LUZ'!M36</f>
        <v>5.46</v>
      </c>
      <c r="N34">
        <f>+'RECIBO DE LUZ'!N36</f>
        <v>0</v>
      </c>
      <c r="O34">
        <f>+'RECIBO DE LUZ'!O36</f>
        <v>-0.43</v>
      </c>
      <c r="P34">
        <f>+'RECIBO DE LUZ'!P36</f>
        <v>0.37</v>
      </c>
      <c r="Q34">
        <f>+'RECIBO DE LUZ'!Q36</f>
        <v>476.97047999999995</v>
      </c>
      <c r="R34">
        <f>+'RECIBO DE LUZ'!R36</f>
        <v>0</v>
      </c>
      <c r="S34">
        <f>+'RECIBO DE LUZ'!S36</f>
        <v>108.19447999999998</v>
      </c>
      <c r="T34">
        <f>+'RECIBO DE LUZ'!T36</f>
        <v>36.064826666666661</v>
      </c>
      <c r="U34">
        <f>+'RECIBO DE LUZ'!U36</f>
        <v>0</v>
      </c>
      <c r="V34">
        <f>+'RECIBO DE LUZ'!V36</f>
        <v>0</v>
      </c>
      <c r="W34">
        <f>+'RECIBO DE LUZ'!W36</f>
        <v>0</v>
      </c>
      <c r="X34">
        <f>+'RECIBO DE LUZ'!X36</f>
        <v>0</v>
      </c>
      <c r="Y34">
        <f>+'RECIBO DE LUZ'!Y36</f>
        <v>0</v>
      </c>
    </row>
    <row r="35" spans="1:25" x14ac:dyDescent="0.25">
      <c r="A35" s="184">
        <f>+'RECIBO DE LUZ'!A37</f>
        <v>44317</v>
      </c>
      <c r="B35">
        <f>+'RECIBO DE LUZ'!B37</f>
        <v>0.5907</v>
      </c>
      <c r="C35">
        <f>+'RECIBO DE LUZ'!C37</f>
        <v>17292</v>
      </c>
      <c r="D35">
        <f>+'RECIBO DE LUZ'!D37</f>
        <v>535</v>
      </c>
      <c r="E35">
        <f>+'RECIBO DE LUZ'!E37</f>
        <v>1.44</v>
      </c>
      <c r="F35">
        <f>+'RECIBO DE LUZ'!F37</f>
        <v>2.82</v>
      </c>
      <c r="G35">
        <f>+'RECIBO DE LUZ'!G37</f>
        <v>316.02449999999999</v>
      </c>
      <c r="H35">
        <f>+'RECIBO DE LUZ'!H37</f>
        <v>0</v>
      </c>
      <c r="I35">
        <f>+'RECIBO DE LUZ'!I37</f>
        <v>28</v>
      </c>
      <c r="J35">
        <f>+'RECIBO DE LUZ'!J37</f>
        <v>348.28449999999998</v>
      </c>
      <c r="K35">
        <f>+'RECIBO DE LUZ'!K37</f>
        <v>62.691209999999991</v>
      </c>
      <c r="L35">
        <f>+'RECIBO DE LUZ'!L37</f>
        <v>410.97570999999999</v>
      </c>
      <c r="M35">
        <f>+'RECIBO DE LUZ'!M37</f>
        <v>4.71</v>
      </c>
      <c r="N35">
        <f>+'RECIBO DE LUZ'!N37</f>
        <v>0</v>
      </c>
      <c r="O35">
        <f>+'RECIBO DE LUZ'!O37</f>
        <v>-0.11</v>
      </c>
      <c r="P35">
        <f>+'RECIBO DE LUZ'!P37</f>
        <v>0.43</v>
      </c>
      <c r="Q35">
        <f>+'RECIBO DE LUZ'!Q37</f>
        <v>416.00570999999997</v>
      </c>
      <c r="R35">
        <f>+'RECIBO DE LUZ'!R37</f>
        <v>0</v>
      </c>
      <c r="S35">
        <f>+'RECIBO DE LUZ'!S37</f>
        <v>99.98120999999999</v>
      </c>
      <c r="T35">
        <f>+'RECIBO DE LUZ'!T37</f>
        <v>33.327069999999999</v>
      </c>
      <c r="U35">
        <f>+'RECIBO DE LUZ'!U37</f>
        <v>0</v>
      </c>
      <c r="V35">
        <f>+'RECIBO DE LUZ'!V37</f>
        <v>0</v>
      </c>
      <c r="W35">
        <f>+'RECIBO DE LUZ'!W37</f>
        <v>0</v>
      </c>
      <c r="X35">
        <f>+'RECIBO DE LUZ'!X37</f>
        <v>0</v>
      </c>
      <c r="Y35">
        <f>+'RECIBO DE LUZ'!Y37</f>
        <v>0</v>
      </c>
    </row>
    <row r="36" spans="1:25" x14ac:dyDescent="0.25">
      <c r="A36" s="184">
        <f>+'RECIBO DE LUZ'!A38</f>
        <v>44348</v>
      </c>
      <c r="B36">
        <f>+'RECIBO DE LUZ'!B38</f>
        <v>0.58130000000000004</v>
      </c>
      <c r="C36">
        <f>+'RECIBO DE LUZ'!C38</f>
        <v>17805</v>
      </c>
      <c r="D36">
        <f>+'RECIBO DE LUZ'!D38</f>
        <v>513</v>
      </c>
      <c r="E36">
        <f>+'RECIBO DE LUZ'!E38</f>
        <v>1.44</v>
      </c>
      <c r="F36">
        <f>+'RECIBO DE LUZ'!F38</f>
        <v>2.83</v>
      </c>
      <c r="G36">
        <f>+'RECIBO DE LUZ'!G38</f>
        <v>298.20690000000002</v>
      </c>
      <c r="H36">
        <f>+'RECIBO DE LUZ'!H38</f>
        <v>0.85</v>
      </c>
      <c r="I36">
        <f>+'RECIBO DE LUZ'!I38</f>
        <v>30.8</v>
      </c>
      <c r="J36">
        <f>+'RECIBO DE LUZ'!J38</f>
        <v>334.12690000000003</v>
      </c>
      <c r="K36">
        <f>+'RECIBO DE LUZ'!K38</f>
        <v>60.142842000000002</v>
      </c>
      <c r="L36">
        <f>+'RECIBO DE LUZ'!L38</f>
        <v>394.26974200000006</v>
      </c>
      <c r="M36">
        <f>+'RECIBO DE LUZ'!M38</f>
        <v>4.51</v>
      </c>
      <c r="N36">
        <f>+'RECIBO DE LUZ'!N38</f>
        <v>0.03</v>
      </c>
      <c r="O36">
        <f>+'RECIBO DE LUZ'!O38</f>
        <v>-0.43</v>
      </c>
      <c r="P36">
        <f>+'RECIBO DE LUZ'!P38</f>
        <v>0.11</v>
      </c>
      <c r="Q36">
        <f>+'RECIBO DE LUZ'!Q38</f>
        <v>398.48974200000004</v>
      </c>
      <c r="R36">
        <f>+'RECIBO DE LUZ'!R38</f>
        <v>0</v>
      </c>
      <c r="S36">
        <f>+'RECIBO DE LUZ'!S38</f>
        <v>100.282842</v>
      </c>
      <c r="T36">
        <f>+'RECIBO DE LUZ'!T38</f>
        <v>33.427613999999998</v>
      </c>
      <c r="U36">
        <f>+'RECIBO DE LUZ'!U38</f>
        <v>0</v>
      </c>
      <c r="V36">
        <f>+'RECIBO DE LUZ'!V38</f>
        <v>0</v>
      </c>
      <c r="W36">
        <f>+'RECIBO DE LUZ'!W38</f>
        <v>0</v>
      </c>
      <c r="X36">
        <f>+'RECIBO DE LUZ'!X38</f>
        <v>0</v>
      </c>
      <c r="Y36">
        <f>+'RECIBO DE LUZ'!Y38</f>
        <v>0</v>
      </c>
    </row>
    <row r="37" spans="1:25" x14ac:dyDescent="0.25">
      <c r="A37" s="184">
        <f>+'RECIBO DE LUZ'!A39</f>
        <v>44378</v>
      </c>
      <c r="B37">
        <f>+'RECIBO DE LUZ'!B39</f>
        <v>0.58650000000000002</v>
      </c>
      <c r="C37">
        <f>+'RECIBO DE LUZ'!C39</f>
        <v>18312</v>
      </c>
      <c r="D37">
        <f>+'RECIBO DE LUZ'!D39</f>
        <v>507</v>
      </c>
      <c r="E37">
        <f>+'RECIBO DE LUZ'!E39</f>
        <v>1.46</v>
      </c>
      <c r="F37">
        <f>+'RECIBO DE LUZ'!F39</f>
        <v>2.87</v>
      </c>
      <c r="G37">
        <f>+'RECIBO DE LUZ'!G39</f>
        <v>297.35550000000001</v>
      </c>
      <c r="H37">
        <f>+'RECIBO DE LUZ'!H39</f>
        <v>1.39</v>
      </c>
      <c r="I37">
        <f>+'RECIBO DE LUZ'!I39</f>
        <v>34.299999999999997</v>
      </c>
      <c r="J37">
        <f>+'RECIBO DE LUZ'!J39</f>
        <v>337.37549999999999</v>
      </c>
      <c r="K37">
        <f>+'RECIBO DE LUZ'!K39</f>
        <v>60.727589999999992</v>
      </c>
      <c r="L37">
        <f>+'RECIBO DE LUZ'!L39</f>
        <v>398.10308999999995</v>
      </c>
      <c r="M37">
        <f>+'RECIBO DE LUZ'!M39</f>
        <v>4.46</v>
      </c>
      <c r="N37">
        <f>+'RECIBO DE LUZ'!N39</f>
        <v>0.12</v>
      </c>
      <c r="O37">
        <f>+'RECIBO DE LUZ'!O39</f>
        <v>-0.12</v>
      </c>
      <c r="P37">
        <f>+'RECIBO DE LUZ'!P39</f>
        <v>0.43</v>
      </c>
      <c r="Q37">
        <f>+'RECIBO DE LUZ'!Q39</f>
        <v>402.99308999999994</v>
      </c>
      <c r="R37">
        <f>+'RECIBO DE LUZ'!R39</f>
        <v>0</v>
      </c>
      <c r="S37">
        <f>+'RECIBO DE LUZ'!S39</f>
        <v>105.63758999999999</v>
      </c>
      <c r="T37">
        <f>+'RECIBO DE LUZ'!T39</f>
        <v>35.212529999999994</v>
      </c>
      <c r="U37">
        <f>+'RECIBO DE LUZ'!U39</f>
        <v>0</v>
      </c>
      <c r="V37">
        <f>+'RECIBO DE LUZ'!V39</f>
        <v>0</v>
      </c>
      <c r="W37">
        <f>+'RECIBO DE LUZ'!W39</f>
        <v>0</v>
      </c>
      <c r="X37">
        <f>+'RECIBO DE LUZ'!X39</f>
        <v>0</v>
      </c>
      <c r="Y37">
        <f>+'RECIBO DE LUZ'!Y39</f>
        <v>0</v>
      </c>
    </row>
    <row r="38" spans="1:25" x14ac:dyDescent="0.25">
      <c r="A38" s="184">
        <f>+'RECIBO DE LUZ'!A40</f>
        <v>44409</v>
      </c>
      <c r="B38">
        <f>+'RECIBO DE LUZ'!B40</f>
        <v>0.59750000000000003</v>
      </c>
      <c r="C38">
        <f>+'RECIBO DE LUZ'!C40</f>
        <v>18799</v>
      </c>
      <c r="D38">
        <f>+'RECIBO DE LUZ'!D40</f>
        <v>487</v>
      </c>
      <c r="E38">
        <f>+'RECIBO DE LUZ'!E40</f>
        <v>1.49</v>
      </c>
      <c r="F38">
        <f>+'RECIBO DE LUZ'!F40</f>
        <v>2.92</v>
      </c>
      <c r="G38">
        <f>+'RECIBO DE LUZ'!G40</f>
        <v>290.98250000000002</v>
      </c>
      <c r="H38">
        <f>+'RECIBO DE LUZ'!H40</f>
        <v>1.06</v>
      </c>
      <c r="I38">
        <f>+'RECIBO DE LUZ'!I40</f>
        <v>16.45</v>
      </c>
      <c r="J38">
        <f>+'RECIBO DE LUZ'!J40</f>
        <v>324.73250000000002</v>
      </c>
      <c r="K38">
        <f>+'RECIBO DE LUZ'!K40</f>
        <v>58.45185</v>
      </c>
      <c r="L38">
        <f>+'RECIBO DE LUZ'!L40</f>
        <v>383.18434999999999</v>
      </c>
      <c r="M38">
        <f>+'RECIBO DE LUZ'!M40</f>
        <v>4.29</v>
      </c>
      <c r="N38">
        <f>+'RECIBO DE LUZ'!N40</f>
        <v>0.15</v>
      </c>
      <c r="O38">
        <f>+'RECIBO DE LUZ'!O40</f>
        <v>-0.39</v>
      </c>
      <c r="P38">
        <f>+'RECIBO DE LUZ'!P40</f>
        <v>0.12</v>
      </c>
      <c r="Q38">
        <f>+'RECIBO DE LUZ'!Q40</f>
        <v>404.49975000000001</v>
      </c>
      <c r="R38">
        <f>+'RECIBO DE LUZ'!R40</f>
        <v>0</v>
      </c>
      <c r="S38">
        <f>+'RECIBO DE LUZ'!S40</f>
        <v>113.51725000000002</v>
      </c>
      <c r="T38">
        <f>+'RECIBO DE LUZ'!T40</f>
        <v>37.839083333333342</v>
      </c>
      <c r="U38">
        <f>+'RECIBO DE LUZ'!U40</f>
        <v>0</v>
      </c>
      <c r="V38">
        <f>+'RECIBO DE LUZ'!V40</f>
        <v>5.31</v>
      </c>
      <c r="W38">
        <f>+'RECIBO DE LUZ'!W40</f>
        <v>6.52</v>
      </c>
      <c r="X38">
        <f>+'RECIBO DE LUZ'!X40</f>
        <v>14.53</v>
      </c>
      <c r="Y38">
        <f>+'RECIBO DE LUZ'!Y40</f>
        <v>2.6153999999999997</v>
      </c>
    </row>
    <row r="39" spans="1:25" x14ac:dyDescent="0.25">
      <c r="A39" s="184">
        <f>+'RECIBO DE LUZ'!A41</f>
        <v>44440</v>
      </c>
      <c r="B39">
        <f>+'RECIBO DE LUZ'!B41</f>
        <v>0.61339999999999995</v>
      </c>
      <c r="C39">
        <f>+'RECIBO DE LUZ'!C41</f>
        <v>19338</v>
      </c>
      <c r="D39">
        <f>+'RECIBO DE LUZ'!D41</f>
        <v>539</v>
      </c>
      <c r="E39">
        <f>+'RECIBO DE LUZ'!E41</f>
        <v>1.52</v>
      </c>
      <c r="F39">
        <f>+'RECIBO DE LUZ'!F41</f>
        <v>2.97</v>
      </c>
      <c r="G39">
        <f>+'RECIBO DE LUZ'!G41</f>
        <v>330.62259999999998</v>
      </c>
      <c r="H39">
        <f>+'RECIBO DE LUZ'!H41</f>
        <v>0.79</v>
      </c>
      <c r="I39">
        <f>+'RECIBO DE LUZ'!I41</f>
        <v>34.299999999999997</v>
      </c>
      <c r="J39">
        <f>+'RECIBO DE LUZ'!J41</f>
        <v>370.20260000000002</v>
      </c>
      <c r="K39">
        <f>+'RECIBO DE LUZ'!K41</f>
        <v>66.636468000000008</v>
      </c>
      <c r="L39">
        <f>+'RECIBO DE LUZ'!L41</f>
        <v>436.839068</v>
      </c>
      <c r="M39">
        <f>+'RECIBO DE LUZ'!M41</f>
        <v>4.74</v>
      </c>
      <c r="N39">
        <f>+'RECIBO DE LUZ'!N41</f>
        <v>0.04</v>
      </c>
      <c r="O39">
        <f>+'RECIBO DE LUZ'!O41</f>
        <v>-0.01</v>
      </c>
      <c r="P39">
        <f>+'RECIBO DE LUZ'!P41</f>
        <v>0.39</v>
      </c>
      <c r="Q39">
        <f>+'RECIBO DE LUZ'!Q41</f>
        <v>441.99906800000002</v>
      </c>
      <c r="R39">
        <f>+'RECIBO DE LUZ'!R41</f>
        <v>0</v>
      </c>
      <c r="S39">
        <f>+'RECIBO DE LUZ'!S41</f>
        <v>111.376468</v>
      </c>
      <c r="T39">
        <f>+'RECIBO DE LUZ'!T41</f>
        <v>37.125489333333334</v>
      </c>
      <c r="U39">
        <f>+'RECIBO DE LUZ'!U41</f>
        <v>0</v>
      </c>
      <c r="V39">
        <f>+'RECIBO DE LUZ'!V41</f>
        <v>0</v>
      </c>
      <c r="W39">
        <f>+'RECIBO DE LUZ'!W41</f>
        <v>0</v>
      </c>
      <c r="X39">
        <f>+'RECIBO DE LUZ'!X41</f>
        <v>0</v>
      </c>
      <c r="Y39">
        <f>+'RECIBO DE LUZ'!Y41</f>
        <v>0</v>
      </c>
    </row>
    <row r="40" spans="1:25" x14ac:dyDescent="0.25">
      <c r="A40" s="184">
        <f>+'RECIBO DE LUZ'!A42</f>
        <v>44470</v>
      </c>
      <c r="B40">
        <f>+'RECIBO DE LUZ'!B42</f>
        <v>0.63029999999999997</v>
      </c>
      <c r="C40">
        <f>+'RECIBO DE LUZ'!C42</f>
        <v>19793</v>
      </c>
      <c r="D40">
        <f>+'RECIBO DE LUZ'!D42</f>
        <v>455</v>
      </c>
      <c r="E40">
        <f>+'RECIBO DE LUZ'!E42</f>
        <v>1.55</v>
      </c>
      <c r="F40">
        <f>+'RECIBO DE LUZ'!F42</f>
        <v>3.02</v>
      </c>
      <c r="G40">
        <f>+'RECIBO DE LUZ'!G42</f>
        <v>286.78649999999999</v>
      </c>
      <c r="H40">
        <f>+'RECIBO DE LUZ'!H42</f>
        <v>0</v>
      </c>
      <c r="I40">
        <f>+'RECIBO DE LUZ'!I42</f>
        <v>16.45</v>
      </c>
      <c r="J40">
        <f>+'RECIBO DE LUZ'!J42</f>
        <v>307.80649999999997</v>
      </c>
      <c r="K40">
        <f>+'RECIBO DE LUZ'!K42</f>
        <v>55.405169999999991</v>
      </c>
      <c r="L40">
        <f>+'RECIBO DE LUZ'!L42</f>
        <v>363.21166999999997</v>
      </c>
      <c r="M40">
        <f>+'RECIBO DE LUZ'!M42</f>
        <v>4</v>
      </c>
      <c r="N40">
        <f>+'RECIBO DE LUZ'!N42</f>
        <v>0</v>
      </c>
      <c r="O40">
        <f>+'RECIBO DE LUZ'!O42</f>
        <v>-0.23</v>
      </c>
      <c r="P40">
        <f>+'RECIBO DE LUZ'!P42</f>
        <v>0.01</v>
      </c>
      <c r="Q40">
        <f>+'RECIBO DE LUZ'!Q42</f>
        <v>366.99166999999994</v>
      </c>
      <c r="R40">
        <f>+'RECIBO DE LUZ'!R42</f>
        <v>0</v>
      </c>
      <c r="S40">
        <f>+'RECIBO DE LUZ'!S42</f>
        <v>80.205169999999995</v>
      </c>
      <c r="T40">
        <f>+'RECIBO DE LUZ'!T42</f>
        <v>26.735056666666665</v>
      </c>
      <c r="U40">
        <f>+'RECIBO DE LUZ'!U42</f>
        <v>0</v>
      </c>
      <c r="V40">
        <f>+'RECIBO DE LUZ'!V42</f>
        <v>0</v>
      </c>
      <c r="W40">
        <f>+'RECIBO DE LUZ'!W42</f>
        <v>0</v>
      </c>
      <c r="X40">
        <f>+'RECIBO DE LUZ'!X42</f>
        <v>0</v>
      </c>
      <c r="Y40">
        <f>+'RECIBO DE LUZ'!Y42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REGISTRO</vt:lpstr>
      <vt:lpstr>RECIBO DE LUZ</vt:lpstr>
      <vt:lpstr>REPORTE</vt:lpstr>
      <vt:lpstr>HISTORICO</vt:lpstr>
      <vt:lpstr>ANALISIS (2)</vt:lpstr>
      <vt:lpstr>Hoja1</vt:lpstr>
      <vt:lpstr>Gráfico1</vt:lpstr>
      <vt:lpstr>columna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</dc:creator>
  <cp:lastModifiedBy>YOEL ALDAIR CAROCANCHA ARMAS</cp:lastModifiedBy>
  <cp:lastPrinted>2022-05-31T16:52:27Z</cp:lastPrinted>
  <dcterms:created xsi:type="dcterms:W3CDTF">2018-08-15T04:43:12Z</dcterms:created>
  <dcterms:modified xsi:type="dcterms:W3CDTF">2022-12-12T21:09:26Z</dcterms:modified>
</cp:coreProperties>
</file>