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 EV Drive\HEV\"/>
    </mc:Choice>
  </mc:AlternateContent>
  <bookViews>
    <workbookView xWindow="0" yWindow="0" windowWidth="15360" windowHeight="7650"/>
  </bookViews>
  <sheets>
    <sheet name="Motor Calculation" sheetId="2" r:id="rId1"/>
    <sheet name="Battery Calcula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3" l="1"/>
  <c r="F21" i="3"/>
  <c r="F15" i="3"/>
  <c r="F11" i="3"/>
  <c r="F5" i="3" s="1"/>
  <c r="F8" i="3"/>
  <c r="F4" i="3"/>
  <c r="F6" i="3" l="1"/>
  <c r="F7" i="3" s="1"/>
  <c r="F9" i="3" s="1"/>
  <c r="F10" i="3" s="1"/>
  <c r="F28" i="3" l="1"/>
  <c r="F16" i="3"/>
  <c r="F22" i="3"/>
  <c r="F17" i="3" l="1"/>
  <c r="F18" i="3"/>
  <c r="F24" i="3"/>
  <c r="F23" i="3"/>
  <c r="F30" i="3"/>
  <c r="F29" i="3"/>
  <c r="F25" i="2" l="1"/>
  <c r="J25" i="2" s="1"/>
  <c r="G25" i="2"/>
  <c r="H25" i="2"/>
  <c r="I25" i="2"/>
  <c r="I19" i="2"/>
  <c r="H19" i="2"/>
  <c r="F19" i="2"/>
  <c r="J19" i="2" s="1"/>
  <c r="G19" i="2"/>
  <c r="F24" i="2"/>
  <c r="J24" i="2" s="1"/>
  <c r="G24" i="2"/>
  <c r="H24" i="2"/>
  <c r="I24" i="2"/>
  <c r="F23" i="2"/>
  <c r="J23" i="2" s="1"/>
  <c r="G23" i="2"/>
  <c r="H23" i="2"/>
  <c r="I23" i="2"/>
  <c r="K25" i="2" l="1"/>
  <c r="L25" i="2" s="1"/>
  <c r="K19" i="2"/>
  <c r="L19" i="2" s="1"/>
  <c r="K24" i="2"/>
  <c r="L24" i="2" s="1"/>
  <c r="K23" i="2"/>
  <c r="F16" i="2"/>
  <c r="J16" i="2" s="1"/>
  <c r="F17" i="2"/>
  <c r="J17" i="2" s="1"/>
  <c r="F18" i="2"/>
  <c r="J18" i="2" s="1"/>
  <c r="F20" i="2"/>
  <c r="J20" i="2" s="1"/>
  <c r="F21" i="2"/>
  <c r="J21" i="2" s="1"/>
  <c r="F22" i="2"/>
  <c r="J22" i="2" s="1"/>
  <c r="F15" i="2"/>
  <c r="J15" i="2" s="1"/>
  <c r="I16" i="2"/>
  <c r="I17" i="2"/>
  <c r="I18" i="2"/>
  <c r="I20" i="2"/>
  <c r="I21" i="2"/>
  <c r="I22" i="2"/>
  <c r="I15" i="2"/>
  <c r="H16" i="2"/>
  <c r="H17" i="2"/>
  <c r="H18" i="2"/>
  <c r="H20" i="2"/>
  <c r="H21" i="2"/>
  <c r="H22" i="2"/>
  <c r="H15" i="2"/>
  <c r="G16" i="2"/>
  <c r="G17" i="2"/>
  <c r="G18" i="2"/>
  <c r="G20" i="2"/>
  <c r="G21" i="2"/>
  <c r="G22" i="2"/>
  <c r="G15" i="2"/>
  <c r="M25" i="2" l="1"/>
  <c r="M24" i="2"/>
  <c r="M19" i="2"/>
  <c r="L23" i="2"/>
  <c r="M23" i="2"/>
  <c r="K15" i="2"/>
  <c r="M15" i="2" s="1"/>
  <c r="K22" i="2"/>
  <c r="L22" i="2" s="1"/>
  <c r="K21" i="2"/>
  <c r="L21" i="2" s="1"/>
  <c r="K20" i="2"/>
  <c r="L20" i="2" s="1"/>
  <c r="K18" i="2"/>
  <c r="M18" i="2" s="1"/>
  <c r="K17" i="2"/>
  <c r="L17" i="2" s="1"/>
  <c r="K16" i="2"/>
  <c r="M16" i="2" s="1"/>
  <c r="L15" i="2" l="1"/>
  <c r="M22" i="2"/>
  <c r="M21" i="2"/>
  <c r="L16" i="2"/>
  <c r="L18" i="2"/>
  <c r="M17" i="2"/>
  <c r="M20" i="2"/>
</calcChain>
</file>

<file path=xl/sharedStrings.xml><?xml version="1.0" encoding="utf-8"?>
<sst xmlns="http://schemas.openxmlformats.org/spreadsheetml/2006/main" count="124" uniqueCount="88">
  <si>
    <t>Mass</t>
  </si>
  <si>
    <t>kg</t>
  </si>
  <si>
    <t>Frontal Area (A)</t>
  </si>
  <si>
    <t>m2</t>
  </si>
  <si>
    <t>Drag Coefficient (Cd)</t>
  </si>
  <si>
    <r>
      <t>Rolling resistance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rr)</t>
    </r>
  </si>
  <si>
    <r>
      <t>Air density (</t>
    </r>
    <r>
      <rPr>
        <sz val="11"/>
        <color theme="1"/>
        <rFont val="Calibri"/>
        <family val="2"/>
      </rPr>
      <t>ρ)</t>
    </r>
  </si>
  <si>
    <t>kg/m3</t>
  </si>
  <si>
    <t>g</t>
  </si>
  <si>
    <t xml:space="preserve"> m/sec2</t>
  </si>
  <si>
    <t>MAX SPEED (kph)</t>
  </si>
  <si>
    <t>MAX TORQUE (Nm)</t>
  </si>
  <si>
    <t>MAX POWER (kW)</t>
  </si>
  <si>
    <t>m</t>
  </si>
  <si>
    <t>Gear Ratio</t>
  </si>
  <si>
    <t xml:space="preserve">Transmission Efficiency </t>
  </si>
  <si>
    <t>MAX GRADIENT (Deg)</t>
  </si>
  <si>
    <t>Initial Acceleration</t>
  </si>
  <si>
    <t>Initial Acceleration (High Rate)</t>
  </si>
  <si>
    <t>Hill Climb (low speed)</t>
  </si>
  <si>
    <t>Hill Climb (moderate speed)</t>
  </si>
  <si>
    <t>Overtaking (@80 kmph)</t>
  </si>
  <si>
    <t>Overtaking (@100 kmph)</t>
  </si>
  <si>
    <t>Cruising (@100 kmph)</t>
  </si>
  <si>
    <t>Time to reach
Ini to Final Speed
(sec)</t>
  </si>
  <si>
    <t>Initial Velocity
(km/h)</t>
  </si>
  <si>
    <t>Acceleration
Force (Fa) (N)</t>
  </si>
  <si>
    <t>Motor Torque (T) (Nm)</t>
  </si>
  <si>
    <t>Maximum
Acceleration (m/sec2)</t>
  </si>
  <si>
    <t>Final Velocity
(km/h)</t>
  </si>
  <si>
    <t>Aerodynamic
Force (Fad)
(N)</t>
  </si>
  <si>
    <t>Max Tractive
Force (Ft)
 (N)</t>
  </si>
  <si>
    <t>Max Tractive
Power (Pt)
(kW)</t>
  </si>
  <si>
    <t>Cruising (@130 kmph)</t>
  </si>
  <si>
    <t>Max Speed -WOT (@130 kmph)</t>
  </si>
  <si>
    <t>Motor Power &amp; Torque Calculation</t>
  </si>
  <si>
    <t>Hill Climb (Max. Gradient)</t>
  </si>
  <si>
    <r>
      <t>Road Grade
(</t>
    </r>
    <r>
      <rPr>
        <b/>
        <sz val="11"/>
        <color rgb="FF002060"/>
        <rFont val="Calibri"/>
        <family val="2"/>
      </rPr>
      <t>ϴ°)</t>
    </r>
  </si>
  <si>
    <t>Vehicle Parameters</t>
  </si>
  <si>
    <t>Pothole Stuck</t>
  </si>
  <si>
    <t>Driving Scenarios</t>
  </si>
  <si>
    <t>Gradient
Force (Fg)
(N)</t>
  </si>
  <si>
    <t>Wheel Radius</t>
  </si>
  <si>
    <t>Vehicle Parameters:</t>
  </si>
  <si>
    <t>Vehicle Mass</t>
  </si>
  <si>
    <t>Rolling Resritance (Frr)</t>
  </si>
  <si>
    <t>N</t>
  </si>
  <si>
    <t>Payload</t>
  </si>
  <si>
    <t>Drag Force (Fad)</t>
  </si>
  <si>
    <t>urr</t>
  </si>
  <si>
    <t>TractionForce (Ft)</t>
  </si>
  <si>
    <t>Cd</t>
  </si>
  <si>
    <t>Traction Power (Pt)</t>
  </si>
  <si>
    <t>W</t>
  </si>
  <si>
    <t>m/s2</t>
  </si>
  <si>
    <t>Time to Cover Range</t>
  </si>
  <si>
    <t>Hr</t>
  </si>
  <si>
    <t>Frontal CrossA</t>
  </si>
  <si>
    <t>Energy Req. from Battery (Et)</t>
  </si>
  <si>
    <t>WHr</t>
  </si>
  <si>
    <t>rho</t>
  </si>
  <si>
    <t>Req. Battery Capacity (AHr)</t>
  </si>
  <si>
    <t>Ahr</t>
  </si>
  <si>
    <t>Velocity (km/hr)</t>
  </si>
  <si>
    <t>km/hr</t>
  </si>
  <si>
    <t>Velocity (m/sec)</t>
  </si>
  <si>
    <t>m/sec</t>
  </si>
  <si>
    <t>Range</t>
  </si>
  <si>
    <t>km</t>
  </si>
  <si>
    <t>Electrical Parameters: (Li-ion Battery)</t>
  </si>
  <si>
    <t>To Design a Battery Pack</t>
  </si>
  <si>
    <t>Motor Voltage</t>
  </si>
  <si>
    <t>V</t>
  </si>
  <si>
    <t>No. of Cells (in Series)</t>
  </si>
  <si>
    <t>Cell Voltage</t>
  </si>
  <si>
    <t>No. of Cells (in Parallel)</t>
  </si>
  <si>
    <t>Cell Capacity</t>
  </si>
  <si>
    <t>Total No. of Cells</t>
  </si>
  <si>
    <t>Specific Energy</t>
  </si>
  <si>
    <t>Wh/kg</t>
  </si>
  <si>
    <t>Pack Weight</t>
  </si>
  <si>
    <t>Electrical Parameters: (Lead-Acid Battery)</t>
  </si>
  <si>
    <t>Module Voltage</t>
  </si>
  <si>
    <t>Module Capacity</t>
  </si>
  <si>
    <t>Electrical Parameters: (Ni-MH Battery)</t>
  </si>
  <si>
    <t>Battery Calculation</t>
  </si>
  <si>
    <t>Rolling Resist.
Force (Frr) 
(N)</t>
  </si>
  <si>
    <t>Note: This Excel Sheet is made for basic level of understanding only (Academic 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</si>
</sst>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1" fontId="2" fillId="3" borderId="1" xfId="0" applyNumberFormat="1" applyFont="1" applyFill="1" applyBorder="1"/>
    <xf numFmtId="2" fontId="1" fillId="3" borderId="1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1" fillId="0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8" fillId="0" borderId="1" xfId="0" applyFont="1" applyBorder="1"/>
    <xf numFmtId="0" fontId="8" fillId="5" borderId="1" xfId="0" applyFont="1" applyFill="1" applyBorder="1"/>
    <xf numFmtId="0" fontId="8" fillId="7" borderId="1" xfId="0" applyFont="1" applyFill="1" applyBorder="1"/>
    <xf numFmtId="0" fontId="1" fillId="7" borderId="1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0" fillId="8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1" fillId="7" borderId="0" xfId="0" applyFont="1" applyFill="1"/>
    <xf numFmtId="0" fontId="0" fillId="7" borderId="0" xfId="0" applyFill="1"/>
    <xf numFmtId="0" fontId="11" fillId="9" borderId="0" xfId="0" applyFont="1" applyFill="1"/>
    <xf numFmtId="0" fontId="0" fillId="9" borderId="0" xfId="0" applyFill="1"/>
    <xf numFmtId="0" fontId="11" fillId="10" borderId="0" xfId="0" applyFont="1" applyFill="1"/>
    <xf numFmtId="0" fontId="0" fillId="10" borderId="0" xfId="0" applyFill="1"/>
    <xf numFmtId="164" fontId="1" fillId="3" borderId="1" xfId="0" applyNumberFormat="1" applyFont="1" applyFill="1" applyBorder="1"/>
    <xf numFmtId="0" fontId="9" fillId="8" borderId="1" xfId="0" applyFont="1" applyFill="1" applyBorder="1"/>
    <xf numFmtId="0" fontId="9" fillId="6" borderId="1" xfId="0" applyFont="1" applyFill="1" applyBorder="1"/>
    <xf numFmtId="0" fontId="12" fillId="0" borderId="0" xfId="0" applyFont="1"/>
    <xf numFmtId="1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110" zoomScaleNormal="110" workbookViewId="0">
      <selection activeCell="E5" sqref="E5"/>
    </sheetView>
  </sheetViews>
  <sheetFormatPr defaultRowHeight="15" x14ac:dyDescent="0.25"/>
  <cols>
    <col min="1" max="1" width="30" bestFit="1" customWidth="1"/>
    <col min="2" max="2" width="14" bestFit="1" customWidth="1"/>
    <col min="3" max="4" width="13.140625" bestFit="1" customWidth="1"/>
    <col min="5" max="5" width="11.140625" bestFit="1" customWidth="1"/>
    <col min="6" max="6" width="12.140625" bestFit="1" customWidth="1"/>
    <col min="7" max="7" width="12.7109375" bestFit="1" customWidth="1"/>
    <col min="8" max="8" width="9.7109375" bestFit="1" customWidth="1"/>
    <col min="9" max="9" width="13.5703125" bestFit="1" customWidth="1"/>
    <col min="10" max="10" width="12.140625" bestFit="1" customWidth="1"/>
    <col min="11" max="11" width="12.28515625" bestFit="1" customWidth="1"/>
    <col min="12" max="12" width="16.28515625" customWidth="1"/>
    <col min="13" max="13" width="15.85546875" customWidth="1"/>
  </cols>
  <sheetData>
    <row r="1" spans="1:15" ht="21" x14ac:dyDescent="0.35">
      <c r="A1" s="19" t="s">
        <v>35</v>
      </c>
      <c r="B1" s="19"/>
      <c r="C1" s="19"/>
    </row>
    <row r="2" spans="1:15" ht="18.75" x14ac:dyDescent="0.3">
      <c r="A2" s="22" t="s">
        <v>38</v>
      </c>
      <c r="B2" s="22"/>
      <c r="C2" s="22"/>
    </row>
    <row r="3" spans="1:15" x14ac:dyDescent="0.25">
      <c r="A3" s="1" t="s">
        <v>0</v>
      </c>
      <c r="B3" s="11">
        <v>1280</v>
      </c>
      <c r="C3" s="2" t="s">
        <v>1</v>
      </c>
      <c r="H3" s="20" t="s">
        <v>10</v>
      </c>
      <c r="I3" s="21"/>
      <c r="J3" s="2">
        <v>130</v>
      </c>
      <c r="L3" s="6"/>
      <c r="M3" s="6"/>
      <c r="N3" s="6"/>
      <c r="O3" s="6"/>
    </row>
    <row r="4" spans="1:15" x14ac:dyDescent="0.25">
      <c r="A4" s="1" t="s">
        <v>2</v>
      </c>
      <c r="B4" s="11">
        <v>2.4</v>
      </c>
      <c r="C4" s="2" t="s">
        <v>3</v>
      </c>
      <c r="H4" s="20" t="s">
        <v>11</v>
      </c>
      <c r="I4" s="21"/>
      <c r="J4" s="2">
        <v>250</v>
      </c>
      <c r="L4" s="7"/>
      <c r="M4" s="7"/>
      <c r="N4" s="7"/>
      <c r="O4" s="6"/>
    </row>
    <row r="5" spans="1:15" x14ac:dyDescent="0.25">
      <c r="A5" s="1" t="s">
        <v>4</v>
      </c>
      <c r="B5" s="11">
        <v>0.35</v>
      </c>
      <c r="C5" s="2"/>
      <c r="H5" s="20" t="s">
        <v>12</v>
      </c>
      <c r="I5" s="21"/>
      <c r="J5" s="2">
        <v>141</v>
      </c>
      <c r="L5" s="7"/>
      <c r="M5" s="8"/>
      <c r="N5" s="7"/>
      <c r="O5" s="6"/>
    </row>
    <row r="6" spans="1:15" x14ac:dyDescent="0.25">
      <c r="A6" s="1" t="s">
        <v>5</v>
      </c>
      <c r="B6" s="11">
        <v>1.4999999999999999E-2</v>
      </c>
      <c r="C6" s="2"/>
      <c r="H6" s="20" t="s">
        <v>16</v>
      </c>
      <c r="I6" s="21"/>
      <c r="J6" s="3">
        <v>18</v>
      </c>
      <c r="L6" s="6"/>
      <c r="M6" s="8"/>
      <c r="N6" s="7"/>
      <c r="O6" s="6"/>
    </row>
    <row r="7" spans="1:15" x14ac:dyDescent="0.25">
      <c r="A7" s="1" t="s">
        <v>6</v>
      </c>
      <c r="B7" s="11">
        <v>1.2</v>
      </c>
      <c r="C7" s="2" t="s">
        <v>7</v>
      </c>
      <c r="L7" s="6"/>
      <c r="M7" s="6"/>
      <c r="N7" s="7"/>
      <c r="O7" s="6"/>
    </row>
    <row r="8" spans="1:15" x14ac:dyDescent="0.25">
      <c r="A8" s="1" t="s">
        <v>8</v>
      </c>
      <c r="B8" s="11">
        <v>9.81</v>
      </c>
      <c r="C8" s="2" t="s">
        <v>9</v>
      </c>
      <c r="L8" s="6"/>
      <c r="M8" s="6"/>
      <c r="N8" s="7"/>
      <c r="O8" s="6"/>
    </row>
    <row r="9" spans="1:15" x14ac:dyDescent="0.25">
      <c r="A9" s="1" t="s">
        <v>42</v>
      </c>
      <c r="B9" s="12">
        <v>0.32</v>
      </c>
      <c r="C9" s="3" t="s">
        <v>13</v>
      </c>
      <c r="L9" s="6"/>
      <c r="M9" s="6"/>
      <c r="N9" s="7"/>
      <c r="O9" s="6"/>
    </row>
    <row r="10" spans="1:15" x14ac:dyDescent="0.25">
      <c r="A10" s="1" t="s">
        <v>14</v>
      </c>
      <c r="B10" s="11">
        <v>9.1</v>
      </c>
      <c r="C10" s="2"/>
      <c r="L10" s="6"/>
      <c r="M10" s="6"/>
      <c r="N10" s="7"/>
      <c r="O10" s="6"/>
    </row>
    <row r="11" spans="1:15" x14ac:dyDescent="0.25">
      <c r="A11" s="1" t="s">
        <v>15</v>
      </c>
      <c r="B11" s="12">
        <v>0.9</v>
      </c>
      <c r="C11" s="2"/>
      <c r="L11" s="6"/>
      <c r="M11" s="6"/>
      <c r="N11" s="6"/>
      <c r="O11" s="6"/>
    </row>
    <row r="13" spans="1:15" ht="60" customHeight="1" x14ac:dyDescent="0.25">
      <c r="A13" s="25" t="s">
        <v>40</v>
      </c>
      <c r="B13" s="23" t="s">
        <v>25</v>
      </c>
      <c r="C13" s="23" t="s">
        <v>29</v>
      </c>
      <c r="D13" s="23" t="s">
        <v>24</v>
      </c>
      <c r="E13" s="23" t="s">
        <v>37</v>
      </c>
      <c r="F13" s="17" t="s">
        <v>28</v>
      </c>
      <c r="G13" s="17" t="s">
        <v>30</v>
      </c>
      <c r="H13" s="17" t="s">
        <v>41</v>
      </c>
      <c r="I13" s="17" t="s">
        <v>86</v>
      </c>
      <c r="J13" s="17" t="s">
        <v>26</v>
      </c>
      <c r="K13" s="17" t="s">
        <v>31</v>
      </c>
      <c r="L13" s="17" t="s">
        <v>32</v>
      </c>
      <c r="M13" s="17" t="s">
        <v>27</v>
      </c>
    </row>
    <row r="14" spans="1:15" x14ac:dyDescent="0.25">
      <c r="A14" s="26"/>
      <c r="B14" s="24"/>
      <c r="C14" s="24"/>
      <c r="D14" s="24"/>
      <c r="E14" s="24"/>
      <c r="F14" s="18"/>
      <c r="G14" s="18"/>
      <c r="H14" s="18"/>
      <c r="I14" s="18"/>
      <c r="J14" s="18"/>
      <c r="K14" s="18"/>
      <c r="L14" s="18"/>
      <c r="M14" s="18"/>
    </row>
    <row r="15" spans="1:15" x14ac:dyDescent="0.25">
      <c r="A15" s="13" t="s">
        <v>17</v>
      </c>
      <c r="B15" s="9">
        <v>0</v>
      </c>
      <c r="C15" s="9">
        <v>10</v>
      </c>
      <c r="D15" s="9">
        <v>2</v>
      </c>
      <c r="E15" s="9">
        <v>0</v>
      </c>
      <c r="F15" s="5">
        <f>((C15-B15)/3.6)/D15</f>
        <v>1.3888888888888888</v>
      </c>
      <c r="G15" s="4">
        <f t="shared" ref="G15:G25" si="0">0.5*$B$4*$B$5*$B$7*(C15)/3.6*(C15)/3.6</f>
        <v>3.8888888888888888</v>
      </c>
      <c r="H15" s="4">
        <f t="shared" ref="H15:H25" si="1">$B$3*$B$8*SIN(RADIANS(E15))</f>
        <v>0</v>
      </c>
      <c r="I15" s="4">
        <f t="shared" ref="I15:I25" si="2">$B$6*$B$3*$B$8</f>
        <v>188.352</v>
      </c>
      <c r="J15" s="4">
        <f t="shared" ref="J15:J20" si="3">$B$3*ABS(F15)</f>
        <v>1777.7777777777778</v>
      </c>
      <c r="K15" s="4">
        <f>J15+I15+H15+G15</f>
        <v>1970.0186666666668</v>
      </c>
      <c r="L15" s="4">
        <f>K15*(C15/3.6)/1000</f>
        <v>5.4722740740740745</v>
      </c>
      <c r="M15" s="4">
        <f t="shared" ref="M15:M25" si="4">K15*$B$9/$B$10/$B$11</f>
        <v>76.972646316646333</v>
      </c>
    </row>
    <row r="16" spans="1:15" x14ac:dyDescent="0.25">
      <c r="A16" s="13" t="s">
        <v>18</v>
      </c>
      <c r="B16" s="9">
        <v>0</v>
      </c>
      <c r="C16" s="9">
        <v>20</v>
      </c>
      <c r="D16" s="9">
        <v>2</v>
      </c>
      <c r="E16" s="9">
        <v>0</v>
      </c>
      <c r="F16" s="5">
        <f t="shared" ref="F16:F22" si="5">((C16-B16)/3.6)/D16</f>
        <v>2.7777777777777777</v>
      </c>
      <c r="G16" s="4">
        <f t="shared" si="0"/>
        <v>15.555555555555555</v>
      </c>
      <c r="H16" s="4">
        <f t="shared" si="1"/>
        <v>0</v>
      </c>
      <c r="I16" s="4">
        <f t="shared" si="2"/>
        <v>188.352</v>
      </c>
      <c r="J16" s="4">
        <f t="shared" si="3"/>
        <v>3555.5555555555557</v>
      </c>
      <c r="K16" s="4">
        <f t="shared" ref="K16:K22" si="6">J16+I16+H16+G16</f>
        <v>3759.4631111111112</v>
      </c>
      <c r="L16" s="4">
        <f t="shared" ref="L16:L21" si="7">K16*(C16/3.6)/1000</f>
        <v>20.885906172839505</v>
      </c>
      <c r="M16" s="4">
        <f t="shared" si="4"/>
        <v>146.88988956722289</v>
      </c>
    </row>
    <row r="17" spans="1:13" x14ac:dyDescent="0.25">
      <c r="A17" s="14" t="s">
        <v>19</v>
      </c>
      <c r="B17" s="10">
        <v>0</v>
      </c>
      <c r="C17" s="10">
        <v>10</v>
      </c>
      <c r="D17" s="10">
        <v>2</v>
      </c>
      <c r="E17" s="10">
        <v>11</v>
      </c>
      <c r="F17" s="5">
        <f t="shared" si="5"/>
        <v>1.3888888888888888</v>
      </c>
      <c r="G17" s="4">
        <f t="shared" si="0"/>
        <v>3.8888888888888888</v>
      </c>
      <c r="H17" s="4">
        <f t="shared" si="1"/>
        <v>2395.9503931441982</v>
      </c>
      <c r="I17" s="4">
        <f t="shared" si="2"/>
        <v>188.352</v>
      </c>
      <c r="J17" s="4">
        <f t="shared" si="3"/>
        <v>1777.7777777777778</v>
      </c>
      <c r="K17" s="4">
        <f t="shared" si="6"/>
        <v>4365.9690598108646</v>
      </c>
      <c r="L17" s="4">
        <f t="shared" si="7"/>
        <v>12.127691832807958</v>
      </c>
      <c r="M17" s="4">
        <f t="shared" si="4"/>
        <v>170.58731369224381</v>
      </c>
    </row>
    <row r="18" spans="1:13" x14ac:dyDescent="0.25">
      <c r="A18" s="14" t="s">
        <v>20</v>
      </c>
      <c r="B18" s="10">
        <v>0</v>
      </c>
      <c r="C18" s="10">
        <v>20</v>
      </c>
      <c r="D18" s="10">
        <v>2</v>
      </c>
      <c r="E18" s="10">
        <v>11</v>
      </c>
      <c r="F18" s="5">
        <f t="shared" si="5"/>
        <v>2.7777777777777777</v>
      </c>
      <c r="G18" s="4">
        <f t="shared" si="0"/>
        <v>15.555555555555555</v>
      </c>
      <c r="H18" s="4">
        <f t="shared" si="1"/>
        <v>2395.9503931441982</v>
      </c>
      <c r="I18" s="4">
        <f t="shared" si="2"/>
        <v>188.352</v>
      </c>
      <c r="J18" s="4">
        <f t="shared" si="3"/>
        <v>3555.5555555555557</v>
      </c>
      <c r="K18" s="4">
        <f t="shared" si="6"/>
        <v>6155.4135042553089</v>
      </c>
      <c r="L18" s="4">
        <f t="shared" si="7"/>
        <v>34.19674169030727</v>
      </c>
      <c r="M18" s="4">
        <f t="shared" si="4"/>
        <v>240.50455694282039</v>
      </c>
    </row>
    <row r="19" spans="1:13" x14ac:dyDescent="0.25">
      <c r="A19" s="14" t="s">
        <v>36</v>
      </c>
      <c r="B19" s="10">
        <v>0</v>
      </c>
      <c r="C19" s="10">
        <v>30</v>
      </c>
      <c r="D19" s="10">
        <v>5</v>
      </c>
      <c r="E19" s="10">
        <v>18</v>
      </c>
      <c r="F19" s="5">
        <f t="shared" si="5"/>
        <v>1.6666666666666667</v>
      </c>
      <c r="G19" s="4">
        <f t="shared" si="0"/>
        <v>35</v>
      </c>
      <c r="H19" s="4">
        <f t="shared" si="1"/>
        <v>3880.2645949673397</v>
      </c>
      <c r="I19" s="4">
        <f t="shared" si="2"/>
        <v>188.352</v>
      </c>
      <c r="J19" s="4">
        <f t="shared" si="3"/>
        <v>2133.3333333333335</v>
      </c>
      <c r="K19" s="4">
        <f t="shared" ref="K19" si="8">J19+I19+H19+G19</f>
        <v>6236.9499283006735</v>
      </c>
      <c r="L19" s="4">
        <f t="shared" ref="L19" si="9">K19*(C19/3.6)/1000</f>
        <v>51.97458273583895</v>
      </c>
      <c r="M19" s="4">
        <f t="shared" si="4"/>
        <v>243.69035128891522</v>
      </c>
    </row>
    <row r="20" spans="1:13" x14ac:dyDescent="0.25">
      <c r="A20" s="13" t="s">
        <v>21</v>
      </c>
      <c r="B20" s="9">
        <v>80</v>
      </c>
      <c r="C20" s="9">
        <v>110</v>
      </c>
      <c r="D20" s="9">
        <v>3</v>
      </c>
      <c r="E20" s="9">
        <v>1</v>
      </c>
      <c r="F20" s="5">
        <f t="shared" si="5"/>
        <v>2.7777777777777781</v>
      </c>
      <c r="G20" s="4">
        <f t="shared" si="0"/>
        <v>470.55555555555549</v>
      </c>
      <c r="H20" s="4">
        <f t="shared" si="1"/>
        <v>219.14637715168161</v>
      </c>
      <c r="I20" s="4">
        <f t="shared" si="2"/>
        <v>188.352</v>
      </c>
      <c r="J20" s="4">
        <f t="shared" si="3"/>
        <v>3555.5555555555561</v>
      </c>
      <c r="K20" s="4">
        <f t="shared" si="6"/>
        <v>4433.6094882627931</v>
      </c>
      <c r="L20" s="4">
        <f t="shared" si="7"/>
        <v>135.471401030252</v>
      </c>
      <c r="M20" s="4">
        <f t="shared" si="4"/>
        <v>173.230163155567</v>
      </c>
    </row>
    <row r="21" spans="1:13" x14ac:dyDescent="0.25">
      <c r="A21" s="13" t="s">
        <v>22</v>
      </c>
      <c r="B21" s="9">
        <v>100</v>
      </c>
      <c r="C21" s="9">
        <v>120</v>
      </c>
      <c r="D21" s="9">
        <v>2</v>
      </c>
      <c r="E21" s="9">
        <v>1</v>
      </c>
      <c r="F21" s="5">
        <f t="shared" si="5"/>
        <v>2.7777777777777777</v>
      </c>
      <c r="G21" s="4">
        <f t="shared" si="0"/>
        <v>560</v>
      </c>
      <c r="H21" s="4">
        <f t="shared" si="1"/>
        <v>219.14637715168161</v>
      </c>
      <c r="I21" s="4">
        <f t="shared" si="2"/>
        <v>188.352</v>
      </c>
      <c r="J21" s="4">
        <f>$B$3*(F21)</f>
        <v>3555.5555555555557</v>
      </c>
      <c r="K21" s="4">
        <f t="shared" si="6"/>
        <v>4523.0539327072365</v>
      </c>
      <c r="L21" s="4">
        <f t="shared" si="7"/>
        <v>150.76846442357456</v>
      </c>
      <c r="M21" s="4">
        <f t="shared" si="4"/>
        <v>176.72493998367713</v>
      </c>
    </row>
    <row r="22" spans="1:13" x14ac:dyDescent="0.25">
      <c r="A22" s="13" t="s">
        <v>23</v>
      </c>
      <c r="B22" s="9">
        <v>80</v>
      </c>
      <c r="C22" s="9">
        <v>100</v>
      </c>
      <c r="D22" s="9">
        <v>5</v>
      </c>
      <c r="E22" s="9">
        <v>2</v>
      </c>
      <c r="F22" s="5">
        <f t="shared" si="5"/>
        <v>1.1111111111111112</v>
      </c>
      <c r="G22" s="4">
        <f t="shared" si="0"/>
        <v>388.88888888888886</v>
      </c>
      <c r="H22" s="4">
        <f t="shared" si="1"/>
        <v>438.22600019396418</v>
      </c>
      <c r="I22" s="4">
        <f t="shared" si="2"/>
        <v>188.352</v>
      </c>
      <c r="J22" s="4">
        <f>$B$3*(F22)</f>
        <v>1422.2222222222222</v>
      </c>
      <c r="K22" s="4">
        <f t="shared" si="6"/>
        <v>2437.6891113050751</v>
      </c>
      <c r="L22" s="4">
        <f>K22*(C22/3.6)/1000</f>
        <v>67.713586425140974</v>
      </c>
      <c r="M22" s="4">
        <f t="shared" si="4"/>
        <v>95.245484202396113</v>
      </c>
    </row>
    <row r="23" spans="1:13" x14ac:dyDescent="0.25">
      <c r="A23" s="13" t="s">
        <v>33</v>
      </c>
      <c r="B23" s="9">
        <v>100</v>
      </c>
      <c r="C23" s="9">
        <v>130</v>
      </c>
      <c r="D23" s="9">
        <v>3</v>
      </c>
      <c r="E23" s="9">
        <v>2</v>
      </c>
      <c r="F23" s="5">
        <f t="shared" ref="F23" si="10">((C23-B23)/3.6)/D23</f>
        <v>2.7777777777777781</v>
      </c>
      <c r="G23" s="4">
        <f t="shared" si="0"/>
        <v>657.22222222222217</v>
      </c>
      <c r="H23" s="4">
        <f t="shared" si="1"/>
        <v>438.22600019396418</v>
      </c>
      <c r="I23" s="4">
        <f t="shared" si="2"/>
        <v>188.352</v>
      </c>
      <c r="J23" s="4">
        <f t="shared" ref="J23" si="11">$B$3*(F23)</f>
        <v>3555.5555555555561</v>
      </c>
      <c r="K23" s="4">
        <f t="shared" ref="K23" si="12">J23+I23+H23+G23</f>
        <v>4839.355777971743</v>
      </c>
      <c r="L23" s="4">
        <f>K23*(C23/3.6)/1000</f>
        <v>174.75451420453513</v>
      </c>
      <c r="M23" s="4">
        <f t="shared" si="4"/>
        <v>189.08349804041001</v>
      </c>
    </row>
    <row r="24" spans="1:13" x14ac:dyDescent="0.25">
      <c r="A24" s="13" t="s">
        <v>34</v>
      </c>
      <c r="B24" s="9">
        <v>0</v>
      </c>
      <c r="C24" s="9">
        <v>130</v>
      </c>
      <c r="D24" s="9">
        <v>9</v>
      </c>
      <c r="E24" s="9">
        <v>1</v>
      </c>
      <c r="F24" s="5">
        <f t="shared" ref="F24" si="13">((C24-B24)/3.6)/D24</f>
        <v>4.0123456790123448</v>
      </c>
      <c r="G24" s="4">
        <f t="shared" si="0"/>
        <v>657.22222222222217</v>
      </c>
      <c r="H24" s="4">
        <f t="shared" si="1"/>
        <v>219.14637715168161</v>
      </c>
      <c r="I24" s="4">
        <f t="shared" si="2"/>
        <v>188.352</v>
      </c>
      <c r="J24" s="4">
        <f t="shared" ref="J24" si="14">$B$3*(F24)</f>
        <v>5135.8024691358014</v>
      </c>
      <c r="K24" s="4">
        <f t="shared" ref="K24" si="15">J24+I24+H24+G24</f>
        <v>6200.5230685097049</v>
      </c>
      <c r="L24" s="4">
        <f>K24*(C24/3.6)/1000</f>
        <v>223.90777747396152</v>
      </c>
      <c r="M24" s="4">
        <f t="shared" si="4"/>
        <v>242.26707959989082</v>
      </c>
    </row>
    <row r="25" spans="1:13" x14ac:dyDescent="0.25">
      <c r="A25" s="15" t="s">
        <v>39</v>
      </c>
      <c r="B25" s="16">
        <v>0</v>
      </c>
      <c r="C25" s="16">
        <v>5</v>
      </c>
      <c r="D25" s="16">
        <v>1</v>
      </c>
      <c r="E25" s="16">
        <v>25</v>
      </c>
      <c r="F25" s="5">
        <f t="shared" ref="F25" si="16">((C25-B25)/3.6)/D25</f>
        <v>1.3888888888888888</v>
      </c>
      <c r="G25" s="4">
        <f t="shared" si="0"/>
        <v>0.97222222222222221</v>
      </c>
      <c r="H25" s="4">
        <f t="shared" si="1"/>
        <v>5306.7329890256151</v>
      </c>
      <c r="I25" s="4">
        <f t="shared" si="2"/>
        <v>188.352</v>
      </c>
      <c r="J25" s="4">
        <f t="shared" ref="J25" si="17">$B$3*(F25)</f>
        <v>1777.7777777777778</v>
      </c>
      <c r="K25" s="4">
        <f t="shared" ref="K25" si="18">J25+I25+H25+G25</f>
        <v>7273.8349890256159</v>
      </c>
      <c r="L25" s="4">
        <f>K25*(C25/3.6)/1000</f>
        <v>10.102548595868912</v>
      </c>
      <c r="M25" s="4">
        <f t="shared" si="4"/>
        <v>284.20356489477376</v>
      </c>
    </row>
    <row r="28" spans="1:13" x14ac:dyDescent="0.25">
      <c r="A28" s="40" t="s">
        <v>87</v>
      </c>
    </row>
  </sheetData>
  <mergeCells count="19">
    <mergeCell ref="G13:G14"/>
    <mergeCell ref="H13:H14"/>
    <mergeCell ref="I13:I14"/>
    <mergeCell ref="M13:M14"/>
    <mergeCell ref="A1:C1"/>
    <mergeCell ref="H6:I6"/>
    <mergeCell ref="H5:I5"/>
    <mergeCell ref="H4:I4"/>
    <mergeCell ref="H3:I3"/>
    <mergeCell ref="A2:C2"/>
    <mergeCell ref="B13:B14"/>
    <mergeCell ref="A13:A14"/>
    <mergeCell ref="E13:E14"/>
    <mergeCell ref="J13:J14"/>
    <mergeCell ref="K13:K14"/>
    <mergeCell ref="L13:L14"/>
    <mergeCell ref="C13:C14"/>
    <mergeCell ref="D13:D14"/>
    <mergeCell ref="F13:F14"/>
  </mergeCells>
  <conditionalFormatting sqref="L15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{06FA2AE4-8155-4F3F-9713-45EF3A937F39}</x14:id>
        </ext>
      </extLst>
    </cfRule>
  </conditionalFormatting>
  <conditionalFormatting sqref="M15:M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{4473ADFA-F559-4CA8-9EBA-4EB204A59E0D}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FA2AE4-8155-4F3F-9713-45EF3A937F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L15:L25</xm:sqref>
        </x14:conditionalFormatting>
        <x14:conditionalFormatting xmlns:xm="http://schemas.microsoft.com/office/excel/2006/main">
          <x14:cfRule type="dataBar" id="{4473ADFA-F559-4CA8-9EBA-4EB204A59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M15:M25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10" zoomScaleNormal="110" workbookViewId="0">
      <selection activeCell="B31" sqref="B31"/>
    </sheetView>
  </sheetViews>
  <sheetFormatPr defaultRowHeight="15" x14ac:dyDescent="0.25"/>
  <cols>
    <col min="1" max="1" width="27" customWidth="1"/>
    <col min="3" max="3" width="6.85546875" bestFit="1" customWidth="1"/>
    <col min="4" max="4" width="4.7109375" customWidth="1"/>
    <col min="5" max="5" width="25.42578125" bestFit="1" customWidth="1"/>
    <col min="6" max="6" width="15.5703125" customWidth="1"/>
    <col min="7" max="7" width="6.42578125" bestFit="1" customWidth="1"/>
  </cols>
  <sheetData>
    <row r="1" spans="1:7" ht="21" x14ac:dyDescent="0.35">
      <c r="A1" s="19" t="s">
        <v>85</v>
      </c>
      <c r="B1" s="19"/>
      <c r="C1" s="19"/>
    </row>
    <row r="3" spans="1:7" x14ac:dyDescent="0.25">
      <c r="A3" s="27" t="s">
        <v>43</v>
      </c>
    </row>
    <row r="4" spans="1:7" x14ac:dyDescent="0.25">
      <c r="A4" s="28" t="s">
        <v>44</v>
      </c>
      <c r="B4" s="28">
        <v>120</v>
      </c>
      <c r="C4" s="28" t="s">
        <v>1</v>
      </c>
      <c r="E4" s="29" t="s">
        <v>45</v>
      </c>
      <c r="F4" s="5">
        <f>(B4+B5)*B8*B6</f>
        <v>30.869999999999997</v>
      </c>
      <c r="G4" s="29" t="s">
        <v>46</v>
      </c>
    </row>
    <row r="5" spans="1:7" x14ac:dyDescent="0.25">
      <c r="A5" s="28" t="s">
        <v>47</v>
      </c>
      <c r="B5" s="28">
        <v>90</v>
      </c>
      <c r="C5" s="28" t="s">
        <v>1</v>
      </c>
      <c r="E5" s="29" t="s">
        <v>48</v>
      </c>
      <c r="F5" s="5">
        <f>0.5*B10*B9*B7*F11*F11</f>
        <v>73.333333333333343</v>
      </c>
      <c r="G5" s="29" t="s">
        <v>46</v>
      </c>
    </row>
    <row r="6" spans="1:7" x14ac:dyDescent="0.25">
      <c r="A6" s="28" t="s">
        <v>49</v>
      </c>
      <c r="B6" s="28">
        <v>1.4999999999999999E-2</v>
      </c>
      <c r="C6" s="28"/>
      <c r="E6" s="29" t="s">
        <v>50</v>
      </c>
      <c r="F6" s="5">
        <f>SUM(F4:F5)</f>
        <v>104.20333333333335</v>
      </c>
      <c r="G6" s="29" t="s">
        <v>46</v>
      </c>
    </row>
    <row r="7" spans="1:7" x14ac:dyDescent="0.25">
      <c r="A7" s="28" t="s">
        <v>51</v>
      </c>
      <c r="B7" s="28">
        <v>0.55000000000000004</v>
      </c>
      <c r="C7" s="28"/>
      <c r="E7" s="29" t="s">
        <v>52</v>
      </c>
      <c r="F7" s="41">
        <f>F6*F11</f>
        <v>1736.7222222222226</v>
      </c>
      <c r="G7" s="29" t="s">
        <v>53</v>
      </c>
    </row>
    <row r="8" spans="1:7" x14ac:dyDescent="0.25">
      <c r="A8" s="28" t="s">
        <v>8</v>
      </c>
      <c r="B8" s="28">
        <v>9.8000000000000007</v>
      </c>
      <c r="C8" s="28" t="s">
        <v>54</v>
      </c>
      <c r="E8" s="29" t="s">
        <v>55</v>
      </c>
      <c r="F8" s="5">
        <f>ROUND(B12/B11,2)</f>
        <v>1.67</v>
      </c>
      <c r="G8" s="29" t="s">
        <v>56</v>
      </c>
    </row>
    <row r="9" spans="1:7" x14ac:dyDescent="0.25">
      <c r="A9" s="28" t="s">
        <v>57</v>
      </c>
      <c r="B9" s="28">
        <v>0.8</v>
      </c>
      <c r="C9" s="28"/>
      <c r="E9" s="29" t="s">
        <v>58</v>
      </c>
      <c r="F9" s="41">
        <f>F7*F8</f>
        <v>2900.3261111111115</v>
      </c>
      <c r="G9" s="29" t="s">
        <v>59</v>
      </c>
    </row>
    <row r="10" spans="1:7" x14ac:dyDescent="0.25">
      <c r="A10" s="28" t="s">
        <v>60</v>
      </c>
      <c r="B10" s="28">
        <v>1.2</v>
      </c>
      <c r="C10" s="28" t="s">
        <v>7</v>
      </c>
      <c r="E10" s="29" t="s">
        <v>61</v>
      </c>
      <c r="F10" s="41">
        <f>ROUND(F9/B15,2)</f>
        <v>60.42</v>
      </c>
      <c r="G10" s="29" t="s">
        <v>62</v>
      </c>
    </row>
    <row r="11" spans="1:7" x14ac:dyDescent="0.25">
      <c r="A11" s="38" t="s">
        <v>63</v>
      </c>
      <c r="B11" s="39">
        <v>60</v>
      </c>
      <c r="C11" s="38" t="s">
        <v>64</v>
      </c>
      <c r="E11" s="29" t="s">
        <v>65</v>
      </c>
      <c r="F11" s="37">
        <f>B11*1000/3600</f>
        <v>16.666666666666668</v>
      </c>
      <c r="G11" s="29" t="s">
        <v>66</v>
      </c>
    </row>
    <row r="12" spans="1:7" x14ac:dyDescent="0.25">
      <c r="A12" s="38" t="s">
        <v>67</v>
      </c>
      <c r="B12" s="39">
        <v>100</v>
      </c>
      <c r="C12" s="38" t="s">
        <v>68</v>
      </c>
      <c r="D12" s="6"/>
      <c r="E12" s="6"/>
    </row>
    <row r="14" spans="1:7" x14ac:dyDescent="0.25">
      <c r="A14" s="33" t="s">
        <v>69</v>
      </c>
      <c r="B14" s="34"/>
      <c r="C14" s="34"/>
      <c r="E14" s="27" t="s">
        <v>70</v>
      </c>
    </row>
    <row r="15" spans="1:7" x14ac:dyDescent="0.25">
      <c r="A15" s="28" t="s">
        <v>71</v>
      </c>
      <c r="B15" s="28">
        <v>48</v>
      </c>
      <c r="C15" s="28" t="s">
        <v>72</v>
      </c>
      <c r="E15" s="29" t="s">
        <v>73</v>
      </c>
      <c r="F15" s="29">
        <f>ROUND(B15/B16,0)</f>
        <v>13</v>
      </c>
    </row>
    <row r="16" spans="1:7" x14ac:dyDescent="0.25">
      <c r="A16" s="28" t="s">
        <v>74</v>
      </c>
      <c r="B16" s="28">
        <v>3.6</v>
      </c>
      <c r="C16" s="28" t="s">
        <v>72</v>
      </c>
      <c r="E16" s="29" t="s">
        <v>75</v>
      </c>
      <c r="F16" s="29">
        <f>ROUND(F10/B17,0)</f>
        <v>24</v>
      </c>
    </row>
    <row r="17" spans="1:7" x14ac:dyDescent="0.25">
      <c r="A17" s="28" t="s">
        <v>76</v>
      </c>
      <c r="B17" s="28">
        <v>2.5</v>
      </c>
      <c r="C17" s="28" t="s">
        <v>62</v>
      </c>
      <c r="E17" s="30" t="s">
        <v>77</v>
      </c>
      <c r="F17" s="29">
        <f>F15*F16</f>
        <v>312</v>
      </c>
    </row>
    <row r="18" spans="1:7" x14ac:dyDescent="0.25">
      <c r="A18" s="28" t="s">
        <v>78</v>
      </c>
      <c r="B18" s="28">
        <v>200</v>
      </c>
      <c r="C18" s="28" t="s">
        <v>79</v>
      </c>
      <c r="E18" s="29" t="s">
        <v>80</v>
      </c>
      <c r="F18" s="41">
        <f>((B16*F15)*(B17*F16))/B18</f>
        <v>14.040000000000003</v>
      </c>
      <c r="G18" s="29" t="s">
        <v>1</v>
      </c>
    </row>
    <row r="20" spans="1:7" x14ac:dyDescent="0.25">
      <c r="A20" s="35" t="s">
        <v>81</v>
      </c>
      <c r="B20" s="36"/>
      <c r="C20" s="36"/>
      <c r="E20" s="27" t="s">
        <v>70</v>
      </c>
    </row>
    <row r="21" spans="1:7" x14ac:dyDescent="0.25">
      <c r="A21" s="28" t="s">
        <v>71</v>
      </c>
      <c r="B21" s="28">
        <v>48</v>
      </c>
      <c r="C21" s="28" t="s">
        <v>72</v>
      </c>
      <c r="E21" s="29" t="s">
        <v>73</v>
      </c>
      <c r="F21" s="29">
        <f>ROUND(B21/B22,0)</f>
        <v>4</v>
      </c>
    </row>
    <row r="22" spans="1:7" x14ac:dyDescent="0.25">
      <c r="A22" s="28" t="s">
        <v>82</v>
      </c>
      <c r="B22" s="28">
        <v>12</v>
      </c>
      <c r="C22" s="28" t="s">
        <v>72</v>
      </c>
      <c r="E22" s="29" t="s">
        <v>75</v>
      </c>
      <c r="F22" s="29">
        <f>ROUND(F10/B23,0)</f>
        <v>2</v>
      </c>
    </row>
    <row r="23" spans="1:7" x14ac:dyDescent="0.25">
      <c r="A23" s="28" t="s">
        <v>83</v>
      </c>
      <c r="B23" s="28">
        <v>40</v>
      </c>
      <c r="C23" s="28" t="s">
        <v>62</v>
      </c>
      <c r="E23" s="30" t="s">
        <v>77</v>
      </c>
      <c r="F23" s="30">
        <f>F21*F22</f>
        <v>8</v>
      </c>
    </row>
    <row r="24" spans="1:7" x14ac:dyDescent="0.25">
      <c r="A24" s="28" t="s">
        <v>78</v>
      </c>
      <c r="B24" s="28">
        <v>40</v>
      </c>
      <c r="C24" s="28" t="s">
        <v>79</v>
      </c>
      <c r="E24" s="29" t="s">
        <v>80</v>
      </c>
      <c r="F24" s="29">
        <f>((B22*F21)*(B23*F22))/B24</f>
        <v>96</v>
      </c>
      <c r="G24" s="29" t="s">
        <v>1</v>
      </c>
    </row>
    <row r="26" spans="1:7" x14ac:dyDescent="0.25">
      <c r="A26" s="31" t="s">
        <v>84</v>
      </c>
      <c r="B26" s="32"/>
      <c r="C26" s="32"/>
      <c r="E26" s="27" t="s">
        <v>70</v>
      </c>
    </row>
    <row r="27" spans="1:7" x14ac:dyDescent="0.25">
      <c r="A27" s="28" t="s">
        <v>71</v>
      </c>
      <c r="B27" s="28">
        <v>48</v>
      </c>
      <c r="C27" s="28" t="s">
        <v>72</v>
      </c>
      <c r="E27" s="29" t="s">
        <v>73</v>
      </c>
      <c r="F27" s="29">
        <f>ROUND(B27/B28,0)</f>
        <v>40</v>
      </c>
    </row>
    <row r="28" spans="1:7" x14ac:dyDescent="0.25">
      <c r="A28" s="28" t="s">
        <v>74</v>
      </c>
      <c r="B28" s="28">
        <v>1.2</v>
      </c>
      <c r="C28" s="28" t="s">
        <v>72</v>
      </c>
      <c r="E28" s="29" t="s">
        <v>75</v>
      </c>
      <c r="F28" s="29">
        <f>ROUND(F10/B29,0)</f>
        <v>40</v>
      </c>
    </row>
    <row r="29" spans="1:7" x14ac:dyDescent="0.25">
      <c r="A29" s="28" t="s">
        <v>76</v>
      </c>
      <c r="B29" s="28">
        <v>1.5</v>
      </c>
      <c r="C29" s="28" t="s">
        <v>62</v>
      </c>
      <c r="E29" s="30" t="s">
        <v>77</v>
      </c>
      <c r="F29" s="30">
        <f>F27*F28</f>
        <v>1600</v>
      </c>
    </row>
    <row r="30" spans="1:7" x14ac:dyDescent="0.25">
      <c r="A30" s="28" t="s">
        <v>78</v>
      </c>
      <c r="B30" s="28">
        <v>80</v>
      </c>
      <c r="C30" s="28" t="s">
        <v>79</v>
      </c>
      <c r="E30" s="29" t="s">
        <v>80</v>
      </c>
      <c r="F30" s="29">
        <f>((B28*F27)*(B29*F28))/B30</f>
        <v>36</v>
      </c>
      <c r="G30" s="29" t="s">
        <v>1</v>
      </c>
    </row>
    <row r="32" spans="1:7" x14ac:dyDescent="0.25">
      <c r="A32" s="40" t="s">
        <v>87</v>
      </c>
    </row>
  </sheetData>
  <mergeCells count="1">
    <mergeCell ref="A1:C1"/>
  </mergeCells>
  <conditionalFormatting sqref="F24 F18 F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{2EE7501A-8BF2-4EC6-8850-4116F7050CF2}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7501A-8BF2-4EC6-8850-4116F7050C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F24 F18 F30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Calculation</vt:lpstr>
      <vt:lpstr>Battery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2022-06-17T05:13:08Z</dcterms:created>
  <dcterms:modified xsi:type="dcterms:W3CDTF">2022-06-30T11:16:52Z</dcterms:modified>
</cp:coreProperties>
</file>