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nba\1 - No code\docs\"/>
    </mc:Choice>
  </mc:AlternateContent>
  <xr:revisionPtr revIDLastSave="0" documentId="13_ncr:1_{52518BBA-8F74-4CF6-9556-C7F886A9B095}" xr6:coauthVersionLast="47" xr6:coauthVersionMax="47" xr10:uidLastSave="{00000000-0000-0000-0000-000000000000}"/>
  <bookViews>
    <workbookView xWindow="-120" yWindow="-120" windowWidth="20730" windowHeight="11760" tabRatio="772" activeTab="6" xr2:uid="{551C4716-7C71-4BA4-91AC-0CDE482C7BD1}"/>
  </bookViews>
  <sheets>
    <sheet name="Nymburk - Opava" sheetId="3" r:id="rId1"/>
    <sheet name="Hoja2" sheetId="4" r:id="rId2"/>
    <sheet name="Hoja4" sheetId="8" r:id="rId3"/>
    <sheet name="Both" sheetId="35" r:id="rId4"/>
    <sheet name="Avg_Match" sheetId="34" r:id="rId5"/>
    <sheet name="Hoja3" sheetId="40" r:id="rId6"/>
    <sheet name="Hoja8" sheetId="32" r:id="rId7"/>
    <sheet name="Hoja7" sheetId="42" r:id="rId8"/>
  </sheets>
  <definedNames>
    <definedName name="_xlchart.v1.0" hidden="1">Avg_Match!$H$24</definedName>
    <definedName name="_xlchart.v1.1" hidden="1">Avg_Match!$H$25:$H$44</definedName>
    <definedName name="_xlchart.v1.2" hidden="1">Avg_Match!$E$24</definedName>
    <definedName name="_xlchart.v1.3" hidden="1">Avg_Match!$E$25:$E$44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" i="32" l="1"/>
  <c r="Y15" i="32"/>
  <c r="X15" i="32"/>
  <c r="W15" i="32"/>
  <c r="AC5" i="32"/>
  <c r="AC4" i="32"/>
  <c r="AC6" i="32"/>
  <c r="AC7" i="32"/>
  <c r="AC8" i="32"/>
  <c r="AC9" i="32"/>
  <c r="AC10" i="32"/>
  <c r="AC11" i="32"/>
  <c r="AC12" i="32"/>
  <c r="AB4" i="32"/>
  <c r="AB5" i="32"/>
  <c r="AB6" i="32"/>
  <c r="AB7" i="32"/>
  <c r="AB8" i="32"/>
  <c r="AB9" i="32"/>
  <c r="AB10" i="32"/>
  <c r="AB11" i="32"/>
  <c r="AB12" i="32"/>
  <c r="AA4" i="32"/>
  <c r="AA5" i="32"/>
  <c r="AA6" i="32"/>
  <c r="AA7" i="32"/>
  <c r="AA8" i="32"/>
  <c r="AA9" i="32"/>
  <c r="AA10" i="32"/>
  <c r="AA11" i="32"/>
  <c r="AA12" i="32"/>
  <c r="Z8" i="32"/>
  <c r="Z10" i="32"/>
  <c r="Z11" i="32"/>
  <c r="Z6" i="32"/>
  <c r="Z4" i="32"/>
  <c r="Z5" i="32"/>
  <c r="Z7" i="32"/>
  <c r="Z12" i="32"/>
  <c r="AD8" i="32"/>
  <c r="AE8" i="32"/>
  <c r="AD10" i="32"/>
  <c r="AE10" i="32"/>
  <c r="AD11" i="32"/>
  <c r="AE11" i="32"/>
  <c r="AD6" i="32"/>
  <c r="AE6" i="32"/>
  <c r="AD4" i="32"/>
  <c r="AE4" i="32"/>
  <c r="AD5" i="32"/>
  <c r="AE5" i="32"/>
  <c r="AD9" i="32"/>
  <c r="AE9" i="32"/>
  <c r="AD7" i="32"/>
  <c r="AE7" i="32"/>
  <c r="AE12" i="32"/>
  <c r="AD12" i="32"/>
  <c r="C4" i="40"/>
  <c r="D4" i="40"/>
  <c r="E4" i="40"/>
  <c r="C6" i="40"/>
  <c r="C7" i="40"/>
  <c r="C8" i="40"/>
  <c r="I25" i="34"/>
  <c r="D13" i="42"/>
  <c r="C4" i="42"/>
  <c r="D4" i="42"/>
  <c r="E4" i="42"/>
  <c r="C5" i="42"/>
  <c r="D5" i="42"/>
  <c r="E5" i="42"/>
  <c r="C6" i="42"/>
  <c r="D6" i="42"/>
  <c r="E6" i="42"/>
  <c r="C7" i="42"/>
  <c r="D7" i="42"/>
  <c r="E7" i="42"/>
  <c r="C8" i="42"/>
  <c r="D8" i="42"/>
  <c r="E8" i="42"/>
  <c r="C9" i="42"/>
  <c r="D9" i="42"/>
  <c r="E9" i="42"/>
  <c r="C10" i="42"/>
  <c r="D10" i="42"/>
  <c r="E10" i="42"/>
  <c r="C11" i="42"/>
  <c r="D11" i="42"/>
  <c r="E11" i="42"/>
  <c r="C12" i="42"/>
  <c r="D12" i="42"/>
  <c r="E12" i="42"/>
  <c r="C13" i="42"/>
  <c r="E13" i="42"/>
  <c r="C14" i="42"/>
  <c r="D14" i="42"/>
  <c r="E14" i="42"/>
  <c r="C15" i="42"/>
  <c r="D15" i="42"/>
  <c r="E15" i="42"/>
  <c r="C16" i="42"/>
  <c r="D16" i="42"/>
  <c r="E16" i="42"/>
  <c r="C17" i="42"/>
  <c r="D17" i="42"/>
  <c r="E17" i="42"/>
  <c r="C18" i="42"/>
  <c r="D18" i="42"/>
  <c r="E18" i="42"/>
  <c r="C19" i="42"/>
  <c r="D19" i="42"/>
  <c r="E19" i="42"/>
  <c r="C20" i="42"/>
  <c r="D20" i="42"/>
  <c r="E20" i="42"/>
  <c r="E3" i="42"/>
  <c r="D3" i="42"/>
  <c r="N30" i="42" s="1"/>
  <c r="C3" i="42"/>
  <c r="K3" i="40"/>
  <c r="I6" i="40"/>
  <c r="F17" i="40"/>
  <c r="F16" i="40"/>
  <c r="F14" i="40"/>
  <c r="C14" i="40"/>
  <c r="J5" i="40"/>
  <c r="J3" i="40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I41" i="34"/>
  <c r="I42" i="34"/>
  <c r="I43" i="34"/>
  <c r="I44" i="34"/>
  <c r="E6" i="40"/>
  <c r="H5" i="40"/>
  <c r="L6" i="40"/>
  <c r="L7" i="40" s="1"/>
  <c r="H3" i="40"/>
  <c r="D8" i="40"/>
  <c r="E8" i="40"/>
  <c r="D6" i="40"/>
  <c r="K5" i="40" s="1"/>
  <c r="K6" i="40" s="1"/>
  <c r="D7" i="40"/>
  <c r="E7" i="40"/>
  <c r="H6" i="40"/>
  <c r="F3" i="40"/>
  <c r="G3" i="40" s="1"/>
  <c r="D13" i="40"/>
  <c r="D14" i="40" s="1"/>
  <c r="E13" i="40"/>
  <c r="E14" i="40" s="1"/>
  <c r="D15" i="40"/>
  <c r="D16" i="40" s="1"/>
  <c r="E15" i="40"/>
  <c r="E16" i="40" s="1"/>
  <c r="C15" i="40"/>
  <c r="C16" i="40" s="1"/>
  <c r="C17" i="40" s="1"/>
  <c r="C13" i="40"/>
  <c r="F5" i="40"/>
  <c r="G5" i="40" s="1"/>
  <c r="G15" i="40"/>
  <c r="H15" i="40" s="1"/>
  <c r="H7" i="40"/>
  <c r="N25" i="34"/>
  <c r="B23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4" i="32"/>
  <c r="I142" i="32"/>
  <c r="I141" i="32"/>
  <c r="C141" i="32"/>
  <c r="C142" i="32"/>
  <c r="C143" i="32" s="1"/>
  <c r="I133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I53" i="32"/>
  <c r="I54" i="32"/>
  <c r="I55" i="32"/>
  <c r="I56" i="32"/>
  <c r="I57" i="32"/>
  <c r="I58" i="32"/>
  <c r="I59" i="32"/>
  <c r="I60" i="32"/>
  <c r="I61" i="32"/>
  <c r="I62" i="32"/>
  <c r="I63" i="32"/>
  <c r="I64" i="32"/>
  <c r="I65" i="32"/>
  <c r="I66" i="32"/>
  <c r="I67" i="32"/>
  <c r="I68" i="32"/>
  <c r="I69" i="32"/>
  <c r="I70" i="32"/>
  <c r="I71" i="32"/>
  <c r="I72" i="32"/>
  <c r="I73" i="32"/>
  <c r="I74" i="32"/>
  <c r="I75" i="32"/>
  <c r="I76" i="32"/>
  <c r="I77" i="32"/>
  <c r="I78" i="32"/>
  <c r="I79" i="32"/>
  <c r="I80" i="32"/>
  <c r="I81" i="32"/>
  <c r="I82" i="32"/>
  <c r="I83" i="32"/>
  <c r="I84" i="32"/>
  <c r="I85" i="32"/>
  <c r="I86" i="32"/>
  <c r="I87" i="32"/>
  <c r="I88" i="32"/>
  <c r="I89" i="32"/>
  <c r="I90" i="32"/>
  <c r="I91" i="32"/>
  <c r="I92" i="32"/>
  <c r="I93" i="32"/>
  <c r="I94" i="32"/>
  <c r="I95" i="32"/>
  <c r="I96" i="32"/>
  <c r="I97" i="32"/>
  <c r="I98" i="32"/>
  <c r="I99" i="32"/>
  <c r="I100" i="32"/>
  <c r="I101" i="32"/>
  <c r="I102" i="32"/>
  <c r="I103" i="32"/>
  <c r="I104" i="32"/>
  <c r="I105" i="32"/>
  <c r="I106" i="32"/>
  <c r="I107" i="32"/>
  <c r="I108" i="32"/>
  <c r="I109" i="32"/>
  <c r="I110" i="32"/>
  <c r="I111" i="32"/>
  <c r="I112" i="32"/>
  <c r="I113" i="32"/>
  <c r="I114" i="32"/>
  <c r="I115" i="32"/>
  <c r="I116" i="32"/>
  <c r="I117" i="32"/>
  <c r="I118" i="32"/>
  <c r="I119" i="32"/>
  <c r="I120" i="32"/>
  <c r="I121" i="32"/>
  <c r="I122" i="32"/>
  <c r="I123" i="32"/>
  <c r="I124" i="32"/>
  <c r="I125" i="32"/>
  <c r="I126" i="32"/>
  <c r="I127" i="32"/>
  <c r="I128" i="32"/>
  <c r="I129" i="32"/>
  <c r="I130" i="32"/>
  <c r="I131" i="32"/>
  <c r="I132" i="32"/>
  <c r="I37" i="32"/>
  <c r="I36" i="32"/>
  <c r="I35" i="32"/>
  <c r="I34" i="32"/>
  <c r="I33" i="32"/>
  <c r="C118" i="32"/>
  <c r="C119" i="32"/>
  <c r="C120" i="32"/>
  <c r="C121" i="32"/>
  <c r="C122" i="32"/>
  <c r="C123" i="32"/>
  <c r="C124" i="32"/>
  <c r="C125" i="32"/>
  <c r="C126" i="32"/>
  <c r="C127" i="32"/>
  <c r="C128" i="32"/>
  <c r="C129" i="32"/>
  <c r="C104" i="32"/>
  <c r="C105" i="32"/>
  <c r="C106" i="32"/>
  <c r="C107" i="32"/>
  <c r="C108" i="32"/>
  <c r="C109" i="32"/>
  <c r="C110" i="32"/>
  <c r="C111" i="32"/>
  <c r="C112" i="32"/>
  <c r="C113" i="32"/>
  <c r="C114" i="32"/>
  <c r="C115" i="32"/>
  <c r="C116" i="32"/>
  <c r="C117" i="32"/>
  <c r="C93" i="32"/>
  <c r="C94" i="32"/>
  <c r="C95" i="32"/>
  <c r="C96" i="32"/>
  <c r="C97" i="32"/>
  <c r="C98" i="32"/>
  <c r="C99" i="32"/>
  <c r="C100" i="32"/>
  <c r="C101" i="32"/>
  <c r="C102" i="32"/>
  <c r="C103" i="32"/>
  <c r="C80" i="32"/>
  <c r="C81" i="32"/>
  <c r="C82" i="32"/>
  <c r="C83" i="32"/>
  <c r="C84" i="32"/>
  <c r="C85" i="32"/>
  <c r="C86" i="32"/>
  <c r="C87" i="32"/>
  <c r="C88" i="32"/>
  <c r="C89" i="32"/>
  <c r="C90" i="32"/>
  <c r="C91" i="32"/>
  <c r="C92" i="32"/>
  <c r="C35" i="32"/>
  <c r="C36" i="32"/>
  <c r="C37" i="32"/>
  <c r="C38" i="32"/>
  <c r="C39" i="32"/>
  <c r="C40" i="32"/>
  <c r="C41" i="32"/>
  <c r="C42" i="32"/>
  <c r="C43" i="32"/>
  <c r="C44" i="32"/>
  <c r="C45" i="32"/>
  <c r="C46" i="32"/>
  <c r="C47" i="32"/>
  <c r="C48" i="32"/>
  <c r="C49" i="32"/>
  <c r="C50" i="32"/>
  <c r="C51" i="32"/>
  <c r="C52" i="32"/>
  <c r="C53" i="32"/>
  <c r="C54" i="32"/>
  <c r="C55" i="32"/>
  <c r="C56" i="32"/>
  <c r="C57" i="32"/>
  <c r="C58" i="32"/>
  <c r="C59" i="32"/>
  <c r="C60" i="32"/>
  <c r="C61" i="32"/>
  <c r="C62" i="32"/>
  <c r="C63" i="32"/>
  <c r="C64" i="32"/>
  <c r="C65" i="32"/>
  <c r="C66" i="32"/>
  <c r="C67" i="32"/>
  <c r="C68" i="32"/>
  <c r="C69" i="32"/>
  <c r="C70" i="32"/>
  <c r="C71" i="32"/>
  <c r="C72" i="32"/>
  <c r="C73" i="32"/>
  <c r="C74" i="32"/>
  <c r="C75" i="32"/>
  <c r="C76" i="32"/>
  <c r="C77" i="32"/>
  <c r="C78" i="32"/>
  <c r="C79" i="32"/>
  <c r="C34" i="32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F15" i="8"/>
  <c r="N4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64" i="34"/>
  <c r="J83" i="34"/>
  <c r="J82" i="34"/>
  <c r="J81" i="34"/>
  <c r="J80" i="34"/>
  <c r="J79" i="34"/>
  <c r="J78" i="34"/>
  <c r="J77" i="34"/>
  <c r="J76" i="34"/>
  <c r="J75" i="34"/>
  <c r="J74" i="34"/>
  <c r="J73" i="34"/>
  <c r="J72" i="34"/>
  <c r="J71" i="34"/>
  <c r="J70" i="34"/>
  <c r="J69" i="34"/>
  <c r="J68" i="34"/>
  <c r="J67" i="34"/>
  <c r="J66" i="34"/>
  <c r="J65" i="34"/>
  <c r="J64" i="34"/>
  <c r="G65" i="34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G82" i="34"/>
  <c r="G83" i="34"/>
  <c r="G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64" i="34"/>
  <c r="H52" i="34"/>
  <c r="H56" i="34" s="1"/>
  <c r="H53" i="34"/>
  <c r="H54" i="34"/>
  <c r="H55" i="34"/>
  <c r="G52" i="34"/>
  <c r="G56" i="34" s="1"/>
  <c r="G53" i="34"/>
  <c r="G54" i="34"/>
  <c r="G55" i="34"/>
  <c r="F55" i="34"/>
  <c r="F52" i="34"/>
  <c r="F56" i="34" s="1"/>
  <c r="F53" i="34"/>
  <c r="F54" i="34"/>
  <c r="F59" i="34" s="1"/>
  <c r="E55" i="34"/>
  <c r="E54" i="34"/>
  <c r="E59" i="34" s="1"/>
  <c r="E53" i="34"/>
  <c r="E58" i="34" s="1"/>
  <c r="E52" i="34"/>
  <c r="E56" i="34" s="1"/>
  <c r="F47" i="34"/>
  <c r="G47" i="34"/>
  <c r="H47" i="34"/>
  <c r="F48" i="34"/>
  <c r="G48" i="34"/>
  <c r="H48" i="34"/>
  <c r="F49" i="34"/>
  <c r="G49" i="34"/>
  <c r="H49" i="34"/>
  <c r="F50" i="34"/>
  <c r="G50" i="34"/>
  <c r="H50" i="34"/>
  <c r="F51" i="34"/>
  <c r="G51" i="34"/>
  <c r="H51" i="34"/>
  <c r="E51" i="34"/>
  <c r="E50" i="34"/>
  <c r="E49" i="34"/>
  <c r="E48" i="34"/>
  <c r="E47" i="34"/>
  <c r="N38" i="34"/>
  <c r="N39" i="34"/>
  <c r="E17" i="40" l="1"/>
  <c r="D17" i="40"/>
  <c r="N3" i="42"/>
  <c r="N16" i="42"/>
  <c r="G13" i="40"/>
  <c r="H13" i="40" s="1"/>
  <c r="H17" i="40" s="1"/>
  <c r="K7" i="40"/>
  <c r="G7" i="40"/>
  <c r="F8" i="40"/>
  <c r="G17" i="40"/>
  <c r="F9" i="40"/>
  <c r="Q29" i="34"/>
  <c r="I143" i="32"/>
  <c r="Q44" i="34"/>
  <c r="Q39" i="34"/>
  <c r="Q33" i="34"/>
  <c r="E57" i="34"/>
  <c r="F65" i="34"/>
  <c r="F66" i="34"/>
  <c r="F67" i="34"/>
  <c r="F68" i="34"/>
  <c r="F69" i="34"/>
  <c r="F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64" i="34"/>
  <c r="M64" i="34"/>
  <c r="M65" i="34"/>
  <c r="M66" i="34"/>
  <c r="M67" i="34"/>
  <c r="M68" i="34"/>
  <c r="M69" i="34"/>
  <c r="M70" i="34"/>
  <c r="M71" i="34"/>
  <c r="M72" i="34"/>
  <c r="M73" i="34"/>
  <c r="M74" i="34"/>
  <c r="M75" i="34"/>
  <c r="M76" i="34"/>
  <c r="M77" i="34"/>
  <c r="M78" i="34"/>
  <c r="M79" i="34"/>
  <c r="M80" i="34"/>
  <c r="M81" i="34"/>
  <c r="M82" i="34"/>
  <c r="M83" i="34"/>
  <c r="K64" i="34"/>
  <c r="K65" i="34"/>
  <c r="K66" i="34"/>
  <c r="K67" i="34"/>
  <c r="K68" i="34"/>
  <c r="K69" i="34"/>
  <c r="K70" i="34"/>
  <c r="K71" i="34"/>
  <c r="K72" i="34"/>
  <c r="K73" i="34"/>
  <c r="K74" i="34"/>
  <c r="K75" i="34"/>
  <c r="K76" i="34"/>
  <c r="K77" i="34"/>
  <c r="K78" i="34"/>
  <c r="K79" i="34"/>
  <c r="K80" i="34"/>
  <c r="K81" i="34"/>
  <c r="K82" i="34"/>
  <c r="K8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F58" i="34"/>
  <c r="F57" i="34"/>
  <c r="G59" i="34"/>
  <c r="G58" i="34"/>
  <c r="G57" i="34"/>
  <c r="H59" i="34"/>
  <c r="H58" i="34"/>
  <c r="H57" i="34"/>
  <c r="J35" i="34" l="1"/>
  <c r="L35" i="34"/>
  <c r="K35" i="34"/>
  <c r="M35" i="34"/>
  <c r="N26" i="34"/>
  <c r="N29" i="34"/>
  <c r="N32" i="34"/>
  <c r="N27" i="34"/>
  <c r="N28" i="34"/>
  <c r="N30" i="34"/>
  <c r="N31" i="34"/>
  <c r="N33" i="34"/>
  <c r="N34" i="34"/>
  <c r="N35" i="34"/>
  <c r="N36" i="34"/>
  <c r="N37" i="34"/>
  <c r="N40" i="34"/>
  <c r="N41" i="34"/>
  <c r="N42" i="34"/>
  <c r="N43" i="34"/>
  <c r="J44" i="34"/>
  <c r="J26" i="34"/>
  <c r="J27" i="34"/>
  <c r="M27" i="34" s="1"/>
  <c r="J28" i="34"/>
  <c r="J29" i="34"/>
  <c r="J30" i="34"/>
  <c r="J31" i="34"/>
  <c r="J32" i="34"/>
  <c r="J33" i="34"/>
  <c r="J34" i="34"/>
  <c r="J36" i="34"/>
  <c r="J37" i="34"/>
  <c r="J38" i="34"/>
  <c r="J39" i="34"/>
  <c r="J40" i="34"/>
  <c r="J41" i="34"/>
  <c r="J42" i="34"/>
  <c r="M42" i="34" s="1"/>
  <c r="J43" i="34"/>
  <c r="J25" i="34"/>
  <c r="N64" i="34" l="1" a="1"/>
  <c r="N64" i="34" s="1"/>
  <c r="M25" i="34"/>
  <c r="V73" i="34"/>
  <c r="V76" i="34"/>
  <c r="V74" i="34"/>
  <c r="V72" i="34"/>
  <c r="V75" i="34"/>
  <c r="U41" i="34"/>
  <c r="T41" i="34"/>
  <c r="S41" i="34"/>
  <c r="V81" i="34"/>
  <c r="V77" i="34"/>
  <c r="V83" i="34"/>
  <c r="V79" i="34"/>
  <c r="V65" i="34"/>
  <c r="V66" i="34"/>
  <c r="V64" i="34"/>
  <c r="V80" i="34"/>
  <c r="V68" i="34"/>
  <c r="V67" i="34"/>
  <c r="V70" i="34"/>
  <c r="V69" i="34"/>
  <c r="V78" i="34"/>
  <c r="V82" i="34"/>
  <c r="V71" i="34"/>
  <c r="M40" i="34"/>
  <c r="M38" i="34"/>
  <c r="M26" i="34"/>
  <c r="N52" i="34"/>
  <c r="N56" i="34" s="1"/>
  <c r="N53" i="34"/>
  <c r="N54" i="34"/>
  <c r="N55" i="34"/>
  <c r="J52" i="34"/>
  <c r="J56" i="34" s="1"/>
  <c r="J53" i="34"/>
  <c r="J54" i="34"/>
  <c r="J55" i="34"/>
  <c r="J47" i="34"/>
  <c r="J48" i="34"/>
  <c r="J50" i="34"/>
  <c r="J51" i="34"/>
  <c r="N51" i="34"/>
  <c r="N47" i="34"/>
  <c r="N48" i="34"/>
  <c r="N50" i="34"/>
  <c r="K25" i="34"/>
  <c r="L25" i="34"/>
  <c r="K43" i="34"/>
  <c r="L43" i="34"/>
  <c r="K42" i="34"/>
  <c r="L42" i="34"/>
  <c r="K41" i="34"/>
  <c r="L41" i="34"/>
  <c r="K40" i="34"/>
  <c r="L40" i="34"/>
  <c r="K39" i="34"/>
  <c r="L39" i="34"/>
  <c r="K38" i="34"/>
  <c r="L38" i="34"/>
  <c r="K37" i="34"/>
  <c r="L37" i="34"/>
  <c r="K36" i="34"/>
  <c r="L36" i="34"/>
  <c r="K34" i="34"/>
  <c r="L34" i="34"/>
  <c r="K33" i="34"/>
  <c r="L33" i="34"/>
  <c r="K32" i="34"/>
  <c r="L32" i="34"/>
  <c r="K31" i="34"/>
  <c r="L31" i="34"/>
  <c r="K30" i="34"/>
  <c r="L30" i="34"/>
  <c r="K29" i="34"/>
  <c r="L29" i="34"/>
  <c r="R79" i="34" s="1"/>
  <c r="K28" i="34"/>
  <c r="P67" i="34" s="1"/>
  <c r="L28" i="34"/>
  <c r="R69" i="34" s="1"/>
  <c r="K27" i="34"/>
  <c r="L27" i="34"/>
  <c r="R78" i="34" s="1"/>
  <c r="K26" i="34"/>
  <c r="P65" i="34" s="1"/>
  <c r="L26" i="34"/>
  <c r="R65" i="34" s="1"/>
  <c r="K44" i="34"/>
  <c r="P83" i="34" s="1"/>
  <c r="L44" i="34"/>
  <c r="R66" i="34" s="1"/>
  <c r="M43" i="34"/>
  <c r="M41" i="34"/>
  <c r="M39" i="34"/>
  <c r="M37" i="34"/>
  <c r="M36" i="34"/>
  <c r="M34" i="34"/>
  <c r="M33" i="34"/>
  <c r="M32" i="34"/>
  <c r="M31" i="34"/>
  <c r="M30" i="34"/>
  <c r="M29" i="34"/>
  <c r="T79" i="34" s="1"/>
  <c r="M28" i="34"/>
  <c r="T69" i="34" s="1"/>
  <c r="T78" i="34"/>
  <c r="M44" i="34"/>
  <c r="T66" i="34" s="1"/>
  <c r="P71" i="34" l="1"/>
  <c r="P68" i="34"/>
  <c r="T70" i="34"/>
  <c r="R70" i="34"/>
  <c r="P73" i="34"/>
  <c r="T67" i="34"/>
  <c r="R67" i="34"/>
  <c r="R68" i="34"/>
  <c r="T82" i="34"/>
  <c r="T83" i="34"/>
  <c r="T81" i="34"/>
  <c r="T77" i="34"/>
  <c r="T72" i="34"/>
  <c r="T74" i="34"/>
  <c r="T64" i="34"/>
  <c r="T76" i="34"/>
  <c r="T73" i="34"/>
  <c r="T80" i="34"/>
  <c r="T71" i="34"/>
  <c r="R82" i="34"/>
  <c r="R83" i="34"/>
  <c r="R81" i="34"/>
  <c r="P72" i="34"/>
  <c r="R77" i="34"/>
  <c r="R72" i="34"/>
  <c r="P75" i="34"/>
  <c r="R74" i="34"/>
  <c r="R64" i="34"/>
  <c r="R75" i="34"/>
  <c r="R76" i="34"/>
  <c r="P80" i="34"/>
  <c r="R73" i="34"/>
  <c r="P81" i="34"/>
  <c r="R80" i="34"/>
  <c r="R71" i="34"/>
  <c r="T65" i="34"/>
  <c r="T68" i="34"/>
  <c r="T75" i="34"/>
  <c r="P66" i="34"/>
  <c r="P69" i="34"/>
  <c r="P70" i="34"/>
  <c r="P76" i="34"/>
  <c r="P74" i="34"/>
  <c r="P77" i="34"/>
  <c r="P78" i="34"/>
  <c r="P79" i="34"/>
  <c r="P82" i="34"/>
  <c r="P64" i="34"/>
  <c r="W78" i="34"/>
  <c r="W77" i="34"/>
  <c r="W83" i="34"/>
  <c r="W82" i="34"/>
  <c r="W81" i="34"/>
  <c r="W80" i="34"/>
  <c r="W79" i="34"/>
  <c r="W76" i="34"/>
  <c r="W75" i="34"/>
  <c r="W74" i="34"/>
  <c r="W73" i="34"/>
  <c r="W72" i="34"/>
  <c r="W70" i="34"/>
  <c r="W69" i="34"/>
  <c r="W67" i="34"/>
  <c r="W66" i="34"/>
  <c r="W71" i="34"/>
  <c r="W64" i="34"/>
  <c r="W68" i="34"/>
  <c r="W65" i="34"/>
  <c r="O64" i="34"/>
  <c r="O82" i="34"/>
  <c r="O81" i="34"/>
  <c r="O80" i="34"/>
  <c r="O79" i="34"/>
  <c r="O78" i="34"/>
  <c r="O77" i="34"/>
  <c r="O76" i="34"/>
  <c r="O75" i="34"/>
  <c r="O73" i="34"/>
  <c r="O72" i="34"/>
  <c r="O71" i="34"/>
  <c r="O70" i="34"/>
  <c r="O69" i="34"/>
  <c r="O68" i="34"/>
  <c r="O67" i="34"/>
  <c r="O66" i="34"/>
  <c r="O65" i="34"/>
  <c r="O83" i="34"/>
  <c r="O74" i="34"/>
  <c r="J59" i="34"/>
  <c r="J58" i="34"/>
  <c r="J57" i="34"/>
  <c r="N59" i="34"/>
  <c r="N58" i="34"/>
  <c r="N57" i="34"/>
  <c r="M52" i="34"/>
  <c r="M56" i="34" s="1"/>
  <c r="M53" i="34"/>
  <c r="M54" i="34"/>
  <c r="M55" i="34"/>
  <c r="L52" i="34"/>
  <c r="L56" i="34" s="1"/>
  <c r="L53" i="34"/>
  <c r="L54" i="34"/>
  <c r="L55" i="34"/>
  <c r="K52" i="34"/>
  <c r="K56" i="34" s="1"/>
  <c r="K53" i="34"/>
  <c r="K54" i="34"/>
  <c r="K55" i="34"/>
  <c r="M47" i="34"/>
  <c r="M48" i="34"/>
  <c r="M50" i="34"/>
  <c r="M51" i="34"/>
  <c r="L47" i="34"/>
  <c r="L48" i="34"/>
  <c r="L50" i="34"/>
  <c r="L51" i="34"/>
  <c r="K47" i="34"/>
  <c r="K48" i="34"/>
  <c r="K50" i="34"/>
  <c r="K51" i="34"/>
  <c r="G26" i="32"/>
  <c r="I29" i="32"/>
  <c r="I28" i="32"/>
  <c r="I27" i="32"/>
  <c r="I25" i="32"/>
  <c r="G28" i="32"/>
  <c r="G25" i="32"/>
  <c r="L4" i="32"/>
  <c r="K4" i="32"/>
  <c r="I12" i="32"/>
  <c r="H12" i="32"/>
  <c r="K12" i="32"/>
  <c r="L12" i="32"/>
  <c r="I4" i="32" l="1"/>
  <c r="H4" i="32"/>
  <c r="Q74" i="34"/>
  <c r="Q83" i="34"/>
  <c r="Q65" i="34"/>
  <c r="Q66" i="34"/>
  <c r="Q67" i="34"/>
  <c r="Q68" i="34"/>
  <c r="Q69" i="34"/>
  <c r="Q70" i="34"/>
  <c r="Q71" i="34"/>
  <c r="Q72" i="34"/>
  <c r="Q73" i="34"/>
  <c r="Q75" i="34"/>
  <c r="Q76" i="34"/>
  <c r="Q77" i="34"/>
  <c r="Q78" i="34"/>
  <c r="Q79" i="34"/>
  <c r="Q80" i="34"/>
  <c r="Q81" i="34"/>
  <c r="Q82" i="34"/>
  <c r="Q64" i="34"/>
  <c r="S74" i="34"/>
  <c r="S83" i="34"/>
  <c r="S65" i="34"/>
  <c r="S66" i="34"/>
  <c r="S67" i="34"/>
  <c r="S68" i="34"/>
  <c r="S69" i="34"/>
  <c r="S70" i="34"/>
  <c r="S71" i="34"/>
  <c r="S72" i="34"/>
  <c r="S73" i="34"/>
  <c r="S75" i="34"/>
  <c r="S76" i="34"/>
  <c r="S77" i="34"/>
  <c r="S78" i="34"/>
  <c r="S79" i="34"/>
  <c r="S80" i="34"/>
  <c r="S81" i="34"/>
  <c r="S82" i="34"/>
  <c r="S64" i="34"/>
  <c r="U74" i="34"/>
  <c r="U83" i="34"/>
  <c r="U66" i="34"/>
  <c r="U67" i="34"/>
  <c r="U68" i="34"/>
  <c r="U69" i="34"/>
  <c r="U70" i="34"/>
  <c r="U71" i="34"/>
  <c r="U72" i="34"/>
  <c r="U73" i="34"/>
  <c r="U75" i="34"/>
  <c r="U76" i="34"/>
  <c r="U78" i="34"/>
  <c r="U80" i="34"/>
  <c r="U81" i="34"/>
  <c r="U82" i="34"/>
  <c r="U64" i="34"/>
  <c r="U65" i="34"/>
  <c r="U77" i="34"/>
  <c r="U79" i="34"/>
  <c r="K59" i="34"/>
  <c r="K58" i="34"/>
  <c r="K57" i="34"/>
  <c r="L59" i="34"/>
  <c r="L58" i="34"/>
  <c r="L57" i="34"/>
  <c r="M59" i="34"/>
  <c r="M58" i="34"/>
  <c r="M57" i="34"/>
  <c r="I26" i="32"/>
  <c r="H13" i="32"/>
  <c r="I22" i="32"/>
  <c r="H22" i="32"/>
  <c r="K22" i="32"/>
  <c r="L22" i="32"/>
  <c r="I13" i="32"/>
  <c r="K13" i="32"/>
  <c r="L13" i="32"/>
  <c r="I5" i="32"/>
  <c r="H5" i="32"/>
  <c r="K5" i="32"/>
  <c r="L5" i="32"/>
  <c r="I8" i="32"/>
  <c r="H8" i="32"/>
  <c r="K8" i="32"/>
  <c r="L8" i="32"/>
  <c r="I11" i="32"/>
  <c r="H11" i="32"/>
  <c r="K11" i="32"/>
  <c r="L11" i="32"/>
  <c r="I10" i="32"/>
  <c r="H10" i="32"/>
  <c r="K10" i="32"/>
  <c r="L10" i="32"/>
  <c r="I21" i="32"/>
  <c r="H21" i="32"/>
  <c r="K21" i="32"/>
  <c r="L21" i="32"/>
  <c r="I9" i="32"/>
  <c r="H9" i="32"/>
  <c r="K9" i="32"/>
  <c r="L9" i="32"/>
  <c r="I7" i="32"/>
  <c r="H7" i="32"/>
  <c r="K7" i="32"/>
  <c r="L7" i="32"/>
  <c r="I18" i="32"/>
  <c r="H18" i="32"/>
  <c r="K18" i="32"/>
  <c r="L18" i="32"/>
  <c r="I14" i="32"/>
  <c r="H14" i="32"/>
  <c r="K14" i="32"/>
  <c r="L14" i="32"/>
  <c r="I15" i="32"/>
  <c r="H15" i="32"/>
  <c r="K15" i="32"/>
  <c r="L15" i="32"/>
  <c r="I17" i="32"/>
  <c r="H17" i="32"/>
  <c r="K17" i="32"/>
  <c r="L17" i="32"/>
  <c r="I16" i="32"/>
  <c r="H16" i="32"/>
  <c r="K16" i="32"/>
  <c r="L16" i="32"/>
  <c r="H19" i="32"/>
  <c r="I19" i="32"/>
  <c r="K19" i="32"/>
  <c r="L19" i="32"/>
  <c r="I20" i="32"/>
  <c r="H20" i="32"/>
  <c r="K20" i="32"/>
  <c r="L20" i="32"/>
  <c r="I6" i="32"/>
  <c r="H6" i="32"/>
  <c r="K6" i="32"/>
  <c r="L6" i="32"/>
  <c r="I23" i="32"/>
  <c r="H23" i="32"/>
  <c r="K23" i="32"/>
  <c r="L23" i="32"/>
  <c r="H24" i="32" l="1"/>
  <c r="I24" i="32"/>
  <c r="AO22" i="8"/>
  <c r="AN21" i="8"/>
  <c r="AO21" i="8" s="1"/>
  <c r="AO23" i="8" s="1"/>
  <c r="AO16" i="8"/>
  <c r="AN15" i="8"/>
  <c r="AO15" i="8" s="1"/>
  <c r="AO17" i="8" s="1"/>
  <c r="AO10" i="8"/>
  <c r="AN9" i="8"/>
  <c r="AO9" i="8" s="1"/>
  <c r="AO11" i="8" s="1"/>
  <c r="AO4" i="8"/>
  <c r="AN3" i="8"/>
  <c r="AO3" i="8" s="1"/>
  <c r="AO5" i="8" s="1"/>
  <c r="AH22" i="8"/>
  <c r="AG21" i="8"/>
  <c r="AH21" i="8" s="1"/>
  <c r="AH23" i="8" s="1"/>
  <c r="AH16" i="8"/>
  <c r="AG15" i="8"/>
  <c r="AH15" i="8" s="1"/>
  <c r="AH17" i="8" s="1"/>
  <c r="AH10" i="8"/>
  <c r="AG9" i="8"/>
  <c r="AH9" i="8" s="1"/>
  <c r="AH11" i="8" s="1"/>
  <c r="AH4" i="8"/>
  <c r="AG3" i="8"/>
  <c r="AH3" i="8" s="1"/>
  <c r="AH5" i="8" s="1"/>
  <c r="AA22" i="8"/>
  <c r="Z21" i="8"/>
  <c r="AA21" i="8" s="1"/>
  <c r="AA23" i="8" s="1"/>
  <c r="AA16" i="8"/>
  <c r="Z15" i="8"/>
  <c r="AA15" i="8" s="1"/>
  <c r="AA17" i="8" s="1"/>
  <c r="AA10" i="8"/>
  <c r="Z9" i="8"/>
  <c r="AA9" i="8" s="1"/>
  <c r="AA11" i="8" s="1"/>
  <c r="AA4" i="8"/>
  <c r="Z3" i="8"/>
  <c r="AA3" i="8" s="1"/>
  <c r="AA5" i="8" s="1"/>
  <c r="S21" i="8"/>
  <c r="S15" i="8"/>
  <c r="S9" i="8"/>
  <c r="S3" i="8"/>
  <c r="L21" i="8"/>
  <c r="L15" i="8"/>
  <c r="M10" i="8"/>
  <c r="L9" i="8"/>
  <c r="M9" i="8" s="1"/>
  <c r="T22" i="8"/>
  <c r="T21" i="8"/>
  <c r="T23" i="8" s="1"/>
  <c r="T16" i="8"/>
  <c r="T15" i="8"/>
  <c r="T17" i="8" s="1"/>
  <c r="T10" i="8"/>
  <c r="T9" i="8"/>
  <c r="T11" i="8" s="1"/>
  <c r="T4" i="8"/>
  <c r="T3" i="8"/>
  <c r="T5" i="8" s="1"/>
  <c r="M22" i="8"/>
  <c r="M21" i="8"/>
  <c r="M23" i="8" s="1"/>
  <c r="M16" i="8"/>
  <c r="M15" i="8"/>
  <c r="M17" i="8" s="1"/>
  <c r="M11" i="8"/>
  <c r="M4" i="8"/>
  <c r="L3" i="8"/>
  <c r="M3" i="8" s="1"/>
  <c r="M5" i="8" s="1"/>
  <c r="F22" i="8"/>
  <c r="E21" i="8"/>
  <c r="F21" i="8" s="1"/>
  <c r="F23" i="8" s="1"/>
  <c r="F16" i="8"/>
  <c r="E15" i="8"/>
  <c r="F17" i="8" s="1"/>
  <c r="F10" i="8" l="1"/>
  <c r="E9" i="8"/>
  <c r="F9" i="8" s="1"/>
  <c r="F11" i="8" s="1"/>
  <c r="F4" i="8"/>
  <c r="E3" i="8"/>
  <c r="F3" i="8" s="1"/>
  <c r="G20" i="3"/>
  <c r="H18" i="3"/>
  <c r="G18" i="3"/>
  <c r="H17" i="3"/>
  <c r="G17" i="3"/>
  <c r="G19" i="3" s="1"/>
  <c r="H12" i="3"/>
  <c r="F12" i="3"/>
  <c r="E12" i="3"/>
  <c r="D12" i="3"/>
  <c r="J11" i="3"/>
  <c r="G11" i="3"/>
  <c r="G12" i="3" s="1"/>
  <c r="H10" i="3"/>
  <c r="F10" i="3"/>
  <c r="E10" i="3"/>
  <c r="D10" i="3"/>
  <c r="G9" i="3"/>
  <c r="G10" i="3" s="1"/>
  <c r="H6" i="3"/>
  <c r="H14" i="3" s="1"/>
  <c r="F6" i="3"/>
  <c r="F14" i="3" s="1"/>
  <c r="E6" i="3"/>
  <c r="E14" i="3" s="1"/>
  <c r="D6" i="3"/>
  <c r="D14" i="3" s="1"/>
  <c r="J5" i="3"/>
  <c r="J13" i="3" s="1"/>
  <c r="G5" i="3"/>
  <c r="G6" i="3" s="1"/>
  <c r="G14" i="3" s="1"/>
  <c r="H4" i="3"/>
  <c r="F4" i="3"/>
  <c r="E4" i="3"/>
  <c r="D4" i="3"/>
  <c r="G3" i="3"/>
  <c r="G4" i="3" s="1"/>
  <c r="F5" i="8" l="1"/>
  <c r="H20" i="3"/>
  <c r="H19" i="3"/>
  <c r="G27" i="32" l="1"/>
  <c r="N49" i="34"/>
  <c r="J49" i="34"/>
  <c r="K49" i="34"/>
  <c r="L49" i="34"/>
  <c r="M49" i="34"/>
  <c r="R41" i="34"/>
  <c r="R34" i="34"/>
  <c r="R27" i="34"/>
  <c r="V41" i="34"/>
  <c r="V34" i="34"/>
  <c r="V27" i="34"/>
  <c r="U27" i="34"/>
  <c r="T34" i="34"/>
  <c r="T27" i="34"/>
  <c r="S34" i="34"/>
  <c r="S27" i="34"/>
  <c r="U34" i="34" l="1"/>
  <c r="J21" i="3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<sst xmlns="http://schemas.openxmlformats.org/spreadsheetml/2006/main" count="448" uniqueCount="143">
  <si>
    <t>q1</t>
  </si>
  <si>
    <t>q2</t>
  </si>
  <si>
    <t>q3</t>
  </si>
  <si>
    <t>AVG</t>
  </si>
  <si>
    <t>HOME</t>
  </si>
  <si>
    <t>AWAY</t>
  </si>
  <si>
    <t>Historial</t>
  </si>
  <si>
    <t>q4</t>
  </si>
  <si>
    <t>Life</t>
  </si>
  <si>
    <t>Puntos</t>
  </si>
  <si>
    <t>ITEM</t>
  </si>
  <si>
    <t>Puntos avg</t>
  </si>
  <si>
    <t>SUM</t>
  </si>
  <si>
    <t>SUM_AVG</t>
  </si>
  <si>
    <t>MEDIA</t>
  </si>
  <si>
    <t>MEDIANA</t>
  </si>
  <si>
    <t>DIST_MAX</t>
  </si>
  <si>
    <t>DIST_MIN</t>
  </si>
  <si>
    <t>Final</t>
  </si>
  <si>
    <t>De local</t>
  </si>
  <si>
    <t>De visitante</t>
  </si>
  <si>
    <t>Va perdiendo por _ _ puntos al finalizar el Q_3</t>
  </si>
  <si>
    <t>Va ganando por _ _ puntos al finalizar el Q_3</t>
  </si>
  <si>
    <t>Alcanza o supera un avg_q_1 (home o away) de:</t>
  </si>
  <si>
    <t>Alcanza o supera un avg_q_2 (home o away) de:</t>
  </si>
  <si>
    <t>Alcanza o supera un avg_q_3 (home o away) de:</t>
  </si>
  <si>
    <t>El equipo supera su media historica  del Q_4, cuando al minuto 5 del q_4 del partido actual:</t>
  </si>
  <si>
    <t>Abajo_AVG: (↓avg_gral_[h or a])</t>
  </si>
  <si>
    <t>Arriba_AVG:(↑avg_gral_[h or a])</t>
  </si>
  <si>
    <t>Abajo_AVG: (↓avg_q4_[h or a])</t>
  </si>
  <si>
    <t>Arriba_AVG:(↑avg_q4_[h or a])</t>
  </si>
  <si>
    <t>Igual_AVG: (→avg_q4_[h or a])</t>
  </si>
  <si>
    <t>Igual_AVG: (→avg_gral_[h or a])</t>
  </si>
  <si>
    <t>Abajo_MDN: (↓mdn_gral_[h or a])</t>
  </si>
  <si>
    <t>Igual_MDN: (→mdn_gral_[h or a])</t>
  </si>
  <si>
    <t>Arriba_MDN:(↑mdn_gral_[h or a])</t>
  </si>
  <si>
    <t>Su media total comprendida entre q_1 a q_3 de un partido específico (home o away) esta:</t>
  </si>
  <si>
    <t>Su media del 4to cuarto avg_q_4 de un partido específico (home o away) esta:</t>
  </si>
  <si>
    <t>Su mediana … esta:</t>
  </si>
  <si>
    <t>AVG_Q1_Q3</t>
  </si>
  <si>
    <t>AVG_MATCH</t>
  </si>
  <si>
    <t>Odd's</t>
  </si>
  <si>
    <t>Home</t>
  </si>
  <si>
    <t>Away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</si>
  <si>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</si>
  <si>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</si>
  <si>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</si>
  <si>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</si>
  <si>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</si>
  <si>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</si>
  <si>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</si>
  <si>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</si>
  <si>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</si>
  <si>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</si>
  <si>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</si>
  <si>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</si>
  <si>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</si>
  <si>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</si>
  <si>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</si>
  <si>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</si>
  <si>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</si>
  <si>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</si>
  <si>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</si>
  <si>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</si>
  <si>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</si>
  <si>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</si>
  <si>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</si>
  <si>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</si>
  <si>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Análisis de los residuales</t>
  </si>
  <si>
    <t>Observación</t>
  </si>
  <si>
    <t>f(x,</t>
  </si>
  <si>
    <t>y)</t>
  </si>
  <si>
    <t>z</t>
  </si>
  <si>
    <t>Betplay:</t>
  </si>
  <si>
    <t>Diferencia:</t>
  </si>
  <si>
    <t>Vivo:</t>
  </si>
  <si>
    <t>Pronóstico</t>
  </si>
  <si>
    <t>Resultados de datos de probabilidad</t>
  </si>
  <si>
    <t>Percentil</t>
  </si>
  <si>
    <t>↑ Avg_match</t>
  </si>
  <si>
    <t>Avg_Match</t>
  </si>
  <si>
    <t>Avg_Q1_Q3</t>
  </si>
  <si>
    <t>Diff_End_Q3</t>
  </si>
  <si>
    <t>Pronóstico Avg_Match</t>
  </si>
  <si>
    <t>Is_Win</t>
  </si>
  <si>
    <t>Diff_Q3</t>
  </si>
  <si>
    <t>Diff_Final</t>
  </si>
  <si>
    <t>Mediana</t>
  </si>
  <si>
    <t>SDT</t>
  </si>
  <si>
    <t>Diferencia entre el pronostico y avg_q1_q3</t>
  </si>
  <si>
    <t>Pronostico + sdt_error</t>
  </si>
  <si>
    <t>Pronostico - sdt_error</t>
  </si>
  <si>
    <t>Media</t>
  </si>
  <si>
    <t>Moda</t>
  </si>
  <si>
    <t>sdt</t>
  </si>
  <si>
    <t>Varianza</t>
  </si>
  <si>
    <t>Probabilidad acumulativa</t>
  </si>
  <si>
    <t>Densidad de probabilidad</t>
  </si>
  <si>
    <t>Cuartil 1</t>
  </si>
  <si>
    <t>Cuartil 2</t>
  </si>
  <si>
    <t>Cuartil 3</t>
  </si>
  <si>
    <t>Cuartil 4</t>
  </si>
  <si>
    <t>Columna1</t>
  </si>
  <si>
    <t>Diff c1-c2</t>
  </si>
  <si>
    <t>Diff c2-c3</t>
  </si>
  <si>
    <t>Diff c3-c4</t>
  </si>
  <si>
    <t>Densidades de probabilidad</t>
  </si>
  <si>
    <t>AVG_Q1_Q2</t>
  </si>
  <si>
    <t>Diff_Q2</t>
  </si>
  <si>
    <t>Columna2</t>
  </si>
  <si>
    <t>Diferencia entre el pronostico y avg_q1_q2</t>
  </si>
  <si>
    <t>h</t>
  </si>
  <si>
    <t>Diff c1</t>
  </si>
  <si>
    <t>Correlación 1</t>
  </si>
  <si>
    <t>Correlación 3</t>
  </si>
  <si>
    <t>Correlación 2</t>
  </si>
  <si>
    <t>Diff_Pro_avgq13</t>
  </si>
  <si>
    <t>Minutos</t>
  </si>
  <si>
    <t>Range</t>
  </si>
  <si>
    <t>Máximo</t>
  </si>
  <si>
    <t>Mínimo</t>
  </si>
  <si>
    <t>Avvg_Match</t>
  </si>
  <si>
    <t>Diff</t>
  </si>
  <si>
    <t>Q1</t>
  </si>
  <si>
    <t>Q2</t>
  </si>
  <si>
    <t>Q3</t>
  </si>
  <si>
    <t>Q4</t>
  </si>
  <si>
    <t>prede -</t>
  </si>
  <si>
    <t>prede +</t>
  </si>
  <si>
    <t>Sdt Error</t>
  </si>
  <si>
    <t>Time (m)</t>
  </si>
  <si>
    <t>My Pred</t>
  </si>
  <si>
    <t>Avg_Q4</t>
  </si>
  <si>
    <t>Columna3</t>
  </si>
  <si>
    <t>Puntos Q4</t>
  </si>
  <si>
    <t>Corr 1-2</t>
  </si>
  <si>
    <t>Corr 2-3</t>
  </si>
  <si>
    <t>Corr 1-3</t>
  </si>
  <si>
    <t>Std</t>
  </si>
  <si>
    <t>Range Total</t>
  </si>
  <si>
    <t>Range Q1-Q2</t>
  </si>
  <si>
    <t>Range Q1-Q3</t>
  </si>
  <si>
    <t>Range Q2-Q3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</si>
</sst>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onsolas"/>
      <family val="3"/>
    </font>
    <font>
      <u/>
      <sz val="11"/>
      <color theme="1"/>
      <name val="Calibri"/>
      <family val="2"/>
      <scheme val="minor"/>
    </font>
    <font>
      <b/>
      <sz val="11"/>
      <color rgb="FFFF0000"/>
      <name val="Consolas"/>
      <family val="3"/>
    </font>
    <font>
      <sz val="11"/>
      <name val="Consolas"/>
      <family val="3"/>
    </font>
    <font>
      <b/>
      <sz val="11"/>
      <color rgb="FF0070C0"/>
      <name val="Consolas"/>
      <family val="3"/>
    </font>
    <font>
      <b/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0" fillId="0" borderId="1" xfId="0" applyNumberForma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4" xfId="0" applyBorder="1"/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Continuous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0" fillId="6" borderId="1" xfId="0" applyFont="1" applyFill="1" applyBorder="1" applyAlignment="1">
      <alignment horizontal="center"/>
    </xf>
    <xf numFmtId="165" fontId="10" fillId="6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165" fontId="1" fillId="8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2" fontId="14" fillId="9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10" fillId="3" borderId="1" xfId="0" applyNumberFormat="1" applyFont="1" applyFill="1" applyBorder="1" applyAlignment="1">
      <alignment horizontal="center"/>
    </xf>
    <xf numFmtId="166" fontId="14" fillId="0" borderId="1" xfId="0" applyNumberFormat="1" applyFont="1" applyBorder="1" applyAlignment="1">
      <alignment horizontal="center" vertical="center"/>
    </xf>
    <xf numFmtId="0" fontId="0" fillId="10" borderId="0" xfId="0" applyFill="1" applyAlignment="1">
      <alignment horizontal="center"/>
    </xf>
    <xf numFmtId="166" fontId="14" fillId="10" borderId="1" xfId="0" applyNumberFormat="1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2" fontId="14" fillId="10" borderId="1" xfId="0" applyNumberFormat="1" applyFont="1" applyFill="1" applyBorder="1" applyAlignment="1">
      <alignment horizontal="center" vertical="center"/>
    </xf>
    <xf numFmtId="164" fontId="4" fillId="10" borderId="1" xfId="0" applyNumberFormat="1" applyFon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5" fontId="4" fillId="10" borderId="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 vertical="center"/>
    </xf>
    <xf numFmtId="165" fontId="10" fillId="10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/>
    </xf>
    <xf numFmtId="164" fontId="16" fillId="0" borderId="1" xfId="0" applyNumberFormat="1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wrapText="1"/>
    </xf>
    <xf numFmtId="0" fontId="1" fillId="11" borderId="1" xfId="0" applyFont="1" applyFill="1" applyBorder="1"/>
    <xf numFmtId="2" fontId="0" fillId="0" borderId="0" xfId="0" applyNumberFormat="1"/>
    <xf numFmtId="0" fontId="11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2" fontId="14" fillId="0" borderId="1" xfId="0" applyNumberFormat="1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165" fontId="6" fillId="0" borderId="0" xfId="0" applyNumberFormat="1" applyFont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7" fillId="0" borderId="0" xfId="0" applyFont="1" applyAlignment="1">
      <alignment horizontal="center"/>
    </xf>
    <xf numFmtId="166" fontId="5" fillId="3" borderId="1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6" fillId="0" borderId="3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family val="3"/>
        <scheme val="none"/>
      </font>
      <numFmt numFmtId="2" formatCode="0.0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family val="3"/>
        <scheme val="none"/>
      </font>
      <numFmt numFmtId="2" formatCode="0.0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166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Avg_Q1_Q3 Gráfico de los residuales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Hoja8!$A$4:$A$23</c:f>
              <c:numCache>
                <c:formatCode>0.0000</c:formatCode>
                <c:ptCount val="20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1.8333330000000001</c:v>
                </c:pt>
                <c:pt idx="11">
                  <c:v>2</c:v>
                </c:pt>
                <c:pt idx="12">
                  <c:v>2.0333329999999998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2.0666669999999998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2.1666669999999999</c:v>
                </c:pt>
                <c:pt idx="19">
                  <c:v>2.4666670000000002</c:v>
                </c:pt>
              </c:numCache>
            </c:numRef>
          </c:xVal>
          <c:yVal>
            <c:numRef>
              <c:f>Both!$C$26:$C$45</c:f>
              <c:numCache>
                <c:formatCode>General</c:formatCode>
                <c:ptCount val="20"/>
                <c:pt idx="0">
                  <c:v>-0.13320405217161468</c:v>
                </c:pt>
                <c:pt idx="1">
                  <c:v>-0.20660333142720022</c:v>
                </c:pt>
                <c:pt idx="2">
                  <c:v>-4.9606484491833136E-3</c:v>
                </c:pt>
                <c:pt idx="3">
                  <c:v>-0.11631783043425226</c:v>
                </c:pt>
                <c:pt idx="4">
                  <c:v>1.32144026513068E-2</c:v>
                </c:pt>
                <c:pt idx="5">
                  <c:v>-5.6671027263231588E-2</c:v>
                </c:pt>
                <c:pt idx="6">
                  <c:v>-0.16919298195337129</c:v>
                </c:pt>
                <c:pt idx="7">
                  <c:v>0.10195979895178264</c:v>
                </c:pt>
                <c:pt idx="8">
                  <c:v>0.14706804474433133</c:v>
                </c:pt>
                <c:pt idx="9">
                  <c:v>6.50728217232448E-2</c:v>
                </c:pt>
                <c:pt idx="10">
                  <c:v>0.14493677326527177</c:v>
                </c:pt>
                <c:pt idx="11">
                  <c:v>-1.5977380896364579E-2</c:v>
                </c:pt>
                <c:pt idx="12">
                  <c:v>2.8207979653127602E-2</c:v>
                </c:pt>
                <c:pt idx="13">
                  <c:v>-4.9648757067896288E-2</c:v>
                </c:pt>
                <c:pt idx="14">
                  <c:v>-0.11783655545947802</c:v>
                </c:pt>
                <c:pt idx="15">
                  <c:v>6.9883476017662982E-2</c:v>
                </c:pt>
                <c:pt idx="16">
                  <c:v>0.10120643233912752</c:v>
                </c:pt>
                <c:pt idx="17">
                  <c:v>9.9291652445165468E-2</c:v>
                </c:pt>
                <c:pt idx="18">
                  <c:v>0.1429502813256045</c:v>
                </c:pt>
                <c:pt idx="19">
                  <c:v>-4.3379097994040272E-2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9A-44D1-AC9D-62CF7605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577951"/>
        <c:axId val="2113570271"/>
      </c:scatterChart>
      <c:valAx>
        <c:axId val="2113577951"/>
        <c:scaling>
          <c:orientation val="minMax"/>
          <c:min val="1.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Avg_Q1_Q3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3570271"/>
        <c:crosses val="autoZero"/>
        <c:crossBetween val="midCat"/>
      </c:valAx>
      <c:valAx>
        <c:axId val="21135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Residuos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357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Diff_End_Q3 Gráfico de los residuales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Hoja8!$C$4:$C$23</c:f>
              <c:numCache>
                <c:formatCode>0.000</c:formatCode>
                <c:ptCount val="20"/>
                <c:pt idx="0">
                  <c:v>-27</c:v>
                </c:pt>
                <c:pt idx="1">
                  <c:v>-18</c:v>
                </c:pt>
                <c:pt idx="2">
                  <c:v>-17</c:v>
                </c:pt>
                <c:pt idx="3">
                  <c:v>-17</c:v>
                </c:pt>
                <c:pt idx="4">
                  <c:v>-12</c:v>
                </c:pt>
                <c:pt idx="5">
                  <c:v>-23</c:v>
                </c:pt>
                <c:pt idx="6">
                  <c:v>10</c:v>
                </c:pt>
                <c:pt idx="7">
                  <c:v>-5</c:v>
                </c:pt>
                <c:pt idx="8">
                  <c:v>-7</c:v>
                </c:pt>
                <c:pt idx="9">
                  <c:v>-14</c:v>
                </c:pt>
                <c:pt idx="10">
                  <c:v>-24</c:v>
                </c:pt>
                <c:pt idx="11">
                  <c:v>8</c:v>
                </c:pt>
                <c:pt idx="12">
                  <c:v>-2</c:v>
                </c:pt>
                <c:pt idx="13">
                  <c:v>-3</c:v>
                </c:pt>
                <c:pt idx="14">
                  <c:v>11</c:v>
                </c:pt>
                <c:pt idx="15">
                  <c:v>2</c:v>
                </c:pt>
                <c:pt idx="16">
                  <c:v>0</c:v>
                </c:pt>
                <c:pt idx="17">
                  <c:v>-21</c:v>
                </c:pt>
                <c:pt idx="18">
                  <c:v>9</c:v>
                </c:pt>
                <c:pt idx="19">
                  <c:v>21</c:v>
                </c:pt>
              </c:numCache>
            </c:numRef>
          </c:xVal>
          <c:yVal>
            <c:numRef>
              <c:f>Both!$C$26:$C$45</c:f>
              <c:numCache>
                <c:formatCode>General</c:formatCode>
                <c:ptCount val="20"/>
                <c:pt idx="0">
                  <c:v>-0.13320405217161468</c:v>
                </c:pt>
                <c:pt idx="1">
                  <c:v>-0.20660333142720022</c:v>
                </c:pt>
                <c:pt idx="2">
                  <c:v>-4.9606484491833136E-3</c:v>
                </c:pt>
                <c:pt idx="3">
                  <c:v>-0.11631783043425226</c:v>
                </c:pt>
                <c:pt idx="4">
                  <c:v>1.32144026513068E-2</c:v>
                </c:pt>
                <c:pt idx="5">
                  <c:v>-5.6671027263231588E-2</c:v>
                </c:pt>
                <c:pt idx="6">
                  <c:v>-0.16919298195337129</c:v>
                </c:pt>
                <c:pt idx="7">
                  <c:v>0.10195979895178264</c:v>
                </c:pt>
                <c:pt idx="8">
                  <c:v>0.14706804474433133</c:v>
                </c:pt>
                <c:pt idx="9">
                  <c:v>6.50728217232448E-2</c:v>
                </c:pt>
                <c:pt idx="10">
                  <c:v>0.14493677326527177</c:v>
                </c:pt>
                <c:pt idx="11">
                  <c:v>-1.5977380896364579E-2</c:v>
                </c:pt>
                <c:pt idx="12">
                  <c:v>2.8207979653127602E-2</c:v>
                </c:pt>
                <c:pt idx="13">
                  <c:v>-4.9648757067896288E-2</c:v>
                </c:pt>
                <c:pt idx="14">
                  <c:v>-0.11783655545947802</c:v>
                </c:pt>
                <c:pt idx="15">
                  <c:v>6.9883476017662982E-2</c:v>
                </c:pt>
                <c:pt idx="16">
                  <c:v>0.10120643233912752</c:v>
                </c:pt>
                <c:pt idx="17">
                  <c:v>9.9291652445165468E-2</c:v>
                </c:pt>
                <c:pt idx="18">
                  <c:v>0.1429502813256045</c:v>
                </c:pt>
                <c:pt idx="19">
                  <c:v>-4.3379097994040272E-2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F1-4EBE-A2D8-EA8F22E2F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557791"/>
        <c:axId val="2113580351"/>
      </c:scatterChart>
      <c:valAx>
        <c:axId val="211355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Diff_End_Q3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3580351"/>
        <c:crosses val="autoZero"/>
        <c:crossBetween val="midCat"/>
      </c:valAx>
      <c:valAx>
        <c:axId val="211358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Residuos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355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Avg_Q1_Q3 Curva de regresión ajustada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Avg_Match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229802398764617E-2"/>
                  <c:y val="-1.49345314886486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Hoja8!$A$4:$A$23</c:f>
              <c:numCache>
                <c:formatCode>0.0000</c:formatCode>
                <c:ptCount val="20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1.8333330000000001</c:v>
                </c:pt>
                <c:pt idx="11">
                  <c:v>2</c:v>
                </c:pt>
                <c:pt idx="12">
                  <c:v>2.0333329999999998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2.0666669999999998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2.1666669999999999</c:v>
                </c:pt>
                <c:pt idx="19">
                  <c:v>2.4666670000000002</c:v>
                </c:pt>
              </c:numCache>
            </c:numRef>
          </c:xVal>
          <c:yVal>
            <c:numRef>
              <c:f>Hoja8!$D$4:$D$23</c:f>
              <c:numCache>
                <c:formatCode>General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F2-44A4-803B-52B033989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745151"/>
        <c:axId val="1510752351"/>
      </c:scatterChart>
      <c:valAx>
        <c:axId val="1510745151"/>
        <c:scaling>
          <c:orientation val="minMax"/>
          <c:max val="2.5"/>
          <c:min val="1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Avg_Q1_Q3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52351"/>
        <c:crosses val="autoZero"/>
        <c:crossBetween val="midCat"/>
      </c:valAx>
      <c:valAx>
        <c:axId val="1510752351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Avg_Match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4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Diff_End_Q3 Curva de regresión ajustada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Avg_Match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8500384820318513E-2"/>
                  <c:y val="-5.99450578881721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Hoja8!$C$4:$C$23</c:f>
              <c:numCache>
                <c:formatCode>0.000</c:formatCode>
                <c:ptCount val="20"/>
                <c:pt idx="0">
                  <c:v>-27</c:v>
                </c:pt>
                <c:pt idx="1">
                  <c:v>-18</c:v>
                </c:pt>
                <c:pt idx="2">
                  <c:v>-17</c:v>
                </c:pt>
                <c:pt idx="3">
                  <c:v>-17</c:v>
                </c:pt>
                <c:pt idx="4">
                  <c:v>-12</c:v>
                </c:pt>
                <c:pt idx="5">
                  <c:v>-23</c:v>
                </c:pt>
                <c:pt idx="6">
                  <c:v>10</c:v>
                </c:pt>
                <c:pt idx="7">
                  <c:v>-5</c:v>
                </c:pt>
                <c:pt idx="8">
                  <c:v>-7</c:v>
                </c:pt>
                <c:pt idx="9">
                  <c:v>-14</c:v>
                </c:pt>
                <c:pt idx="10">
                  <c:v>-24</c:v>
                </c:pt>
                <c:pt idx="11">
                  <c:v>8</c:v>
                </c:pt>
                <c:pt idx="12">
                  <c:v>-2</c:v>
                </c:pt>
                <c:pt idx="13">
                  <c:v>-3</c:v>
                </c:pt>
                <c:pt idx="14">
                  <c:v>11</c:v>
                </c:pt>
                <c:pt idx="15">
                  <c:v>2</c:v>
                </c:pt>
                <c:pt idx="16">
                  <c:v>0</c:v>
                </c:pt>
                <c:pt idx="17">
                  <c:v>-21</c:v>
                </c:pt>
                <c:pt idx="18">
                  <c:v>9</c:v>
                </c:pt>
                <c:pt idx="19">
                  <c:v>21</c:v>
                </c:pt>
              </c:numCache>
            </c:numRef>
          </c:xVal>
          <c:yVal>
            <c:numRef>
              <c:f>Hoja8!$D$4:$D$23</c:f>
              <c:numCache>
                <c:formatCode>General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F6-4E9E-9417-C0942FE01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742751"/>
        <c:axId val="1510755231"/>
      </c:scatterChart>
      <c:valAx>
        <c:axId val="1510742751"/>
        <c:scaling>
          <c:orientation val="minMax"/>
          <c:max val="22"/>
          <c:min val="-3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Diff_End_Q3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55231"/>
        <c:crosses val="autoZero"/>
        <c:crossBetween val="midCat"/>
      </c:valAx>
      <c:valAx>
        <c:axId val="1510755231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Avg_Match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42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Gráfico de probabilidad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Both!$E$26:$E$45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Both!$F$26:$F$45</c:f>
              <c:numCache>
                <c:formatCode>General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B-4BD5-80BC-BCE31B997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747071"/>
        <c:axId val="1510740351"/>
      </c:scatterChart>
      <c:valAx>
        <c:axId val="151074707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 percentil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40351"/>
        <c:crosses val="autoZero"/>
        <c:crossBetween val="midCat"/>
      </c:valAx>
      <c:valAx>
        <c:axId val="1510740351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Avg_Match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4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Avg_Match!$F$63</c:f>
              <c:strCache>
                <c:ptCount val="1"/>
                <c:pt idx="0">
                  <c:v>AVG_Q1_Q3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Avg_Match!$E$64:$E$83</c:f>
              <c:numCache>
                <c:formatCode>0.0000</c:formatCode>
                <c:ptCount val="20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1.8333330000000001</c:v>
                </c:pt>
                <c:pt idx="11">
                  <c:v>2</c:v>
                </c:pt>
                <c:pt idx="12">
                  <c:v>2.0333329999999998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2.0666669999999998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2.1666669999999999</c:v>
                </c:pt>
                <c:pt idx="19">
                  <c:v>2.4666670000000002</c:v>
                </c:pt>
              </c:numCache>
            </c:numRef>
          </c:xVal>
          <c:yVal>
            <c:numRef>
              <c:f>Avg_Match!$F$64:$F$83</c:f>
              <c:numCache>
                <c:formatCode>General</c:formatCode>
                <c:ptCount val="20"/>
                <c:pt idx="0">
                  <c:v>0.37848718154391015</c:v>
                </c:pt>
                <c:pt idx="1">
                  <c:v>1.5341997107363519</c:v>
                </c:pt>
                <c:pt idx="2">
                  <c:v>0.69973380301261467</c:v>
                </c:pt>
                <c:pt idx="3">
                  <c:v>1.449862128690631</c:v>
                </c:pt>
                <c:pt idx="4">
                  <c:v>0.96072915274485715</c:v>
                </c:pt>
                <c:pt idx="5">
                  <c:v>1.449862128690631</c:v>
                </c:pt>
                <c:pt idx="6">
                  <c:v>1.598060675002106</c:v>
                </c:pt>
                <c:pt idx="7">
                  <c:v>0.96072915274485715</c:v>
                </c:pt>
                <c:pt idx="8">
                  <c:v>0.82754829051508738</c:v>
                </c:pt>
                <c:pt idx="9">
                  <c:v>1.593623290461206</c:v>
                </c:pt>
                <c:pt idx="10">
                  <c:v>1.449862128690631</c:v>
                </c:pt>
                <c:pt idx="11">
                  <c:v>1.598060675002106</c:v>
                </c:pt>
                <c:pt idx="12">
                  <c:v>1.5413261581291893</c:v>
                </c:pt>
                <c:pt idx="13">
                  <c:v>0.9741794202488554</c:v>
                </c:pt>
                <c:pt idx="14">
                  <c:v>0.59221177833892891</c:v>
                </c:pt>
                <c:pt idx="15">
                  <c:v>1.4592995168933542</c:v>
                </c:pt>
                <c:pt idx="16">
                  <c:v>1.3562643888134012</c:v>
                </c:pt>
                <c:pt idx="17">
                  <c:v>0.9741794202488554</c:v>
                </c:pt>
                <c:pt idx="18">
                  <c:v>1.1081306227590146</c:v>
                </c:pt>
                <c:pt idx="19">
                  <c:v>0.17831648620141591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3-4D18-B30D-9CC9F55F4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526815"/>
        <c:axId val="1671509055"/>
      </c:scatterChart>
      <c:valAx>
        <c:axId val="1671526815"/>
        <c:scaling>
          <c:orientation val="minMax"/>
          <c:max val="2.5"/>
          <c:min val="1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09055"/>
        <c:crosses val="autoZero"/>
        <c:crossBetween val="midCat"/>
      </c:valAx>
      <c:valAx>
        <c:axId val="16715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2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Avg_Match!$H$63</c:f>
              <c:strCache>
                <c:ptCount val="1"/>
                <c:pt idx="0">
                  <c:v>Diff_Q3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Avg_Match!$G$64:$G$83</c:f>
              <c:numCache>
                <c:formatCode>General</c:formatCode>
                <c:ptCount val="20"/>
                <c:pt idx="0">
                  <c:v>-27</c:v>
                </c:pt>
                <c:pt idx="1">
                  <c:v>-18</c:v>
                </c:pt>
                <c:pt idx="2">
                  <c:v>-17</c:v>
                </c:pt>
                <c:pt idx="3">
                  <c:v>-17</c:v>
                </c:pt>
                <c:pt idx="4">
                  <c:v>-12</c:v>
                </c:pt>
                <c:pt idx="5">
                  <c:v>-23</c:v>
                </c:pt>
                <c:pt idx="6">
                  <c:v>10</c:v>
                </c:pt>
                <c:pt idx="7">
                  <c:v>-5</c:v>
                </c:pt>
                <c:pt idx="8">
                  <c:v>-7</c:v>
                </c:pt>
                <c:pt idx="9">
                  <c:v>-14</c:v>
                </c:pt>
                <c:pt idx="10">
                  <c:v>-24</c:v>
                </c:pt>
                <c:pt idx="11">
                  <c:v>8</c:v>
                </c:pt>
                <c:pt idx="12">
                  <c:v>-2</c:v>
                </c:pt>
                <c:pt idx="13">
                  <c:v>-3</c:v>
                </c:pt>
                <c:pt idx="14">
                  <c:v>11</c:v>
                </c:pt>
                <c:pt idx="15">
                  <c:v>2</c:v>
                </c:pt>
                <c:pt idx="16">
                  <c:v>0</c:v>
                </c:pt>
                <c:pt idx="17">
                  <c:v>-21</c:v>
                </c:pt>
                <c:pt idx="18">
                  <c:v>9</c:v>
                </c:pt>
                <c:pt idx="19">
                  <c:v>21</c:v>
                </c:pt>
              </c:numCache>
            </c:numRef>
          </c:xVal>
          <c:yVal>
            <c:numRef>
              <c:f>Avg_Match!$H$64:$H$83</c:f>
              <c:numCache>
                <c:formatCode>General</c:formatCode>
                <c:ptCount val="20"/>
                <c:pt idx="0">
                  <c:v>9.4815982756885613E-3</c:v>
                </c:pt>
                <c:pt idx="1">
                  <c:v>2.0396346083724894E-2</c:v>
                </c:pt>
                <c:pt idx="2">
                  <c:v>2.1627220669215345E-2</c:v>
                </c:pt>
                <c:pt idx="3">
                  <c:v>2.1627220669215345E-2</c:v>
                </c:pt>
                <c:pt idx="4">
                  <c:v>2.6773006917455267E-2</c:v>
                </c:pt>
                <c:pt idx="5">
                  <c:v>1.4052882674752496E-2</c:v>
                </c:pt>
                <c:pt idx="6">
                  <c:v>1.4176381717808982E-2</c:v>
                </c:pt>
                <c:pt idx="7">
                  <c:v>2.8889860564049234E-2</c:v>
                </c:pt>
                <c:pt idx="8">
                  <c:v>2.90280699630222E-2</c:v>
                </c:pt>
                <c:pt idx="9">
                  <c:v>2.4976272615379932E-2</c:v>
                </c:pt>
                <c:pt idx="10">
                  <c:v>1.2838047513945301E-2</c:v>
                </c:pt>
                <c:pt idx="11">
                  <c:v>1.6700467451782476E-2</c:v>
                </c:pt>
                <c:pt idx="12">
                  <c:v>2.7565364800465203E-2</c:v>
                </c:pt>
                <c:pt idx="13">
                  <c:v>2.814885033204546E-2</c:v>
                </c:pt>
                <c:pt idx="14">
                  <c:v>1.2957739914983276E-2</c:v>
                </c:pt>
                <c:pt idx="15">
                  <c:v>2.4040633233801196E-2</c:v>
                </c:pt>
                <c:pt idx="16">
                  <c:v>2.6017218111226429E-2</c:v>
                </c:pt>
                <c:pt idx="17">
                  <c:v>1.6572546740551974E-2</c:v>
                </c:pt>
                <c:pt idx="18">
                  <c:v>1.5427605379006707E-2</c:v>
                </c:pt>
                <c:pt idx="19">
                  <c:v>3.9400516708876076E-3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33-4544-B3DA-D14FFC6F7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41231"/>
        <c:axId val="1669041711"/>
      </c:scatterChart>
      <c:valAx>
        <c:axId val="1669041231"/>
        <c:scaling>
          <c:orientation val="minMax"/>
          <c:max val="25"/>
          <c:min val="-3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41711"/>
        <c:crosses val="autoZero"/>
        <c:crossBetween val="midCat"/>
      </c:valAx>
      <c:valAx>
        <c:axId val="166904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41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0937445319335086E-2"/>
          <c:y val="0.19486111111111112"/>
          <c:w val="0.9097292213473315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Avg_Match!$K$63</c:f>
              <c:strCache>
                <c:ptCount val="1"/>
                <c:pt idx="0">
                  <c:v>Diff_Final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Avg_Match!$J$64:$J$83</c:f>
              <c:numCache>
                <c:formatCode>General</c:formatCode>
                <c:ptCount val="20"/>
                <c:pt idx="0">
                  <c:v>-33</c:v>
                </c:pt>
                <c:pt idx="1">
                  <c:v>-26</c:v>
                </c:pt>
                <c:pt idx="2">
                  <c:v>-14</c:v>
                </c:pt>
                <c:pt idx="3">
                  <c:v>-24</c:v>
                </c:pt>
                <c:pt idx="4">
                  <c:v>-25</c:v>
                </c:pt>
                <c:pt idx="5">
                  <c:v>-11</c:v>
                </c:pt>
                <c:pt idx="6">
                  <c:v>0</c:v>
                </c:pt>
                <c:pt idx="7">
                  <c:v>-5</c:v>
                </c:pt>
                <c:pt idx="8">
                  <c:v>3</c:v>
                </c:pt>
                <c:pt idx="9">
                  <c:v>-13</c:v>
                </c:pt>
                <c:pt idx="10">
                  <c:v>-24</c:v>
                </c:pt>
                <c:pt idx="11">
                  <c:v>-1</c:v>
                </c:pt>
                <c:pt idx="12">
                  <c:v>5</c:v>
                </c:pt>
                <c:pt idx="13">
                  <c:v>-5</c:v>
                </c:pt>
                <c:pt idx="14">
                  <c:v>17</c:v>
                </c:pt>
                <c:pt idx="15">
                  <c:v>12</c:v>
                </c:pt>
                <c:pt idx="16">
                  <c:v>4</c:v>
                </c:pt>
                <c:pt idx="17">
                  <c:v>-24</c:v>
                </c:pt>
                <c:pt idx="18">
                  <c:v>6</c:v>
                </c:pt>
                <c:pt idx="19">
                  <c:v>14</c:v>
                </c:pt>
              </c:numCache>
            </c:numRef>
          </c:xVal>
          <c:yVal>
            <c:numRef>
              <c:f>Avg_Match!$K$64:$K$83</c:f>
              <c:numCache>
                <c:formatCode>General</c:formatCode>
                <c:ptCount val="20"/>
                <c:pt idx="0">
                  <c:v>6.1390674620291977E-3</c:v>
                </c:pt>
                <c:pt idx="1">
                  <c:v>1.2171928687779259E-2</c:v>
                </c:pt>
                <c:pt idx="2">
                  <c:v>2.3870180912323256E-2</c:v>
                </c:pt>
                <c:pt idx="3">
                  <c:v>1.422825084044921E-2</c:v>
                </c:pt>
                <c:pt idx="4">
                  <c:v>1.318887015432442E-2</c:v>
                </c:pt>
                <c:pt idx="5">
                  <c:v>2.5593733827457013E-2</c:v>
                </c:pt>
                <c:pt idx="6">
                  <c:v>2.3578911181842882E-2</c:v>
                </c:pt>
                <c:pt idx="7">
                  <c:v>2.6138108640839215E-2</c:v>
                </c:pt>
                <c:pt idx="8">
                  <c:v>2.1029174504663906E-2</c:v>
                </c:pt>
                <c:pt idx="9">
                  <c:v>2.4538760932965628E-2</c:v>
                </c:pt>
                <c:pt idx="10">
                  <c:v>1.422825084044921E-2</c:v>
                </c:pt>
                <c:pt idx="11">
                  <c:v>2.4281883700110172E-2</c:v>
                </c:pt>
                <c:pt idx="12">
                  <c:v>1.9061914306644844E-2</c:v>
                </c:pt>
                <c:pt idx="13">
                  <c:v>2.6138108640839215E-2</c:v>
                </c:pt>
                <c:pt idx="14">
                  <c:v>7.3159936566478036E-3</c:v>
                </c:pt>
                <c:pt idx="15">
                  <c:v>1.1772994077372713E-2</c:v>
                </c:pt>
                <c:pt idx="16">
                  <c:v>2.0065339177403389E-2</c:v>
                </c:pt>
                <c:pt idx="17">
                  <c:v>1.422825084044921E-2</c:v>
                </c:pt>
                <c:pt idx="18">
                  <c:v>1.8029440411086291E-2</c:v>
                </c:pt>
                <c:pt idx="19">
                  <c:v>9.8617571128282421E-3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B-44AA-B7E4-2EBC71E3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508575"/>
        <c:axId val="1671530175"/>
      </c:scatterChart>
      <c:valAx>
        <c:axId val="1671508575"/>
        <c:scaling>
          <c:orientation val="minMax"/>
          <c:max val="20"/>
          <c:min val="-3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30175"/>
        <c:crosses val="autoZero"/>
        <c:crossBetween val="midCat"/>
      </c:valAx>
      <c:valAx>
        <c:axId val="167153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0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Avg_Match!$M$63</c:f>
              <c:strCache>
                <c:ptCount val="1"/>
                <c:pt idx="0">
                  <c:v>AVG_MATCH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Avg_Match!$L$64:$L$83</c:f>
              <c:numCache>
                <c:formatCode>0.00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xVal>
          <c:yVal>
            <c:numRef>
              <c:f>Avg_Match!$M$64:$M$83</c:f>
              <c:numCache>
                <c:formatCode>General</c:formatCode>
                <c:ptCount val="20"/>
                <c:pt idx="0">
                  <c:v>0.20270968232712597</c:v>
                </c:pt>
                <c:pt idx="1">
                  <c:v>0.7701364345222681</c:v>
                </c:pt>
                <c:pt idx="2">
                  <c:v>1.035217325829078</c:v>
                </c:pt>
                <c:pt idx="3">
                  <c:v>1.1465465958867522</c:v>
                </c:pt>
                <c:pt idx="4">
                  <c:v>1.4214406591449196</c:v>
                </c:pt>
                <c:pt idx="5">
                  <c:v>1.4214406591449196</c:v>
                </c:pt>
                <c:pt idx="6">
                  <c:v>1.6633175143697303</c:v>
                </c:pt>
                <c:pt idx="7">
                  <c:v>1.8370923521050002</c:v>
                </c:pt>
                <c:pt idx="8">
                  <c:v>1.8809097304873226</c:v>
                </c:pt>
                <c:pt idx="9">
                  <c:v>1.9098175110954752</c:v>
                </c:pt>
                <c:pt idx="10">
                  <c:v>1.8843902666019658</c:v>
                </c:pt>
                <c:pt idx="11">
                  <c:v>1.8843902666019658</c:v>
                </c:pt>
                <c:pt idx="12">
                  <c:v>1.7500678510540835</c:v>
                </c:pt>
                <c:pt idx="13">
                  <c:v>1.6283277361213566</c:v>
                </c:pt>
                <c:pt idx="14">
                  <c:v>1.5340811137756472</c:v>
                </c:pt>
                <c:pt idx="15">
                  <c:v>1.4319911385223647</c:v>
                </c:pt>
                <c:pt idx="16">
                  <c:v>1.157729046978784</c:v>
                </c:pt>
                <c:pt idx="17">
                  <c:v>0.99120481304290498</c:v>
                </c:pt>
                <c:pt idx="18">
                  <c:v>0.63630939283909382</c:v>
                </c:pt>
                <c:pt idx="19">
                  <c:v>0.50829529410770802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D1-436A-A2E4-9D523453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493215"/>
        <c:axId val="1671499935"/>
      </c:scatterChart>
      <c:valAx>
        <c:axId val="1671493215"/>
        <c:scaling>
          <c:orientation val="minMax"/>
          <c:max val="2.3499999999999996"/>
          <c:min val="1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499935"/>
        <c:crosses val="autoZero"/>
        <c:crossBetween val="midCat"/>
      </c:valAx>
      <c:valAx>
        <c:axId val="167149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49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Avg_Match!$O$63</c:f>
              <c:strCache>
                <c:ptCount val="1"/>
                <c:pt idx="0">
                  <c:v>Pronóstico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Avg_Match!$N$64:$N$83</c:f>
              <c:numCache>
                <c:formatCode>General</c:formatCode>
                <c:ptCount val="20"/>
                <c:pt idx="0" formatCode="0.00000">
                  <c:v>1.6600423033587048</c:v>
                </c:pt>
                <c:pt idx="1">
                  <c:v>1.8998495310398384</c:v>
                </c:pt>
                <c:pt idx="2">
                  <c:v>1.7319843277789959</c:v>
                </c:pt>
                <c:pt idx="3">
                  <c:v>1.8758683766195785</c:v>
                </c:pt>
                <c:pt idx="4">
                  <c:v>1.7799459171992715</c:v>
                </c:pt>
                <c:pt idx="5">
                  <c:v>1.8758683766195785</c:v>
                </c:pt>
                <c:pt idx="6">
                  <c:v>1.9957719904601452</c:v>
                </c:pt>
                <c:pt idx="7">
                  <c:v>1.7799459171992715</c:v>
                </c:pt>
                <c:pt idx="8">
                  <c:v>1.7559654821992559</c:v>
                </c:pt>
                <c:pt idx="9">
                  <c:v>1.9238299660398539</c:v>
                </c:pt>
                <c:pt idx="10">
                  <c:v>1.8758683766195785</c:v>
                </c:pt>
                <c:pt idx="11">
                  <c:v>1.9957719904601452</c:v>
                </c:pt>
                <c:pt idx="12">
                  <c:v>2.0197524254601609</c:v>
                </c:pt>
                <c:pt idx="13">
                  <c:v>2.1396560393007276</c:v>
                </c:pt>
                <c:pt idx="14">
                  <c:v>2.2115980637210186</c:v>
                </c:pt>
                <c:pt idx="15">
                  <c:v>2.0437335798804206</c:v>
                </c:pt>
                <c:pt idx="16">
                  <c:v>2.0677140148804365</c:v>
                </c:pt>
                <c:pt idx="17">
                  <c:v>2.1396560393007276</c:v>
                </c:pt>
                <c:pt idx="18">
                  <c:v>2.1156756043007121</c:v>
                </c:pt>
                <c:pt idx="19">
                  <c:v>2.3315016775615858</c:v>
                </c:pt>
              </c:numCache>
            </c:numRef>
          </c:xVal>
          <c:yVal>
            <c:numRef>
              <c:f>Avg_Match!$O$64:$O$83</c:f>
              <c:numCache>
                <c:formatCode>General</c:formatCode>
                <c:ptCount val="20"/>
                <c:pt idx="0">
                  <c:v>0.52610026558713063</c:v>
                </c:pt>
                <c:pt idx="1">
                  <c:v>2.1325500958569519</c:v>
                </c:pt>
                <c:pt idx="2">
                  <c:v>0.97263568637534081</c:v>
                </c:pt>
                <c:pt idx="3">
                  <c:v>2.0153201697806238</c:v>
                </c:pt>
                <c:pt idx="4">
                  <c:v>1.3354213486295559</c:v>
                </c:pt>
                <c:pt idx="5">
                  <c:v>2.0153201697806238</c:v>
                </c:pt>
                <c:pt idx="6">
                  <c:v>2.2213173564120239</c:v>
                </c:pt>
                <c:pt idx="7">
                  <c:v>1.3354213486295559</c:v>
                </c:pt>
                <c:pt idx="8">
                  <c:v>1.1502988652091339</c:v>
                </c:pt>
                <c:pt idx="9">
                  <c:v>2.2151493557522479</c:v>
                </c:pt>
                <c:pt idx="10">
                  <c:v>2.0153201697806238</c:v>
                </c:pt>
                <c:pt idx="11">
                  <c:v>2.2213173564120239</c:v>
                </c:pt>
                <c:pt idx="12">
                  <c:v>2.1424559157866265</c:v>
                </c:pt>
                <c:pt idx="13">
                  <c:v>1.3541173300289966</c:v>
                </c:pt>
                <c:pt idx="14">
                  <c:v>0.82317919618049562</c:v>
                </c:pt>
                <c:pt idx="15">
                  <c:v>2.0284382162614807</c:v>
                </c:pt>
                <c:pt idx="16">
                  <c:v>1.8852185488831852</c:v>
                </c:pt>
                <c:pt idx="17">
                  <c:v>1.3541173300289966</c:v>
                </c:pt>
                <c:pt idx="18">
                  <c:v>1.5403105927145213</c:v>
                </c:pt>
                <c:pt idx="19">
                  <c:v>0.2478613684258818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E-4FB3-AB38-0427BEC3D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33071"/>
        <c:axId val="1669029711"/>
      </c:scatterChart>
      <c:valAx>
        <c:axId val="1669033071"/>
        <c:scaling>
          <c:orientation val="minMax"/>
          <c:max val="2.4"/>
          <c:min val="1.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29711"/>
        <c:crosses val="autoZero"/>
        <c:crossBetween val="midCat"/>
      </c:valAx>
      <c:valAx>
        <c:axId val="16690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3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Avg_Match!$Q$63</c:f>
              <c:strCache>
                <c:ptCount val="1"/>
                <c:pt idx="0">
                  <c:v>Pronostico - sdt_error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Avg_Match!$P$64:$P$83</c:f>
              <c:numCache>
                <c:formatCode>0.00000</c:formatCode>
                <c:ptCount val="20"/>
                <c:pt idx="0">
                  <c:v>1.5463275877187657</c:v>
                </c:pt>
                <c:pt idx="1">
                  <c:v>1.7861348153998993</c:v>
                </c:pt>
                <c:pt idx="2">
                  <c:v>1.6182696121390567</c:v>
                </c:pt>
                <c:pt idx="3">
                  <c:v>1.7621536609796393</c:v>
                </c:pt>
                <c:pt idx="4">
                  <c:v>1.6662312015593324</c:v>
                </c:pt>
                <c:pt idx="5">
                  <c:v>1.7621536609796393</c:v>
                </c:pt>
                <c:pt idx="6">
                  <c:v>1.882057274820206</c:v>
                </c:pt>
                <c:pt idx="7">
                  <c:v>1.6662312015593324</c:v>
                </c:pt>
                <c:pt idx="8">
                  <c:v>1.6422507665593167</c:v>
                </c:pt>
                <c:pt idx="9">
                  <c:v>1.8101152503999147</c:v>
                </c:pt>
                <c:pt idx="10">
                  <c:v>1.7621536609796393</c:v>
                </c:pt>
                <c:pt idx="11">
                  <c:v>1.882057274820206</c:v>
                </c:pt>
                <c:pt idx="12">
                  <c:v>1.9060377098202217</c:v>
                </c:pt>
                <c:pt idx="13">
                  <c:v>2.0259413236607884</c:v>
                </c:pt>
                <c:pt idx="14">
                  <c:v>2.0978833480810795</c:v>
                </c:pt>
                <c:pt idx="15">
                  <c:v>1.9300188642404814</c:v>
                </c:pt>
                <c:pt idx="16">
                  <c:v>1.9539992992404973</c:v>
                </c:pt>
                <c:pt idx="17">
                  <c:v>2.0259413236607884</c:v>
                </c:pt>
                <c:pt idx="18">
                  <c:v>2.0019608886607729</c:v>
                </c:pt>
                <c:pt idx="19">
                  <c:v>2.2177869619216466</c:v>
                </c:pt>
              </c:numCache>
            </c:numRef>
          </c:xVal>
          <c:yVal>
            <c:numRef>
              <c:f>Avg_Match!$Q$64:$Q$83</c:f>
              <c:numCache>
                <c:formatCode>General</c:formatCode>
                <c:ptCount val="20"/>
                <c:pt idx="0">
                  <c:v>0.5261002655871293</c:v>
                </c:pt>
                <c:pt idx="1">
                  <c:v>2.132550095856951</c:v>
                </c:pt>
                <c:pt idx="2">
                  <c:v>0.97263568637533937</c:v>
                </c:pt>
                <c:pt idx="3">
                  <c:v>2.0153201697806229</c:v>
                </c:pt>
                <c:pt idx="4">
                  <c:v>1.3354213486295541</c:v>
                </c:pt>
                <c:pt idx="5">
                  <c:v>2.0153201697806229</c:v>
                </c:pt>
                <c:pt idx="6">
                  <c:v>2.2213173564120248</c:v>
                </c:pt>
                <c:pt idx="7">
                  <c:v>1.3354213486295541</c:v>
                </c:pt>
                <c:pt idx="8">
                  <c:v>1.1502988652091324</c:v>
                </c:pt>
                <c:pt idx="9">
                  <c:v>2.2151493557522475</c:v>
                </c:pt>
                <c:pt idx="10">
                  <c:v>2.0153201697806229</c:v>
                </c:pt>
                <c:pt idx="11">
                  <c:v>2.2213173564120248</c:v>
                </c:pt>
                <c:pt idx="12">
                  <c:v>2.1424559157866274</c:v>
                </c:pt>
                <c:pt idx="13">
                  <c:v>1.3541173300289984</c:v>
                </c:pt>
                <c:pt idx="14">
                  <c:v>0.82317919618049706</c:v>
                </c:pt>
                <c:pt idx="15">
                  <c:v>2.028438216261482</c:v>
                </c:pt>
                <c:pt idx="16">
                  <c:v>1.885218548883187</c:v>
                </c:pt>
                <c:pt idx="17">
                  <c:v>1.3541173300289984</c:v>
                </c:pt>
                <c:pt idx="18">
                  <c:v>1.5403105927145231</c:v>
                </c:pt>
                <c:pt idx="19">
                  <c:v>0.24786136842588224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B5-4A27-AB26-6258E2DED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439039"/>
        <c:axId val="1603442879"/>
      </c:scatterChart>
      <c:valAx>
        <c:axId val="1603439039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03442879"/>
        <c:crosses val="autoZero"/>
        <c:crossBetween val="midCat"/>
      </c:valAx>
      <c:valAx>
        <c:axId val="16034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034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Avg_Match!$S$63</c:f>
              <c:strCache>
                <c:ptCount val="1"/>
                <c:pt idx="0">
                  <c:v>Pronostico + sdt_error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Avg_Match!$R$64:$R$83</c:f>
              <c:numCache>
                <c:formatCode>0.00000</c:formatCode>
                <c:ptCount val="20"/>
                <c:pt idx="0">
                  <c:v>1.773757018998644</c:v>
                </c:pt>
                <c:pt idx="1">
                  <c:v>2.0135642466797776</c:v>
                </c:pt>
                <c:pt idx="2">
                  <c:v>1.8456990434189351</c:v>
                </c:pt>
                <c:pt idx="3">
                  <c:v>1.9895830922595177</c:v>
                </c:pt>
                <c:pt idx="4">
                  <c:v>1.8936606328392107</c:v>
                </c:pt>
                <c:pt idx="5">
                  <c:v>1.9895830922595177</c:v>
                </c:pt>
                <c:pt idx="6">
                  <c:v>2.1094867061000846</c:v>
                </c:pt>
                <c:pt idx="7">
                  <c:v>1.8936606328392107</c:v>
                </c:pt>
                <c:pt idx="8">
                  <c:v>1.869680197839195</c:v>
                </c:pt>
                <c:pt idx="9">
                  <c:v>2.0375446816797931</c:v>
                </c:pt>
                <c:pt idx="10">
                  <c:v>1.9895830922595177</c:v>
                </c:pt>
                <c:pt idx="11">
                  <c:v>2.1094867061000846</c:v>
                </c:pt>
                <c:pt idx="12">
                  <c:v>2.1334671411001001</c:v>
                </c:pt>
                <c:pt idx="13">
                  <c:v>2.2533707549406667</c:v>
                </c:pt>
                <c:pt idx="14">
                  <c:v>2.3253127793609578</c:v>
                </c:pt>
                <c:pt idx="15">
                  <c:v>2.1574482955203598</c:v>
                </c:pt>
                <c:pt idx="16">
                  <c:v>2.1814287305203757</c:v>
                </c:pt>
                <c:pt idx="17">
                  <c:v>2.2533707549406667</c:v>
                </c:pt>
                <c:pt idx="18">
                  <c:v>2.2293903199406513</c:v>
                </c:pt>
                <c:pt idx="19">
                  <c:v>2.445216393201525</c:v>
                </c:pt>
              </c:numCache>
            </c:numRef>
          </c:xVal>
          <c:yVal>
            <c:numRef>
              <c:f>Avg_Match!$S$64:$S$83</c:f>
              <c:numCache>
                <c:formatCode>General</c:formatCode>
                <c:ptCount val="20"/>
                <c:pt idx="0">
                  <c:v>0.52610026558713063</c:v>
                </c:pt>
                <c:pt idx="1">
                  <c:v>2.1325500958569519</c:v>
                </c:pt>
                <c:pt idx="2">
                  <c:v>0.97263568637534081</c:v>
                </c:pt>
                <c:pt idx="3">
                  <c:v>2.0153201697806238</c:v>
                </c:pt>
                <c:pt idx="4">
                  <c:v>1.3354213486295559</c:v>
                </c:pt>
                <c:pt idx="5">
                  <c:v>2.0153201697806238</c:v>
                </c:pt>
                <c:pt idx="6">
                  <c:v>2.2213173564120234</c:v>
                </c:pt>
                <c:pt idx="7">
                  <c:v>1.3354213486295559</c:v>
                </c:pt>
                <c:pt idx="8">
                  <c:v>1.1502988652091339</c:v>
                </c:pt>
                <c:pt idx="9">
                  <c:v>2.2151493557522479</c:v>
                </c:pt>
                <c:pt idx="10">
                  <c:v>2.0153201697806238</c:v>
                </c:pt>
                <c:pt idx="11">
                  <c:v>2.2213173564120234</c:v>
                </c:pt>
                <c:pt idx="12">
                  <c:v>2.1424559157866265</c:v>
                </c:pt>
                <c:pt idx="13">
                  <c:v>1.3541173300289966</c:v>
                </c:pt>
                <c:pt idx="14">
                  <c:v>0.82317919618049562</c:v>
                </c:pt>
                <c:pt idx="15">
                  <c:v>2.0284382162614807</c:v>
                </c:pt>
                <c:pt idx="16">
                  <c:v>1.8852185488831852</c:v>
                </c:pt>
                <c:pt idx="17">
                  <c:v>1.3541173300289966</c:v>
                </c:pt>
                <c:pt idx="18">
                  <c:v>1.5403105927145213</c:v>
                </c:pt>
                <c:pt idx="19">
                  <c:v>0.2478613684258818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4-4D45-999A-ACEABFC1E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538335"/>
        <c:axId val="1671537855"/>
      </c:scatterChart>
      <c:valAx>
        <c:axId val="1671538335"/>
        <c:scaling>
          <c:orientation val="minMax"/>
          <c:min val="1.700000000000000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37855"/>
        <c:crosses val="autoZero"/>
        <c:crossBetween val="midCat"/>
      </c:valAx>
      <c:valAx>
        <c:axId val="167153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38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Avg_Match!$U$63</c:f>
              <c:strCache>
                <c:ptCount val="1"/>
                <c:pt idx="0">
                  <c:v>Diferencia entre el pronostico y avg_q1_q3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Avg_Match!$T$64:$T$83</c:f>
              <c:numCache>
                <c:formatCode>0.00000</c:formatCode>
                <c:ptCount val="20"/>
                <c:pt idx="0">
                  <c:v>0.12670930335870478</c:v>
                </c:pt>
                <c:pt idx="1">
                  <c:v>3.318253103983837E-2</c:v>
                </c:pt>
                <c:pt idx="2">
                  <c:v>9.865132777899599E-2</c:v>
                </c:pt>
                <c:pt idx="3">
                  <c:v>4.2535376619578402E-2</c:v>
                </c:pt>
                <c:pt idx="4">
                  <c:v>7.9945917199271577E-2</c:v>
                </c:pt>
                <c:pt idx="5">
                  <c:v>4.2535376619578402E-2</c:v>
                </c:pt>
                <c:pt idx="6">
                  <c:v>-4.2280095398548045E-3</c:v>
                </c:pt>
                <c:pt idx="7">
                  <c:v>7.9945917199271577E-2</c:v>
                </c:pt>
                <c:pt idx="8">
                  <c:v>8.9298482199255957E-2</c:v>
                </c:pt>
                <c:pt idx="9">
                  <c:v>2.3829966039853989E-2</c:v>
                </c:pt>
                <c:pt idx="10">
                  <c:v>4.2535376619578402E-2</c:v>
                </c:pt>
                <c:pt idx="11">
                  <c:v>-4.2280095398548045E-3</c:v>
                </c:pt>
                <c:pt idx="12">
                  <c:v>-1.3580574539838963E-2</c:v>
                </c:pt>
                <c:pt idx="13">
                  <c:v>-6.0343960699272614E-2</c:v>
                </c:pt>
                <c:pt idx="14">
                  <c:v>-8.8401936278981186E-2</c:v>
                </c:pt>
                <c:pt idx="15">
                  <c:v>-2.2933420119579218E-2</c:v>
                </c:pt>
                <c:pt idx="16">
                  <c:v>-3.2285985119563598E-2</c:v>
                </c:pt>
                <c:pt idx="17">
                  <c:v>-6.0343960699272614E-2</c:v>
                </c:pt>
                <c:pt idx="18">
                  <c:v>-5.0991395699287789E-2</c:v>
                </c:pt>
                <c:pt idx="19">
                  <c:v>-0.13516532243841439</c:v>
                </c:pt>
              </c:numCache>
            </c:numRef>
          </c:xVal>
          <c:yVal>
            <c:numRef>
              <c:f>Avg_Match!$U$64:$U$83</c:f>
              <c:numCache>
                <c:formatCode>General</c:formatCode>
                <c:ptCount val="20"/>
                <c:pt idx="0">
                  <c:v>1.3489468634994033</c:v>
                </c:pt>
                <c:pt idx="1">
                  <c:v>5.4679629554096083</c:v>
                </c:pt>
                <c:pt idx="2">
                  <c:v>2.4938855657093626</c:v>
                </c:pt>
                <c:pt idx="3">
                  <c:v>5.1673796798766718</c:v>
                </c:pt>
                <c:pt idx="4">
                  <c:v>3.42408578272356</c:v>
                </c:pt>
                <c:pt idx="5">
                  <c:v>5.1673796798766718</c:v>
                </c:pt>
                <c:pt idx="6">
                  <c:v>5.6955665616795432</c:v>
                </c:pt>
                <c:pt idx="7">
                  <c:v>3.42408578272356</c:v>
                </c:pt>
                <c:pt idx="8">
                  <c:v>2.9494226629577676</c:v>
                </c:pt>
                <c:pt idx="9">
                  <c:v>5.6797515057133916</c:v>
                </c:pt>
                <c:pt idx="10">
                  <c:v>5.1673796798766718</c:v>
                </c:pt>
                <c:pt idx="11">
                  <c:v>5.6955665616795432</c:v>
                </c:pt>
                <c:pt idx="12">
                  <c:v>5.4933619631626582</c:v>
                </c:pt>
                <c:pt idx="13">
                  <c:v>3.4720231952634828</c:v>
                </c:pt>
                <c:pt idx="14">
                  <c:v>2.1106718004530913</c:v>
                </c:pt>
                <c:pt idx="15">
                  <c:v>5.2010149939281538</c:v>
                </c:pt>
                <c:pt idx="16">
                  <c:v>4.8337927480207679</c:v>
                </c:pt>
                <c:pt idx="17">
                  <c:v>3.4720231952634828</c:v>
                </c:pt>
                <c:pt idx="18">
                  <c:v>3.9494318455405804</c:v>
                </c:pt>
                <c:pt idx="19">
                  <c:v>0.63552869555697045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FD-4534-A8A1-868EBE190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1071"/>
        <c:axId val="1669025391"/>
      </c:scatterChart>
      <c:valAx>
        <c:axId val="166902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25391"/>
        <c:crosses val="autoZero"/>
        <c:crossBetween val="midCat"/>
      </c:valAx>
      <c:valAx>
        <c:axId val="16690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2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Avg_Match!$W$63</c:f>
              <c:strCache>
                <c:ptCount val="1"/>
                <c:pt idx="0">
                  <c:v>↑ Avg_match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Avg_Match!$V$64:$V$83</c:f>
              <c:numCache>
                <c:formatCode>0.000</c:formatCode>
                <c:ptCount val="20"/>
                <c:pt idx="0">
                  <c:v>-1.3333000000000039E-2</c:v>
                </c:pt>
                <c:pt idx="1">
                  <c:v>-0.18666700000000014</c:v>
                </c:pt>
                <c:pt idx="2">
                  <c:v>9.6667000000000058E-2</c:v>
                </c:pt>
                <c:pt idx="3">
                  <c:v>-8.3333000000000101E-2</c:v>
                </c:pt>
                <c:pt idx="4">
                  <c:v>0.10000000000000009</c:v>
                </c:pt>
                <c:pt idx="5">
                  <c:v>-3.3333000000000057E-2</c:v>
                </c:pt>
                <c:pt idx="6">
                  <c:v>-0.14999999999999991</c:v>
                </c:pt>
                <c:pt idx="7">
                  <c:v>0.19999999999999996</c:v>
                </c:pt>
                <c:pt idx="8">
                  <c:v>0.25333300000000003</c:v>
                </c:pt>
                <c:pt idx="9">
                  <c:v>8.0000000000000071E-2</c:v>
                </c:pt>
                <c:pt idx="10">
                  <c:v>0.1666669999999999</c:v>
                </c:pt>
                <c:pt idx="11">
                  <c:v>0</c:v>
                </c:pt>
                <c:pt idx="12">
                  <c:v>1.6666999999999987E-2</c:v>
                </c:pt>
                <c:pt idx="13">
                  <c:v>-0.12000000000000011</c:v>
                </c:pt>
                <c:pt idx="14">
                  <c:v>-0.19999999999999973</c:v>
                </c:pt>
                <c:pt idx="15">
                  <c:v>5.3333000000000297E-2</c:v>
                </c:pt>
                <c:pt idx="16">
                  <c:v>6.999999999999984E-2</c:v>
                </c:pt>
                <c:pt idx="17">
                  <c:v>0</c:v>
                </c:pt>
                <c:pt idx="18">
                  <c:v>0.10333300000000012</c:v>
                </c:pt>
                <c:pt idx="19">
                  <c:v>-0.16666700000000034</c:v>
                </c:pt>
              </c:numCache>
            </c:numRef>
          </c:xVal>
          <c:yVal>
            <c:numRef>
              <c:f>Avg_Match!$W$64:$W$83</c:f>
              <c:numCache>
                <c:formatCode>General</c:formatCode>
                <c:ptCount val="20"/>
                <c:pt idx="0">
                  <c:v>3.0165178732957054</c:v>
                </c:pt>
                <c:pt idx="1">
                  <c:v>0.98737949621175025</c:v>
                </c:pt>
                <c:pt idx="2">
                  <c:v>2.4461240474608807</c:v>
                </c:pt>
                <c:pt idx="3">
                  <c:v>2.3779087929111613</c:v>
                </c:pt>
                <c:pt idx="4">
                  <c:v>2.4037349043607303</c:v>
                </c:pt>
                <c:pt idx="5">
                  <c:v>2.9025864572035731</c:v>
                </c:pt>
                <c:pt idx="6">
                  <c:v>1.4494771345150983</c:v>
                </c:pt>
                <c:pt idx="7">
                  <c:v>1.0492413311341031</c:v>
                </c:pt>
                <c:pt idx="8">
                  <c:v>0.52993633346610269</c:v>
                </c:pt>
                <c:pt idx="9">
                  <c:v>2.643485594010996</c:v>
                </c:pt>
                <c:pt idx="10">
                  <c:v>1.4767761832945094</c:v>
                </c:pt>
                <c:pt idx="11">
                  <c:v>3.0546791533494835</c:v>
                </c:pt>
                <c:pt idx="12">
                  <c:v>3.0576804690893216</c:v>
                </c:pt>
                <c:pt idx="13">
                  <c:v>1.8708113756679674</c:v>
                </c:pt>
                <c:pt idx="14">
                  <c:v>0.84202932522841711</c:v>
                </c:pt>
                <c:pt idx="15">
                  <c:v>2.8927206367661684</c:v>
                </c:pt>
                <c:pt idx="16">
                  <c:v>2.7477875715410223</c:v>
                </c:pt>
                <c:pt idx="17">
                  <c:v>3.0546791533494835</c:v>
                </c:pt>
                <c:pt idx="18">
                  <c:v>2.3605344903055734</c:v>
                </c:pt>
                <c:pt idx="19">
                  <c:v>1.2293938691572157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10-4C26-B82E-132AFD6E3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8671"/>
        <c:axId val="1669037391"/>
      </c:scatterChart>
      <c:valAx>
        <c:axId val="1669018671"/>
        <c:scaling>
          <c:orientation val="minMax"/>
          <c:max val="0.30000000000000004"/>
          <c:min val="-0.2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37391"/>
        <c:crosses val="autoZero"/>
        <c:crossBetween val="midCat"/>
      </c:valAx>
      <c:valAx>
        <c:axId val="166903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1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Avg_Match!$E$24</c:f>
              <c:strCache>
                <c:ptCount val="1"/>
                <c:pt idx="0">
                  <c:v>AVG_Q1_Q3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Avg_Match!$E$25:$E$44</c:f>
              <c:numCache>
                <c:formatCode>0.0000</c:formatCode>
                <c:ptCount val="20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1.8333330000000001</c:v>
                </c:pt>
                <c:pt idx="11">
                  <c:v>2</c:v>
                </c:pt>
                <c:pt idx="12">
                  <c:v>2.0333329999999998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2.0666669999999998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2.1666669999999999</c:v>
                </c:pt>
                <c:pt idx="19">
                  <c:v>2.4666670000000002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D-4DEE-A78C-7F2BDBECF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825247599"/>
        <c:axId val="1825217359"/>
      </c:barChart>
      <c:catAx>
        <c:axId val="18252475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217359"/>
        <c:crosses val="autoZero"/>
        <c:auto val="1"/>
        <c:lblAlgn val="ctr"/>
        <c:lblOffset val="100"/>
        <c:noMultiLvlLbl val="0"/>
      </c:catAx>
      <c:valAx>
        <c:axId val="182521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247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Avg_Match!$H$24</c:f>
              <c:strCache>
                <c:ptCount val="1"/>
                <c:pt idx="0">
                  <c:v>AVG_MATCH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Avg_Match!$H$25:$H$44</c:f>
              <c:numCache>
                <c:formatCode>0.00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8-429B-8D3A-68BA8E06C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812151807"/>
        <c:axId val="1812150367"/>
      </c:barChart>
      <c:catAx>
        <c:axId val="181215180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2150367"/>
        <c:crosses val="autoZero"/>
        <c:auto val="1"/>
        <c:lblAlgn val="ctr"/>
        <c:lblOffset val="100"/>
        <c:noMultiLvlLbl val="0"/>
      </c:catAx>
      <c:valAx>
        <c:axId val="181215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215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Hoja8!$G$4:$G$23</c:f>
              <c:numCache>
                <c:formatCode>0.0000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Hoja8!$H$4:$H$23</c:f>
              <c:numCache>
                <c:formatCode>General</c:formatCode>
                <c:ptCount val="20"/>
                <c:pt idx="0">
                  <c:v>5.4159690365002011E-2</c:v>
                </c:pt>
                <c:pt idx="1">
                  <c:v>7.5392782513985637E-2</c:v>
                </c:pt>
                <c:pt idx="2">
                  <c:v>0.10244694690818926</c:v>
                </c:pt>
                <c:pt idx="3">
                  <c:v>0.1359493554098242</c:v>
                </c:pt>
                <c:pt idx="4">
                  <c:v>0.17627106874985649</c:v>
                </c:pt>
                <c:pt idx="5">
                  <c:v>0.22343641035541539</c:v>
                </c:pt>
                <c:pt idx="6">
                  <c:v>0.27705656503472276</c:v>
                </c:pt>
                <c:pt idx="7">
                  <c:v>0.33630190872075827</c:v>
                </c:pt>
                <c:pt idx="8">
                  <c:v>0.39992305283123664</c:v>
                </c:pt>
                <c:pt idx="9">
                  <c:v>0.46632331948293798</c:v>
                </c:pt>
                <c:pt idx="10">
                  <c:v>0.53367668051706207</c:v>
                </c:pt>
                <c:pt idx="11">
                  <c:v>0.60007694716876336</c:v>
                </c:pt>
                <c:pt idx="12">
                  <c:v>0.66369809127924173</c:v>
                </c:pt>
                <c:pt idx="13">
                  <c:v>0.72294343496527724</c:v>
                </c:pt>
                <c:pt idx="14">
                  <c:v>0.77656358964458461</c:v>
                </c:pt>
                <c:pt idx="15">
                  <c:v>0.82372893125014346</c:v>
                </c:pt>
                <c:pt idx="16">
                  <c:v>0.86405064459017578</c:v>
                </c:pt>
                <c:pt idx="17">
                  <c:v>0.89755305309181077</c:v>
                </c:pt>
                <c:pt idx="18">
                  <c:v>0.92460721748601438</c:v>
                </c:pt>
                <c:pt idx="19">
                  <c:v>0.94584030963499799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9-4309-9F45-2FA264C03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483615"/>
        <c:axId val="1671503775"/>
      </c:scatterChart>
      <c:valAx>
        <c:axId val="167148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03775"/>
        <c:crosses val="autoZero"/>
        <c:crossBetween val="midCat"/>
      </c:valAx>
      <c:valAx>
        <c:axId val="167150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48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Hoja8!$G$4:$G$23</c:f>
              <c:numCache>
                <c:formatCode>0.0000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Hoja8!$I$4:$I$23</c:f>
              <c:numCache>
                <c:formatCode>0.00000</c:formatCode>
                <c:ptCount val="20"/>
                <c:pt idx="0">
                  <c:v>1.8575750633576825E-2</c:v>
                </c:pt>
                <c:pt idx="1">
                  <c:v>2.4022715404011696E-2</c:v>
                </c:pt>
                <c:pt idx="2">
                  <c:v>3.019182784072922E-2</c:v>
                </c:pt>
                <c:pt idx="3">
                  <c:v>3.687638179856368E-2</c:v>
                </c:pt>
                <c:pt idx="4">
                  <c:v>4.3772241374080395E-2</c:v>
                </c:pt>
                <c:pt idx="5">
                  <c:v>5.0494125397238465E-2</c:v>
                </c:pt>
                <c:pt idx="6">
                  <c:v>5.6607569614147216E-2</c:v>
                </c:pt>
                <c:pt idx="7">
                  <c:v>6.167366403107255E-2</c:v>
                </c:pt>
                <c:pt idx="8">
                  <c:v>6.530051075296818E-2</c:v>
                </c:pt>
                <c:pt idx="9">
                  <c:v>6.7193148565541247E-2</c:v>
                </c:pt>
                <c:pt idx="10">
                  <c:v>6.7193148565541247E-2</c:v>
                </c:pt>
                <c:pt idx="11">
                  <c:v>6.530051075296818E-2</c:v>
                </c:pt>
                <c:pt idx="12">
                  <c:v>6.167366403107255E-2</c:v>
                </c:pt>
                <c:pt idx="13">
                  <c:v>5.6607569614147216E-2</c:v>
                </c:pt>
                <c:pt idx="14">
                  <c:v>5.0494125397238465E-2</c:v>
                </c:pt>
                <c:pt idx="15">
                  <c:v>4.3772241374080395E-2</c:v>
                </c:pt>
                <c:pt idx="16">
                  <c:v>3.687638179856368E-2</c:v>
                </c:pt>
                <c:pt idx="17">
                  <c:v>3.019182784072922E-2</c:v>
                </c:pt>
                <c:pt idx="18">
                  <c:v>2.4022715404011696E-2</c:v>
                </c:pt>
                <c:pt idx="19">
                  <c:v>1.8575750633576825E-2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C-4203-A783-4845B5A3D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5391"/>
        <c:axId val="1669012911"/>
      </c:scatterChart>
      <c:valAx>
        <c:axId val="166902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12911"/>
        <c:crosses val="autoZero"/>
        <c:crossBetween val="midCat"/>
      </c:valAx>
      <c:valAx>
        <c:axId val="166901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2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Hoja8!$A$3</c:f>
              <c:strCache>
                <c:ptCount val="1"/>
                <c:pt idx="0">
                  <c:v>Avg_Q1_Q3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Hoja8!$A$4:$A$23</c:f>
              <c:numCache>
                <c:formatCode>0.0000</c:formatCode>
                <c:ptCount val="20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1.8333330000000001</c:v>
                </c:pt>
                <c:pt idx="11">
                  <c:v>2</c:v>
                </c:pt>
                <c:pt idx="12">
                  <c:v>2.0333329999999998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2.0666669999999998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2.1666669999999999</c:v>
                </c:pt>
                <c:pt idx="19">
                  <c:v>2.4666670000000002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B-40FB-AC89-18CE0FC7E873}"/>
            </c:ext>
          </c:extLst>
        </c:ser>
        <c:ser>
          <c:idx val="1"/>
          <c:order val="1"/>
          <c:tx>
            <c:strRef>
              <c:f>Hoja8!$B$3</c:f>
              <c:strCache>
                <c:ptCount val="1"/>
                <c:pt idx="0">
                  <c:v>Avvg_Match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Hoja8!$B$4:$B$23</c:f>
              <c:numCache>
                <c:formatCode>0.00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5B-40FB-AC89-18CE0FC7E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1775181679"/>
        <c:axId val="1775206639"/>
      </c:lineChart>
      <c:catAx>
        <c:axId val="177518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5206639"/>
        <c:crosses val="autoZero"/>
        <c:auto val="1"/>
        <c:lblAlgn val="ctr"/>
        <c:lblOffset val="100"/>
        <c:noMultiLvlLbl val="0"/>
      </c:catAx>
      <c:valAx>
        <c:axId val="1775206639"/>
        <c:scaling>
          <c:orientation val="minMax"/>
          <c:max val="2.5"/>
          <c:min val="1.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518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Avg_Q1_Q3 Vs Diff_Q3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5860797520791815E-2"/>
          <c:y val="0.20764940239043828"/>
          <c:w val="0.84589014325016598"/>
          <c:h val="0.74454183266932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Hoja7!$D$2</c:f>
              <c:strCache>
                <c:ptCount val="1"/>
                <c:pt idx="0">
                  <c:v>Diff_Q3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Hoja7!$C$3:$C$20</c:f>
              <c:numCache>
                <c:formatCode>0.000</c:formatCode>
                <c:ptCount val="18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2</c:v>
                </c:pt>
                <c:pt idx="11">
                  <c:v>2.0333329999999998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2.0666669999999998</c:v>
                </c:pt>
                <c:pt idx="15">
                  <c:v>2.1</c:v>
                </c:pt>
                <c:pt idx="16">
                  <c:v>2.1666669999999999</c:v>
                </c:pt>
                <c:pt idx="17">
                  <c:v>2.4666670000000002</c:v>
                </c:pt>
              </c:numCache>
            </c:numRef>
          </c:xVal>
          <c:yVal>
            <c:numRef>
              <c:f>Hoja7!$D$3:$D$20</c:f>
              <c:numCache>
                <c:formatCode>General</c:formatCode>
                <c:ptCount val="18"/>
                <c:pt idx="0">
                  <c:v>-27</c:v>
                </c:pt>
                <c:pt idx="1">
                  <c:v>-18</c:v>
                </c:pt>
                <c:pt idx="2">
                  <c:v>-17</c:v>
                </c:pt>
                <c:pt idx="3">
                  <c:v>-17</c:v>
                </c:pt>
                <c:pt idx="4">
                  <c:v>-12</c:v>
                </c:pt>
                <c:pt idx="5">
                  <c:v>-23</c:v>
                </c:pt>
                <c:pt idx="6">
                  <c:v>10</c:v>
                </c:pt>
                <c:pt idx="7">
                  <c:v>-5</c:v>
                </c:pt>
                <c:pt idx="8">
                  <c:v>-7</c:v>
                </c:pt>
                <c:pt idx="9">
                  <c:v>-14</c:v>
                </c:pt>
                <c:pt idx="10">
                  <c:v>8</c:v>
                </c:pt>
                <c:pt idx="11">
                  <c:v>-2</c:v>
                </c:pt>
                <c:pt idx="12">
                  <c:v>-3</c:v>
                </c:pt>
                <c:pt idx="13">
                  <c:v>11</c:v>
                </c:pt>
                <c:pt idx="14">
                  <c:v>2</c:v>
                </c:pt>
                <c:pt idx="15">
                  <c:v>0</c:v>
                </c:pt>
                <c:pt idx="16">
                  <c:v>9</c:v>
                </c:pt>
                <c:pt idx="1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2-4BAE-9565-9889654A3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417344"/>
        <c:axId val="1901417824"/>
      </c:scatterChart>
      <c:valAx>
        <c:axId val="1901417344"/>
        <c:scaling>
          <c:orientation val="minMax"/>
          <c:max val="2.5"/>
          <c:min val="1.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1417824"/>
        <c:crosses val="autoZero"/>
        <c:crossBetween val="midCat"/>
      </c:valAx>
      <c:valAx>
        <c:axId val="19014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141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Avg_Q1_Q3 Vs  </a:t>
            </a:r>
            <a:r>
              <a:rPr lang="en-US"/>
              <a:t>Avg_Match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Hoja7!$E$2</c:f>
              <c:strCache>
                <c:ptCount val="1"/>
                <c:pt idx="0">
                  <c:v>Avg_Match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9845816374402473E-2"/>
                  <c:y val="-4.42076502732240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Hoja7!$C$3:$C$20</c:f>
              <c:numCache>
                <c:formatCode>0.000</c:formatCode>
                <c:ptCount val="18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2</c:v>
                </c:pt>
                <c:pt idx="11">
                  <c:v>2.0333329999999998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2.0666669999999998</c:v>
                </c:pt>
                <c:pt idx="15">
                  <c:v>2.1</c:v>
                </c:pt>
                <c:pt idx="16">
                  <c:v>2.1666669999999999</c:v>
                </c:pt>
                <c:pt idx="17">
                  <c:v>2.4666670000000002</c:v>
                </c:pt>
              </c:numCache>
            </c:numRef>
          </c:xVal>
          <c:yVal>
            <c:numRef>
              <c:f>Hoja7!$E$3:$E$20</c:f>
              <c:numCache>
                <c:formatCode>0.00</c:formatCode>
                <c:ptCount val="18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2.0499999999999998</c:v>
                </c:pt>
                <c:pt idx="12">
                  <c:v>2.08</c:v>
                </c:pt>
                <c:pt idx="13">
                  <c:v>2.1</c:v>
                </c:pt>
                <c:pt idx="14">
                  <c:v>2.12</c:v>
                </c:pt>
                <c:pt idx="15">
                  <c:v>2.17</c:v>
                </c:pt>
                <c:pt idx="16">
                  <c:v>2.27</c:v>
                </c:pt>
                <c:pt idx="17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9-4441-AE04-10F329480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899952"/>
        <c:axId val="1279236256"/>
      </c:scatterChart>
      <c:valAx>
        <c:axId val="1956899952"/>
        <c:scaling>
          <c:orientation val="minMax"/>
          <c:max val="2.5"/>
          <c:min val="1.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79236256"/>
        <c:crosses val="autoZero"/>
        <c:crossBetween val="midCat"/>
      </c:valAx>
      <c:valAx>
        <c:axId val="1279236256"/>
        <c:scaling>
          <c:orientation val="minMax"/>
          <c:min val="1.4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689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Diff_Q3 Vs </a:t>
            </a:r>
            <a:r>
              <a:rPr lang="en-US"/>
              <a:t>Avg_Match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Hoja7!$E$2</c:f>
              <c:strCache>
                <c:ptCount val="1"/>
                <c:pt idx="0">
                  <c:v>Avg_Match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Hoja7!$D$3:$D$20</c:f>
              <c:numCache>
                <c:formatCode>General</c:formatCode>
                <c:ptCount val="18"/>
                <c:pt idx="0">
                  <c:v>-27</c:v>
                </c:pt>
                <c:pt idx="1">
                  <c:v>-18</c:v>
                </c:pt>
                <c:pt idx="2">
                  <c:v>-17</c:v>
                </c:pt>
                <c:pt idx="3">
                  <c:v>-17</c:v>
                </c:pt>
                <c:pt idx="4">
                  <c:v>-12</c:v>
                </c:pt>
                <c:pt idx="5">
                  <c:v>-23</c:v>
                </c:pt>
                <c:pt idx="6">
                  <c:v>10</c:v>
                </c:pt>
                <c:pt idx="7">
                  <c:v>-5</c:v>
                </c:pt>
                <c:pt idx="8">
                  <c:v>-7</c:v>
                </c:pt>
                <c:pt idx="9">
                  <c:v>-14</c:v>
                </c:pt>
                <c:pt idx="10">
                  <c:v>8</c:v>
                </c:pt>
                <c:pt idx="11">
                  <c:v>-2</c:v>
                </c:pt>
                <c:pt idx="12">
                  <c:v>-3</c:v>
                </c:pt>
                <c:pt idx="13">
                  <c:v>11</c:v>
                </c:pt>
                <c:pt idx="14">
                  <c:v>2</c:v>
                </c:pt>
                <c:pt idx="15">
                  <c:v>0</c:v>
                </c:pt>
                <c:pt idx="16">
                  <c:v>9</c:v>
                </c:pt>
                <c:pt idx="17">
                  <c:v>21</c:v>
                </c:pt>
              </c:numCache>
            </c:numRef>
          </c:xVal>
          <c:yVal>
            <c:numRef>
              <c:f>Hoja7!$E$3:$E$20</c:f>
              <c:numCache>
                <c:formatCode>0.00</c:formatCode>
                <c:ptCount val="18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2.0499999999999998</c:v>
                </c:pt>
                <c:pt idx="12">
                  <c:v>2.08</c:v>
                </c:pt>
                <c:pt idx="13">
                  <c:v>2.1</c:v>
                </c:pt>
                <c:pt idx="14">
                  <c:v>2.12</c:v>
                </c:pt>
                <c:pt idx="15">
                  <c:v>2.17</c:v>
                </c:pt>
                <c:pt idx="16">
                  <c:v>2.27</c:v>
                </c:pt>
                <c:pt idx="17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0C-4D64-814A-AEF7FFD9C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628304"/>
        <c:axId val="1898627344"/>
      </c:scatterChart>
      <c:valAx>
        <c:axId val="189862830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8627344"/>
        <c:crosses val="autoZero"/>
        <c:crossBetween val="midCat"/>
      </c:valAx>
      <c:valAx>
        <c:axId val="1898627344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862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AVG_Q1_Q3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AVG_Q1_Q3</a:t>
          </a:r>
        </a:p>
      </cx:txPr>
    </cx:title>
    <cx:plotArea>
      <cx:plotAreaRegion>
        <cx:series layoutId="clusteredColumn" uniqueId="{C34C54F5-FA4B-43BC-A49D-73FD7EC4E926}" formatIdx="0">
          <cx:tx>
            <cx:txData>
              <cx:f>_xlchart.v1.2</cx:f>
              <cx:v>AVG_Q1_Q3</cx:v>
            </cx:txData>
          </cx:tx>
          <cx:dataId val="0"/>
          <cx:layoutPr>
            <cx:binning intervalClosed="r" underflow="auto" overflow="auto">
              <cx:binCount val="4"/>
            </cx:binning>
          </cx:layoutPr>
        </cx:series>
      </cx:plotAreaRegion>
      <cx:axis id="0">
        <cx:catScaling gapWidth="0.00999999978"/>
        <cx:majorGridlines/>
        <cx:tickLabels/>
        <cx:numFmt formatCode="#.##0,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AVG_MATCH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AVG_MATCH</a:t>
          </a:r>
        </a:p>
      </cx:txPr>
    </cx:title>
    <cx:plotArea>
      <cx:plotAreaRegion>
        <cx:series layoutId="clusteredColumn" uniqueId="{18DFDEE9-AE5B-4E12-A34D-A0AE3845EF69}" formatIdx="0">
          <cx:tx>
            <cx:txData>
              <cx:f>_xlchart.v1.0</cx:f>
              <cx:v>AVG_MATCH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6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5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microsoft.com/office/2014/relationships/chartEx" Target="../charts/chartEx2.xml"/><Relationship Id="rId5" Type="http://schemas.openxmlformats.org/officeDocument/2006/relationships/chart" Target="../charts/chart10.xml"/><Relationship Id="rId10" Type="http://schemas.microsoft.com/office/2014/relationships/chartEx" Target="../charts/chartEx1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152400</xdr:rowOff>
    </xdr:from>
    <xdr:to>
      <xdr:col>15</xdr:col>
      <xdr:colOff>238125</xdr:colOff>
      <xdr:row>10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DBB7CC-76A1-04C6-69B5-EA6614D5E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13</xdr:row>
      <xdr:rowOff>95250</xdr:rowOff>
    </xdr:from>
    <xdr:to>
      <xdr:col>15</xdr:col>
      <xdr:colOff>266700</xdr:colOff>
      <xdr:row>23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E454C2D-DFC6-D930-6B7B-ABBDCDE7B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238124</xdr:colOff>
      <xdr:row>24</xdr:row>
      <xdr:rowOff>171450</xdr:rowOff>
    </xdr:from>
    <xdr:to>
      <xdr:col>16</xdr:col>
      <xdr:colOff>38100</xdr:colOff>
      <xdr:row>42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712FE7-7A44-53E7-A987-8BC05E6D3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276225</xdr:colOff>
      <xdr:row>42</xdr:row>
      <xdr:rowOff>152399</xdr:rowOff>
    </xdr:from>
    <xdr:to>
      <xdr:col>16</xdr:col>
      <xdr:colOff>9525</xdr:colOff>
      <xdr:row>59</xdr:row>
      <xdr:rowOff>171449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AF2A0C6-B15A-B92C-73CA-E0884904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323849</xdr:colOff>
      <xdr:row>60</xdr:row>
      <xdr:rowOff>19050</xdr:rowOff>
    </xdr:from>
    <xdr:to>
      <xdr:col>15</xdr:col>
      <xdr:colOff>704850</xdr:colOff>
      <xdr:row>77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5981D44-E60C-0DF0-283E-22C083E73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386953</xdr:colOff>
      <xdr:row>83</xdr:row>
      <xdr:rowOff>69057</xdr:rowOff>
    </xdr:from>
    <xdr:to>
      <xdr:col>7</xdr:col>
      <xdr:colOff>71439</xdr:colOff>
      <xdr:row>95</xdr:row>
      <xdr:rowOff>107156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3196E0F1-A4A8-441B-A880-FF09D0596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994172</xdr:colOff>
      <xdr:row>96</xdr:row>
      <xdr:rowOff>33337</xdr:rowOff>
    </xdr:from>
    <xdr:to>
      <xdr:col>10</xdr:col>
      <xdr:colOff>696516</xdr:colOff>
      <xdr:row>110</xdr:row>
      <xdr:rowOff>109537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BEB1ED83-22B3-A640-670F-0321CF089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244078</xdr:colOff>
      <xdr:row>83</xdr:row>
      <xdr:rowOff>33337</xdr:rowOff>
    </xdr:from>
    <xdr:to>
      <xdr:col>11</xdr:col>
      <xdr:colOff>928687</xdr:colOff>
      <xdr:row>94</xdr:row>
      <xdr:rowOff>119062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867ACA86-A7E0-7C86-5881-7CB5688F5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1184673</xdr:colOff>
      <xdr:row>96</xdr:row>
      <xdr:rowOff>140493</xdr:rowOff>
    </xdr:from>
    <xdr:to>
      <xdr:col>13</xdr:col>
      <xdr:colOff>994173</xdr:colOff>
      <xdr:row>111</xdr:row>
      <xdr:rowOff>26193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C37074AB-B365-F5A8-2806-16C21E873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351234</xdr:colOff>
      <xdr:row>83</xdr:row>
      <xdr:rowOff>104774</xdr:rowOff>
    </xdr:from>
    <xdr:to>
      <xdr:col>16</xdr:col>
      <xdr:colOff>119062</xdr:colOff>
      <xdr:row>94</xdr:row>
      <xdr:rowOff>166687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2850581F-8968-F3AD-F0D2-422F1F713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386952</xdr:colOff>
      <xdr:row>96</xdr:row>
      <xdr:rowOff>116681</xdr:rowOff>
    </xdr:from>
    <xdr:to>
      <xdr:col>20</xdr:col>
      <xdr:colOff>363140</xdr:colOff>
      <xdr:row>111</xdr:row>
      <xdr:rowOff>2381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B331A5C8-4D69-20A5-F19D-7CB452064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244077</xdr:colOff>
      <xdr:row>83</xdr:row>
      <xdr:rowOff>152398</xdr:rowOff>
    </xdr:from>
    <xdr:to>
      <xdr:col>20</xdr:col>
      <xdr:colOff>726280</xdr:colOff>
      <xdr:row>94</xdr:row>
      <xdr:rowOff>59530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CA7DA92A-5084-57E4-35E0-B2453DCBE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29765</xdr:colOff>
      <xdr:row>96</xdr:row>
      <xdr:rowOff>140494</xdr:rowOff>
    </xdr:from>
    <xdr:to>
      <xdr:col>26</xdr:col>
      <xdr:colOff>672702</xdr:colOff>
      <xdr:row>111</xdr:row>
      <xdr:rowOff>26194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C53AB769-649A-5B76-1C6F-AB08FE130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89297</xdr:colOff>
      <xdr:row>83</xdr:row>
      <xdr:rowOff>152400</xdr:rowOff>
    </xdr:from>
    <xdr:to>
      <xdr:col>25</xdr:col>
      <xdr:colOff>226218</xdr:colOff>
      <xdr:row>93</xdr:row>
      <xdr:rowOff>178594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1F18BC90-42B8-6A31-5D8E-9BC78B992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190499</xdr:colOff>
      <xdr:row>49</xdr:row>
      <xdr:rowOff>47624</xdr:rowOff>
    </xdr:from>
    <xdr:to>
      <xdr:col>15</xdr:col>
      <xdr:colOff>440531</xdr:colOff>
      <xdr:row>62</xdr:row>
      <xdr:rowOff>261938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1DAD395-711A-D8E5-BECD-35D2B4A87C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78099" y="9848849"/>
              <a:ext cx="3717132" cy="27479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22</xdr:col>
      <xdr:colOff>172641</xdr:colOff>
      <xdr:row>36</xdr:row>
      <xdr:rowOff>35717</xdr:rowOff>
    </xdr:from>
    <xdr:to>
      <xdr:col>26</xdr:col>
      <xdr:colOff>416719</xdr:colOff>
      <xdr:row>47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ADA8888-DAC4-7BE9-95E1-54EEFBFF35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61391" y="7150892"/>
              <a:ext cx="3701653" cy="22598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53</xdr:row>
      <xdr:rowOff>154780</xdr:rowOff>
    </xdr:from>
    <xdr:to>
      <xdr:col>2</xdr:col>
      <xdr:colOff>928687</xdr:colOff>
      <xdr:row>62</xdr:row>
      <xdr:rowOff>952499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A8421BF-29B3-0B81-3A61-77E39B2EF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1696641</xdr:colOff>
      <xdr:row>62</xdr:row>
      <xdr:rowOff>285750</xdr:rowOff>
    </xdr:from>
    <xdr:to>
      <xdr:col>4</xdr:col>
      <xdr:colOff>47625</xdr:colOff>
      <xdr:row>73</xdr:row>
      <xdr:rowOff>50008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ADAEF6B-428C-F888-34CC-E50B31F98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9</xdr:row>
      <xdr:rowOff>180975</xdr:rowOff>
    </xdr:from>
    <xdr:to>
      <xdr:col>15</xdr:col>
      <xdr:colOff>295275</xdr:colOff>
      <xdr:row>24</xdr:row>
      <xdr:rowOff>66675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0C9B4B0-4C71-972C-33E3-F424A7DA1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628650</xdr:colOff>
      <xdr:row>25</xdr:row>
      <xdr:rowOff>19050</xdr:rowOff>
    </xdr:from>
    <xdr:to>
      <xdr:col>17</xdr:col>
      <xdr:colOff>628650</xdr:colOff>
      <xdr:row>39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93BFD62-B5C8-A1E1-49E8-A2351AA9A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412751</xdr:colOff>
      <xdr:row>4</xdr:row>
      <xdr:rowOff>42333</xdr:rowOff>
    </xdr:from>
    <xdr:to>
      <xdr:col>20</xdr:col>
      <xdr:colOff>656168</xdr:colOff>
      <xdr:row>27</xdr:row>
      <xdr:rowOff>53973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88F570-A86A-FA0C-0DA9-2DF3941E2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47625</xdr:rowOff>
    </xdr:from>
    <xdr:to>
      <xdr:col>11</xdr:col>
      <xdr:colOff>133350</xdr:colOff>
      <xdr:row>12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056F47-FC2B-044D-3362-2B6C2B08B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13</xdr:row>
      <xdr:rowOff>85725</xdr:rowOff>
    </xdr:from>
    <xdr:to>
      <xdr:col>11</xdr:col>
      <xdr:colOff>142875</xdr:colOff>
      <xdr:row>25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F02B9A-AC61-BC0A-ACFC-C921640BB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76200</xdr:colOff>
      <xdr:row>26</xdr:row>
      <xdr:rowOff>171450</xdr:rowOff>
    </xdr:from>
    <xdr:to>
      <xdr:col>11</xdr:col>
      <xdr:colOff>190500</xdr:colOff>
      <xdr:row>40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29A236D-E639-B154-9755-B92ADFFB1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52F8A-FD08-448E-A26A-76A8C69B4176}" name="Tabla1" displayName="Tabla1" ref="D24:P44" totalsRowShown="0" headerRowDxfId="47" tableBorderDxfId="46">
  <autoFilter ref="D24:P44" xr:uid="{64A52F8A-FD08-448E-A26A-76A8C69B4176}"/>
  <sortState xmlns:xlrd2="http://schemas.microsoft.com/office/spreadsheetml/2017/richdata2" ref="D25:P44">
    <sortCondition ref="H24:H44"/>
  </sortState>
  <tableColumns count="13">
    <tableColumn id="1" xr3:uid="{C498B744-819C-4C30-AD89-8D010C8DD57F}" name="Columna1" dataDxfId="45"/>
    <tableColumn id="2" xr3:uid="{963426E7-A6EC-4E2B-8FA8-4C25DE6F27F1}" name="AVG_Q1_Q3" dataDxfId="44"/>
    <tableColumn id="3" xr3:uid="{022AE098-8152-4412-B21F-798053AB0FEF}" name="Diff_Q3" dataDxfId="43"/>
    <tableColumn id="4" xr3:uid="{6C751D08-5075-4887-8AC2-66C658B612F6}" name="Diff_Final"/>
    <tableColumn id="5" xr3:uid="{61687A36-C0A6-4149-A42E-70B9983F7488}" name="AVG_MATCH" dataDxfId="42"/>
    <tableColumn id="12" xr3:uid="{BC05FD90-7F89-41ED-AADC-4604DC568D8A}" name="Columna3" dataDxfId="41">
      <calculatedColumnFormula>(Tabla1[[#This Row],[AVG_MATCH]]-$H$47)/$H$50</calculatedColumnFormula>
    </tableColumn>
    <tableColumn id="6" xr3:uid="{49A84104-9446-489E-8C61-2ED6D92CC866}" name="Pronóstico" dataDxfId="40">
      <calculatedColumnFormula xml:space="preserve"> $B$17+$B$18*E25</calculatedColumnFormula>
    </tableColumn>
    <tableColumn id="7" xr3:uid="{EE4C6112-9943-470C-A96A-053C93E3455B}" name="Pronostico - sdt_error" dataDxfId="39">
      <calculatedColumnFormula>J25-$B$7</calculatedColumnFormula>
    </tableColumn>
    <tableColumn id="8" xr3:uid="{D66B6166-C397-49A9-996D-C2F46C07FF76}" name="Pronostico + sdt_error" dataDxfId="38">
      <calculatedColumnFormula>J25+$B$7</calculatedColumnFormula>
    </tableColumn>
    <tableColumn id="9" xr3:uid="{44A8EC7F-DA8F-483C-8272-4B6D26503747}" name="Diferencia entre el pronostico y avg_q1_q3" dataDxfId="37">
      <calculatedColumnFormula>J25-E25</calculatedColumnFormula>
    </tableColumn>
    <tableColumn id="10" xr3:uid="{5ACA37FE-8420-4221-B5C6-EE61DD3F44FC}" name="↑ Avg_match" dataDxfId="36">
      <calculatedColumnFormula>H25-E25</calculatedColumnFormula>
    </tableColumn>
    <tableColumn id="11" xr3:uid="{F7F7B7FE-A536-4884-A0E7-B355357E46C1}" name="Is_Win" dataDxfId="35"/>
    <tableColumn id="13" xr3:uid="{82641514-7132-414E-BFB3-1A8A2F1124A6}" name="Columna2" dataDxfId="34">
      <calculatedColumnFormula>Tabla1[[#This Row],[AVG_MATCH]]-H24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5E2BCA-19BE-4688-813A-5AC9E231C9DE}" name="Tabla2" displayName="Tabla2" ref="W3:AE12" totalsRowShown="0" headerRowDxfId="25" dataDxfId="26" headerRowBorderDxfId="32" tableBorderDxfId="33" totalsRowBorderDxfId="31">
  <autoFilter ref="W3:AE12" xr:uid="{485E2BCA-19BE-4688-813A-5AC9E231C9DE}"/>
  <sortState xmlns:xlrd2="http://schemas.microsoft.com/office/spreadsheetml/2017/richdata2" ref="W4:AB12">
    <sortCondition ref="Z3:Z12"/>
  </sortState>
  <tableColumns count="9">
    <tableColumn id="1" xr3:uid="{2671FE0E-309D-4528-9D6D-FFC95152AA55}" name="Q1" dataDxfId="30"/>
    <tableColumn id="2" xr3:uid="{A506DEDE-3EE5-4B0E-9DAF-049F016C77A5}" name="Q2" dataDxfId="29"/>
    <tableColumn id="3" xr3:uid="{E3E0F319-5B16-44A3-9BA9-0E50205F8CAC}" name="Q3" dataDxfId="28"/>
    <tableColumn id="4" xr3:uid="{2871D33B-BA28-4DE8-8EE7-B1EE985FCCD0}" name="Range Total" dataDxfId="27">
      <calculatedColumnFormula>MAX(W4:Y4)-MIN(W4:Y4)</calculatedColumnFormula>
    </tableColumn>
    <tableColumn id="5" xr3:uid="{D8C93832-4F9A-4763-9AC9-1682B44C2048}" name="Range Q1-Q2" dataDxfId="22">
      <calculatedColumnFormula>MAX(Tabla2[[#This Row],[Q1]:[Q2]])-MIN(Tabla2[[#This Row],[Q1]:[Q2]])</calculatedColumnFormula>
    </tableColumn>
    <tableColumn id="6" xr3:uid="{5C654CAC-82E2-4598-9FD4-CB25ECEBAD11}" name="Range Q1-Q3" dataDxfId="21">
      <calculatedColumnFormula>MAX(W4,Y4)-MIN(W4,Y4)</calculatedColumnFormula>
    </tableColumn>
    <tableColumn id="9" xr3:uid="{7386E846-9504-4E6B-875C-597C51781228}" name="Range Q2-Q3" dataDxfId="0">
      <calculatedColumnFormula>MAX(X4,Y4)-MIN(X4,Y4)</calculatedColumnFormula>
    </tableColumn>
    <tableColumn id="7" xr3:uid="{9F6E5363-5324-4E79-8808-747235B2F644}" name="Media" dataDxfId="24">
      <calculatedColumnFormula>AVERAGE(W4:Y4)</calculatedColumnFormula>
    </tableColumn>
    <tableColumn id="8" xr3:uid="{BD75AC7D-E54B-497D-B8F0-3744796B5162}" name="Std" dataDxfId="23">
      <calculatedColumnFormula>_xlfn.STDEV.S(W4:Y4)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3D3A-CB8B-48B6-A82F-C4477BF706EB}">
  <dimension ref="B2:R46"/>
  <sheetViews>
    <sheetView workbookViewId="0">
      <selection activeCell="N2" sqref="N2"/>
    </sheetView>
  </sheetViews>
  <sheetFormatPr baseColWidth="10" defaultRowHeight="15" x14ac:dyDescent="0.25"/>
  <cols>
    <col min="1" max="2" width="11.42578125" style="1"/>
    <col min="3" max="3" width="11.42578125" style="4"/>
    <col min="4" max="10" width="11.42578125" style="1"/>
    <col min="11" max="11" width="4.140625" style="1" customWidth="1"/>
    <col min="12" max="12" width="11.42578125" style="1"/>
    <col min="13" max="13" width="11.140625" style="1" customWidth="1"/>
    <col min="14" max="14" width="6.5703125" style="1" customWidth="1"/>
    <col min="15" max="15" width="11.42578125" style="1"/>
    <col min="16" max="16" width="8.140625" style="1" customWidth="1"/>
    <col min="17" max="16384" width="11.42578125" style="1"/>
  </cols>
  <sheetData>
    <row r="2" spans="2:18" x14ac:dyDescent="0.25">
      <c r="B2" s="7" t="s">
        <v>4</v>
      </c>
      <c r="C2" s="3" t="s">
        <v>10</v>
      </c>
      <c r="D2" s="3" t="s">
        <v>0</v>
      </c>
      <c r="E2" s="3" t="s">
        <v>1</v>
      </c>
      <c r="F2" s="3" t="s">
        <v>2</v>
      </c>
      <c r="G2" s="3" t="s">
        <v>12</v>
      </c>
      <c r="H2" s="3" t="s">
        <v>7</v>
      </c>
      <c r="L2" s="1">
        <v>10</v>
      </c>
      <c r="M2" s="1">
        <v>30</v>
      </c>
      <c r="N2" s="15">
        <v>16</v>
      </c>
      <c r="O2" s="15">
        <v>1</v>
      </c>
      <c r="P2" s="15">
        <v>7</v>
      </c>
    </row>
    <row r="3" spans="2:18" x14ac:dyDescent="0.25">
      <c r="B3" s="7" t="s">
        <v>6</v>
      </c>
      <c r="C3" s="3" t="s">
        <v>11</v>
      </c>
      <c r="D3" s="24">
        <v>21.478300000000001</v>
      </c>
      <c r="E3" s="24">
        <v>18.695699999999999</v>
      </c>
      <c r="F3" s="24">
        <v>21.782599999999999</v>
      </c>
      <c r="G3" s="6">
        <f>SUM(D3:F3)</f>
        <v>61.956599999999995</v>
      </c>
      <c r="H3" s="11">
        <v>20.170000000000002</v>
      </c>
      <c r="N3" s="15">
        <v>16</v>
      </c>
      <c r="O3" s="15">
        <v>2</v>
      </c>
      <c r="P3" s="15">
        <v>13</v>
      </c>
    </row>
    <row r="4" spans="2:18" x14ac:dyDescent="0.25">
      <c r="C4" s="8" t="s">
        <v>3</v>
      </c>
      <c r="D4" s="10">
        <f>D3/L2</f>
        <v>2.1478299999999999</v>
      </c>
      <c r="E4" s="10">
        <f>E3/L2</f>
        <v>1.86957</v>
      </c>
      <c r="F4" s="10">
        <f>F3/L2</f>
        <v>2.1782599999999999</v>
      </c>
      <c r="G4" s="10">
        <f>G3/M2</f>
        <v>2.0652199999999996</v>
      </c>
      <c r="H4" s="12">
        <f>H3/L2</f>
        <v>2.0170000000000003</v>
      </c>
      <c r="I4" s="2" t="s">
        <v>18</v>
      </c>
      <c r="N4" s="15">
        <v>17</v>
      </c>
      <c r="O4" s="15">
        <v>3</v>
      </c>
      <c r="P4" s="15">
        <v>15</v>
      </c>
    </row>
    <row r="5" spans="2:18" x14ac:dyDescent="0.25">
      <c r="B5" s="7" t="s">
        <v>8</v>
      </c>
      <c r="C5" s="3" t="s">
        <v>9</v>
      </c>
      <c r="D5" s="2">
        <v>21</v>
      </c>
      <c r="E5" s="2">
        <v>27</v>
      </c>
      <c r="F5" s="2">
        <v>9</v>
      </c>
      <c r="G5" s="2">
        <f>SUM(D5:F5)</f>
        <v>57</v>
      </c>
      <c r="H5" s="21">
        <v>18</v>
      </c>
      <c r="I5" s="2">
        <v>17</v>
      </c>
      <c r="J5" s="5">
        <f>D5+E5+F5+H5</f>
        <v>75</v>
      </c>
      <c r="N5" s="15">
        <v>17</v>
      </c>
      <c r="O5" s="15">
        <v>4</v>
      </c>
      <c r="P5" s="15">
        <v>15</v>
      </c>
    </row>
    <row r="6" spans="2:18" x14ac:dyDescent="0.25">
      <c r="C6" s="8" t="s">
        <v>3</v>
      </c>
      <c r="D6" s="8">
        <f>D5/L2</f>
        <v>2.1</v>
      </c>
      <c r="E6" s="8">
        <f>E5/L2</f>
        <v>2.7</v>
      </c>
      <c r="F6" s="8">
        <f>F5/L2</f>
        <v>0.9</v>
      </c>
      <c r="G6" s="8">
        <f>G5/M2</f>
        <v>1.9</v>
      </c>
      <c r="H6" s="23">
        <f>H5/L2</f>
        <v>1.8</v>
      </c>
      <c r="J6" s="5"/>
      <c r="N6" s="15">
        <v>18</v>
      </c>
      <c r="O6" s="15">
        <v>5</v>
      </c>
      <c r="P6" s="15">
        <v>16</v>
      </c>
    </row>
    <row r="7" spans="2:18" x14ac:dyDescent="0.25">
      <c r="H7" s="13"/>
      <c r="J7" s="5"/>
      <c r="N7" s="15">
        <v>19</v>
      </c>
      <c r="O7" s="15">
        <v>6</v>
      </c>
      <c r="P7" s="15">
        <v>16</v>
      </c>
    </row>
    <row r="8" spans="2:18" x14ac:dyDescent="0.25">
      <c r="B8" s="3" t="s">
        <v>5</v>
      </c>
      <c r="C8" s="3" t="s">
        <v>10</v>
      </c>
      <c r="D8" s="3" t="s">
        <v>0</v>
      </c>
      <c r="E8" s="3" t="s">
        <v>1</v>
      </c>
      <c r="F8" s="3" t="s">
        <v>2</v>
      </c>
      <c r="G8" s="3" t="s">
        <v>12</v>
      </c>
      <c r="H8" s="3" t="s">
        <v>7</v>
      </c>
      <c r="J8" s="5"/>
      <c r="N8" s="15">
        <v>19</v>
      </c>
      <c r="O8" s="15">
        <v>7</v>
      </c>
      <c r="P8" s="15">
        <v>16</v>
      </c>
    </row>
    <row r="9" spans="2:18" x14ac:dyDescent="0.25">
      <c r="B9" s="7" t="s">
        <v>6</v>
      </c>
      <c r="C9" s="3" t="s">
        <v>11</v>
      </c>
      <c r="D9" s="11">
        <v>22.863600000000002</v>
      </c>
      <c r="E9" s="11">
        <v>23.818200000000001</v>
      </c>
      <c r="F9" s="11">
        <v>22.545500000000001</v>
      </c>
      <c r="G9" s="11">
        <f>SUM(D9:F9)</f>
        <v>69.2273</v>
      </c>
      <c r="H9" s="11">
        <v>21.86</v>
      </c>
      <c r="J9" s="5"/>
      <c r="N9" s="15">
        <v>20</v>
      </c>
      <c r="O9" s="15">
        <v>8</v>
      </c>
      <c r="P9" s="15">
        <v>16</v>
      </c>
    </row>
    <row r="10" spans="2:18" x14ac:dyDescent="0.25">
      <c r="C10" s="8" t="s">
        <v>3</v>
      </c>
      <c r="D10" s="12">
        <f>D9/L2</f>
        <v>2.2863600000000002</v>
      </c>
      <c r="E10" s="12">
        <f>E9/L2</f>
        <v>2.3818200000000003</v>
      </c>
      <c r="F10" s="12">
        <f>F9/L2</f>
        <v>2.2545500000000001</v>
      </c>
      <c r="G10" s="12">
        <f>G9/M2</f>
        <v>2.3075766666666668</v>
      </c>
      <c r="H10" s="12">
        <f>H9/L2</f>
        <v>2.1859999999999999</v>
      </c>
      <c r="I10" s="2" t="s">
        <v>18</v>
      </c>
      <c r="J10" s="5"/>
      <c r="N10" s="15">
        <v>20</v>
      </c>
      <c r="O10" s="15">
        <v>9</v>
      </c>
      <c r="P10" s="15">
        <v>18</v>
      </c>
    </row>
    <row r="11" spans="2:18" x14ac:dyDescent="0.25">
      <c r="B11" s="7" t="s">
        <v>8</v>
      </c>
      <c r="C11" s="3" t="s">
        <v>9</v>
      </c>
      <c r="D11" s="2">
        <v>26</v>
      </c>
      <c r="E11" s="2">
        <v>27</v>
      </c>
      <c r="F11" s="2">
        <v>23</v>
      </c>
      <c r="G11" s="2">
        <f>SUM(D11:F11)</f>
        <v>76</v>
      </c>
      <c r="H11" s="21">
        <v>21</v>
      </c>
      <c r="I11" s="2">
        <v>15</v>
      </c>
      <c r="J11" s="5">
        <f>D11+E11+F11+H11</f>
        <v>97</v>
      </c>
      <c r="M11" s="16"/>
      <c r="N11" s="15">
        <v>21</v>
      </c>
      <c r="O11" s="15">
        <v>10</v>
      </c>
      <c r="P11" s="15">
        <v>19</v>
      </c>
    </row>
    <row r="12" spans="2:18" x14ac:dyDescent="0.25">
      <c r="C12" s="8" t="s">
        <v>3</v>
      </c>
      <c r="D12" s="8">
        <f>D11/L2</f>
        <v>2.6</v>
      </c>
      <c r="E12" s="8">
        <f>E11/L2</f>
        <v>2.7</v>
      </c>
      <c r="F12" s="8">
        <f>F11/L2</f>
        <v>2.2999999999999998</v>
      </c>
      <c r="G12" s="10">
        <f>G11/M2</f>
        <v>2.5333333333333332</v>
      </c>
      <c r="H12" s="23">
        <f>H11/L2</f>
        <v>2.1</v>
      </c>
      <c r="M12" s="16"/>
      <c r="N12" s="15">
        <v>21</v>
      </c>
      <c r="O12" s="15">
        <v>11</v>
      </c>
      <c r="P12" s="15">
        <v>20</v>
      </c>
      <c r="R12" s="19"/>
    </row>
    <row r="13" spans="2:18" x14ac:dyDescent="0.25">
      <c r="H13" s="13"/>
      <c r="J13" s="5">
        <f>J5+J11</f>
        <v>172</v>
      </c>
      <c r="L13" s="17"/>
      <c r="N13" s="15">
        <v>22</v>
      </c>
      <c r="O13" s="15">
        <v>12</v>
      </c>
      <c r="P13" s="15">
        <v>21</v>
      </c>
      <c r="Q13" s="18"/>
    </row>
    <row r="14" spans="2:18" x14ac:dyDescent="0.25">
      <c r="C14" s="1" t="s">
        <v>13</v>
      </c>
      <c r="D14" s="3">
        <f>D6+D12</f>
        <v>4.7</v>
      </c>
      <c r="E14" s="3">
        <f>E6+E12</f>
        <v>5.4</v>
      </c>
      <c r="F14" s="3">
        <f>F6+F12</f>
        <v>3.1999999999999997</v>
      </c>
      <c r="G14" s="14">
        <f>G6+G12</f>
        <v>4.4333333333333336</v>
      </c>
      <c r="H14" s="3">
        <f t="shared" ref="H14" si="0">H6+H12</f>
        <v>3.9000000000000004</v>
      </c>
      <c r="L14" s="17"/>
      <c r="N14" s="15">
        <v>22</v>
      </c>
      <c r="O14" s="15">
        <v>13</v>
      </c>
      <c r="P14" s="15">
        <v>22</v>
      </c>
    </row>
    <row r="15" spans="2:18" x14ac:dyDescent="0.25">
      <c r="H15" s="13"/>
      <c r="N15" s="15">
        <v>23</v>
      </c>
      <c r="O15" s="15">
        <v>14</v>
      </c>
      <c r="P15" s="15">
        <v>22</v>
      </c>
    </row>
    <row r="16" spans="2:18" x14ac:dyDescent="0.25">
      <c r="N16" s="15">
        <v>23</v>
      </c>
      <c r="O16" s="15">
        <v>15</v>
      </c>
      <c r="P16" s="15">
        <v>22</v>
      </c>
    </row>
    <row r="17" spans="6:17" x14ac:dyDescent="0.25">
      <c r="F17" s="20" t="s">
        <v>14</v>
      </c>
      <c r="G17" s="6">
        <f>AVERAGE(N2:N23)</f>
        <v>21.863636363636363</v>
      </c>
      <c r="H17" s="6">
        <f>AVERAGE(P2:P24)</f>
        <v>20.173913043478262</v>
      </c>
      <c r="N17" s="15">
        <v>23</v>
      </c>
      <c r="O17" s="15">
        <v>16</v>
      </c>
      <c r="P17" s="15">
        <v>23</v>
      </c>
    </row>
    <row r="18" spans="6:17" x14ac:dyDescent="0.25">
      <c r="F18" s="9" t="s">
        <v>15</v>
      </c>
      <c r="G18" s="6">
        <f>MEDIAN(N2:N23)</f>
        <v>21.5</v>
      </c>
      <c r="H18" s="6">
        <f>MEDIAN(P2:P24)</f>
        <v>21</v>
      </c>
      <c r="N18" s="15">
        <v>24</v>
      </c>
      <c r="O18" s="15">
        <v>17</v>
      </c>
      <c r="P18" s="15">
        <v>24</v>
      </c>
    </row>
    <row r="19" spans="6:17" x14ac:dyDescent="0.25">
      <c r="F19" s="2" t="s">
        <v>17</v>
      </c>
      <c r="G19" s="6">
        <f>G17-N2</f>
        <v>5.8636363636363633</v>
      </c>
      <c r="H19" s="6">
        <f>H17-P2</f>
        <v>13.173913043478262</v>
      </c>
      <c r="N19" s="15">
        <v>24</v>
      </c>
      <c r="O19" s="15">
        <v>18</v>
      </c>
      <c r="P19" s="15">
        <v>24</v>
      </c>
    </row>
    <row r="20" spans="6:17" x14ac:dyDescent="0.25">
      <c r="F20" s="2" t="s">
        <v>16</v>
      </c>
      <c r="G20" s="6">
        <f>N16-G23</f>
        <v>23</v>
      </c>
      <c r="H20" s="6">
        <f>P24-H17</f>
        <v>10.826086956521738</v>
      </c>
      <c r="N20" s="15">
        <v>25</v>
      </c>
      <c r="O20" s="15">
        <v>19</v>
      </c>
      <c r="P20" s="15">
        <v>25</v>
      </c>
    </row>
    <row r="21" spans="6:17" x14ac:dyDescent="0.25">
      <c r="N21" s="15">
        <v>30</v>
      </c>
      <c r="O21" s="15">
        <v>20</v>
      </c>
      <c r="P21" s="15">
        <v>25</v>
      </c>
    </row>
    <row r="22" spans="6:17" x14ac:dyDescent="0.25">
      <c r="N22" s="15">
        <v>30</v>
      </c>
      <c r="O22" s="15">
        <v>21</v>
      </c>
      <c r="P22" s="15">
        <v>25</v>
      </c>
    </row>
    <row r="23" spans="6:17" x14ac:dyDescent="0.25">
      <c r="N23" s="15">
        <v>31</v>
      </c>
      <c r="O23" s="15">
        <v>22</v>
      </c>
      <c r="P23" s="15">
        <v>29</v>
      </c>
    </row>
    <row r="24" spans="6:17" x14ac:dyDescent="0.25">
      <c r="N24" s="15"/>
      <c r="O24" s="15">
        <v>23</v>
      </c>
      <c r="P24" s="15">
        <v>31</v>
      </c>
    </row>
    <row r="25" spans="6:17" x14ac:dyDescent="0.25">
      <c r="N25" s="15"/>
      <c r="O25" s="15">
        <v>24</v>
      </c>
      <c r="P25" s="15"/>
    </row>
    <row r="26" spans="6:17" x14ac:dyDescent="0.25">
      <c r="N26" s="15"/>
      <c r="O26" s="15">
        <v>25</v>
      </c>
      <c r="P26" s="15"/>
    </row>
    <row r="27" spans="6:17" x14ac:dyDescent="0.25">
      <c r="N27" s="15"/>
      <c r="O27" s="15">
        <v>26</v>
      </c>
      <c r="P27" s="15"/>
    </row>
    <row r="28" spans="6:17" x14ac:dyDescent="0.25">
      <c r="M28" s="16"/>
      <c r="N28" s="15"/>
      <c r="O28" s="15">
        <v>27</v>
      </c>
      <c r="P28" s="15"/>
    </row>
    <row r="29" spans="6:17" x14ac:dyDescent="0.25">
      <c r="M29" s="16"/>
      <c r="N29" s="15"/>
      <c r="O29" s="15">
        <v>28</v>
      </c>
      <c r="P29" s="15"/>
    </row>
    <row r="30" spans="6:17" x14ac:dyDescent="0.25">
      <c r="M30" s="16"/>
      <c r="N30" s="15"/>
      <c r="O30" s="15">
        <v>29</v>
      </c>
      <c r="P30" s="15"/>
    </row>
    <row r="31" spans="6:17" x14ac:dyDescent="0.25">
      <c r="M31" s="16"/>
      <c r="N31" s="15"/>
      <c r="O31" s="15">
        <v>30</v>
      </c>
      <c r="P31" s="15"/>
      <c r="Q31" s="18"/>
    </row>
    <row r="32" spans="6:17" x14ac:dyDescent="0.25">
      <c r="N32" s="15"/>
      <c r="O32" s="15">
        <v>31</v>
      </c>
      <c r="P32" s="15"/>
      <c r="Q32" s="18"/>
    </row>
    <row r="33" spans="12:18" x14ac:dyDescent="0.25">
      <c r="L33" s="17"/>
      <c r="N33" s="15"/>
      <c r="O33" s="15">
        <v>32</v>
      </c>
      <c r="P33" s="15"/>
      <c r="Q33" s="18"/>
      <c r="R33" s="19"/>
    </row>
    <row r="34" spans="12:18" x14ac:dyDescent="0.25">
      <c r="L34" s="17"/>
      <c r="N34" s="15"/>
      <c r="O34" s="15">
        <v>33</v>
      </c>
      <c r="P34" s="15"/>
      <c r="Q34" s="18"/>
      <c r="R34" s="22"/>
    </row>
    <row r="35" spans="12:18" x14ac:dyDescent="0.25">
      <c r="L35" s="17"/>
      <c r="N35" s="15"/>
      <c r="O35" s="15">
        <v>34</v>
      </c>
      <c r="P35" s="15"/>
      <c r="Q35" s="18"/>
      <c r="R35" s="22"/>
    </row>
    <row r="36" spans="12:18" x14ac:dyDescent="0.25">
      <c r="N36" s="15"/>
      <c r="O36" s="15">
        <v>35</v>
      </c>
      <c r="P36" s="15"/>
      <c r="Q36" s="18"/>
    </row>
    <row r="37" spans="12:18" x14ac:dyDescent="0.25">
      <c r="N37" s="15"/>
      <c r="O37" s="15">
        <v>36</v>
      </c>
      <c r="P37" s="15"/>
      <c r="Q37" s="18"/>
    </row>
    <row r="38" spans="12:18" x14ac:dyDescent="0.25">
      <c r="N38" s="15"/>
      <c r="O38" s="15">
        <v>37</v>
      </c>
      <c r="P38" s="15"/>
      <c r="Q38" s="18"/>
    </row>
    <row r="39" spans="12:18" x14ac:dyDescent="0.25">
      <c r="N39" s="15"/>
      <c r="O39" s="15">
        <v>38</v>
      </c>
      <c r="P39" s="15"/>
    </row>
    <row r="40" spans="12:18" x14ac:dyDescent="0.25">
      <c r="N40" s="15"/>
      <c r="O40" s="15">
        <v>39</v>
      </c>
      <c r="P40" s="15"/>
    </row>
    <row r="41" spans="12:18" x14ac:dyDescent="0.25">
      <c r="N41" s="15"/>
      <c r="O41" s="15">
        <v>40</v>
      </c>
      <c r="P41" s="15"/>
    </row>
    <row r="42" spans="12:18" x14ac:dyDescent="0.25">
      <c r="N42" s="15"/>
      <c r="O42" s="15">
        <v>41</v>
      </c>
      <c r="P42" s="15"/>
    </row>
    <row r="43" spans="12:18" x14ac:dyDescent="0.25">
      <c r="N43" s="15"/>
      <c r="O43" s="15">
        <v>42</v>
      </c>
      <c r="P43" s="15"/>
    </row>
    <row r="44" spans="12:18" x14ac:dyDescent="0.25">
      <c r="N44" s="15"/>
      <c r="O44" s="15">
        <v>43</v>
      </c>
      <c r="P44" s="15"/>
    </row>
    <row r="45" spans="12:18" x14ac:dyDescent="0.25">
      <c r="N45" s="15"/>
      <c r="O45" s="15">
        <v>44</v>
      </c>
      <c r="P45" s="15"/>
    </row>
    <row r="46" spans="12:18" x14ac:dyDescent="0.25">
      <c r="N46" s="15"/>
      <c r="O46" s="15">
        <v>45</v>
      </c>
      <c r="P46" s="15"/>
    </row>
  </sheetData>
  <conditionalFormatting sqref="D6">
    <cfRule type="expression" dxfId="20" priority="19">
      <formula>$D$6&gt;$D$4</formula>
    </cfRule>
    <cfRule type="expression" dxfId="19" priority="20">
      <formula>$D$6&lt;$D$4</formula>
    </cfRule>
  </conditionalFormatting>
  <conditionalFormatting sqref="E6">
    <cfRule type="expression" dxfId="18" priority="17">
      <formula>$E$6&gt;$E$4</formula>
    </cfRule>
    <cfRule type="expression" dxfId="17" priority="18">
      <formula>$E$6&lt;$E$4</formula>
    </cfRule>
  </conditionalFormatting>
  <conditionalFormatting sqref="F6">
    <cfRule type="expression" dxfId="16" priority="15">
      <formula>$F$6&gt;$F$4</formula>
    </cfRule>
    <cfRule type="expression" dxfId="15" priority="16">
      <formula>$F$6&lt;$F$4</formula>
    </cfRule>
  </conditionalFormatting>
  <conditionalFormatting sqref="G6">
    <cfRule type="expression" dxfId="14" priority="13">
      <formula>$G$6&gt;$G$4</formula>
    </cfRule>
    <cfRule type="expression" dxfId="13" priority="14">
      <formula>$G$6&lt;$G$4</formula>
    </cfRule>
  </conditionalFormatting>
  <conditionalFormatting sqref="D12">
    <cfRule type="expression" dxfId="12" priority="11">
      <formula>$D$12&gt;$D$10</formula>
    </cfRule>
    <cfRule type="expression" dxfId="11" priority="12">
      <formula>$D$12&lt;$D$10</formula>
    </cfRule>
  </conditionalFormatting>
  <conditionalFormatting sqref="E12">
    <cfRule type="expression" dxfId="10" priority="9">
      <formula>$E$12&gt;$E$10</formula>
    </cfRule>
    <cfRule type="expression" dxfId="9" priority="10">
      <formula>$E$12&lt;$E$10</formula>
    </cfRule>
  </conditionalFormatting>
  <conditionalFormatting sqref="F12">
    <cfRule type="expression" dxfId="8" priority="7">
      <formula>$F$12&gt;$F$10</formula>
    </cfRule>
    <cfRule type="expression" dxfId="7" priority="8">
      <formula>$F$12&lt;$F$10</formula>
    </cfRule>
  </conditionalFormatting>
  <conditionalFormatting sqref="G12">
    <cfRule type="expression" dxfId="6" priority="5">
      <formula>$G$12&gt;$G$10</formula>
    </cfRule>
    <cfRule type="expression" dxfId="5" priority="6">
      <formula>$G$12&lt;$G$10</formula>
    </cfRule>
  </conditionalFormatting>
  <conditionalFormatting sqref="H6">
    <cfRule type="expression" dxfId="4" priority="3">
      <formula>$H$6&gt;$H$4</formula>
    </cfRule>
    <cfRule type="expression" dxfId="3" priority="4">
      <formula>$H$6&lt;$H$4</formula>
    </cfRule>
  </conditionalFormatting>
  <conditionalFormatting sqref="H12">
    <cfRule type="expression" dxfId="2" priority="1">
      <formula>$H$12&gt;$H$10</formula>
    </cfRule>
    <cfRule type="expression" dxfId="1" priority="2">
      <formula>$H$12&lt;$H$10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56CD-DBCA-466D-A137-64BCA21F8F29}">
  <dimension ref="B3:K8"/>
  <sheetViews>
    <sheetView topLeftCell="E1" zoomScale="110" zoomScaleNormal="110" workbookViewId="0">
      <selection activeCell="A9" sqref="A9"/>
    </sheetView>
  </sheetViews>
  <sheetFormatPr baseColWidth="10" defaultRowHeight="15" x14ac:dyDescent="0.25"/>
  <cols>
    <col min="1" max="1" width="6.140625" style="25" customWidth="1"/>
    <col min="2" max="2" width="39.7109375" style="26" customWidth="1"/>
    <col min="3" max="3" width="16.140625" style="25" customWidth="1"/>
    <col min="4" max="4" width="36.85546875" style="25" customWidth="1"/>
    <col min="5" max="5" width="39.140625" style="25" customWidth="1"/>
    <col min="6" max="6" width="37.28515625" style="25" bestFit="1" customWidth="1"/>
    <col min="7" max="7" width="20.85546875" style="26" customWidth="1"/>
    <col min="8" max="8" width="20.7109375" style="25" customWidth="1"/>
    <col min="9" max="9" width="21" style="25" customWidth="1"/>
    <col min="10" max="10" width="25.28515625" style="26" customWidth="1"/>
    <col min="11" max="11" width="25.7109375" style="25" customWidth="1"/>
    <col min="12" max="16384" width="11.42578125" style="25"/>
  </cols>
  <sheetData>
    <row r="3" spans="2:11" s="30" customFormat="1" ht="48" customHeight="1" x14ac:dyDescent="0.25">
      <c r="B3" s="29"/>
      <c r="D3" s="32" t="s">
        <v>36</v>
      </c>
      <c r="E3" s="32" t="s">
        <v>37</v>
      </c>
      <c r="F3" s="32" t="s">
        <v>38</v>
      </c>
      <c r="G3" s="32" t="s">
        <v>23</v>
      </c>
      <c r="H3" s="32" t="s">
        <v>24</v>
      </c>
      <c r="I3" s="32" t="s">
        <v>25</v>
      </c>
      <c r="J3" s="32" t="s">
        <v>22</v>
      </c>
      <c r="K3" s="32" t="s">
        <v>21</v>
      </c>
    </row>
    <row r="4" spans="2:11" ht="60" x14ac:dyDescent="0.25">
      <c r="B4" s="32" t="s">
        <v>26</v>
      </c>
      <c r="C4" s="31" t="s">
        <v>19</v>
      </c>
      <c r="D4" s="28"/>
      <c r="E4" s="28"/>
      <c r="F4" s="28"/>
      <c r="G4" s="27"/>
      <c r="H4" s="28"/>
      <c r="I4" s="28"/>
      <c r="J4" s="27"/>
      <c r="K4" s="28"/>
    </row>
    <row r="5" spans="2:11" x14ac:dyDescent="0.25">
      <c r="C5" s="31" t="s">
        <v>20</v>
      </c>
      <c r="D5" s="28"/>
      <c r="E5" s="28"/>
      <c r="F5" s="28"/>
      <c r="G5" s="27"/>
      <c r="H5" s="28"/>
      <c r="I5" s="28"/>
      <c r="J5" s="27"/>
      <c r="K5" s="28"/>
    </row>
    <row r="6" spans="2:11" x14ac:dyDescent="0.25">
      <c r="D6" s="28" t="s">
        <v>27</v>
      </c>
      <c r="E6" s="28" t="s">
        <v>29</v>
      </c>
      <c r="F6" s="28" t="s">
        <v>33</v>
      </c>
    </row>
    <row r="7" spans="2:11" x14ac:dyDescent="0.25">
      <c r="D7" s="28" t="s">
        <v>32</v>
      </c>
      <c r="E7" s="28" t="s">
        <v>31</v>
      </c>
      <c r="F7" s="28" t="s">
        <v>34</v>
      </c>
    </row>
    <row r="8" spans="2:11" x14ac:dyDescent="0.25">
      <c r="D8" s="28" t="s">
        <v>28</v>
      </c>
      <c r="E8" s="28" t="s">
        <v>30</v>
      </c>
      <c r="F8" s="28" t="s">
        <v>35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6FB9-ED64-4B8C-A464-80011B000054}">
  <dimension ref="B2:AP23"/>
  <sheetViews>
    <sheetView workbookViewId="0">
      <selection activeCell="F16" sqref="F16"/>
    </sheetView>
  </sheetViews>
  <sheetFormatPr baseColWidth="10" defaultRowHeight="15" x14ac:dyDescent="0.25"/>
  <cols>
    <col min="1" max="1" width="6.85546875" customWidth="1"/>
    <col min="2" max="2" width="7.5703125" style="33" customWidth="1"/>
    <col min="16" max="16" width="11.42578125" style="33"/>
  </cols>
  <sheetData>
    <row r="2" spans="2:42" x14ac:dyDescent="0.25">
      <c r="C2" s="44" t="s">
        <v>42</v>
      </c>
      <c r="D2" s="44" t="s">
        <v>43</v>
      </c>
      <c r="E2" s="44" t="s">
        <v>54</v>
      </c>
      <c r="F2" s="44" t="s">
        <v>3</v>
      </c>
      <c r="G2" s="33"/>
      <c r="I2" s="33"/>
      <c r="J2" s="44" t="s">
        <v>42</v>
      </c>
      <c r="K2" s="44" t="s">
        <v>43</v>
      </c>
      <c r="L2" s="44" t="s">
        <v>54</v>
      </c>
      <c r="M2" s="44" t="s">
        <v>3</v>
      </c>
      <c r="Q2" s="44" t="s">
        <v>42</v>
      </c>
      <c r="R2" s="44" t="s">
        <v>43</v>
      </c>
      <c r="S2" s="44" t="s">
        <v>54</v>
      </c>
      <c r="T2" s="44" t="s">
        <v>3</v>
      </c>
      <c r="W2" s="33"/>
      <c r="X2" s="44" t="s">
        <v>42</v>
      </c>
      <c r="Y2" s="44" t="s">
        <v>43</v>
      </c>
      <c r="Z2" s="44" t="s">
        <v>54</v>
      </c>
      <c r="AA2" s="44" t="s">
        <v>3</v>
      </c>
      <c r="AD2" s="33"/>
      <c r="AE2" s="44" t="s">
        <v>42</v>
      </c>
      <c r="AF2" s="44" t="s">
        <v>43</v>
      </c>
      <c r="AG2" s="44" t="s">
        <v>54</v>
      </c>
      <c r="AH2" s="44" t="s">
        <v>3</v>
      </c>
      <c r="AK2" s="33"/>
      <c r="AL2" s="44" t="s">
        <v>42</v>
      </c>
      <c r="AM2" s="44" t="s">
        <v>43</v>
      </c>
      <c r="AN2" s="44" t="s">
        <v>54</v>
      </c>
      <c r="AO2" s="44" t="s">
        <v>3</v>
      </c>
    </row>
    <row r="3" spans="2:42" x14ac:dyDescent="0.25">
      <c r="B3" s="48" t="s">
        <v>75</v>
      </c>
      <c r="C3" s="42">
        <v>59</v>
      </c>
      <c r="D3" s="42">
        <v>60</v>
      </c>
      <c r="E3" s="42">
        <f>C3+D3</f>
        <v>119</v>
      </c>
      <c r="F3" s="43">
        <f>E3/30</f>
        <v>3.9666666666666668</v>
      </c>
      <c r="G3" s="44" t="s">
        <v>41</v>
      </c>
      <c r="I3" s="48" t="s">
        <v>75</v>
      </c>
      <c r="J3" s="42">
        <v>51</v>
      </c>
      <c r="K3" s="42">
        <v>60</v>
      </c>
      <c r="L3" s="42">
        <f>J3+K3</f>
        <v>111</v>
      </c>
      <c r="M3" s="43">
        <f>L3/30</f>
        <v>3.7</v>
      </c>
      <c r="N3" s="44" t="s">
        <v>41</v>
      </c>
      <c r="P3" s="48" t="s">
        <v>75</v>
      </c>
      <c r="Q3" s="42">
        <v>54</v>
      </c>
      <c r="R3" s="42">
        <v>51</v>
      </c>
      <c r="S3" s="42">
        <f>Q3+R3</f>
        <v>105</v>
      </c>
      <c r="T3" s="43">
        <f>S3/30</f>
        <v>3.5</v>
      </c>
      <c r="U3" s="44" t="s">
        <v>41</v>
      </c>
      <c r="W3" s="48" t="s">
        <v>75</v>
      </c>
      <c r="X3" s="42">
        <v>49</v>
      </c>
      <c r="Y3" s="42">
        <v>61</v>
      </c>
      <c r="Z3" s="42">
        <f>X3+Y3</f>
        <v>110</v>
      </c>
      <c r="AA3" s="43">
        <f>Z3/30</f>
        <v>3.6666666666666665</v>
      </c>
      <c r="AB3" s="44" t="s">
        <v>41</v>
      </c>
      <c r="AD3" s="48" t="s">
        <v>75</v>
      </c>
      <c r="AE3" s="42"/>
      <c r="AF3" s="42"/>
      <c r="AG3" s="42">
        <f>AE3+AF3</f>
        <v>0</v>
      </c>
      <c r="AH3" s="43">
        <f>AG3/30</f>
        <v>0</v>
      </c>
      <c r="AI3" s="44" t="s">
        <v>41</v>
      </c>
      <c r="AK3" s="48" t="s">
        <v>75</v>
      </c>
      <c r="AL3" s="42"/>
      <c r="AM3" s="42"/>
      <c r="AN3" s="42">
        <f>AL3+AM3</f>
        <v>0</v>
      </c>
      <c r="AO3" s="43">
        <f>AN3/30</f>
        <v>0</v>
      </c>
      <c r="AP3" s="44" t="s">
        <v>41</v>
      </c>
    </row>
    <row r="4" spans="2:42" x14ac:dyDescent="0.25">
      <c r="C4" s="33"/>
      <c r="D4" s="45" t="s">
        <v>73</v>
      </c>
      <c r="E4" s="40">
        <v>161</v>
      </c>
      <c r="F4" s="41">
        <f>E4/40</f>
        <v>4.0250000000000004</v>
      </c>
      <c r="G4" s="40">
        <v>1.85</v>
      </c>
      <c r="I4" s="33"/>
      <c r="J4" s="33"/>
      <c r="K4" s="45" t="s">
        <v>73</v>
      </c>
      <c r="L4" s="40">
        <v>148</v>
      </c>
      <c r="M4" s="41">
        <f>L4/40</f>
        <v>3.7</v>
      </c>
      <c r="N4" s="40">
        <v>1.81</v>
      </c>
      <c r="Q4" s="33"/>
      <c r="R4" s="45" t="s">
        <v>73</v>
      </c>
      <c r="S4" s="40">
        <v>141</v>
      </c>
      <c r="T4" s="41">
        <f>S4/40</f>
        <v>3.5249999999999999</v>
      </c>
      <c r="U4" s="40">
        <v>1.89</v>
      </c>
      <c r="W4" s="33"/>
      <c r="X4" s="33"/>
      <c r="Y4" s="45" t="s">
        <v>73</v>
      </c>
      <c r="Z4" s="40">
        <v>148</v>
      </c>
      <c r="AA4" s="41">
        <f>Z4/40</f>
        <v>3.7</v>
      </c>
      <c r="AB4" s="40">
        <v>1.88</v>
      </c>
      <c r="AD4" s="33"/>
      <c r="AE4" s="33"/>
      <c r="AF4" s="45" t="s">
        <v>73</v>
      </c>
      <c r="AG4" s="40"/>
      <c r="AH4" s="41">
        <f>AG4/40</f>
        <v>0</v>
      </c>
      <c r="AI4" s="40"/>
      <c r="AK4" s="33"/>
      <c r="AL4" s="33"/>
      <c r="AM4" s="45" t="s">
        <v>73</v>
      </c>
      <c r="AN4" s="40"/>
      <c r="AO4" s="41">
        <f>AN4/40</f>
        <v>0</v>
      </c>
      <c r="AP4" s="40"/>
    </row>
    <row r="5" spans="2:42" x14ac:dyDescent="0.25">
      <c r="C5" s="33"/>
      <c r="D5" s="33"/>
      <c r="E5" s="46" t="s">
        <v>74</v>
      </c>
      <c r="F5" s="47">
        <f>F4-F3</f>
        <v>5.833333333333357E-2</v>
      </c>
      <c r="G5" s="33"/>
      <c r="I5" s="33"/>
      <c r="J5" s="33"/>
      <c r="K5" s="33"/>
      <c r="L5" s="46" t="s">
        <v>74</v>
      </c>
      <c r="M5" s="47">
        <f>M3-M4</f>
        <v>0</v>
      </c>
      <c r="N5" s="33"/>
      <c r="Q5" s="33"/>
      <c r="R5" s="33"/>
      <c r="S5" s="46" t="s">
        <v>74</v>
      </c>
      <c r="T5" s="47">
        <f>T3-T4</f>
        <v>-2.4999999999999911E-2</v>
      </c>
      <c r="U5" s="50"/>
      <c r="W5" s="33"/>
      <c r="X5" s="33"/>
      <c r="Y5" s="33"/>
      <c r="Z5" s="46" t="s">
        <v>74</v>
      </c>
      <c r="AA5" s="47">
        <f>AA3-AA4</f>
        <v>-3.3333333333333659E-2</v>
      </c>
      <c r="AB5" s="33"/>
      <c r="AD5" s="33"/>
      <c r="AE5" s="33"/>
      <c r="AF5" s="33"/>
      <c r="AG5" s="46" t="s">
        <v>74</v>
      </c>
      <c r="AH5" s="47">
        <f>AH3-AH4</f>
        <v>0</v>
      </c>
      <c r="AI5" s="33"/>
      <c r="AK5" s="33"/>
      <c r="AL5" s="33"/>
      <c r="AM5" s="33"/>
      <c r="AN5" s="46" t="s">
        <v>74</v>
      </c>
      <c r="AO5" s="47">
        <f>AO3-AO4</f>
        <v>0</v>
      </c>
      <c r="AP5" s="33"/>
    </row>
    <row r="6" spans="2:42" x14ac:dyDescent="0.25">
      <c r="G6" s="33"/>
    </row>
    <row r="7" spans="2:42" x14ac:dyDescent="0.25">
      <c r="G7" s="33"/>
    </row>
    <row r="8" spans="2:42" x14ac:dyDescent="0.25">
      <c r="C8" s="44" t="s">
        <v>42</v>
      </c>
      <c r="D8" s="44" t="s">
        <v>43</v>
      </c>
      <c r="E8" s="44" t="s">
        <v>54</v>
      </c>
      <c r="F8" s="44" t="s">
        <v>3</v>
      </c>
      <c r="G8" s="33"/>
      <c r="I8" s="33"/>
      <c r="J8" s="44" t="s">
        <v>42</v>
      </c>
      <c r="K8" s="44" t="s">
        <v>43</v>
      </c>
      <c r="L8" s="44" t="s">
        <v>54</v>
      </c>
      <c r="M8" s="44" t="s">
        <v>3</v>
      </c>
      <c r="Q8" s="44" t="s">
        <v>42</v>
      </c>
      <c r="R8" s="44" t="s">
        <v>43</v>
      </c>
      <c r="S8" s="44" t="s">
        <v>54</v>
      </c>
      <c r="T8" s="44" t="s">
        <v>3</v>
      </c>
      <c r="W8" s="33"/>
      <c r="X8" s="44" t="s">
        <v>42</v>
      </c>
      <c r="Y8" s="44" t="s">
        <v>43</v>
      </c>
      <c r="Z8" s="44" t="s">
        <v>54</v>
      </c>
      <c r="AA8" s="44" t="s">
        <v>3</v>
      </c>
      <c r="AD8" s="33"/>
      <c r="AE8" s="44" t="s">
        <v>42</v>
      </c>
      <c r="AF8" s="44" t="s">
        <v>43</v>
      </c>
      <c r="AG8" s="44" t="s">
        <v>54</v>
      </c>
      <c r="AH8" s="44" t="s">
        <v>3</v>
      </c>
      <c r="AK8" s="33"/>
      <c r="AL8" s="44" t="s">
        <v>42</v>
      </c>
      <c r="AM8" s="44" t="s">
        <v>43</v>
      </c>
      <c r="AN8" s="44" t="s">
        <v>54</v>
      </c>
      <c r="AO8" s="44" t="s">
        <v>3</v>
      </c>
    </row>
    <row r="9" spans="2:42" x14ac:dyDescent="0.25">
      <c r="B9" s="48" t="s">
        <v>75</v>
      </c>
      <c r="C9" s="42">
        <v>43</v>
      </c>
      <c r="D9" s="42">
        <v>58</v>
      </c>
      <c r="E9" s="42">
        <f>C9+D9</f>
        <v>101</v>
      </c>
      <c r="F9" s="43">
        <f>E9/30</f>
        <v>3.3666666666666667</v>
      </c>
      <c r="G9" s="44" t="s">
        <v>41</v>
      </c>
      <c r="I9" s="48" t="s">
        <v>75</v>
      </c>
      <c r="J9" s="42">
        <v>82</v>
      </c>
      <c r="K9" s="42">
        <v>47</v>
      </c>
      <c r="L9" s="42">
        <f>J9+K9</f>
        <v>129</v>
      </c>
      <c r="M9" s="43">
        <f>L9/30</f>
        <v>4.3</v>
      </c>
      <c r="N9" s="44" t="s">
        <v>41</v>
      </c>
      <c r="P9" s="48" t="s">
        <v>75</v>
      </c>
      <c r="Q9" s="42">
        <v>69</v>
      </c>
      <c r="R9" s="42">
        <v>59</v>
      </c>
      <c r="S9" s="42">
        <f>Q9+R9</f>
        <v>128</v>
      </c>
      <c r="T9" s="43">
        <f>S9/30</f>
        <v>4.2666666666666666</v>
      </c>
      <c r="U9" s="44" t="s">
        <v>41</v>
      </c>
      <c r="W9" s="48" t="s">
        <v>75</v>
      </c>
      <c r="X9" s="42"/>
      <c r="Y9" s="42"/>
      <c r="Z9" s="42">
        <f>X9+Y9</f>
        <v>0</v>
      </c>
      <c r="AA9" s="43">
        <f>Z9/30</f>
        <v>0</v>
      </c>
      <c r="AB9" s="44" t="s">
        <v>41</v>
      </c>
      <c r="AD9" s="48" t="s">
        <v>75</v>
      </c>
      <c r="AE9" s="42"/>
      <c r="AF9" s="42"/>
      <c r="AG9" s="42">
        <f>AE9+AF9</f>
        <v>0</v>
      </c>
      <c r="AH9" s="43">
        <f>AG9/30</f>
        <v>0</v>
      </c>
      <c r="AI9" s="44" t="s">
        <v>41</v>
      </c>
      <c r="AK9" s="48" t="s">
        <v>75</v>
      </c>
      <c r="AL9" s="42"/>
      <c r="AM9" s="42"/>
      <c r="AN9" s="42">
        <f>AL9+AM9</f>
        <v>0</v>
      </c>
      <c r="AO9" s="43">
        <f>AN9/30</f>
        <v>0</v>
      </c>
      <c r="AP9" s="44" t="s">
        <v>41</v>
      </c>
    </row>
    <row r="10" spans="2:42" x14ac:dyDescent="0.25">
      <c r="C10" s="33"/>
      <c r="D10" s="45" t="s">
        <v>73</v>
      </c>
      <c r="E10" s="40">
        <v>139</v>
      </c>
      <c r="F10" s="41">
        <f>E10/40</f>
        <v>3.4750000000000001</v>
      </c>
      <c r="G10" s="40">
        <v>1.91</v>
      </c>
      <c r="I10" s="33"/>
      <c r="J10" s="33"/>
      <c r="K10" s="45" t="s">
        <v>73</v>
      </c>
      <c r="L10" s="40">
        <v>171</v>
      </c>
      <c r="M10" s="41">
        <f>L10/40</f>
        <v>4.2750000000000004</v>
      </c>
      <c r="N10" s="40">
        <v>1.87</v>
      </c>
      <c r="Q10" s="33"/>
      <c r="R10" s="45" t="s">
        <v>73</v>
      </c>
      <c r="S10" s="40">
        <v>168</v>
      </c>
      <c r="T10" s="41">
        <f>S10/40</f>
        <v>4.2</v>
      </c>
      <c r="U10" s="40">
        <v>1.83</v>
      </c>
      <c r="W10" s="33"/>
      <c r="X10" s="33"/>
      <c r="Y10" s="45" t="s">
        <v>73</v>
      </c>
      <c r="Z10" s="40"/>
      <c r="AA10" s="41">
        <f>Z10/40</f>
        <v>0</v>
      </c>
      <c r="AB10" s="40"/>
      <c r="AD10" s="33"/>
      <c r="AE10" s="33"/>
      <c r="AF10" s="45" t="s">
        <v>73</v>
      </c>
      <c r="AG10" s="40"/>
      <c r="AH10" s="41">
        <f>AG10/40</f>
        <v>0</v>
      </c>
      <c r="AI10" s="40"/>
      <c r="AK10" s="33"/>
      <c r="AL10" s="33"/>
      <c r="AM10" s="45" t="s">
        <v>73</v>
      </c>
      <c r="AN10" s="40"/>
      <c r="AO10" s="41">
        <f>AN10/40</f>
        <v>0</v>
      </c>
      <c r="AP10" s="40"/>
    </row>
    <row r="11" spans="2:42" x14ac:dyDescent="0.25">
      <c r="C11" s="33"/>
      <c r="D11" s="33"/>
      <c r="E11" s="46" t="s">
        <v>74</v>
      </c>
      <c r="F11" s="47">
        <f>F9-F10</f>
        <v>-0.10833333333333339</v>
      </c>
      <c r="G11" s="33"/>
      <c r="I11" s="33"/>
      <c r="J11" s="33"/>
      <c r="K11" s="33"/>
      <c r="L11" s="46" t="s">
        <v>74</v>
      </c>
      <c r="M11" s="47">
        <f>M9-M10</f>
        <v>2.4999999999999467E-2</v>
      </c>
      <c r="N11" s="33"/>
      <c r="Q11" s="33"/>
      <c r="R11" s="33"/>
      <c r="S11" s="46" t="s">
        <v>74</v>
      </c>
      <c r="T11" s="47">
        <f>T9-T10</f>
        <v>6.666666666666643E-2</v>
      </c>
      <c r="U11" s="33"/>
      <c r="W11" s="33"/>
      <c r="X11" s="33"/>
      <c r="Y11" s="33"/>
      <c r="Z11" s="46" t="s">
        <v>74</v>
      </c>
      <c r="AA11" s="47">
        <f>AA9-AA10</f>
        <v>0</v>
      </c>
      <c r="AB11" s="33"/>
      <c r="AD11" s="33"/>
      <c r="AE11" s="33"/>
      <c r="AF11" s="33"/>
      <c r="AG11" s="46" t="s">
        <v>74</v>
      </c>
      <c r="AH11" s="47">
        <f>AH9-AH10</f>
        <v>0</v>
      </c>
      <c r="AI11" s="33"/>
      <c r="AK11" s="33"/>
      <c r="AL11" s="33"/>
      <c r="AM11" s="33"/>
      <c r="AN11" s="46" t="s">
        <v>74</v>
      </c>
      <c r="AO11" s="47">
        <f>AO9-AO10</f>
        <v>0</v>
      </c>
      <c r="AP11" s="33"/>
    </row>
    <row r="12" spans="2:42" x14ac:dyDescent="0.25">
      <c r="C12" s="33"/>
      <c r="D12" s="33"/>
      <c r="E12" s="33"/>
      <c r="F12" s="33"/>
      <c r="G12" s="33"/>
    </row>
    <row r="13" spans="2:42" x14ac:dyDescent="0.25">
      <c r="C13" s="33"/>
      <c r="D13" s="33"/>
      <c r="E13" s="33"/>
      <c r="F13" s="33"/>
      <c r="G13" s="33"/>
      <c r="L13" s="33"/>
      <c r="M13" s="33"/>
      <c r="N13" s="33"/>
      <c r="O13" s="33"/>
    </row>
    <row r="14" spans="2:42" x14ac:dyDescent="0.25">
      <c r="C14" s="44" t="s">
        <v>42</v>
      </c>
      <c r="D14" s="44" t="s">
        <v>43</v>
      </c>
      <c r="E14" s="44" t="s">
        <v>54</v>
      </c>
      <c r="F14" s="44" t="s">
        <v>3</v>
      </c>
      <c r="I14" s="33"/>
      <c r="J14" s="44" t="s">
        <v>42</v>
      </c>
      <c r="K14" s="44" t="s">
        <v>43</v>
      </c>
      <c r="L14" s="44" t="s">
        <v>54</v>
      </c>
      <c r="M14" s="44" t="s">
        <v>3</v>
      </c>
      <c r="O14" s="33"/>
      <c r="Q14" s="44" t="s">
        <v>42</v>
      </c>
      <c r="R14" s="44" t="s">
        <v>43</v>
      </c>
      <c r="S14" s="44" t="s">
        <v>54</v>
      </c>
      <c r="T14" s="44" t="s">
        <v>3</v>
      </c>
      <c r="W14" s="33"/>
      <c r="X14" s="44" t="s">
        <v>42</v>
      </c>
      <c r="Y14" s="44" t="s">
        <v>43</v>
      </c>
      <c r="Z14" s="44" t="s">
        <v>54</v>
      </c>
      <c r="AA14" s="44" t="s">
        <v>3</v>
      </c>
      <c r="AD14" s="33"/>
      <c r="AE14" s="44" t="s">
        <v>42</v>
      </c>
      <c r="AF14" s="44" t="s">
        <v>43</v>
      </c>
      <c r="AG14" s="44" t="s">
        <v>54</v>
      </c>
      <c r="AH14" s="44" t="s">
        <v>3</v>
      </c>
      <c r="AK14" s="33"/>
      <c r="AL14" s="44" t="s">
        <v>42</v>
      </c>
      <c r="AM14" s="44" t="s">
        <v>43</v>
      </c>
      <c r="AN14" s="44" t="s">
        <v>54</v>
      </c>
      <c r="AO14" s="44" t="s">
        <v>3</v>
      </c>
    </row>
    <row r="15" spans="2:42" x14ac:dyDescent="0.25">
      <c r="B15" s="48" t="s">
        <v>75</v>
      </c>
      <c r="C15" s="42">
        <v>71</v>
      </c>
      <c r="D15" s="42">
        <v>66</v>
      </c>
      <c r="E15" s="42">
        <f>C15+D15</f>
        <v>137</v>
      </c>
      <c r="F15" s="43">
        <f>E15/30</f>
        <v>4.5666666666666664</v>
      </c>
      <c r="G15" s="44" t="s">
        <v>41</v>
      </c>
      <c r="I15" s="48" t="s">
        <v>75</v>
      </c>
      <c r="J15" s="42">
        <v>76</v>
      </c>
      <c r="K15" s="42">
        <v>49</v>
      </c>
      <c r="L15" s="42">
        <f>J15+K15</f>
        <v>125</v>
      </c>
      <c r="M15" s="43">
        <f>L15/30</f>
        <v>4.166666666666667</v>
      </c>
      <c r="N15" s="44" t="s">
        <v>41</v>
      </c>
      <c r="O15" s="33"/>
      <c r="P15" s="48" t="s">
        <v>75</v>
      </c>
      <c r="Q15" s="42">
        <v>60</v>
      </c>
      <c r="R15" s="42">
        <v>61</v>
      </c>
      <c r="S15" s="42">
        <f>Q15+R15</f>
        <v>121</v>
      </c>
      <c r="T15" s="43">
        <f>S15/30</f>
        <v>4.0333333333333332</v>
      </c>
      <c r="U15" s="44" t="s">
        <v>41</v>
      </c>
      <c r="W15" s="48" t="s">
        <v>75</v>
      </c>
      <c r="X15" s="42"/>
      <c r="Y15" s="42"/>
      <c r="Z15" s="42">
        <f>X15+Y15</f>
        <v>0</v>
      </c>
      <c r="AA15" s="43">
        <f>Z15/30</f>
        <v>0</v>
      </c>
      <c r="AB15" s="44" t="s">
        <v>41</v>
      </c>
      <c r="AD15" s="48" t="s">
        <v>75</v>
      </c>
      <c r="AE15" s="42"/>
      <c r="AF15" s="42"/>
      <c r="AG15" s="42">
        <f>AE15+AF15</f>
        <v>0</v>
      </c>
      <c r="AH15" s="43">
        <f>AG15/30</f>
        <v>0</v>
      </c>
      <c r="AI15" s="44" t="s">
        <v>41</v>
      </c>
      <c r="AK15" s="48" t="s">
        <v>75</v>
      </c>
      <c r="AL15" s="42"/>
      <c r="AM15" s="42"/>
      <c r="AN15" s="42">
        <f>AL15+AM15</f>
        <v>0</v>
      </c>
      <c r="AO15" s="43">
        <f>AN15/30</f>
        <v>0</v>
      </c>
      <c r="AP15" s="44" t="s">
        <v>41</v>
      </c>
    </row>
    <row r="16" spans="2:42" x14ac:dyDescent="0.25">
      <c r="C16" s="33"/>
      <c r="D16" s="45" t="s">
        <v>73</v>
      </c>
      <c r="E16" s="40">
        <v>181</v>
      </c>
      <c r="F16" s="41">
        <f>E16/40</f>
        <v>4.5250000000000004</v>
      </c>
      <c r="G16" s="40">
        <v>1.83</v>
      </c>
      <c r="I16" s="33"/>
      <c r="J16" s="33"/>
      <c r="K16" s="45" t="s">
        <v>73</v>
      </c>
      <c r="L16" s="40">
        <v>165</v>
      </c>
      <c r="M16" s="41">
        <f>L16/40</f>
        <v>4.125</v>
      </c>
      <c r="N16" s="40">
        <v>1.8</v>
      </c>
      <c r="Q16" s="33"/>
      <c r="R16" s="45" t="s">
        <v>73</v>
      </c>
      <c r="S16" s="40">
        <v>162</v>
      </c>
      <c r="T16" s="41">
        <f>S16/40</f>
        <v>4.05</v>
      </c>
      <c r="U16" s="40">
        <v>1.84</v>
      </c>
      <c r="W16" s="33"/>
      <c r="X16" s="33"/>
      <c r="Y16" s="45" t="s">
        <v>73</v>
      </c>
      <c r="Z16" s="40"/>
      <c r="AA16" s="41">
        <f>Z16/40</f>
        <v>0</v>
      </c>
      <c r="AB16" s="40"/>
      <c r="AD16" s="33"/>
      <c r="AE16" s="33"/>
      <c r="AF16" s="45" t="s">
        <v>73</v>
      </c>
      <c r="AG16" s="40"/>
      <c r="AH16" s="41">
        <f>AG16/40</f>
        <v>0</v>
      </c>
      <c r="AI16" s="40"/>
      <c r="AK16" s="33"/>
      <c r="AL16" s="33"/>
      <c r="AM16" s="45" t="s">
        <v>73</v>
      </c>
      <c r="AN16" s="40"/>
      <c r="AO16" s="41">
        <f>AN16/40</f>
        <v>0</v>
      </c>
      <c r="AP16" s="40"/>
    </row>
    <row r="17" spans="2:42" x14ac:dyDescent="0.25">
      <c r="C17" s="33"/>
      <c r="D17" s="33"/>
      <c r="E17" s="46" t="s">
        <v>74</v>
      </c>
      <c r="F17" s="47">
        <f>F15-F16</f>
        <v>4.1666666666666075E-2</v>
      </c>
      <c r="G17" s="33"/>
      <c r="I17" s="33"/>
      <c r="J17" s="33"/>
      <c r="K17" s="33"/>
      <c r="L17" s="46" t="s">
        <v>74</v>
      </c>
      <c r="M17" s="47">
        <f>M15-M16</f>
        <v>4.1666666666666963E-2</v>
      </c>
      <c r="N17" s="33"/>
      <c r="Q17" s="33"/>
      <c r="R17" s="33"/>
      <c r="S17" s="46" t="s">
        <v>74</v>
      </c>
      <c r="T17" s="47">
        <f>T15-T16</f>
        <v>-1.6666666666666607E-2</v>
      </c>
      <c r="U17" s="33"/>
      <c r="W17" s="33"/>
      <c r="X17" s="33"/>
      <c r="Y17" s="33"/>
      <c r="Z17" s="46" t="s">
        <v>74</v>
      </c>
      <c r="AA17" s="47">
        <f>AA15-AA16</f>
        <v>0</v>
      </c>
      <c r="AB17" s="33"/>
      <c r="AD17" s="33"/>
      <c r="AE17" s="33"/>
      <c r="AF17" s="33"/>
      <c r="AG17" s="46" t="s">
        <v>74</v>
      </c>
      <c r="AH17" s="47">
        <f>AH15-AH16</f>
        <v>0</v>
      </c>
      <c r="AI17" s="33"/>
      <c r="AK17" s="33"/>
      <c r="AL17" s="33"/>
      <c r="AM17" s="33"/>
      <c r="AN17" s="46" t="s">
        <v>74</v>
      </c>
      <c r="AO17" s="47">
        <f>AO15-AO16</f>
        <v>0</v>
      </c>
      <c r="AP17" s="33"/>
    </row>
    <row r="20" spans="2:42" x14ac:dyDescent="0.25">
      <c r="C20" s="44" t="s">
        <v>42</v>
      </c>
      <c r="D20" s="44" t="s">
        <v>43</v>
      </c>
      <c r="E20" s="44" t="s">
        <v>54</v>
      </c>
      <c r="F20" s="44" t="s">
        <v>3</v>
      </c>
      <c r="I20" s="33"/>
      <c r="J20" s="44" t="s">
        <v>42</v>
      </c>
      <c r="K20" s="44" t="s">
        <v>43</v>
      </c>
      <c r="L20" s="44" t="s">
        <v>54</v>
      </c>
      <c r="M20" s="44" t="s">
        <v>3</v>
      </c>
      <c r="Q20" s="44" t="s">
        <v>42</v>
      </c>
      <c r="R20" s="44" t="s">
        <v>43</v>
      </c>
      <c r="S20" s="44" t="s">
        <v>54</v>
      </c>
      <c r="T20" s="44" t="s">
        <v>3</v>
      </c>
      <c r="W20" s="33"/>
      <c r="X20" s="44" t="s">
        <v>42</v>
      </c>
      <c r="Y20" s="44" t="s">
        <v>43</v>
      </c>
      <c r="Z20" s="44" t="s">
        <v>54</v>
      </c>
      <c r="AA20" s="44" t="s">
        <v>3</v>
      </c>
      <c r="AD20" s="33"/>
      <c r="AE20" s="44" t="s">
        <v>42</v>
      </c>
      <c r="AF20" s="44" t="s">
        <v>43</v>
      </c>
      <c r="AG20" s="44" t="s">
        <v>54</v>
      </c>
      <c r="AH20" s="44" t="s">
        <v>3</v>
      </c>
      <c r="AK20" s="33"/>
      <c r="AL20" s="44" t="s">
        <v>42</v>
      </c>
      <c r="AM20" s="44" t="s">
        <v>43</v>
      </c>
      <c r="AN20" s="44" t="s">
        <v>54</v>
      </c>
      <c r="AO20" s="44" t="s">
        <v>3</v>
      </c>
    </row>
    <row r="21" spans="2:42" x14ac:dyDescent="0.25">
      <c r="B21" s="48" t="s">
        <v>75</v>
      </c>
      <c r="C21" s="42">
        <v>58</v>
      </c>
      <c r="D21" s="42">
        <v>60</v>
      </c>
      <c r="E21" s="42">
        <f>C21+D21</f>
        <v>118</v>
      </c>
      <c r="F21" s="43">
        <f>E21/30</f>
        <v>3.9333333333333331</v>
      </c>
      <c r="G21" s="44" t="s">
        <v>41</v>
      </c>
      <c r="I21" s="48" t="s">
        <v>75</v>
      </c>
      <c r="J21" s="42">
        <v>61</v>
      </c>
      <c r="K21" s="42">
        <v>46</v>
      </c>
      <c r="L21" s="42">
        <f>J21+K21</f>
        <v>107</v>
      </c>
      <c r="M21" s="43">
        <f>L21/30</f>
        <v>3.5666666666666669</v>
      </c>
      <c r="N21" s="44" t="s">
        <v>41</v>
      </c>
      <c r="P21" s="48" t="s">
        <v>75</v>
      </c>
      <c r="Q21" s="42">
        <v>50</v>
      </c>
      <c r="R21" s="42">
        <v>59</v>
      </c>
      <c r="S21" s="42">
        <f>Q21+R21</f>
        <v>109</v>
      </c>
      <c r="T21" s="43">
        <f>S21/30</f>
        <v>3.6333333333333333</v>
      </c>
      <c r="U21" s="44" t="s">
        <v>41</v>
      </c>
      <c r="W21" s="48" t="s">
        <v>75</v>
      </c>
      <c r="X21" s="42"/>
      <c r="Y21" s="42"/>
      <c r="Z21" s="42">
        <f>X21+Y21</f>
        <v>0</v>
      </c>
      <c r="AA21" s="43">
        <f>Z21/30</f>
        <v>0</v>
      </c>
      <c r="AB21" s="44" t="s">
        <v>41</v>
      </c>
      <c r="AD21" s="48" t="s">
        <v>75</v>
      </c>
      <c r="AE21" s="42"/>
      <c r="AF21" s="42"/>
      <c r="AG21" s="42">
        <f>AE21+AF21</f>
        <v>0</v>
      </c>
      <c r="AH21" s="43">
        <f>AG21/30</f>
        <v>0</v>
      </c>
      <c r="AI21" s="44" t="s">
        <v>41</v>
      </c>
      <c r="AK21" s="48" t="s">
        <v>75</v>
      </c>
      <c r="AL21" s="42"/>
      <c r="AM21" s="42"/>
      <c r="AN21" s="42">
        <f>AL21+AM21</f>
        <v>0</v>
      </c>
      <c r="AO21" s="43">
        <f>AN21/30</f>
        <v>0</v>
      </c>
      <c r="AP21" s="44" t="s">
        <v>41</v>
      </c>
    </row>
    <row r="22" spans="2:42" x14ac:dyDescent="0.25">
      <c r="C22" s="33"/>
      <c r="D22" s="45" t="s">
        <v>73</v>
      </c>
      <c r="E22" s="40">
        <v>162</v>
      </c>
      <c r="F22" s="41">
        <f>E22/40</f>
        <v>4.05</v>
      </c>
      <c r="G22" s="40">
        <v>1.83</v>
      </c>
      <c r="I22" s="33"/>
      <c r="J22" s="33"/>
      <c r="K22" s="45" t="s">
        <v>73</v>
      </c>
      <c r="L22" s="40">
        <v>148</v>
      </c>
      <c r="M22" s="41">
        <f>L22/40</f>
        <v>3.7</v>
      </c>
      <c r="N22" s="40">
        <v>1.92</v>
      </c>
      <c r="Q22" s="33"/>
      <c r="R22" s="45" t="s">
        <v>73</v>
      </c>
      <c r="S22" s="40">
        <v>149</v>
      </c>
      <c r="T22" s="41">
        <f>S22/40</f>
        <v>3.7250000000000001</v>
      </c>
      <c r="U22" s="40">
        <v>1.79</v>
      </c>
      <c r="W22" s="33"/>
      <c r="X22" s="33"/>
      <c r="Y22" s="45" t="s">
        <v>73</v>
      </c>
      <c r="Z22" s="40"/>
      <c r="AA22" s="41">
        <f>Z22/40</f>
        <v>0</v>
      </c>
      <c r="AB22" s="40"/>
      <c r="AD22" s="33"/>
      <c r="AE22" s="33"/>
      <c r="AF22" s="45" t="s">
        <v>73</v>
      </c>
      <c r="AG22" s="40"/>
      <c r="AH22" s="41">
        <f>AG22/40</f>
        <v>0</v>
      </c>
      <c r="AI22" s="40"/>
      <c r="AK22" s="33"/>
      <c r="AL22" s="33"/>
      <c r="AM22" s="45" t="s">
        <v>73</v>
      </c>
      <c r="AN22" s="40"/>
      <c r="AO22" s="41">
        <f>AN22/40</f>
        <v>0</v>
      </c>
      <c r="AP22" s="40"/>
    </row>
    <row r="23" spans="2:42" x14ac:dyDescent="0.25">
      <c r="C23" s="33"/>
      <c r="D23" s="33"/>
      <c r="E23" s="46" t="s">
        <v>74</v>
      </c>
      <c r="F23" s="47">
        <f>F21-F22</f>
        <v>-0.1166666666666667</v>
      </c>
      <c r="G23" s="33"/>
      <c r="I23" s="33"/>
      <c r="J23" s="33"/>
      <c r="K23" s="33"/>
      <c r="L23" s="46" t="s">
        <v>74</v>
      </c>
      <c r="M23" s="47">
        <f>M21-M22</f>
        <v>-0.1333333333333333</v>
      </c>
      <c r="N23" s="33"/>
      <c r="Q23" s="33"/>
      <c r="R23" s="33"/>
      <c r="S23" s="46" t="s">
        <v>74</v>
      </c>
      <c r="T23" s="47">
        <f>T21-T22</f>
        <v>-9.1666666666666785E-2</v>
      </c>
      <c r="U23" s="33"/>
      <c r="W23" s="33"/>
      <c r="X23" s="33"/>
      <c r="Y23" s="33"/>
      <c r="Z23" s="46" t="s">
        <v>74</v>
      </c>
      <c r="AA23" s="47">
        <f>AA21-AA22</f>
        <v>0</v>
      </c>
      <c r="AB23" s="33"/>
      <c r="AD23" s="33"/>
      <c r="AE23" s="33"/>
      <c r="AF23" s="33"/>
      <c r="AG23" s="46" t="s">
        <v>74</v>
      </c>
      <c r="AH23" s="47">
        <f>AH21-AH22</f>
        <v>0</v>
      </c>
      <c r="AI23" s="33"/>
      <c r="AK23" s="33"/>
      <c r="AL23" s="33"/>
      <c r="AM23" s="33"/>
      <c r="AN23" s="46" t="s">
        <v>74</v>
      </c>
      <c r="AO23" s="47">
        <f>AO21-AO22</f>
        <v>0</v>
      </c>
      <c r="AP2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26A0-A80F-4886-A247-53118CB27926}">
  <dimension ref="A1:T46"/>
  <sheetViews>
    <sheetView workbookViewId="0">
      <selection activeCell="Q34" sqref="Q34"/>
    </sheetView>
  </sheetViews>
  <sheetFormatPr baseColWidth="10" defaultRowHeight="15" x14ac:dyDescent="0.25"/>
  <cols>
    <col min="1" max="1" width="32.85546875" bestFit="1" customWidth="1"/>
    <col min="2" max="2" width="21.7109375" bestFit="1" customWidth="1"/>
    <col min="3" max="3" width="19" bestFit="1" customWidth="1"/>
    <col min="4" max="4" width="25.42578125" bestFit="1" customWidth="1"/>
    <col min="5" max="5" width="33.7109375" bestFit="1" customWidth="1"/>
    <col min="6" max="6" width="15.85546875" bestFit="1" customWidth="1"/>
    <col min="7" max="7" width="12.85546875" bestFit="1" customWidth="1"/>
    <col min="8" max="8" width="13.5703125" bestFit="1" customWidth="1"/>
    <col min="18" max="18" width="11.28515625" bestFit="1" customWidth="1"/>
    <col min="19" max="19" width="13.5703125" bestFit="1" customWidth="1"/>
    <col min="20" max="20" width="11.28515625" bestFit="1" customWidth="1"/>
  </cols>
  <sheetData>
    <row r="1" spans="1:9" x14ac:dyDescent="0.25">
      <c r="A1" t="s">
        <v>44</v>
      </c>
    </row>
    <row r="2" spans="1:9" ht="15.75" thickBot="1" x14ac:dyDescent="0.3"/>
    <row r="3" spans="1:9" x14ac:dyDescent="0.25">
      <c r="A3" s="36" t="s">
        <v>45</v>
      </c>
      <c r="B3" s="36"/>
    </row>
    <row r="4" spans="1:9" x14ac:dyDescent="0.25">
      <c r="A4" t="s">
        <v>46</v>
      </c>
      <c r="B4">
        <v>0.85013634346647049</v>
      </c>
    </row>
    <row r="5" spans="1:9" x14ac:dyDescent="0.25">
      <c r="A5" t="s">
        <v>47</v>
      </c>
      <c r="B5">
        <v>0.72273180248254076</v>
      </c>
    </row>
    <row r="6" spans="1:9" x14ac:dyDescent="0.25">
      <c r="A6" t="s">
        <v>48</v>
      </c>
      <c r="B6">
        <v>0.69011201453931026</v>
      </c>
    </row>
    <row r="7" spans="1:9" x14ac:dyDescent="0.25">
      <c r="A7" t="s">
        <v>49</v>
      </c>
      <c r="B7">
        <v>0.11580012359916816</v>
      </c>
    </row>
    <row r="8" spans="1:9" ht="15.75" thickBot="1" x14ac:dyDescent="0.3">
      <c r="A8" s="34" t="s">
        <v>50</v>
      </c>
      <c r="B8" s="34">
        <v>20</v>
      </c>
    </row>
    <row r="10" spans="1:9" ht="15.75" thickBot="1" x14ac:dyDescent="0.3">
      <c r="A10" t="s">
        <v>51</v>
      </c>
    </row>
    <row r="11" spans="1:9" x14ac:dyDescent="0.25">
      <c r="A11" s="35"/>
      <c r="B11" s="35" t="s">
        <v>56</v>
      </c>
      <c r="C11" s="35" t="s">
        <v>57</v>
      </c>
      <c r="D11" s="35" t="s">
        <v>58</v>
      </c>
      <c r="E11" s="35" t="s">
        <v>59</v>
      </c>
      <c r="F11" s="35" t="s">
        <v>60</v>
      </c>
    </row>
    <row r="12" spans="1:9" x14ac:dyDescent="0.25">
      <c r="A12" t="s">
        <v>52</v>
      </c>
      <c r="B12">
        <v>2</v>
      </c>
      <c r="C12">
        <v>0.59421563336509542</v>
      </c>
      <c r="D12">
        <v>0.29710781668254771</v>
      </c>
      <c r="E12">
        <v>22.156238530438628</v>
      </c>
      <c r="F12">
        <v>1.839291241035179E-5</v>
      </c>
    </row>
    <row r="13" spans="1:9" x14ac:dyDescent="0.25">
      <c r="A13" t="s">
        <v>53</v>
      </c>
      <c r="B13">
        <v>17</v>
      </c>
      <c r="C13">
        <v>0.2279643666349046</v>
      </c>
      <c r="D13">
        <v>1.3409668625582623E-2</v>
      </c>
    </row>
    <row r="14" spans="1:9" ht="15.75" thickBot="1" x14ac:dyDescent="0.3">
      <c r="A14" s="34" t="s">
        <v>54</v>
      </c>
      <c r="B14" s="34">
        <v>19</v>
      </c>
      <c r="C14" s="34">
        <v>0.82218000000000002</v>
      </c>
      <c r="D14" s="34"/>
      <c r="E14" s="34"/>
      <c r="F14" s="34"/>
    </row>
    <row r="15" spans="1:9" ht="15.75" thickBot="1" x14ac:dyDescent="0.3"/>
    <row r="16" spans="1:9" x14ac:dyDescent="0.25">
      <c r="A16" s="35"/>
      <c r="B16" s="35" t="s">
        <v>61</v>
      </c>
      <c r="C16" s="35" t="s">
        <v>49</v>
      </c>
      <c r="D16" s="35" t="s">
        <v>62</v>
      </c>
      <c r="E16" s="35" t="s">
        <v>63</v>
      </c>
      <c r="F16" s="35" t="s">
        <v>64</v>
      </c>
      <c r="G16" s="35" t="s">
        <v>65</v>
      </c>
      <c r="H16" s="35" t="s">
        <v>66</v>
      </c>
      <c r="I16" s="35" t="s">
        <v>67</v>
      </c>
    </row>
    <row r="17" spans="1:20" x14ac:dyDescent="0.25">
      <c r="A17" t="s">
        <v>55</v>
      </c>
      <c r="B17">
        <v>0.68954315681764866</v>
      </c>
      <c r="C17">
        <v>0.30774810141039438</v>
      </c>
      <c r="D17">
        <v>2.2406089709652353</v>
      </c>
      <c r="E17">
        <v>3.8696151448214214E-2</v>
      </c>
      <c r="F17">
        <v>4.0251418413371209E-2</v>
      </c>
      <c r="G17">
        <v>1.3388348952219262</v>
      </c>
      <c r="H17">
        <v>4.0251418413371209E-2</v>
      </c>
      <c r="I17">
        <v>1.3388348952219262</v>
      </c>
    </row>
    <row r="18" spans="1:20" x14ac:dyDescent="0.25">
      <c r="A18" t="s">
        <v>81</v>
      </c>
      <c r="B18">
        <v>0.65678590992534447</v>
      </c>
      <c r="C18">
        <v>0.15082352262007837</v>
      </c>
      <c r="D18">
        <v>4.3546649654893415</v>
      </c>
      <c r="E18">
        <v>4.311826660716038E-4</v>
      </c>
      <c r="F18">
        <v>0.3385760923978075</v>
      </c>
      <c r="G18">
        <v>0.97499572745288143</v>
      </c>
      <c r="H18">
        <v>0.3385760923978075</v>
      </c>
      <c r="I18">
        <v>0.97499572745288143</v>
      </c>
    </row>
    <row r="19" spans="1:20" ht="15.75" thickBot="1" x14ac:dyDescent="0.3">
      <c r="A19" s="34" t="s">
        <v>82</v>
      </c>
      <c r="B19" s="34">
        <v>1.6078005285034174E-3</v>
      </c>
      <c r="C19" s="34">
        <v>2.688926802106827E-3</v>
      </c>
      <c r="D19" s="34">
        <v>0.59793391446865496</v>
      </c>
      <c r="E19" s="34">
        <v>0.55776641864240317</v>
      </c>
      <c r="F19" s="34">
        <v>-4.0653391262350912E-3</v>
      </c>
      <c r="G19" s="34">
        <v>7.2809401832419265E-3</v>
      </c>
      <c r="H19" s="34">
        <v>-4.0653391262350912E-3</v>
      </c>
      <c r="I19" s="34">
        <v>7.2809401832419265E-3</v>
      </c>
    </row>
    <row r="23" spans="1:20" x14ac:dyDescent="0.25">
      <c r="A23" t="s">
        <v>68</v>
      </c>
      <c r="E23" t="s">
        <v>77</v>
      </c>
    </row>
    <row r="24" spans="1:20" ht="15.75" thickBot="1" x14ac:dyDescent="0.3"/>
    <row r="25" spans="1:20" x14ac:dyDescent="0.25">
      <c r="A25" s="35" t="s">
        <v>69</v>
      </c>
      <c r="B25" s="35" t="s">
        <v>83</v>
      </c>
      <c r="C25" s="35" t="s">
        <v>53</v>
      </c>
      <c r="E25" s="35" t="s">
        <v>78</v>
      </c>
      <c r="F25" s="35" t="s">
        <v>80</v>
      </c>
    </row>
    <row r="26" spans="1:20" x14ac:dyDescent="0.25">
      <c r="A26">
        <v>1</v>
      </c>
      <c r="B26">
        <v>1.6532040521716147</v>
      </c>
      <c r="C26">
        <v>-0.13320405217161468</v>
      </c>
      <c r="E26">
        <v>2.5</v>
      </c>
      <c r="F26">
        <v>1.52</v>
      </c>
      <c r="R26" s="52" t="s">
        <v>81</v>
      </c>
      <c r="S26" s="52" t="s">
        <v>82</v>
      </c>
      <c r="T26" s="52" t="s">
        <v>80</v>
      </c>
    </row>
    <row r="27" spans="1:20" x14ac:dyDescent="0.25">
      <c r="A27">
        <v>2</v>
      </c>
      <c r="B27">
        <v>1.8866033314272002</v>
      </c>
      <c r="C27">
        <v>-0.20660333142720022</v>
      </c>
      <c r="E27">
        <v>7.5</v>
      </c>
      <c r="F27">
        <v>1.68</v>
      </c>
      <c r="R27" s="56">
        <v>1.5333330000000001</v>
      </c>
      <c r="S27" s="51">
        <v>-27</v>
      </c>
      <c r="T27" s="51">
        <v>1.52</v>
      </c>
    </row>
    <row r="28" spans="1:20" x14ac:dyDescent="0.25">
      <c r="A28">
        <v>3</v>
      </c>
      <c r="B28">
        <v>1.7349606484491833</v>
      </c>
      <c r="C28">
        <v>-4.9606484491833136E-3</v>
      </c>
      <c r="E28">
        <v>12.5</v>
      </c>
      <c r="F28">
        <v>1.73</v>
      </c>
      <c r="R28" s="56">
        <v>1.8666670000000001</v>
      </c>
      <c r="S28" s="51">
        <v>-18</v>
      </c>
      <c r="T28" s="51">
        <v>1.68</v>
      </c>
    </row>
    <row r="29" spans="1:20" x14ac:dyDescent="0.25">
      <c r="A29">
        <v>4</v>
      </c>
      <c r="B29">
        <v>1.8663178304342523</v>
      </c>
      <c r="C29">
        <v>-0.11631783043425226</v>
      </c>
      <c r="E29">
        <v>17.5</v>
      </c>
      <c r="F29">
        <v>1.75</v>
      </c>
      <c r="R29" s="56">
        <v>1.6333329999999999</v>
      </c>
      <c r="S29" s="51">
        <v>-17</v>
      </c>
      <c r="T29" s="51">
        <v>1.73</v>
      </c>
    </row>
    <row r="30" spans="1:20" x14ac:dyDescent="0.25">
      <c r="A30">
        <v>5</v>
      </c>
      <c r="B30">
        <v>1.7867855973486932</v>
      </c>
      <c r="C30">
        <v>1.32144026513068E-2</v>
      </c>
      <c r="E30">
        <v>22.5</v>
      </c>
      <c r="F30">
        <v>1.8</v>
      </c>
      <c r="R30" s="56">
        <v>1.8333330000000001</v>
      </c>
      <c r="S30" s="51">
        <v>-17</v>
      </c>
      <c r="T30" s="51">
        <v>1.75</v>
      </c>
    </row>
    <row r="31" spans="1:20" x14ac:dyDescent="0.25">
      <c r="A31">
        <v>6</v>
      </c>
      <c r="B31">
        <v>1.8566710272632316</v>
      </c>
      <c r="C31">
        <v>-5.6671027263231588E-2</v>
      </c>
      <c r="E31">
        <v>27.5</v>
      </c>
      <c r="F31">
        <v>1.8</v>
      </c>
      <c r="R31" s="56">
        <v>1.7</v>
      </c>
      <c r="S31" s="51">
        <v>-12</v>
      </c>
      <c r="T31" s="51">
        <v>1.8</v>
      </c>
    </row>
    <row r="32" spans="1:20" x14ac:dyDescent="0.25">
      <c r="A32">
        <v>7</v>
      </c>
      <c r="B32">
        <v>2.0191929819533714</v>
      </c>
      <c r="C32">
        <v>-0.16919298195337129</v>
      </c>
      <c r="E32">
        <v>32.5</v>
      </c>
      <c r="F32">
        <v>1.85</v>
      </c>
      <c r="R32" s="56">
        <v>1.8333330000000001</v>
      </c>
      <c r="S32" s="51">
        <v>-23</v>
      </c>
      <c r="T32" s="51">
        <v>1.8</v>
      </c>
    </row>
    <row r="33" spans="1:20" x14ac:dyDescent="0.25">
      <c r="A33">
        <v>8</v>
      </c>
      <c r="B33">
        <v>1.7980402010482173</v>
      </c>
      <c r="C33">
        <v>0.10195979895178264</v>
      </c>
      <c r="E33">
        <v>37.5</v>
      </c>
      <c r="F33">
        <v>1.9</v>
      </c>
      <c r="R33" s="56">
        <v>2</v>
      </c>
      <c r="S33" s="51">
        <v>10</v>
      </c>
      <c r="T33" s="51">
        <v>1.85</v>
      </c>
    </row>
    <row r="34" spans="1:20" x14ac:dyDescent="0.25">
      <c r="A34">
        <v>9</v>
      </c>
      <c r="B34">
        <v>1.7729319552556686</v>
      </c>
      <c r="C34">
        <v>0.14706804474433133</v>
      </c>
      <c r="E34">
        <v>42.5</v>
      </c>
      <c r="F34">
        <v>1.92</v>
      </c>
      <c r="R34" s="56">
        <v>1.7</v>
      </c>
      <c r="S34" s="51">
        <v>-5</v>
      </c>
      <c r="T34" s="51">
        <v>1.9</v>
      </c>
    </row>
    <row r="35" spans="1:20" x14ac:dyDescent="0.25">
      <c r="A35">
        <v>10</v>
      </c>
      <c r="B35">
        <v>1.9149271782767552</v>
      </c>
      <c r="C35">
        <v>6.50728217232448E-2</v>
      </c>
      <c r="E35">
        <v>47.5</v>
      </c>
      <c r="F35">
        <v>1.98</v>
      </c>
      <c r="R35" s="56">
        <v>1.6666669999999999</v>
      </c>
      <c r="S35" s="51">
        <v>-7</v>
      </c>
      <c r="T35" s="51">
        <v>1.92</v>
      </c>
    </row>
    <row r="36" spans="1:20" x14ac:dyDescent="0.25">
      <c r="A36">
        <v>11</v>
      </c>
      <c r="B36">
        <v>1.8550632267347282</v>
      </c>
      <c r="C36">
        <v>0.14493677326527177</v>
      </c>
      <c r="E36">
        <v>52.5</v>
      </c>
      <c r="F36">
        <v>2</v>
      </c>
      <c r="R36" s="56">
        <v>1.9</v>
      </c>
      <c r="S36" s="51">
        <v>-14</v>
      </c>
      <c r="T36" s="51">
        <v>1.98</v>
      </c>
    </row>
    <row r="37" spans="1:20" x14ac:dyDescent="0.25">
      <c r="A37">
        <v>12</v>
      </c>
      <c r="B37">
        <v>2.0159773808963646</v>
      </c>
      <c r="C37">
        <v>-1.5977380896364579E-2</v>
      </c>
      <c r="E37">
        <v>57.5</v>
      </c>
      <c r="F37">
        <v>2</v>
      </c>
      <c r="R37" s="56">
        <v>1.8333330000000001</v>
      </c>
      <c r="S37" s="51">
        <v>-24</v>
      </c>
      <c r="T37" s="51">
        <v>2</v>
      </c>
    </row>
    <row r="38" spans="1:20" x14ac:dyDescent="0.25">
      <c r="A38">
        <v>13</v>
      </c>
      <c r="B38">
        <v>2.0217920203468722</v>
      </c>
      <c r="C38">
        <v>2.8207979653127602E-2</v>
      </c>
      <c r="E38">
        <v>62.5</v>
      </c>
      <c r="F38">
        <v>2.0499999999999998</v>
      </c>
      <c r="R38" s="56">
        <v>2</v>
      </c>
      <c r="S38" s="51">
        <v>8</v>
      </c>
      <c r="T38" s="51">
        <v>2</v>
      </c>
    </row>
    <row r="39" spans="1:20" x14ac:dyDescent="0.25">
      <c r="A39">
        <v>14</v>
      </c>
      <c r="B39">
        <v>2.1296487570678964</v>
      </c>
      <c r="C39">
        <v>-4.9648757067896288E-2</v>
      </c>
      <c r="E39">
        <v>67.5</v>
      </c>
      <c r="F39">
        <v>2.08</v>
      </c>
      <c r="R39" s="56">
        <v>2.0333329999999998</v>
      </c>
      <c r="S39" s="51">
        <v>-2</v>
      </c>
      <c r="T39" s="51">
        <v>2.0499999999999998</v>
      </c>
    </row>
    <row r="40" spans="1:20" x14ac:dyDescent="0.25">
      <c r="A40">
        <v>15</v>
      </c>
      <c r="B40">
        <v>2.2178365554594781</v>
      </c>
      <c r="C40">
        <v>-0.11783655545947802</v>
      </c>
      <c r="E40">
        <v>72.5</v>
      </c>
      <c r="F40">
        <v>2.1</v>
      </c>
      <c r="R40" s="56">
        <v>2.2000000000000002</v>
      </c>
      <c r="S40" s="51">
        <v>-3</v>
      </c>
      <c r="T40" s="51">
        <v>2.08</v>
      </c>
    </row>
    <row r="41" spans="1:20" x14ac:dyDescent="0.25">
      <c r="A41">
        <v>16</v>
      </c>
      <c r="B41">
        <v>2.0501165239823371</v>
      </c>
      <c r="C41">
        <v>6.9883476017662982E-2</v>
      </c>
      <c r="E41">
        <v>77.5</v>
      </c>
      <c r="F41">
        <v>2.12</v>
      </c>
      <c r="R41" s="56">
        <v>2.2999999999999998</v>
      </c>
      <c r="S41" s="51">
        <v>11</v>
      </c>
      <c r="T41" s="51">
        <v>2.1</v>
      </c>
    </row>
    <row r="42" spans="1:20" x14ac:dyDescent="0.25">
      <c r="A42">
        <v>17</v>
      </c>
      <c r="B42">
        <v>2.0687935676608724</v>
      </c>
      <c r="C42">
        <v>0.10120643233912752</v>
      </c>
      <c r="E42">
        <v>82.5</v>
      </c>
      <c r="F42">
        <v>2.17</v>
      </c>
      <c r="R42" s="56">
        <v>2.0666669999999998</v>
      </c>
      <c r="S42" s="51">
        <v>2</v>
      </c>
      <c r="T42" s="51">
        <v>2.12</v>
      </c>
    </row>
    <row r="43" spans="1:20" x14ac:dyDescent="0.25">
      <c r="A43">
        <v>18</v>
      </c>
      <c r="B43">
        <v>2.1007083475548347</v>
      </c>
      <c r="C43">
        <v>9.9291652445165468E-2</v>
      </c>
      <c r="E43">
        <v>87.5</v>
      </c>
      <c r="F43">
        <v>2.2000000000000002</v>
      </c>
      <c r="R43" s="56">
        <v>2.1</v>
      </c>
      <c r="S43" s="51">
        <v>0</v>
      </c>
      <c r="T43" s="51">
        <v>2.17</v>
      </c>
    </row>
    <row r="44" spans="1:20" x14ac:dyDescent="0.25">
      <c r="A44">
        <v>19</v>
      </c>
      <c r="B44">
        <v>2.1270497186743955</v>
      </c>
      <c r="C44">
        <v>0.1429502813256045</v>
      </c>
      <c r="E44">
        <v>92.5</v>
      </c>
      <c r="F44">
        <v>2.27</v>
      </c>
      <c r="R44" s="56">
        <v>2.2000000000000002</v>
      </c>
      <c r="S44" s="51">
        <v>-21</v>
      </c>
      <c r="T44" s="51">
        <v>2.2000000000000002</v>
      </c>
    </row>
    <row r="45" spans="1:20" ht="15.75" thickBot="1" x14ac:dyDescent="0.3">
      <c r="A45" s="34">
        <v>20</v>
      </c>
      <c r="B45" s="34">
        <v>2.3433790979940401</v>
      </c>
      <c r="C45" s="34">
        <v>-4.3379097994040272E-2</v>
      </c>
      <c r="E45" s="34">
        <v>97.5</v>
      </c>
      <c r="F45" s="34">
        <v>2.2999999999999998</v>
      </c>
      <c r="R45" s="56">
        <v>2.1666669999999999</v>
      </c>
      <c r="S45" s="51">
        <v>9</v>
      </c>
      <c r="T45" s="51">
        <v>2.27</v>
      </c>
    </row>
    <row r="46" spans="1:20" x14ac:dyDescent="0.25">
      <c r="R46" s="56">
        <v>2.4666670000000002</v>
      </c>
      <c r="S46" s="51">
        <v>21</v>
      </c>
      <c r="T46" s="51">
        <v>2.2999999999999998</v>
      </c>
    </row>
  </sheetData>
  <sortState xmlns:xlrd2="http://schemas.microsoft.com/office/spreadsheetml/2017/richdata2" ref="F26:F45">
    <sortCondition ref="F26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88B1-FDB7-44B0-BFB0-94A9C16CB251}">
  <dimension ref="A1:AA84"/>
  <sheetViews>
    <sheetView topLeftCell="C21" zoomScale="80" zoomScaleNormal="80" workbookViewId="0">
      <selection activeCell="D42" sqref="D42:N42"/>
    </sheetView>
  </sheetViews>
  <sheetFormatPr baseColWidth="10" defaultRowHeight="15" x14ac:dyDescent="0.25"/>
  <cols>
    <col min="1" max="1" width="32.85546875" bestFit="1" customWidth="1"/>
    <col min="2" max="2" width="21.7109375" bestFit="1" customWidth="1"/>
    <col min="3" max="3" width="19" bestFit="1" customWidth="1"/>
    <col min="4" max="4" width="18.5703125" customWidth="1"/>
    <col min="5" max="5" width="16.28515625" customWidth="1"/>
    <col min="6" max="6" width="17.85546875" bestFit="1" customWidth="1"/>
    <col min="7" max="7" width="11.5703125" customWidth="1"/>
    <col min="8" max="9" width="14.28515625" customWidth="1"/>
    <col min="10" max="10" width="13" customWidth="1"/>
    <col min="11" max="11" width="23.140625" customWidth="1"/>
    <col min="12" max="12" width="23.7109375" customWidth="1"/>
    <col min="13" max="13" width="24.42578125" customWidth="1"/>
    <col min="14" max="14" width="15.85546875" customWidth="1"/>
    <col min="15" max="15" width="11.7109375" bestFit="1" customWidth="1"/>
    <col min="16" max="16" width="11.42578125" customWidth="1"/>
    <col min="17" max="17" width="13.28515625" bestFit="1" customWidth="1"/>
    <col min="22" max="23" width="15.5703125" bestFit="1" customWidth="1"/>
    <col min="24" max="24" width="13.5703125" bestFit="1" customWidth="1"/>
    <col min="25" max="25" width="11.28515625" bestFit="1" customWidth="1"/>
  </cols>
  <sheetData>
    <row r="1" spans="1:13" x14ac:dyDescent="0.25">
      <c r="A1" t="s">
        <v>44</v>
      </c>
    </row>
    <row r="2" spans="1:13" ht="15.75" thickBot="1" x14ac:dyDescent="0.3"/>
    <row r="3" spans="1:13" x14ac:dyDescent="0.25">
      <c r="A3" s="36" t="s">
        <v>45</v>
      </c>
      <c r="B3" s="36"/>
    </row>
    <row r="4" spans="1:13" x14ac:dyDescent="0.25">
      <c r="A4" t="s">
        <v>46</v>
      </c>
      <c r="B4">
        <v>0.8466998335854945</v>
      </c>
    </row>
    <row r="5" spans="1:13" x14ac:dyDescent="0.25">
      <c r="A5" t="s">
        <v>47</v>
      </c>
      <c r="B5">
        <v>0.71690060819370405</v>
      </c>
    </row>
    <row r="6" spans="1:13" x14ac:dyDescent="0.25">
      <c r="A6" t="s">
        <v>48</v>
      </c>
      <c r="B6">
        <v>0.70117286420446545</v>
      </c>
    </row>
    <row r="7" spans="1:13" x14ac:dyDescent="0.25">
      <c r="A7" t="s">
        <v>49</v>
      </c>
      <c r="B7">
        <v>0.11371471563993923</v>
      </c>
    </row>
    <row r="8" spans="1:13" ht="15.75" thickBot="1" x14ac:dyDescent="0.3">
      <c r="A8" s="34" t="s">
        <v>50</v>
      </c>
      <c r="B8" s="34">
        <v>20</v>
      </c>
    </row>
    <row r="10" spans="1:13" ht="15.75" thickBot="1" x14ac:dyDescent="0.3">
      <c r="A10" t="s">
        <v>51</v>
      </c>
    </row>
    <row r="11" spans="1:13" x14ac:dyDescent="0.25">
      <c r="A11" s="35"/>
      <c r="B11" s="35" t="s">
        <v>56</v>
      </c>
      <c r="C11" s="35" t="s">
        <v>57</v>
      </c>
      <c r="D11" s="35" t="s">
        <v>58</v>
      </c>
      <c r="E11" s="35" t="s">
        <v>59</v>
      </c>
      <c r="F11" s="35" t="s">
        <v>60</v>
      </c>
      <c r="G11" s="61"/>
    </row>
    <row r="12" spans="1:13" x14ac:dyDescent="0.25">
      <c r="A12" t="s">
        <v>52</v>
      </c>
      <c r="B12">
        <v>1</v>
      </c>
      <c r="C12">
        <v>0.58942134204469965</v>
      </c>
      <c r="D12">
        <v>0.58942134204469965</v>
      </c>
      <c r="E12">
        <v>45.581909820265807</v>
      </c>
      <c r="F12">
        <v>2.5105619531929796E-6</v>
      </c>
    </row>
    <row r="13" spans="1:13" x14ac:dyDescent="0.25">
      <c r="A13" t="s">
        <v>53</v>
      </c>
      <c r="B13">
        <v>18</v>
      </c>
      <c r="C13">
        <v>0.23275865795530032</v>
      </c>
      <c r="D13">
        <v>1.2931036553072241E-2</v>
      </c>
    </row>
    <row r="14" spans="1:13" ht="15.75" thickBot="1" x14ac:dyDescent="0.3">
      <c r="A14" s="34" t="s">
        <v>54</v>
      </c>
      <c r="B14" s="34">
        <v>19</v>
      </c>
      <c r="C14" s="34">
        <v>0.82217999999999991</v>
      </c>
      <c r="D14" s="34"/>
      <c r="E14" s="34"/>
      <c r="F14" s="34"/>
    </row>
    <row r="15" spans="1:13" ht="15.75" thickBot="1" x14ac:dyDescent="0.3"/>
    <row r="16" spans="1:13" x14ac:dyDescent="0.25">
      <c r="A16" s="35"/>
      <c r="B16" s="35" t="s">
        <v>61</v>
      </c>
      <c r="C16" s="35" t="s">
        <v>49</v>
      </c>
      <c r="D16" s="35" t="s">
        <v>62</v>
      </c>
      <c r="E16" s="35" t="s">
        <v>63</v>
      </c>
      <c r="F16" s="35" t="s">
        <v>64</v>
      </c>
      <c r="G16" s="35"/>
      <c r="H16" s="35" t="s">
        <v>65</v>
      </c>
      <c r="I16" s="35"/>
      <c r="J16" s="35" t="s">
        <v>66</v>
      </c>
      <c r="K16" s="35"/>
      <c r="L16" s="35"/>
      <c r="M16" s="35" t="s">
        <v>67</v>
      </c>
    </row>
    <row r="17" spans="1:24" x14ac:dyDescent="0.25">
      <c r="A17" t="s">
        <v>55</v>
      </c>
      <c r="B17">
        <v>0.55693150205432107</v>
      </c>
      <c r="C17">
        <v>0.20951455518597165</v>
      </c>
      <c r="D17">
        <v>2.6581995773991518</v>
      </c>
      <c r="E17">
        <v>1.6008938403512765E-2</v>
      </c>
      <c r="F17">
        <v>0.11675775531281601</v>
      </c>
      <c r="H17">
        <v>0.99710524879582607</v>
      </c>
      <c r="J17">
        <v>0.11675775531281601</v>
      </c>
      <c r="M17">
        <v>0.99710524879582607</v>
      </c>
    </row>
    <row r="18" spans="1:24" ht="15.75" thickBot="1" x14ac:dyDescent="0.3">
      <c r="A18" s="34" t="s">
        <v>81</v>
      </c>
      <c r="B18" s="34">
        <v>0.71942024420291206</v>
      </c>
      <c r="C18" s="34">
        <v>0.10655808223584802</v>
      </c>
      <c r="D18" s="34">
        <v>6.7514376113732872</v>
      </c>
      <c r="E18" s="34">
        <v>2.5105619531929703E-6</v>
      </c>
      <c r="F18" s="34">
        <v>0.49555002066780196</v>
      </c>
      <c r="G18" s="34"/>
      <c r="H18" s="34">
        <v>0.94329046773802216</v>
      </c>
      <c r="I18" s="34"/>
      <c r="J18" s="34">
        <v>0.49555002066780196</v>
      </c>
      <c r="K18" s="34"/>
      <c r="L18" s="34"/>
      <c r="M18" s="34">
        <v>0.94329046773802216</v>
      </c>
    </row>
    <row r="21" spans="1:24" x14ac:dyDescent="0.25">
      <c r="J21">
        <f>CORREL(Tabla1[Diff_Q3],Tabla1[↑ Avg_match])</f>
        <v>-0.27851031367802759</v>
      </c>
    </row>
    <row r="22" spans="1:24" x14ac:dyDescent="0.25">
      <c r="A22" t="s">
        <v>68</v>
      </c>
    </row>
    <row r="23" spans="1:24" ht="15.75" thickBot="1" x14ac:dyDescent="0.3">
      <c r="E23" s="38" t="s">
        <v>70</v>
      </c>
      <c r="F23" s="38" t="s">
        <v>71</v>
      </c>
      <c r="G23" s="38"/>
      <c r="H23" s="3" t="s">
        <v>72</v>
      </c>
      <c r="I23" s="4"/>
    </row>
    <row r="24" spans="1:24" ht="30" x14ac:dyDescent="0.25">
      <c r="A24" s="35" t="s">
        <v>69</v>
      </c>
      <c r="B24" s="35" t="s">
        <v>83</v>
      </c>
      <c r="C24" s="78" t="s">
        <v>53</v>
      </c>
      <c r="D24" t="s">
        <v>102</v>
      </c>
      <c r="E24" s="37" t="s">
        <v>39</v>
      </c>
      <c r="F24" s="38" t="s">
        <v>85</v>
      </c>
      <c r="G24" s="38" t="s">
        <v>86</v>
      </c>
      <c r="H24" s="37" t="s">
        <v>40</v>
      </c>
      <c r="I24" s="37" t="s">
        <v>133</v>
      </c>
      <c r="J24" s="38" t="s">
        <v>76</v>
      </c>
      <c r="K24" s="62" t="s">
        <v>91</v>
      </c>
      <c r="L24" s="62" t="s">
        <v>90</v>
      </c>
      <c r="M24" s="62" t="s">
        <v>89</v>
      </c>
      <c r="N24" s="39" t="s">
        <v>79</v>
      </c>
      <c r="O24" s="81" t="s">
        <v>84</v>
      </c>
      <c r="P24" s="103" t="s">
        <v>109</v>
      </c>
    </row>
    <row r="25" spans="1:24" x14ac:dyDescent="0.25">
      <c r="A25">
        <v>1</v>
      </c>
      <c r="B25">
        <v>1.6600423033587048</v>
      </c>
      <c r="C25" s="79">
        <v>-0.14004230335870482</v>
      </c>
      <c r="D25" s="33">
        <v>1</v>
      </c>
      <c r="E25" s="66">
        <v>1.5333330000000001</v>
      </c>
      <c r="F25" s="58">
        <v>-27</v>
      </c>
      <c r="G25" s="58">
        <v>-33</v>
      </c>
      <c r="H25" s="59">
        <v>1.52</v>
      </c>
      <c r="I25" s="59">
        <f>(Tabla1[[#This Row],[AVG_MATCH]]-$H$47)/$H$50</f>
        <v>-2.1199808400820435</v>
      </c>
      <c r="J25" s="63">
        <f t="shared" ref="J25:J44" si="0" xml:space="preserve"> $B$17+$B$18*E25</f>
        <v>1.6600423033587048</v>
      </c>
      <c r="K25" s="63">
        <f t="shared" ref="K25:K44" si="1">J25-$B$7</f>
        <v>1.5463275877187657</v>
      </c>
      <c r="L25" s="63">
        <f t="shared" ref="L25:L44" si="2">J25+$B$7</f>
        <v>1.773757018998644</v>
      </c>
      <c r="M25" s="49">
        <f t="shared" ref="M25:M44" si="3">J25-E25</f>
        <v>0.12670930335870478</v>
      </c>
      <c r="N25" s="64">
        <f t="shared" ref="N25:N44" si="4">H25-E25</f>
        <v>-1.3333000000000039E-2</v>
      </c>
      <c r="O25" s="82">
        <v>0</v>
      </c>
      <c r="P25" s="94" t="e">
        <f>Tabla1[[#This Row],[AVG_MATCH]]-H24</f>
        <v>#VALUE!</v>
      </c>
    </row>
    <row r="26" spans="1:24" x14ac:dyDescent="0.25">
      <c r="A26">
        <v>2</v>
      </c>
      <c r="B26">
        <v>1.8998495310398384</v>
      </c>
      <c r="C26" s="79">
        <v>-0.21984953103983851</v>
      </c>
      <c r="D26" s="33">
        <v>2</v>
      </c>
      <c r="E26" s="66">
        <v>1.8666670000000001</v>
      </c>
      <c r="F26" s="58">
        <v>-18</v>
      </c>
      <c r="G26" s="58">
        <v>-26</v>
      </c>
      <c r="H26" s="59">
        <v>1.68</v>
      </c>
      <c r="I26" s="59">
        <f>(Tabla1[[#This Row],[AVG_MATCH]]-$H$47)/$H$50</f>
        <v>-1.3508267937937746</v>
      </c>
      <c r="J26" s="63">
        <f t="shared" si="0"/>
        <v>1.8998495310398384</v>
      </c>
      <c r="K26" s="63">
        <f t="shared" si="1"/>
        <v>1.7861348153998993</v>
      </c>
      <c r="L26" s="63">
        <f t="shared" si="2"/>
        <v>2.0135642466797776</v>
      </c>
      <c r="M26" s="49">
        <f t="shared" si="3"/>
        <v>3.318253103983837E-2</v>
      </c>
      <c r="N26" s="64">
        <f t="shared" si="4"/>
        <v>-0.18666700000000014</v>
      </c>
      <c r="O26" s="82">
        <v>0</v>
      </c>
      <c r="P26" s="94">
        <f>Tabla1[[#This Row],[AVG_MATCH]]-H25</f>
        <v>0.15999999999999992</v>
      </c>
      <c r="R26" t="s">
        <v>81</v>
      </c>
      <c r="S26" t="s">
        <v>85</v>
      </c>
      <c r="T26" t="s">
        <v>86</v>
      </c>
      <c r="U26" t="s">
        <v>80</v>
      </c>
      <c r="V26" t="s">
        <v>116</v>
      </c>
    </row>
    <row r="27" spans="1:24" x14ac:dyDescent="0.25">
      <c r="A27">
        <v>3</v>
      </c>
      <c r="B27">
        <v>1.7319843277789959</v>
      </c>
      <c r="C27" s="80">
        <v>-1.9843277789959313E-3</v>
      </c>
      <c r="D27" s="33">
        <v>3</v>
      </c>
      <c r="E27" s="66">
        <v>1.6333329999999999</v>
      </c>
      <c r="F27" s="58">
        <v>-17</v>
      </c>
      <c r="G27" s="58">
        <v>-14</v>
      </c>
      <c r="H27" s="57">
        <v>1.73</v>
      </c>
      <c r="I27" s="57">
        <f>(Tabla1[[#This Row],[AVG_MATCH]]-$H$47)/$H$50</f>
        <v>-1.1104661543286902</v>
      </c>
      <c r="J27" s="63">
        <f t="shared" si="0"/>
        <v>1.7319843277789959</v>
      </c>
      <c r="K27" s="63">
        <f t="shared" si="1"/>
        <v>1.6182696121390567</v>
      </c>
      <c r="L27" s="63">
        <f t="shared" si="2"/>
        <v>1.8456990434189351</v>
      </c>
      <c r="M27" s="49">
        <f t="shared" si="3"/>
        <v>9.865132777899599E-2</v>
      </c>
      <c r="N27" s="65">
        <f t="shared" si="4"/>
        <v>9.6667000000000058E-2</v>
      </c>
      <c r="O27" s="82">
        <v>0</v>
      </c>
      <c r="P27" s="94">
        <f>Tabla1[[#This Row],[AVG_MATCH]]-H26</f>
        <v>5.0000000000000044E-2</v>
      </c>
      <c r="Q27" t="s">
        <v>113</v>
      </c>
      <c r="R27">
        <f>CORREL(E25:E31,N25:N31)</f>
        <v>-0.72498677535879663</v>
      </c>
      <c r="S27">
        <f>CORREL(F25:F31,N25:N31)</f>
        <v>-0.30644903091793574</v>
      </c>
      <c r="T27">
        <f>CORREL(G25:G31,N25:N31)</f>
        <v>-0.176321980064509</v>
      </c>
      <c r="U27">
        <f>CORREL(H25:H31,N25:N31)</f>
        <v>-2.8778713015370976E-2</v>
      </c>
      <c r="V27">
        <f>CORREL(M25:M31,N25:N31)</f>
        <v>0.72498677535879641</v>
      </c>
    </row>
    <row r="28" spans="1:24" x14ac:dyDescent="0.25">
      <c r="A28">
        <v>4</v>
      </c>
      <c r="B28">
        <v>1.8758683766195785</v>
      </c>
      <c r="C28" s="79">
        <v>-0.1258683766195785</v>
      </c>
      <c r="D28" s="33">
        <v>4</v>
      </c>
      <c r="E28" s="66">
        <v>1.8333330000000001</v>
      </c>
      <c r="F28" s="58">
        <v>-17</v>
      </c>
      <c r="G28" s="58">
        <v>-24</v>
      </c>
      <c r="H28" s="59">
        <v>1.75</v>
      </c>
      <c r="I28" s="59">
        <f>(Tabla1[[#This Row],[AVG_MATCH]]-$H$47)/$H$50</f>
        <v>-1.0143218985426565</v>
      </c>
      <c r="J28" s="63">
        <f t="shared" si="0"/>
        <v>1.8758683766195785</v>
      </c>
      <c r="K28" s="63">
        <f t="shared" si="1"/>
        <v>1.7621536609796393</v>
      </c>
      <c r="L28" s="63">
        <f t="shared" si="2"/>
        <v>1.9895830922595177</v>
      </c>
      <c r="M28" s="49">
        <f t="shared" si="3"/>
        <v>4.2535376619578402E-2</v>
      </c>
      <c r="N28" s="64">
        <f t="shared" si="4"/>
        <v>-8.3333000000000101E-2</v>
      </c>
      <c r="O28" s="82">
        <v>0</v>
      </c>
      <c r="P28" s="94">
        <f>Tabla1[[#This Row],[AVG_MATCH]]-H27</f>
        <v>2.0000000000000018E-2</v>
      </c>
    </row>
    <row r="29" spans="1:24" x14ac:dyDescent="0.25">
      <c r="A29">
        <v>5</v>
      </c>
      <c r="B29">
        <v>1.7799459171992715</v>
      </c>
      <c r="C29" s="80">
        <v>2.0054082800728512E-2</v>
      </c>
      <c r="D29" s="33">
        <v>5</v>
      </c>
      <c r="E29" s="66">
        <v>1.7</v>
      </c>
      <c r="F29" s="58">
        <v>-12</v>
      </c>
      <c r="G29" s="58">
        <v>-25</v>
      </c>
      <c r="H29" s="57">
        <v>1.8</v>
      </c>
      <c r="I29" s="57">
        <f>(Tabla1[[#This Row],[AVG_MATCH]]-$H$47)/$H$50</f>
        <v>-0.77396125907757218</v>
      </c>
      <c r="J29" s="63">
        <f t="shared" si="0"/>
        <v>1.7799459171992715</v>
      </c>
      <c r="K29" s="63">
        <f t="shared" si="1"/>
        <v>1.6662312015593324</v>
      </c>
      <c r="L29" s="63">
        <f t="shared" si="2"/>
        <v>1.8936606328392107</v>
      </c>
      <c r="M29" s="49">
        <f t="shared" si="3"/>
        <v>7.9945917199271577E-2</v>
      </c>
      <c r="N29" s="65">
        <f t="shared" si="4"/>
        <v>0.10000000000000009</v>
      </c>
      <c r="O29" s="82">
        <v>0</v>
      </c>
      <c r="P29" s="94">
        <f>Tabla1[[#This Row],[AVG_MATCH]]-H28</f>
        <v>5.0000000000000044E-2</v>
      </c>
      <c r="Q29" s="94">
        <f>SUM(P26:P29)</f>
        <v>0.28000000000000003</v>
      </c>
    </row>
    <row r="30" spans="1:24" x14ac:dyDescent="0.25">
      <c r="A30">
        <v>6</v>
      </c>
      <c r="B30">
        <v>1.8758683766195785</v>
      </c>
      <c r="C30" s="80">
        <v>-7.5868376619578459E-2</v>
      </c>
      <c r="D30" s="67">
        <v>6</v>
      </c>
      <c r="E30" s="68">
        <v>1.8333330000000001</v>
      </c>
      <c r="F30" s="69">
        <v>-23</v>
      </c>
      <c r="G30" s="69">
        <v>-11</v>
      </c>
      <c r="H30" s="70">
        <v>1.8</v>
      </c>
      <c r="I30" s="70">
        <f>(Tabla1[[#This Row],[AVG_MATCH]]-$H$47)/$H$50</f>
        <v>-0.77396125907757218</v>
      </c>
      <c r="J30" s="71">
        <f t="shared" si="0"/>
        <v>1.8758683766195785</v>
      </c>
      <c r="K30" s="71">
        <f t="shared" si="1"/>
        <v>1.7621536609796393</v>
      </c>
      <c r="L30" s="71">
        <f t="shared" si="2"/>
        <v>1.9895830922595177</v>
      </c>
      <c r="M30" s="72">
        <f t="shared" si="3"/>
        <v>4.2535376619578402E-2</v>
      </c>
      <c r="N30" s="73">
        <f t="shared" si="4"/>
        <v>-3.3333000000000057E-2</v>
      </c>
      <c r="O30" s="102">
        <v>0</v>
      </c>
      <c r="P30" s="94">
        <f>Tabla1[[#This Row],[AVG_MATCH]]-H29</f>
        <v>0</v>
      </c>
      <c r="V30" s="61"/>
      <c r="X30" s="61"/>
    </row>
    <row r="31" spans="1:24" x14ac:dyDescent="0.25">
      <c r="A31">
        <v>7</v>
      </c>
      <c r="B31">
        <v>1.9957719904601452</v>
      </c>
      <c r="C31" s="79">
        <v>-0.14577199046014511</v>
      </c>
      <c r="D31" s="33">
        <v>7</v>
      </c>
      <c r="E31" s="66">
        <v>2</v>
      </c>
      <c r="F31" s="60">
        <v>10</v>
      </c>
      <c r="G31" s="60">
        <v>0</v>
      </c>
      <c r="H31" s="101">
        <v>1.85</v>
      </c>
      <c r="I31" s="101">
        <f>(Tabla1[[#This Row],[AVG_MATCH]]-$H$47)/$H$50</f>
        <v>-0.53360061961248784</v>
      </c>
      <c r="J31" s="63">
        <f t="shared" si="0"/>
        <v>1.9957719904601452</v>
      </c>
      <c r="K31" s="63">
        <f t="shared" si="1"/>
        <v>1.882057274820206</v>
      </c>
      <c r="L31" s="63">
        <f t="shared" si="2"/>
        <v>2.1094867061000846</v>
      </c>
      <c r="M31" s="49">
        <f t="shared" si="3"/>
        <v>-4.2280095398548045E-3</v>
      </c>
      <c r="N31" s="64">
        <f t="shared" si="4"/>
        <v>-0.14999999999999991</v>
      </c>
      <c r="O31" s="7">
        <v>1</v>
      </c>
      <c r="P31" s="94">
        <f>Tabla1[[#This Row],[AVG_MATCH]]-H30</f>
        <v>5.0000000000000044E-2</v>
      </c>
    </row>
    <row r="32" spans="1:24" x14ac:dyDescent="0.25">
      <c r="A32">
        <v>8</v>
      </c>
      <c r="B32">
        <v>1.7799459171992715</v>
      </c>
      <c r="C32" s="79">
        <v>0.12005408280072838</v>
      </c>
      <c r="D32" s="33">
        <v>6</v>
      </c>
      <c r="E32" s="66">
        <v>1.7</v>
      </c>
      <c r="F32" s="52">
        <v>-5</v>
      </c>
      <c r="G32" s="52">
        <v>-5</v>
      </c>
      <c r="H32" s="57">
        <v>1.9</v>
      </c>
      <c r="I32" s="57">
        <f>(Tabla1[[#This Row],[AVG_MATCH]]-$H$47)/$H$50</f>
        <v>-0.29323998014740454</v>
      </c>
      <c r="J32" s="63">
        <f t="shared" si="0"/>
        <v>1.7799459171992715</v>
      </c>
      <c r="K32" s="63">
        <f t="shared" si="1"/>
        <v>1.6662312015593324</v>
      </c>
      <c r="L32" s="63">
        <f t="shared" si="2"/>
        <v>1.8936606328392107</v>
      </c>
      <c r="M32" s="49">
        <f t="shared" si="3"/>
        <v>7.9945917199271577E-2</v>
      </c>
      <c r="N32" s="65">
        <f t="shared" si="4"/>
        <v>0.19999999999999996</v>
      </c>
      <c r="O32" s="82">
        <v>0</v>
      </c>
      <c r="P32" s="94">
        <f>Tabla1[[#This Row],[AVG_MATCH]]-H31</f>
        <v>4.9999999999999822E-2</v>
      </c>
    </row>
    <row r="33" spans="1:22" x14ac:dyDescent="0.25">
      <c r="A33">
        <v>9</v>
      </c>
      <c r="B33">
        <v>1.7559654821992559</v>
      </c>
      <c r="C33" s="79">
        <v>0.16403451780074407</v>
      </c>
      <c r="D33" s="33">
        <v>9</v>
      </c>
      <c r="E33" s="66">
        <v>1.6666669999999999</v>
      </c>
      <c r="F33" s="52">
        <v>-7</v>
      </c>
      <c r="G33" s="52">
        <v>3</v>
      </c>
      <c r="H33" s="57">
        <v>1.92</v>
      </c>
      <c r="I33" s="57">
        <f>(Tabla1[[#This Row],[AVG_MATCH]]-$H$47)/$H$50</f>
        <v>-0.19709572436137077</v>
      </c>
      <c r="J33" s="63">
        <f t="shared" si="0"/>
        <v>1.7559654821992559</v>
      </c>
      <c r="K33" s="63">
        <f t="shared" si="1"/>
        <v>1.6422507665593167</v>
      </c>
      <c r="L33" s="63">
        <f t="shared" si="2"/>
        <v>1.869680197839195</v>
      </c>
      <c r="M33" s="49">
        <f t="shared" si="3"/>
        <v>8.9298482199255957E-2</v>
      </c>
      <c r="N33" s="65">
        <f t="shared" si="4"/>
        <v>0.25333300000000003</v>
      </c>
      <c r="O33" s="7">
        <v>1</v>
      </c>
      <c r="P33" s="94">
        <f>Tabla1[[#This Row],[AVG_MATCH]]-H32</f>
        <v>2.0000000000000018E-2</v>
      </c>
      <c r="Q33" s="94">
        <f>SUM(P30:P34)</f>
        <v>0.17999999999999994</v>
      </c>
    </row>
    <row r="34" spans="1:22" x14ac:dyDescent="0.25">
      <c r="A34">
        <v>10</v>
      </c>
      <c r="B34">
        <v>1.9238299660398539</v>
      </c>
      <c r="C34" s="80">
        <v>5.6170033960146082E-2</v>
      </c>
      <c r="D34" s="33">
        <v>10</v>
      </c>
      <c r="E34" s="66">
        <v>1.9</v>
      </c>
      <c r="F34" s="58">
        <v>-14</v>
      </c>
      <c r="G34" s="58">
        <v>-13</v>
      </c>
      <c r="H34" s="57">
        <v>1.98</v>
      </c>
      <c r="I34" s="57">
        <f>(Tabla1[[#This Row],[AVG_MATCH]]-$H$47)/$H$50</f>
        <v>9.1337042996730455E-2</v>
      </c>
      <c r="J34" s="63">
        <f t="shared" si="0"/>
        <v>1.9238299660398539</v>
      </c>
      <c r="K34" s="63">
        <f t="shared" si="1"/>
        <v>1.8101152503999147</v>
      </c>
      <c r="L34" s="63">
        <f t="shared" si="2"/>
        <v>2.0375446816797931</v>
      </c>
      <c r="M34" s="49">
        <f t="shared" si="3"/>
        <v>2.3829966039853989E-2</v>
      </c>
      <c r="N34" s="65">
        <f t="shared" si="4"/>
        <v>8.0000000000000071E-2</v>
      </c>
      <c r="O34" s="82">
        <v>0</v>
      </c>
      <c r="P34" s="94">
        <f>Tabla1[[#This Row],[AVG_MATCH]]-H33</f>
        <v>6.0000000000000053E-2</v>
      </c>
      <c r="Q34" t="s">
        <v>115</v>
      </c>
      <c r="R34">
        <f>CORREL(E32:E37,N32:N37)</f>
        <v>-0.97587330477892698</v>
      </c>
      <c r="S34">
        <f>CORREL(F32:F37,N32:N37)</f>
        <v>-0.4769908444416594</v>
      </c>
      <c r="T34">
        <f>CORREL(G32:G37,N32:N37)</f>
        <v>-0.18001145058305382</v>
      </c>
      <c r="U34">
        <f>CORREL(H32:H37,N32:N37)</f>
        <v>-0.80499406906679827</v>
      </c>
      <c r="V34">
        <f>CORREL(M32:M37,N32:N37)</f>
        <v>0.97587330477892686</v>
      </c>
    </row>
    <row r="35" spans="1:22" x14ac:dyDescent="0.25">
      <c r="A35">
        <v>11</v>
      </c>
      <c r="B35">
        <v>1.8758683766195785</v>
      </c>
      <c r="C35" s="79">
        <v>0.1241316233804215</v>
      </c>
      <c r="D35" s="33">
        <v>11</v>
      </c>
      <c r="E35" s="66">
        <v>1.8333330000000001</v>
      </c>
      <c r="F35" s="58">
        <v>-24</v>
      </c>
      <c r="G35" s="58">
        <v>-24</v>
      </c>
      <c r="H35" s="57">
        <v>2</v>
      </c>
      <c r="I35" s="57">
        <f>(Tabla1[[#This Row],[AVG_MATCH]]-$H$47)/$H$50</f>
        <v>0.18748129878276421</v>
      </c>
      <c r="J35" s="63">
        <f t="shared" si="0"/>
        <v>1.8758683766195785</v>
      </c>
      <c r="K35" s="63">
        <f t="shared" si="1"/>
        <v>1.7621536609796393</v>
      </c>
      <c r="L35" s="63">
        <f t="shared" si="2"/>
        <v>1.9895830922595177</v>
      </c>
      <c r="M35" s="49">
        <f t="shared" si="3"/>
        <v>4.2535376619578402E-2</v>
      </c>
      <c r="N35" s="65">
        <f t="shared" si="4"/>
        <v>0.1666669999999999</v>
      </c>
      <c r="O35" s="82">
        <v>0</v>
      </c>
      <c r="P35" s="94">
        <f>Tabla1[[#This Row],[AVG_MATCH]]-H34</f>
        <v>2.0000000000000018E-2</v>
      </c>
    </row>
    <row r="36" spans="1:22" x14ac:dyDescent="0.25">
      <c r="A36">
        <v>12</v>
      </c>
      <c r="B36">
        <v>1.9957719904601452</v>
      </c>
      <c r="C36" s="80">
        <v>4.2280095398548045E-3</v>
      </c>
      <c r="D36" s="33">
        <v>12</v>
      </c>
      <c r="E36" s="66">
        <v>2</v>
      </c>
      <c r="F36" s="52">
        <v>8</v>
      </c>
      <c r="G36" s="52">
        <v>-1</v>
      </c>
      <c r="H36" s="57">
        <v>2</v>
      </c>
      <c r="I36" s="57">
        <f>(Tabla1[[#This Row],[AVG_MATCH]]-$H$47)/$H$50</f>
        <v>0.18748129878276421</v>
      </c>
      <c r="J36" s="63">
        <f t="shared" si="0"/>
        <v>1.9957719904601452</v>
      </c>
      <c r="K36" s="63">
        <f t="shared" si="1"/>
        <v>1.882057274820206</v>
      </c>
      <c r="L36" s="63">
        <f t="shared" si="2"/>
        <v>2.1094867061000846</v>
      </c>
      <c r="M36" s="49">
        <f t="shared" si="3"/>
        <v>-4.2280095398548045E-3</v>
      </c>
      <c r="N36" s="65">
        <f t="shared" si="4"/>
        <v>0</v>
      </c>
      <c r="O36" s="82">
        <v>0</v>
      </c>
      <c r="P36" s="94">
        <f>Tabla1[[#This Row],[AVG_MATCH]]-H35</f>
        <v>0</v>
      </c>
    </row>
    <row r="37" spans="1:22" x14ac:dyDescent="0.25">
      <c r="A37">
        <v>13</v>
      </c>
      <c r="B37">
        <v>2.0197524254601609</v>
      </c>
      <c r="C37" s="80">
        <v>3.0247574539838951E-2</v>
      </c>
      <c r="D37" s="67">
        <v>13</v>
      </c>
      <c r="E37" s="68">
        <v>2.0333329999999998</v>
      </c>
      <c r="F37" s="74">
        <v>-2</v>
      </c>
      <c r="G37" s="74">
        <v>5</v>
      </c>
      <c r="H37" s="75">
        <v>2.0499999999999998</v>
      </c>
      <c r="I37" s="75">
        <f>(Tabla1[[#This Row],[AVG_MATCH]]-$H$47)/$H$50</f>
        <v>0.4278419382478475</v>
      </c>
      <c r="J37" s="71">
        <f t="shared" si="0"/>
        <v>2.0197524254601609</v>
      </c>
      <c r="K37" s="71">
        <f t="shared" si="1"/>
        <v>1.9060377098202217</v>
      </c>
      <c r="L37" s="71">
        <f t="shared" si="2"/>
        <v>2.1334671411001001</v>
      </c>
      <c r="M37" s="72">
        <f t="shared" si="3"/>
        <v>-1.3580574539838963E-2</v>
      </c>
      <c r="N37" s="76">
        <f t="shared" si="4"/>
        <v>1.6666999999999987E-2</v>
      </c>
      <c r="O37" s="83">
        <v>1</v>
      </c>
      <c r="P37" s="94">
        <f>Tabla1[[#This Row],[AVG_MATCH]]-H36</f>
        <v>4.9999999999999822E-2</v>
      </c>
    </row>
    <row r="38" spans="1:22" x14ac:dyDescent="0.25">
      <c r="A38">
        <v>14</v>
      </c>
      <c r="B38">
        <v>2.1396560393007276</v>
      </c>
      <c r="C38" s="80">
        <v>-5.9656039300727493E-2</v>
      </c>
      <c r="D38" s="33">
        <v>14</v>
      </c>
      <c r="E38" s="66">
        <v>2.2000000000000002</v>
      </c>
      <c r="F38" s="52">
        <v>-3</v>
      </c>
      <c r="G38" s="52">
        <v>-5</v>
      </c>
      <c r="H38" s="59">
        <v>2.08</v>
      </c>
      <c r="I38" s="59">
        <f>(Tabla1[[#This Row],[AVG_MATCH]]-$H$47)/$H$50</f>
        <v>0.5720583219268992</v>
      </c>
      <c r="J38" s="63">
        <f t="shared" si="0"/>
        <v>2.1396560393007276</v>
      </c>
      <c r="K38" s="63">
        <f t="shared" si="1"/>
        <v>2.0259413236607884</v>
      </c>
      <c r="L38" s="63">
        <f t="shared" si="2"/>
        <v>2.2533707549406667</v>
      </c>
      <c r="M38" s="49">
        <f t="shared" si="3"/>
        <v>-6.0343960699272614E-2</v>
      </c>
      <c r="N38" s="64">
        <f t="shared" si="4"/>
        <v>-0.12000000000000011</v>
      </c>
      <c r="O38" s="82">
        <v>0</v>
      </c>
      <c r="P38" s="94">
        <f>Tabla1[[#This Row],[AVG_MATCH]]-H37</f>
        <v>3.0000000000000249E-2</v>
      </c>
    </row>
    <row r="39" spans="1:22" x14ac:dyDescent="0.25">
      <c r="A39">
        <v>15</v>
      </c>
      <c r="B39">
        <v>2.2115980637210186</v>
      </c>
      <c r="C39" s="79">
        <v>-0.11159806372101855</v>
      </c>
      <c r="D39" s="33">
        <v>15</v>
      </c>
      <c r="E39" s="66">
        <v>2.2999999999999998</v>
      </c>
      <c r="F39" s="60">
        <v>11</v>
      </c>
      <c r="G39" s="60">
        <v>17</v>
      </c>
      <c r="H39" s="59">
        <v>2.1</v>
      </c>
      <c r="I39" s="59">
        <f>(Tabla1[[#This Row],[AVG_MATCH]]-$H$47)/$H$50</f>
        <v>0.6682025777129329</v>
      </c>
      <c r="J39" s="63">
        <f t="shared" si="0"/>
        <v>2.2115980637210186</v>
      </c>
      <c r="K39" s="63">
        <f t="shared" si="1"/>
        <v>2.0978833480810795</v>
      </c>
      <c r="L39" s="63">
        <f t="shared" si="2"/>
        <v>2.3253127793609578</v>
      </c>
      <c r="M39" s="49">
        <f t="shared" si="3"/>
        <v>-8.8401936278981186E-2</v>
      </c>
      <c r="N39" s="64">
        <f t="shared" si="4"/>
        <v>-0.19999999999999973</v>
      </c>
      <c r="O39" s="7">
        <v>1</v>
      </c>
      <c r="P39" s="94">
        <f>Tabla1[[#This Row],[AVG_MATCH]]-H38</f>
        <v>2.0000000000000018E-2</v>
      </c>
      <c r="Q39" s="94">
        <f>SUM(P35:P39)</f>
        <v>0.12000000000000011</v>
      </c>
    </row>
    <row r="40" spans="1:22" x14ac:dyDescent="0.25">
      <c r="A40">
        <v>16</v>
      </c>
      <c r="B40">
        <v>2.0437335798804206</v>
      </c>
      <c r="C40" s="80">
        <v>7.6266420119579514E-2</v>
      </c>
      <c r="D40" s="33">
        <v>16</v>
      </c>
      <c r="E40" s="66">
        <v>2.0666669999999998</v>
      </c>
      <c r="F40" s="52">
        <v>2</v>
      </c>
      <c r="G40" s="60">
        <v>12</v>
      </c>
      <c r="H40" s="57">
        <v>2.12</v>
      </c>
      <c r="I40" s="57">
        <f>(Tabla1[[#This Row],[AVG_MATCH]]-$H$47)/$H$50</f>
        <v>0.7643468334989667</v>
      </c>
      <c r="J40" s="63">
        <f t="shared" si="0"/>
        <v>2.0437335798804206</v>
      </c>
      <c r="K40" s="63">
        <f t="shared" si="1"/>
        <v>1.9300188642404814</v>
      </c>
      <c r="L40" s="63">
        <f t="shared" si="2"/>
        <v>2.1574482955203598</v>
      </c>
      <c r="M40" s="49">
        <f t="shared" si="3"/>
        <v>-2.2933420119579218E-2</v>
      </c>
      <c r="N40" s="65">
        <f t="shared" si="4"/>
        <v>5.3333000000000297E-2</v>
      </c>
      <c r="O40" s="7">
        <v>1</v>
      </c>
      <c r="P40" s="94">
        <f>Tabla1[[#This Row],[AVG_MATCH]]-H39</f>
        <v>2.0000000000000018E-2</v>
      </c>
    </row>
    <row r="41" spans="1:22" x14ac:dyDescent="0.25">
      <c r="A41">
        <v>17</v>
      </c>
      <c r="B41">
        <v>2.0677140148804365</v>
      </c>
      <c r="C41" s="80">
        <v>0.10228598511956344</v>
      </c>
      <c r="D41" s="33">
        <v>17</v>
      </c>
      <c r="E41" s="66">
        <v>2.1</v>
      </c>
      <c r="F41" s="52">
        <v>0</v>
      </c>
      <c r="G41" s="52">
        <v>4</v>
      </c>
      <c r="H41" s="57">
        <v>2.17</v>
      </c>
      <c r="I41" s="57">
        <f>(Tabla1[[#This Row],[AVG_MATCH]]-$H$47)/$H$50</f>
        <v>1.0047074729640499</v>
      </c>
      <c r="J41" s="63">
        <f t="shared" si="0"/>
        <v>2.0677140148804365</v>
      </c>
      <c r="K41" s="63">
        <f t="shared" si="1"/>
        <v>1.9539992992404973</v>
      </c>
      <c r="L41" s="63">
        <f t="shared" si="2"/>
        <v>2.1814287305203757</v>
      </c>
      <c r="M41" s="49">
        <f t="shared" si="3"/>
        <v>-3.2285985119563598E-2</v>
      </c>
      <c r="N41" s="65">
        <f t="shared" si="4"/>
        <v>6.999999999999984E-2</v>
      </c>
      <c r="O41" s="7">
        <v>1</v>
      </c>
      <c r="P41" s="94">
        <f>Tabla1[[#This Row],[AVG_MATCH]]-H40</f>
        <v>4.9999999999999822E-2</v>
      </c>
      <c r="Q41" t="s">
        <v>114</v>
      </c>
      <c r="R41">
        <f>CORREL(E38:E44,N38:N44)</f>
        <v>-0.7878443930665443</v>
      </c>
      <c r="S41">
        <f>CORREL(F38:F44,N38:N44)</f>
        <v>-0.36896469816345945</v>
      </c>
      <c r="T41">
        <f>CORREL(G38:G44,N38:N44)</f>
        <v>-0.25867124259107815</v>
      </c>
      <c r="U41">
        <f>CORREL(H38:H44,N38:N44)</f>
        <v>0.20253694942431322</v>
      </c>
      <c r="V41">
        <f>CORREL(M38:M44,N38:N44)</f>
        <v>0.78784439306654619</v>
      </c>
    </row>
    <row r="42" spans="1:22" x14ac:dyDescent="0.25">
      <c r="A42">
        <v>18</v>
      </c>
      <c r="B42">
        <v>2.1396560393007276</v>
      </c>
      <c r="C42" s="80">
        <v>6.0343960699272614E-2</v>
      </c>
      <c r="D42" s="33">
        <v>18</v>
      </c>
      <c r="E42" s="66">
        <v>2.2000000000000002</v>
      </c>
      <c r="F42" s="58">
        <v>-21</v>
      </c>
      <c r="G42" s="58">
        <v>-24</v>
      </c>
      <c r="H42" s="57">
        <v>2.2000000000000002</v>
      </c>
      <c r="I42" s="57">
        <f>(Tabla1[[#This Row],[AVG_MATCH]]-$H$47)/$H$50</f>
        <v>1.1489238566431017</v>
      </c>
      <c r="J42" s="63">
        <f t="shared" si="0"/>
        <v>2.1396560393007276</v>
      </c>
      <c r="K42" s="63">
        <f t="shared" si="1"/>
        <v>2.0259413236607884</v>
      </c>
      <c r="L42" s="63">
        <f t="shared" si="2"/>
        <v>2.2533707549406667</v>
      </c>
      <c r="M42" s="49">
        <f t="shared" si="3"/>
        <v>-6.0343960699272614E-2</v>
      </c>
      <c r="N42" s="65">
        <f t="shared" si="4"/>
        <v>0</v>
      </c>
      <c r="O42" s="82">
        <v>0</v>
      </c>
      <c r="P42" s="94">
        <f>Tabla1[[#This Row],[AVG_MATCH]]-H41</f>
        <v>3.0000000000000249E-2</v>
      </c>
    </row>
    <row r="43" spans="1:22" x14ac:dyDescent="0.25">
      <c r="A43">
        <v>19</v>
      </c>
      <c r="B43">
        <v>2.1156756043007121</v>
      </c>
      <c r="C43" s="80">
        <v>0.15432439569928791</v>
      </c>
      <c r="D43" s="33">
        <v>19</v>
      </c>
      <c r="E43" s="66">
        <v>2.1666669999999999</v>
      </c>
      <c r="F43" s="52">
        <v>9</v>
      </c>
      <c r="G43" s="52">
        <v>6</v>
      </c>
      <c r="H43" s="57">
        <v>2.27</v>
      </c>
      <c r="I43" s="57">
        <f>(Tabla1[[#This Row],[AVG_MATCH]]-$H$47)/$H$50</f>
        <v>1.4854287518942186</v>
      </c>
      <c r="J43" s="63">
        <f t="shared" si="0"/>
        <v>2.1156756043007121</v>
      </c>
      <c r="K43" s="63">
        <f t="shared" si="1"/>
        <v>2.0019608886607729</v>
      </c>
      <c r="L43" s="63">
        <f t="shared" si="2"/>
        <v>2.2293903199406513</v>
      </c>
      <c r="M43" s="49">
        <f t="shared" si="3"/>
        <v>-5.0991395699287789E-2</v>
      </c>
      <c r="N43" s="65">
        <f t="shared" si="4"/>
        <v>0.10333300000000012</v>
      </c>
      <c r="O43" s="7">
        <v>1</v>
      </c>
      <c r="P43" s="94">
        <f>Tabla1[[#This Row],[AVG_MATCH]]-H42</f>
        <v>6.999999999999984E-2</v>
      </c>
    </row>
    <row r="44" spans="1:22" ht="15.75" thickBot="1" x14ac:dyDescent="0.3">
      <c r="A44" s="34">
        <v>20</v>
      </c>
      <c r="B44" s="34">
        <v>2.3315016775615858</v>
      </c>
      <c r="C44" s="79">
        <v>-3.150167756158595E-2</v>
      </c>
      <c r="D44" s="33">
        <v>20</v>
      </c>
      <c r="E44" s="66">
        <v>2.4666670000000002</v>
      </c>
      <c r="F44" s="60">
        <v>21</v>
      </c>
      <c r="G44" s="60">
        <v>14</v>
      </c>
      <c r="H44" s="57">
        <v>2.2999999999999998</v>
      </c>
      <c r="I44" s="57">
        <f>(Tabla1[[#This Row],[AVG_MATCH]]-$H$47)/$H$50</f>
        <v>1.6296451355732682</v>
      </c>
      <c r="J44" s="63">
        <f t="shared" si="0"/>
        <v>2.3315016775615858</v>
      </c>
      <c r="K44" s="63">
        <f t="shared" si="1"/>
        <v>2.2177869619216466</v>
      </c>
      <c r="L44" s="63">
        <f t="shared" si="2"/>
        <v>2.445216393201525</v>
      </c>
      <c r="M44" s="49">
        <f t="shared" si="3"/>
        <v>-0.13516532243841439</v>
      </c>
      <c r="N44" s="64">
        <f t="shared" si="4"/>
        <v>-0.16666700000000034</v>
      </c>
      <c r="O44" s="7">
        <v>1</v>
      </c>
      <c r="P44" s="94">
        <f>Tabla1[[#This Row],[AVG_MATCH]]-H43</f>
        <v>2.9999999999999805E-2</v>
      </c>
      <c r="Q44" s="94">
        <f>SUM(P40:P44)</f>
        <v>0.19999999999999973</v>
      </c>
    </row>
    <row r="45" spans="1:22" x14ac:dyDescent="0.25">
      <c r="E45" s="33">
        <v>1.84</v>
      </c>
    </row>
    <row r="46" spans="1:22" ht="30" x14ac:dyDescent="0.25">
      <c r="E46" s="90" t="s">
        <v>39</v>
      </c>
      <c r="F46" s="91" t="s">
        <v>85</v>
      </c>
      <c r="G46" s="91" t="s">
        <v>86</v>
      </c>
      <c r="H46" s="90" t="s">
        <v>40</v>
      </c>
      <c r="I46" s="90"/>
      <c r="J46" s="91" t="s">
        <v>76</v>
      </c>
      <c r="K46" s="92" t="s">
        <v>91</v>
      </c>
      <c r="L46" s="92" t="s">
        <v>90</v>
      </c>
      <c r="M46" s="92" t="s">
        <v>89</v>
      </c>
      <c r="N46" s="93" t="s">
        <v>79</v>
      </c>
      <c r="O46" s="91" t="s">
        <v>84</v>
      </c>
    </row>
    <row r="47" spans="1:22" x14ac:dyDescent="0.25">
      <c r="D47" s="38" t="s">
        <v>92</v>
      </c>
      <c r="E47" s="85">
        <f>AVERAGE(Tabla1[AVG_Q1_Q3])</f>
        <v>1.9516666499999999</v>
      </c>
      <c r="F47" s="85">
        <f>AVERAGE(Tabla1[Diff_Q3])</f>
        <v>-6.45</v>
      </c>
      <c r="G47" s="85">
        <f>AVERAGE(Tabla1[Diff_Final])</f>
        <v>-7.2</v>
      </c>
      <c r="H47" s="85">
        <f>AVERAGE(Tabla1[AVG_MATCH])</f>
        <v>1.9610000000000003</v>
      </c>
      <c r="I47" s="85"/>
      <c r="J47" s="85">
        <f>AVERAGE(Tabla1[Pronóstico])</f>
        <v>1.9610000000000003</v>
      </c>
      <c r="K47" s="85">
        <f>AVERAGE(Tabla1[Pronostico - sdt_error])</f>
        <v>1.8472852843600613</v>
      </c>
      <c r="L47" s="85">
        <f>AVERAGE(Tabla1[Pronostico + sdt_error])</f>
        <v>2.0747147156399395</v>
      </c>
      <c r="M47" s="85">
        <f>AVERAGE(Tabla1[Diferencia entre el pronostico y avg_q1_q3])</f>
        <v>9.3333500000003736E-3</v>
      </c>
      <c r="N47" s="85">
        <f>AVERAGE(Tabla1[↑ Avg_match])</f>
        <v>9.3333499999999955E-3</v>
      </c>
      <c r="O47" s="38" t="s">
        <v>92</v>
      </c>
    </row>
    <row r="48" spans="1:22" x14ac:dyDescent="0.25">
      <c r="D48" s="38" t="s">
        <v>87</v>
      </c>
      <c r="E48" s="87">
        <f>MEDIAN(Tabla1[AVG_Q1_Q3])</f>
        <v>1.95</v>
      </c>
      <c r="F48" s="87">
        <f>MEDIAN(Tabla1[Diff_Q3])</f>
        <v>-6</v>
      </c>
      <c r="G48" s="87">
        <f>MEDIAN(Tabla1[Diff_Final])</f>
        <v>-5</v>
      </c>
      <c r="H48" s="87">
        <f>MEDIAN(Tabla1[AVG_MATCH])</f>
        <v>1.99</v>
      </c>
      <c r="I48" s="87"/>
      <c r="J48" s="87">
        <f>MEDIAN(Tabla1[Pronóstico])</f>
        <v>1.9598009782499997</v>
      </c>
      <c r="K48" s="87">
        <f>MEDIAN(Tabla1[Pronostico - sdt_error])</f>
        <v>1.8460862626100605</v>
      </c>
      <c r="L48" s="87">
        <f>MEDIAN(Tabla1[Pronostico + sdt_error])</f>
        <v>2.0735156938899388</v>
      </c>
      <c r="M48" s="87">
        <f>MEDIAN(Tabla1[Diferencia entre el pronostico y avg_q1_q3])</f>
        <v>9.8009782499995923E-3</v>
      </c>
      <c r="N48" s="87">
        <f>MEDIAN(Tabla1[↑ Avg_match])</f>
        <v>8.3334999999999937E-3</v>
      </c>
      <c r="O48" s="38" t="s">
        <v>87</v>
      </c>
    </row>
    <row r="49" spans="4:24" ht="15.75" thickBot="1" x14ac:dyDescent="0.3">
      <c r="D49" s="38" t="s">
        <v>93</v>
      </c>
      <c r="E49" s="85">
        <f>_xlfn.MODE.SNGL(Tabla1[AVG_Q1_Q3])</f>
        <v>1.8333330000000001</v>
      </c>
      <c r="F49" s="85">
        <f>_xlfn.MODE.SNGL(Tabla1[Diff_Q3])</f>
        <v>-17</v>
      </c>
      <c r="G49" s="85">
        <f>_xlfn.MODE.SNGL(Tabla1[Diff_Final])</f>
        <v>-24</v>
      </c>
      <c r="H49" s="85">
        <f>_xlfn.MODE.SNGL(Tabla1[AVG_MATCH])</f>
        <v>1.8</v>
      </c>
      <c r="I49" s="85"/>
      <c r="J49" s="85">
        <f>_xlfn.MODE.SNGL(Tabla1[Pronóstico])</f>
        <v>1.8758683766195785</v>
      </c>
      <c r="K49" s="85">
        <f>_xlfn.MODE.SNGL(Tabla1[Pronostico - sdt_error])</f>
        <v>1.7621536609796393</v>
      </c>
      <c r="L49" s="85">
        <f>_xlfn.MODE.SNGL(Tabla1[Pronostico + sdt_error])</f>
        <v>1.9895830922595177</v>
      </c>
      <c r="M49" s="85">
        <f>_xlfn.MODE.SNGL(Tabla1[Diferencia entre el pronostico y avg_q1_q3])</f>
        <v>4.2535376619578402E-2</v>
      </c>
      <c r="N49" s="85">
        <f>_xlfn.MODE.SNGL(Tabla1[↑ Avg_match])</f>
        <v>0</v>
      </c>
      <c r="O49" s="38" t="s">
        <v>93</v>
      </c>
      <c r="W49" s="34"/>
      <c r="X49" s="34"/>
    </row>
    <row r="50" spans="4:24" x14ac:dyDescent="0.25">
      <c r="D50" s="38" t="s">
        <v>88</v>
      </c>
      <c r="E50" s="85">
        <f>_xlfn.STDEV.S(Tabla1[AVG_Q1_Q3])</f>
        <v>0.24482370922064561</v>
      </c>
      <c r="F50" s="85">
        <f>_xlfn.STDEV.S(Tabla1[Diff_Q3])</f>
        <v>13.73230919363068</v>
      </c>
      <c r="G50" s="85">
        <f>_xlfn.STDEV.S(Tabla1[Diff_Final])</f>
        <v>15.101760092609631</v>
      </c>
      <c r="H50" s="85">
        <f>_xlfn.STDEV.S(Tabla1[AVG_MATCH])</f>
        <v>0.2080207479530492</v>
      </c>
      <c r="I50" s="85"/>
      <c r="J50" s="85">
        <f>_xlfn.STDEV.S(Tabla1[Pronóstico])</f>
        <v>0.17613113267417965</v>
      </c>
      <c r="K50" s="85">
        <f>_xlfn.STDEV.S(Tabla1[Pronostico - sdt_error])</f>
        <v>0.17613113267417965</v>
      </c>
      <c r="L50" s="85">
        <f>_xlfn.STDEV.S(Tabla1[Pronostico + sdt_error])</f>
        <v>0.17613113267417965</v>
      </c>
      <c r="M50" s="85">
        <f>_xlfn.STDEV.S(Tabla1[Diferencia entre el pronostico y avg_q1_q3])</f>
        <v>6.8692576546466017E-2</v>
      </c>
      <c r="N50" s="85">
        <f>_xlfn.STDEV.S(Tabla1[↑ Avg_match])</f>
        <v>0.13026559697191736</v>
      </c>
      <c r="O50" s="38" t="s">
        <v>88</v>
      </c>
    </row>
    <row r="51" spans="4:24" x14ac:dyDescent="0.25">
      <c r="D51" s="38" t="s">
        <v>95</v>
      </c>
      <c r="E51" s="85">
        <f>_xlfn.VAR.P(Tabla1[AVG_Q1_Q3])</f>
        <v>5.6941716166728044E-2</v>
      </c>
      <c r="F51" s="85">
        <f>_xlfn.VAR.P(Tabla1[Diff_Q3])</f>
        <v>179.14750000000001</v>
      </c>
      <c r="G51" s="85">
        <f>_xlfn.VAR.P(Tabla1[Diff_Final])</f>
        <v>216.66</v>
      </c>
      <c r="H51" s="85">
        <f>_xlfn.VAR.P(Tabla1[AVG_MATCH])</f>
        <v>4.1108999999998445E-2</v>
      </c>
      <c r="I51" s="85"/>
      <c r="J51" s="85">
        <f>_xlfn.VAR.P(Tabla1[Pronóstico])</f>
        <v>2.9471067102235005E-2</v>
      </c>
      <c r="K51" s="85">
        <f>_xlfn.VAR.P(Tabla1[Pronostico - sdt_error])</f>
        <v>2.9471067102235005E-2</v>
      </c>
      <c r="L51" s="85">
        <f>_xlfn.VAR.P(Tabla1[Pronostico + sdt_error])</f>
        <v>2.9471067102235005E-2</v>
      </c>
      <c r="M51" s="85">
        <f>_xlfn.VAR.P(Tabla1[Diferencia entre el pronostico y avg_q1_q3])</f>
        <v>4.4827365689624884E-3</v>
      </c>
      <c r="N51" s="85">
        <f>_xlfn.VAR.P(Tabla1[↑ Avg_match])</f>
        <v>1.6120669466727508E-2</v>
      </c>
      <c r="O51" s="38" t="s">
        <v>95</v>
      </c>
    </row>
    <row r="52" spans="4:24" ht="17.25" x14ac:dyDescent="0.3">
      <c r="D52" s="100" t="s">
        <v>98</v>
      </c>
      <c r="E52" s="89">
        <f>QUARTILE(Tabla1[AVG_Q1_Q3], 1)</f>
        <v>1.79999975</v>
      </c>
      <c r="F52" s="89">
        <f>QUARTILE(Tabla1[Diff_Q3], 1)</f>
        <v>-17.25</v>
      </c>
      <c r="G52" s="89">
        <f>QUARTILE(Tabla1[Diff_Final], 1)</f>
        <v>-24</v>
      </c>
      <c r="H52" s="89">
        <f>QUARTILE(Tabla1[AVG_MATCH], 1)</f>
        <v>1.8</v>
      </c>
      <c r="I52" s="89"/>
      <c r="J52" s="89">
        <f>QUARTILE(Tabla1[Pronóstico], 1)</f>
        <v>1.8518877617645018</v>
      </c>
      <c r="K52" s="89">
        <f>QUARTILE(Tabla1[Pronostico - sdt_error], 1)</f>
        <v>1.7381730461245626</v>
      </c>
      <c r="L52" s="89">
        <f>QUARTILE(Tabla1[Pronostico + sdt_error], 1)</f>
        <v>1.9656024774044409</v>
      </c>
      <c r="M52" s="89">
        <f>QUARTILE(Tabla1[Diferencia entre el pronostico y avg_q1_q3], 1)</f>
        <v>-3.6962337764494646E-2</v>
      </c>
      <c r="N52" s="89">
        <f>QUARTILE(Tabla1[↑ Avg_match], 1)</f>
        <v>-9.2499750000000103E-2</v>
      </c>
      <c r="O52" s="100" t="s">
        <v>98</v>
      </c>
    </row>
    <row r="53" spans="4:24" x14ac:dyDescent="0.25">
      <c r="D53" s="38" t="s">
        <v>99</v>
      </c>
      <c r="E53" s="85">
        <f>QUARTILE(Tabla1[AVG_Q1_Q3], 2)</f>
        <v>1.95</v>
      </c>
      <c r="F53" s="85">
        <f>QUARTILE(Tabla1[Diff_Q3], 2)</f>
        <v>-6</v>
      </c>
      <c r="G53" s="85">
        <f>QUARTILE(Tabla1[Diff_Final], 2)</f>
        <v>-5</v>
      </c>
      <c r="H53" s="85">
        <f>QUARTILE(Tabla1[AVG_MATCH], 2)</f>
        <v>1.99</v>
      </c>
      <c r="I53" s="85"/>
      <c r="J53" s="85">
        <f>QUARTILE(Tabla1[Pronóstico], 2)</f>
        <v>1.9598009782499997</v>
      </c>
      <c r="K53" s="85">
        <f>QUARTILE(Tabla1[Pronostico - sdt_error], 2)</f>
        <v>1.8460862626100605</v>
      </c>
      <c r="L53" s="85">
        <f>QUARTILE(Tabla1[Pronostico + sdt_error], 2)</f>
        <v>2.0735156938899388</v>
      </c>
      <c r="M53" s="85">
        <f>QUARTILE(Tabla1[Diferencia entre el pronostico y avg_q1_q3], 2)</f>
        <v>9.8009782499995923E-3</v>
      </c>
      <c r="N53" s="85">
        <f>QUARTILE(Tabla1[↑ Avg_match], 2)</f>
        <v>8.3334999999999937E-3</v>
      </c>
      <c r="O53" s="38" t="s">
        <v>99</v>
      </c>
    </row>
    <row r="54" spans="4:24" x14ac:dyDescent="0.25">
      <c r="D54" s="38" t="s">
        <v>100</v>
      </c>
      <c r="E54" s="85">
        <f>QUARTILE(Tabla1[AVG_Q1_Q3], 3)</f>
        <v>2.1166667500000003</v>
      </c>
      <c r="F54" s="85">
        <f>QUARTILE(Tabla1[Diff_Q3], 3)</f>
        <v>3.5</v>
      </c>
      <c r="G54" s="85">
        <f>QUARTILE(Tabla1[Diff_Final], 3)</f>
        <v>4.25</v>
      </c>
      <c r="H54" s="85">
        <f>QUARTILE(Tabla1[AVG_MATCH], 3)</f>
        <v>2.105</v>
      </c>
      <c r="I54" s="85"/>
      <c r="J54" s="85">
        <f>QUARTILE(Tabla1[Pronóstico], 3)</f>
        <v>2.0797044122355053</v>
      </c>
      <c r="K54" s="85">
        <f>QUARTILE(Tabla1[Pronostico - sdt_error], 3)</f>
        <v>1.9659896965955661</v>
      </c>
      <c r="L54" s="85">
        <f>QUARTILE(Tabla1[Pronostico + sdt_error], 3)</f>
        <v>2.1934191278754445</v>
      </c>
      <c r="M54" s="85">
        <f>QUARTILE(Tabla1[Diferencia entre el pronostico y avg_q1_q3], 3)</f>
        <v>5.1888011764501696E-2</v>
      </c>
      <c r="N54" s="85">
        <f>QUARTILE(Tabla1[↑ Avg_match], 3)</f>
        <v>9.7500250000000066E-2</v>
      </c>
      <c r="O54" s="38" t="s">
        <v>100</v>
      </c>
    </row>
    <row r="55" spans="4:24" x14ac:dyDescent="0.25">
      <c r="D55" s="38" t="s">
        <v>101</v>
      </c>
      <c r="E55" s="85">
        <f>QUARTILE(Tabla1[AVG_Q1_Q3], 4)</f>
        <v>2.4666670000000002</v>
      </c>
      <c r="F55" s="85">
        <f>QUARTILE(Tabla1[Diff_Q3], 4)</f>
        <v>21</v>
      </c>
      <c r="G55" s="85">
        <f>QUARTILE(Tabla1[Diff_Final], 4)</f>
        <v>17</v>
      </c>
      <c r="H55" s="85">
        <f>QUARTILE(Tabla1[AVG_MATCH], 4)</f>
        <v>2.2999999999999998</v>
      </c>
      <c r="I55" s="85"/>
      <c r="J55" s="85">
        <f>QUARTILE(Tabla1[Pronóstico], 4)</f>
        <v>2.3315016775615858</v>
      </c>
      <c r="K55" s="85">
        <f>QUARTILE(Tabla1[Pronostico - sdt_error], 4)</f>
        <v>2.2177869619216466</v>
      </c>
      <c r="L55" s="85">
        <f>QUARTILE(Tabla1[Pronostico + sdt_error], 4)</f>
        <v>2.445216393201525</v>
      </c>
      <c r="M55" s="85">
        <f>QUARTILE(Tabla1[Diferencia entre el pronostico y avg_q1_q3], 4)</f>
        <v>0.12670930335870478</v>
      </c>
      <c r="N55" s="85">
        <f>QUARTILE(Tabla1[↑ Avg_match], 4)</f>
        <v>0.25333300000000003</v>
      </c>
      <c r="O55" s="38" t="s">
        <v>101</v>
      </c>
    </row>
    <row r="56" spans="4:24" ht="17.25" x14ac:dyDescent="0.3">
      <c r="D56" s="99" t="s">
        <v>112</v>
      </c>
      <c r="E56" s="88">
        <f>E52-E25</f>
        <v>0.26666674999999995</v>
      </c>
      <c r="F56" s="88">
        <f t="shared" ref="F56:N56" si="5">F52-F25</f>
        <v>9.75</v>
      </c>
      <c r="G56" s="88">
        <f t="shared" si="5"/>
        <v>9</v>
      </c>
      <c r="H56" s="88">
        <f t="shared" si="5"/>
        <v>0.28000000000000003</v>
      </c>
      <c r="I56" s="88"/>
      <c r="J56" s="88">
        <f t="shared" si="5"/>
        <v>0.19184545840579692</v>
      </c>
      <c r="K56" s="88">
        <f t="shared" si="5"/>
        <v>0.19184545840579692</v>
      </c>
      <c r="L56" s="88">
        <f t="shared" si="5"/>
        <v>0.19184545840579692</v>
      </c>
      <c r="M56" s="88">
        <f t="shared" si="5"/>
        <v>-0.16367164112319943</v>
      </c>
      <c r="N56" s="88">
        <f t="shared" si="5"/>
        <v>-7.9166750000000063E-2</v>
      </c>
      <c r="O56" s="99" t="s">
        <v>112</v>
      </c>
    </row>
    <row r="57" spans="4:24" x14ac:dyDescent="0.25">
      <c r="D57" s="38" t="s">
        <v>103</v>
      </c>
      <c r="E57" s="49">
        <f t="shared" ref="E57:N57" si="6">E52-E53</f>
        <v>-0.15000024999999995</v>
      </c>
      <c r="F57" s="49">
        <f t="shared" si="6"/>
        <v>-11.25</v>
      </c>
      <c r="G57" s="49">
        <f t="shared" si="6"/>
        <v>-19</v>
      </c>
      <c r="H57" s="49">
        <f t="shared" si="6"/>
        <v>-0.18999999999999995</v>
      </c>
      <c r="I57" s="49"/>
      <c r="J57" s="49">
        <f t="shared" si="6"/>
        <v>-0.1079132164854979</v>
      </c>
      <c r="K57" s="49">
        <f t="shared" si="6"/>
        <v>-0.1079132164854979</v>
      </c>
      <c r="L57" s="49">
        <f t="shared" si="6"/>
        <v>-0.1079132164854979</v>
      </c>
      <c r="M57" s="49">
        <f t="shared" si="6"/>
        <v>-4.6763316014494238E-2</v>
      </c>
      <c r="N57" s="49">
        <f t="shared" si="6"/>
        <v>-0.1008332500000001</v>
      </c>
      <c r="O57" s="38" t="s">
        <v>103</v>
      </c>
    </row>
    <row r="58" spans="4:24" x14ac:dyDescent="0.25">
      <c r="D58" s="38" t="s">
        <v>104</v>
      </c>
      <c r="E58" s="49">
        <f t="shared" ref="E58:N58" si="7">E53-E54</f>
        <v>-0.16666675000000031</v>
      </c>
      <c r="F58" s="49">
        <f t="shared" si="7"/>
        <v>-9.5</v>
      </c>
      <c r="G58" s="49">
        <f t="shared" si="7"/>
        <v>-9.25</v>
      </c>
      <c r="H58" s="49">
        <f t="shared" si="7"/>
        <v>-0.11499999999999999</v>
      </c>
      <c r="I58" s="49"/>
      <c r="J58" s="49">
        <f t="shared" si="7"/>
        <v>-0.11990343398550563</v>
      </c>
      <c r="K58" s="49">
        <f t="shared" si="7"/>
        <v>-0.11990343398550563</v>
      </c>
      <c r="L58" s="49">
        <f t="shared" si="7"/>
        <v>-0.11990343398550563</v>
      </c>
      <c r="M58" s="49">
        <f t="shared" si="7"/>
        <v>-4.2087033514502104E-2</v>
      </c>
      <c r="N58" s="49">
        <f t="shared" si="7"/>
        <v>-8.9166750000000072E-2</v>
      </c>
      <c r="O58" s="38" t="s">
        <v>104</v>
      </c>
    </row>
    <row r="59" spans="4:24" x14ac:dyDescent="0.25">
      <c r="D59" s="38" t="s">
        <v>105</v>
      </c>
      <c r="E59" s="49">
        <f t="shared" ref="E59:N59" si="8">E54-E55</f>
        <v>-0.3500002499999999</v>
      </c>
      <c r="F59" s="49">
        <f t="shared" si="8"/>
        <v>-17.5</v>
      </c>
      <c r="G59" s="49">
        <f t="shared" si="8"/>
        <v>-12.75</v>
      </c>
      <c r="H59" s="49">
        <f t="shared" si="8"/>
        <v>-0.19499999999999984</v>
      </c>
      <c r="I59" s="49"/>
      <c r="J59" s="49">
        <f t="shared" si="8"/>
        <v>-0.25179726532608049</v>
      </c>
      <c r="K59" s="49">
        <f t="shared" si="8"/>
        <v>-0.25179726532608049</v>
      </c>
      <c r="L59" s="49">
        <f t="shared" si="8"/>
        <v>-0.25179726532608049</v>
      </c>
      <c r="M59" s="49">
        <f t="shared" si="8"/>
        <v>-7.4821291594203088E-2</v>
      </c>
      <c r="N59" s="49">
        <f t="shared" si="8"/>
        <v>-0.15583274999999996</v>
      </c>
      <c r="O59" s="38" t="s">
        <v>105</v>
      </c>
    </row>
    <row r="63" spans="4:24" ht="75" x14ac:dyDescent="0.25">
      <c r="D63" s="95" t="s">
        <v>106</v>
      </c>
      <c r="E63" s="96" t="s">
        <v>107</v>
      </c>
      <c r="F63" s="96" t="s">
        <v>39</v>
      </c>
      <c r="G63" s="97" t="s">
        <v>108</v>
      </c>
      <c r="H63" s="97" t="s">
        <v>85</v>
      </c>
      <c r="I63" s="97"/>
      <c r="J63" s="97" t="s">
        <v>86</v>
      </c>
      <c r="K63" s="97" t="s">
        <v>86</v>
      </c>
      <c r="L63" s="96" t="s">
        <v>40</v>
      </c>
      <c r="M63" s="96" t="s">
        <v>40</v>
      </c>
      <c r="N63" s="97" t="s">
        <v>76</v>
      </c>
      <c r="O63" s="97" t="s">
        <v>76</v>
      </c>
      <c r="P63" s="98" t="s">
        <v>91</v>
      </c>
      <c r="Q63" s="98" t="s">
        <v>91</v>
      </c>
      <c r="R63" s="98" t="s">
        <v>90</v>
      </c>
      <c r="S63" s="98" t="s">
        <v>90</v>
      </c>
      <c r="T63" s="98" t="s">
        <v>110</v>
      </c>
      <c r="U63" s="98" t="s">
        <v>89</v>
      </c>
      <c r="V63" s="97" t="s">
        <v>79</v>
      </c>
      <c r="W63" s="97" t="s">
        <v>79</v>
      </c>
    </row>
    <row r="64" spans="4:24" x14ac:dyDescent="0.25">
      <c r="D64" s="2">
        <v>1</v>
      </c>
      <c r="E64" s="84">
        <f>E25</f>
        <v>1.5333330000000001</v>
      </c>
      <c r="F64" s="2">
        <f t="shared" ref="F64:F83" si="9">_xlfn.NORM.DIST(E25,E$47,E$50,0)</f>
        <v>0.37848718154391015</v>
      </c>
      <c r="G64" s="2">
        <f>F25</f>
        <v>-27</v>
      </c>
      <c r="H64" s="2">
        <f t="shared" ref="H64:H83" si="10">_xlfn.NORM.DIST(F25,F$47,F$50,0)</f>
        <v>9.4815982756885613E-3</v>
      </c>
      <c r="I64" s="2"/>
      <c r="J64" s="2">
        <f>G25</f>
        <v>-33</v>
      </c>
      <c r="K64" s="2">
        <f t="shared" ref="K64:K83" si="11">_xlfn.NORM.DIST(G25,G$47,G$50,0)</f>
        <v>6.1390674620291977E-3</v>
      </c>
      <c r="L64" s="6">
        <f>H25</f>
        <v>1.52</v>
      </c>
      <c r="M64" s="2">
        <f t="shared" ref="M64:M83" si="12">_xlfn.NORM.DIST(H25,H$47,H$50,0)</f>
        <v>0.20270968232712597</v>
      </c>
      <c r="N64" s="85" cm="1">
        <f t="array" ref="N64:N83">Tabla1[Pronóstico]</f>
        <v>1.6600423033587048</v>
      </c>
      <c r="O64" s="2">
        <f t="shared" ref="O64:O83" si="13">_xlfn.NORM.DIST(J25,J$47,J$50,0)</f>
        <v>0.52610026558713063</v>
      </c>
      <c r="P64" s="85">
        <f>K25</f>
        <v>1.5463275877187657</v>
      </c>
      <c r="Q64" s="2">
        <f t="shared" ref="Q64:Q83" si="14">_xlfn.NORM.DIST(K25,K$47,K$50,0)</f>
        <v>0.5261002655871293</v>
      </c>
      <c r="R64" s="85">
        <f>L25</f>
        <v>1.773757018998644</v>
      </c>
      <c r="S64" s="2">
        <f t="shared" ref="S64:S83" si="15">_xlfn.NORM.DIST(L25,L$47,L$50,0)</f>
        <v>0.52610026558713063</v>
      </c>
      <c r="T64" s="85">
        <f>M25</f>
        <v>0.12670930335870478</v>
      </c>
      <c r="U64" s="2">
        <f t="shared" ref="U64:U83" si="16">_xlfn.NORM.DIST(M25,M$47,M$50,0)</f>
        <v>1.3489468634994033</v>
      </c>
      <c r="V64" s="86">
        <f>N25</f>
        <v>-1.3333000000000039E-2</v>
      </c>
      <c r="W64" s="2">
        <f t="shared" ref="W64:W83" si="17">_xlfn.NORM.DIST(N25,N$47,N$50,0)</f>
        <v>3.0165178732957054</v>
      </c>
    </row>
    <row r="65" spans="4:23" x14ac:dyDescent="0.25">
      <c r="D65" s="2">
        <v>2</v>
      </c>
      <c r="E65" s="84">
        <f t="shared" ref="E65:E83" si="18">E26</f>
        <v>1.8666670000000001</v>
      </c>
      <c r="F65" s="2">
        <f t="shared" si="9"/>
        <v>1.5341997107363519</v>
      </c>
      <c r="G65" s="2">
        <f t="shared" ref="G65:G83" si="19">F26</f>
        <v>-18</v>
      </c>
      <c r="H65" s="2">
        <f t="shared" si="10"/>
        <v>2.0396346083724894E-2</v>
      </c>
      <c r="I65" s="2"/>
      <c r="J65" s="2">
        <f t="shared" ref="J65:J83" si="20">G26</f>
        <v>-26</v>
      </c>
      <c r="K65" s="2">
        <f t="shared" si="11"/>
        <v>1.2171928687779259E-2</v>
      </c>
      <c r="L65" s="6">
        <f t="shared" ref="L65:L83" si="21">H26</f>
        <v>1.68</v>
      </c>
      <c r="M65" s="2">
        <f t="shared" si="12"/>
        <v>0.7701364345222681</v>
      </c>
      <c r="N65" s="2">
        <v>1.8998495310398384</v>
      </c>
      <c r="O65" s="2">
        <f t="shared" si="13"/>
        <v>2.1325500958569519</v>
      </c>
      <c r="P65" s="85">
        <f t="shared" ref="P65:P83" si="22">K26</f>
        <v>1.7861348153998993</v>
      </c>
      <c r="Q65" s="2">
        <f t="shared" si="14"/>
        <v>2.132550095856951</v>
      </c>
      <c r="R65" s="85">
        <f t="shared" ref="R65:R83" si="23">L26</f>
        <v>2.0135642466797776</v>
      </c>
      <c r="S65" s="2">
        <f t="shared" si="15"/>
        <v>2.1325500958569519</v>
      </c>
      <c r="T65" s="85">
        <f t="shared" ref="T65:T83" si="24">M26</f>
        <v>3.318253103983837E-2</v>
      </c>
      <c r="U65" s="2">
        <f t="shared" si="16"/>
        <v>5.4679629554096083</v>
      </c>
      <c r="V65" s="86">
        <f t="shared" ref="V65:V83" si="25">N26</f>
        <v>-0.18666700000000014</v>
      </c>
      <c r="W65" s="2">
        <f t="shared" si="17"/>
        <v>0.98737949621175025</v>
      </c>
    </row>
    <row r="66" spans="4:23" x14ac:dyDescent="0.25">
      <c r="D66" s="2">
        <v>3</v>
      </c>
      <c r="E66" s="84">
        <f t="shared" si="18"/>
        <v>1.6333329999999999</v>
      </c>
      <c r="F66" s="2">
        <f t="shared" si="9"/>
        <v>0.69973380301261467</v>
      </c>
      <c r="G66" s="2">
        <f t="shared" si="19"/>
        <v>-17</v>
      </c>
      <c r="H66" s="2">
        <f t="shared" si="10"/>
        <v>2.1627220669215345E-2</v>
      </c>
      <c r="I66" s="2"/>
      <c r="J66" s="2">
        <f t="shared" si="20"/>
        <v>-14</v>
      </c>
      <c r="K66" s="2">
        <f t="shared" si="11"/>
        <v>2.3870180912323256E-2</v>
      </c>
      <c r="L66" s="6">
        <f t="shared" si="21"/>
        <v>1.73</v>
      </c>
      <c r="M66" s="2">
        <f t="shared" si="12"/>
        <v>1.035217325829078</v>
      </c>
      <c r="N66" s="2">
        <v>1.7319843277789959</v>
      </c>
      <c r="O66" s="2">
        <f t="shared" si="13"/>
        <v>0.97263568637534081</v>
      </c>
      <c r="P66" s="85">
        <f t="shared" si="22"/>
        <v>1.6182696121390567</v>
      </c>
      <c r="Q66" s="2">
        <f t="shared" si="14"/>
        <v>0.97263568637533937</v>
      </c>
      <c r="R66" s="85">
        <f t="shared" si="23"/>
        <v>1.8456990434189351</v>
      </c>
      <c r="S66" s="2">
        <f t="shared" si="15"/>
        <v>0.97263568637534081</v>
      </c>
      <c r="T66" s="85">
        <f t="shared" si="24"/>
        <v>9.865132777899599E-2</v>
      </c>
      <c r="U66" s="2">
        <f t="shared" si="16"/>
        <v>2.4938855657093626</v>
      </c>
      <c r="V66" s="86">
        <f t="shared" si="25"/>
        <v>9.6667000000000058E-2</v>
      </c>
      <c r="W66" s="2">
        <f t="shared" si="17"/>
        <v>2.4461240474608807</v>
      </c>
    </row>
    <row r="67" spans="4:23" x14ac:dyDescent="0.25">
      <c r="D67" s="2">
        <v>4</v>
      </c>
      <c r="E67" s="84">
        <f t="shared" si="18"/>
        <v>1.8333330000000001</v>
      </c>
      <c r="F67" s="2">
        <f t="shared" si="9"/>
        <v>1.449862128690631</v>
      </c>
      <c r="G67" s="2">
        <f t="shared" si="19"/>
        <v>-17</v>
      </c>
      <c r="H67" s="2">
        <f t="shared" si="10"/>
        <v>2.1627220669215345E-2</v>
      </c>
      <c r="I67" s="2"/>
      <c r="J67" s="2">
        <f t="shared" si="20"/>
        <v>-24</v>
      </c>
      <c r="K67" s="2">
        <f t="shared" si="11"/>
        <v>1.422825084044921E-2</v>
      </c>
      <c r="L67" s="6">
        <f t="shared" si="21"/>
        <v>1.75</v>
      </c>
      <c r="M67" s="2">
        <f t="shared" si="12"/>
        <v>1.1465465958867522</v>
      </c>
      <c r="N67" s="2">
        <v>1.8758683766195785</v>
      </c>
      <c r="O67" s="2">
        <f t="shared" si="13"/>
        <v>2.0153201697806238</v>
      </c>
      <c r="P67" s="85">
        <f t="shared" si="22"/>
        <v>1.7621536609796393</v>
      </c>
      <c r="Q67" s="2">
        <f t="shared" si="14"/>
        <v>2.0153201697806229</v>
      </c>
      <c r="R67" s="85">
        <f t="shared" si="23"/>
        <v>1.9895830922595177</v>
      </c>
      <c r="S67" s="2">
        <f t="shared" si="15"/>
        <v>2.0153201697806238</v>
      </c>
      <c r="T67" s="85">
        <f t="shared" si="24"/>
        <v>4.2535376619578402E-2</v>
      </c>
      <c r="U67" s="2">
        <f t="shared" si="16"/>
        <v>5.1673796798766718</v>
      </c>
      <c r="V67" s="86">
        <f t="shared" si="25"/>
        <v>-8.3333000000000101E-2</v>
      </c>
      <c r="W67" s="2">
        <f t="shared" si="17"/>
        <v>2.3779087929111613</v>
      </c>
    </row>
    <row r="68" spans="4:23" x14ac:dyDescent="0.25">
      <c r="D68" s="2">
        <v>5</v>
      </c>
      <c r="E68" s="84">
        <f t="shared" si="18"/>
        <v>1.7</v>
      </c>
      <c r="F68" s="2">
        <f t="shared" si="9"/>
        <v>0.96072915274485715</v>
      </c>
      <c r="G68" s="2">
        <f t="shared" si="19"/>
        <v>-12</v>
      </c>
      <c r="H68" s="2">
        <f t="shared" si="10"/>
        <v>2.6773006917455267E-2</v>
      </c>
      <c r="I68" s="2"/>
      <c r="J68" s="2">
        <f t="shared" si="20"/>
        <v>-25</v>
      </c>
      <c r="K68" s="2">
        <f t="shared" si="11"/>
        <v>1.318887015432442E-2</v>
      </c>
      <c r="L68" s="6">
        <f t="shared" si="21"/>
        <v>1.8</v>
      </c>
      <c r="M68" s="2">
        <f t="shared" si="12"/>
        <v>1.4214406591449196</v>
      </c>
      <c r="N68" s="2">
        <v>1.7799459171992715</v>
      </c>
      <c r="O68" s="2">
        <f t="shared" si="13"/>
        <v>1.3354213486295559</v>
      </c>
      <c r="P68" s="85">
        <f t="shared" si="22"/>
        <v>1.6662312015593324</v>
      </c>
      <c r="Q68" s="2">
        <f t="shared" si="14"/>
        <v>1.3354213486295541</v>
      </c>
      <c r="R68" s="85">
        <f t="shared" si="23"/>
        <v>1.8936606328392107</v>
      </c>
      <c r="S68" s="2">
        <f t="shared" si="15"/>
        <v>1.3354213486295559</v>
      </c>
      <c r="T68" s="85">
        <f t="shared" si="24"/>
        <v>7.9945917199271577E-2</v>
      </c>
      <c r="U68" s="2">
        <f t="shared" si="16"/>
        <v>3.42408578272356</v>
      </c>
      <c r="V68" s="86">
        <f t="shared" si="25"/>
        <v>0.10000000000000009</v>
      </c>
      <c r="W68" s="2">
        <f t="shared" si="17"/>
        <v>2.4037349043607303</v>
      </c>
    </row>
    <row r="69" spans="4:23" x14ac:dyDescent="0.25">
      <c r="D69" s="2">
        <v>6</v>
      </c>
      <c r="E69" s="84">
        <f t="shared" si="18"/>
        <v>1.8333330000000001</v>
      </c>
      <c r="F69" s="2">
        <f t="shared" si="9"/>
        <v>1.449862128690631</v>
      </c>
      <c r="G69" s="2">
        <f t="shared" si="19"/>
        <v>-23</v>
      </c>
      <c r="H69" s="2">
        <f t="shared" si="10"/>
        <v>1.4052882674752496E-2</v>
      </c>
      <c r="I69" s="2"/>
      <c r="J69" s="2">
        <f t="shared" si="20"/>
        <v>-11</v>
      </c>
      <c r="K69" s="2">
        <f t="shared" si="11"/>
        <v>2.5593733827457013E-2</v>
      </c>
      <c r="L69" s="6">
        <f t="shared" si="21"/>
        <v>1.8</v>
      </c>
      <c r="M69" s="2">
        <f t="shared" si="12"/>
        <v>1.4214406591449196</v>
      </c>
      <c r="N69" s="2">
        <v>1.8758683766195785</v>
      </c>
      <c r="O69" s="2">
        <f t="shared" si="13"/>
        <v>2.0153201697806238</v>
      </c>
      <c r="P69" s="85">
        <f t="shared" si="22"/>
        <v>1.7621536609796393</v>
      </c>
      <c r="Q69" s="2">
        <f t="shared" si="14"/>
        <v>2.0153201697806229</v>
      </c>
      <c r="R69" s="85">
        <f t="shared" si="23"/>
        <v>1.9895830922595177</v>
      </c>
      <c r="S69" s="2">
        <f t="shared" si="15"/>
        <v>2.0153201697806238</v>
      </c>
      <c r="T69" s="85">
        <f t="shared" si="24"/>
        <v>4.2535376619578402E-2</v>
      </c>
      <c r="U69" s="2">
        <f t="shared" si="16"/>
        <v>5.1673796798766718</v>
      </c>
      <c r="V69" s="86">
        <f t="shared" si="25"/>
        <v>-3.3333000000000057E-2</v>
      </c>
      <c r="W69" s="2">
        <f t="shared" si="17"/>
        <v>2.9025864572035731</v>
      </c>
    </row>
    <row r="70" spans="4:23" x14ac:dyDescent="0.25">
      <c r="D70" s="2">
        <v>7</v>
      </c>
      <c r="E70" s="84">
        <f t="shared" si="18"/>
        <v>2</v>
      </c>
      <c r="F70" s="2">
        <f t="shared" si="9"/>
        <v>1.598060675002106</v>
      </c>
      <c r="G70" s="2">
        <f t="shared" si="19"/>
        <v>10</v>
      </c>
      <c r="H70" s="2">
        <f t="shared" si="10"/>
        <v>1.4176381717808982E-2</v>
      </c>
      <c r="I70" s="2"/>
      <c r="J70" s="2">
        <f t="shared" si="20"/>
        <v>0</v>
      </c>
      <c r="K70" s="2">
        <f t="shared" si="11"/>
        <v>2.3578911181842882E-2</v>
      </c>
      <c r="L70" s="6">
        <f t="shared" si="21"/>
        <v>1.85</v>
      </c>
      <c r="M70" s="2">
        <f t="shared" si="12"/>
        <v>1.6633175143697303</v>
      </c>
      <c r="N70" s="2">
        <v>1.9957719904601452</v>
      </c>
      <c r="O70" s="2">
        <f t="shared" si="13"/>
        <v>2.2213173564120239</v>
      </c>
      <c r="P70" s="85">
        <f t="shared" si="22"/>
        <v>1.882057274820206</v>
      </c>
      <c r="Q70" s="2">
        <f t="shared" si="14"/>
        <v>2.2213173564120248</v>
      </c>
      <c r="R70" s="85">
        <f t="shared" si="23"/>
        <v>2.1094867061000846</v>
      </c>
      <c r="S70" s="2">
        <f t="shared" si="15"/>
        <v>2.2213173564120234</v>
      </c>
      <c r="T70" s="85">
        <f t="shared" si="24"/>
        <v>-4.2280095398548045E-3</v>
      </c>
      <c r="U70" s="2">
        <f t="shared" si="16"/>
        <v>5.6955665616795432</v>
      </c>
      <c r="V70" s="86">
        <f t="shared" si="25"/>
        <v>-0.14999999999999991</v>
      </c>
      <c r="W70" s="2">
        <f t="shared" si="17"/>
        <v>1.4494771345150983</v>
      </c>
    </row>
    <row r="71" spans="4:23" x14ac:dyDescent="0.25">
      <c r="D71" s="2">
        <v>8</v>
      </c>
      <c r="E71" s="84">
        <f t="shared" si="18"/>
        <v>1.7</v>
      </c>
      <c r="F71" s="2">
        <f t="shared" si="9"/>
        <v>0.96072915274485715</v>
      </c>
      <c r="G71" s="2">
        <f t="shared" si="19"/>
        <v>-5</v>
      </c>
      <c r="H71" s="2">
        <f t="shared" si="10"/>
        <v>2.8889860564049234E-2</v>
      </c>
      <c r="I71" s="2"/>
      <c r="J71" s="2">
        <f t="shared" si="20"/>
        <v>-5</v>
      </c>
      <c r="K71" s="2">
        <f t="shared" si="11"/>
        <v>2.6138108640839215E-2</v>
      </c>
      <c r="L71" s="6">
        <f t="shared" si="21"/>
        <v>1.9</v>
      </c>
      <c r="M71" s="2">
        <f t="shared" si="12"/>
        <v>1.8370923521050002</v>
      </c>
      <c r="N71" s="2">
        <v>1.7799459171992715</v>
      </c>
      <c r="O71" s="2">
        <f t="shared" si="13"/>
        <v>1.3354213486295559</v>
      </c>
      <c r="P71" s="85">
        <f t="shared" si="22"/>
        <v>1.6662312015593324</v>
      </c>
      <c r="Q71" s="2">
        <f t="shared" si="14"/>
        <v>1.3354213486295541</v>
      </c>
      <c r="R71" s="85">
        <f t="shared" si="23"/>
        <v>1.8936606328392107</v>
      </c>
      <c r="S71" s="2">
        <f t="shared" si="15"/>
        <v>1.3354213486295559</v>
      </c>
      <c r="T71" s="85">
        <f t="shared" si="24"/>
        <v>7.9945917199271577E-2</v>
      </c>
      <c r="U71" s="2">
        <f t="shared" si="16"/>
        <v>3.42408578272356</v>
      </c>
      <c r="V71" s="86">
        <f t="shared" si="25"/>
        <v>0.19999999999999996</v>
      </c>
      <c r="W71" s="2">
        <f t="shared" si="17"/>
        <v>1.0492413311341031</v>
      </c>
    </row>
    <row r="72" spans="4:23" x14ac:dyDescent="0.25">
      <c r="D72" s="2">
        <v>9</v>
      </c>
      <c r="E72" s="84">
        <f t="shared" si="18"/>
        <v>1.6666669999999999</v>
      </c>
      <c r="F72" s="2">
        <f t="shared" si="9"/>
        <v>0.82754829051508738</v>
      </c>
      <c r="G72" s="2">
        <f t="shared" si="19"/>
        <v>-7</v>
      </c>
      <c r="H72" s="2">
        <f t="shared" si="10"/>
        <v>2.90280699630222E-2</v>
      </c>
      <c r="I72" s="2"/>
      <c r="J72" s="2">
        <f t="shared" si="20"/>
        <v>3</v>
      </c>
      <c r="K72" s="2">
        <f t="shared" si="11"/>
        <v>2.1029174504663906E-2</v>
      </c>
      <c r="L72" s="6">
        <f t="shared" si="21"/>
        <v>1.92</v>
      </c>
      <c r="M72" s="2">
        <f t="shared" si="12"/>
        <v>1.8809097304873226</v>
      </c>
      <c r="N72" s="2">
        <v>1.7559654821992559</v>
      </c>
      <c r="O72" s="2">
        <f t="shared" si="13"/>
        <v>1.1502988652091339</v>
      </c>
      <c r="P72" s="85">
        <f t="shared" si="22"/>
        <v>1.6422507665593167</v>
      </c>
      <c r="Q72" s="2">
        <f t="shared" si="14"/>
        <v>1.1502988652091324</v>
      </c>
      <c r="R72" s="85">
        <f t="shared" si="23"/>
        <v>1.869680197839195</v>
      </c>
      <c r="S72" s="2">
        <f t="shared" si="15"/>
        <v>1.1502988652091339</v>
      </c>
      <c r="T72" s="85">
        <f t="shared" si="24"/>
        <v>8.9298482199255957E-2</v>
      </c>
      <c r="U72" s="2">
        <f t="shared" si="16"/>
        <v>2.9494226629577676</v>
      </c>
      <c r="V72" s="86">
        <f t="shared" si="25"/>
        <v>0.25333300000000003</v>
      </c>
      <c r="W72" s="2">
        <f t="shared" si="17"/>
        <v>0.52993633346610269</v>
      </c>
    </row>
    <row r="73" spans="4:23" x14ac:dyDescent="0.25">
      <c r="D73" s="2">
        <v>10</v>
      </c>
      <c r="E73" s="84">
        <f t="shared" si="18"/>
        <v>1.9</v>
      </c>
      <c r="F73" s="2">
        <f t="shared" si="9"/>
        <v>1.593623290461206</v>
      </c>
      <c r="G73" s="2">
        <f t="shared" si="19"/>
        <v>-14</v>
      </c>
      <c r="H73" s="2">
        <f t="shared" si="10"/>
        <v>2.4976272615379932E-2</v>
      </c>
      <c r="I73" s="2"/>
      <c r="J73" s="2">
        <f t="shared" si="20"/>
        <v>-13</v>
      </c>
      <c r="K73" s="2">
        <f t="shared" si="11"/>
        <v>2.4538760932965628E-2</v>
      </c>
      <c r="L73" s="6">
        <f t="shared" si="21"/>
        <v>1.98</v>
      </c>
      <c r="M73" s="2">
        <f t="shared" si="12"/>
        <v>1.9098175110954752</v>
      </c>
      <c r="N73" s="2">
        <v>1.9238299660398539</v>
      </c>
      <c r="O73" s="2">
        <f t="shared" si="13"/>
        <v>2.2151493557522479</v>
      </c>
      <c r="P73" s="85">
        <f t="shared" si="22"/>
        <v>1.8101152503999147</v>
      </c>
      <c r="Q73" s="2">
        <f t="shared" si="14"/>
        <v>2.2151493557522475</v>
      </c>
      <c r="R73" s="85">
        <f t="shared" si="23"/>
        <v>2.0375446816797931</v>
      </c>
      <c r="S73" s="2">
        <f t="shared" si="15"/>
        <v>2.2151493557522479</v>
      </c>
      <c r="T73" s="85">
        <f t="shared" si="24"/>
        <v>2.3829966039853989E-2</v>
      </c>
      <c r="U73" s="2">
        <f t="shared" si="16"/>
        <v>5.6797515057133916</v>
      </c>
      <c r="V73" s="86">
        <f t="shared" si="25"/>
        <v>8.0000000000000071E-2</v>
      </c>
      <c r="W73" s="2">
        <f t="shared" si="17"/>
        <v>2.643485594010996</v>
      </c>
    </row>
    <row r="74" spans="4:23" x14ac:dyDescent="0.25">
      <c r="D74" s="2">
        <v>11</v>
      </c>
      <c r="E74" s="84">
        <f t="shared" si="18"/>
        <v>1.8333330000000001</v>
      </c>
      <c r="F74" s="2">
        <f t="shared" si="9"/>
        <v>1.449862128690631</v>
      </c>
      <c r="G74" s="2">
        <f t="shared" si="19"/>
        <v>-24</v>
      </c>
      <c r="H74" s="2">
        <f t="shared" si="10"/>
        <v>1.2838047513945301E-2</v>
      </c>
      <c r="I74" s="2"/>
      <c r="J74" s="2">
        <f t="shared" si="20"/>
        <v>-24</v>
      </c>
      <c r="K74" s="2">
        <f t="shared" si="11"/>
        <v>1.422825084044921E-2</v>
      </c>
      <c r="L74" s="6">
        <f t="shared" si="21"/>
        <v>2</v>
      </c>
      <c r="M74" s="2">
        <f t="shared" si="12"/>
        <v>1.8843902666019658</v>
      </c>
      <c r="N74" s="2">
        <v>1.8758683766195785</v>
      </c>
      <c r="O74" s="2">
        <f t="shared" si="13"/>
        <v>2.0153201697806238</v>
      </c>
      <c r="P74" s="85">
        <f t="shared" si="22"/>
        <v>1.7621536609796393</v>
      </c>
      <c r="Q74" s="2">
        <f t="shared" si="14"/>
        <v>2.0153201697806229</v>
      </c>
      <c r="R74" s="85">
        <f t="shared" si="23"/>
        <v>1.9895830922595177</v>
      </c>
      <c r="S74" s="2">
        <f t="shared" si="15"/>
        <v>2.0153201697806238</v>
      </c>
      <c r="T74" s="85">
        <f t="shared" si="24"/>
        <v>4.2535376619578402E-2</v>
      </c>
      <c r="U74" s="2">
        <f t="shared" si="16"/>
        <v>5.1673796798766718</v>
      </c>
      <c r="V74" s="86">
        <f t="shared" si="25"/>
        <v>0.1666669999999999</v>
      </c>
      <c r="W74" s="2">
        <f t="shared" si="17"/>
        <v>1.4767761832945094</v>
      </c>
    </row>
    <row r="75" spans="4:23" x14ac:dyDescent="0.25">
      <c r="D75" s="2">
        <v>12</v>
      </c>
      <c r="E75" s="84">
        <f t="shared" si="18"/>
        <v>2</v>
      </c>
      <c r="F75" s="2">
        <f t="shared" si="9"/>
        <v>1.598060675002106</v>
      </c>
      <c r="G75" s="2">
        <f t="shared" si="19"/>
        <v>8</v>
      </c>
      <c r="H75" s="2">
        <f t="shared" si="10"/>
        <v>1.6700467451782476E-2</v>
      </c>
      <c r="I75" s="2"/>
      <c r="J75" s="2">
        <f t="shared" si="20"/>
        <v>-1</v>
      </c>
      <c r="K75" s="2">
        <f t="shared" si="11"/>
        <v>2.4281883700110172E-2</v>
      </c>
      <c r="L75" s="6">
        <f t="shared" si="21"/>
        <v>2</v>
      </c>
      <c r="M75" s="2">
        <f t="shared" si="12"/>
        <v>1.8843902666019658</v>
      </c>
      <c r="N75" s="2">
        <v>1.9957719904601452</v>
      </c>
      <c r="O75" s="2">
        <f t="shared" si="13"/>
        <v>2.2213173564120239</v>
      </c>
      <c r="P75" s="85">
        <f t="shared" si="22"/>
        <v>1.882057274820206</v>
      </c>
      <c r="Q75" s="2">
        <f t="shared" si="14"/>
        <v>2.2213173564120248</v>
      </c>
      <c r="R75" s="85">
        <f t="shared" si="23"/>
        <v>2.1094867061000846</v>
      </c>
      <c r="S75" s="2">
        <f t="shared" si="15"/>
        <v>2.2213173564120234</v>
      </c>
      <c r="T75" s="85">
        <f t="shared" si="24"/>
        <v>-4.2280095398548045E-3</v>
      </c>
      <c r="U75" s="2">
        <f t="shared" si="16"/>
        <v>5.6955665616795432</v>
      </c>
      <c r="V75" s="86">
        <f t="shared" si="25"/>
        <v>0</v>
      </c>
      <c r="W75" s="2">
        <f t="shared" si="17"/>
        <v>3.0546791533494835</v>
      </c>
    </row>
    <row r="76" spans="4:23" x14ac:dyDescent="0.25">
      <c r="D76" s="2">
        <v>13</v>
      </c>
      <c r="E76" s="84">
        <f t="shared" si="18"/>
        <v>2.0333329999999998</v>
      </c>
      <c r="F76" s="2">
        <f t="shared" si="9"/>
        <v>1.5413261581291893</v>
      </c>
      <c r="G76" s="2">
        <f t="shared" si="19"/>
        <v>-2</v>
      </c>
      <c r="H76" s="2">
        <f t="shared" si="10"/>
        <v>2.7565364800465203E-2</v>
      </c>
      <c r="I76" s="2"/>
      <c r="J76" s="2">
        <f t="shared" si="20"/>
        <v>5</v>
      </c>
      <c r="K76" s="2">
        <f t="shared" si="11"/>
        <v>1.9061914306644844E-2</v>
      </c>
      <c r="L76" s="6">
        <f t="shared" si="21"/>
        <v>2.0499999999999998</v>
      </c>
      <c r="M76" s="2">
        <f t="shared" si="12"/>
        <v>1.7500678510540835</v>
      </c>
      <c r="N76" s="2">
        <v>2.0197524254601609</v>
      </c>
      <c r="O76" s="2">
        <f t="shared" si="13"/>
        <v>2.1424559157866265</v>
      </c>
      <c r="P76" s="85">
        <f t="shared" si="22"/>
        <v>1.9060377098202217</v>
      </c>
      <c r="Q76" s="2">
        <f t="shared" si="14"/>
        <v>2.1424559157866274</v>
      </c>
      <c r="R76" s="85">
        <f t="shared" si="23"/>
        <v>2.1334671411001001</v>
      </c>
      <c r="S76" s="2">
        <f t="shared" si="15"/>
        <v>2.1424559157866265</v>
      </c>
      <c r="T76" s="85">
        <f t="shared" si="24"/>
        <v>-1.3580574539838963E-2</v>
      </c>
      <c r="U76" s="2">
        <f t="shared" si="16"/>
        <v>5.4933619631626582</v>
      </c>
      <c r="V76" s="86">
        <f t="shared" si="25"/>
        <v>1.6666999999999987E-2</v>
      </c>
      <c r="W76" s="2">
        <f t="shared" si="17"/>
        <v>3.0576804690893216</v>
      </c>
    </row>
    <row r="77" spans="4:23" x14ac:dyDescent="0.25">
      <c r="D77" s="2">
        <v>14</v>
      </c>
      <c r="E77" s="84">
        <f t="shared" si="18"/>
        <v>2.2000000000000002</v>
      </c>
      <c r="F77" s="2">
        <f t="shared" si="9"/>
        <v>0.9741794202488554</v>
      </c>
      <c r="G77" s="2">
        <f t="shared" si="19"/>
        <v>-3</v>
      </c>
      <c r="H77" s="2">
        <f t="shared" si="10"/>
        <v>2.814885033204546E-2</v>
      </c>
      <c r="I77" s="2"/>
      <c r="J77" s="2">
        <f t="shared" si="20"/>
        <v>-5</v>
      </c>
      <c r="K77" s="2">
        <f t="shared" si="11"/>
        <v>2.6138108640839215E-2</v>
      </c>
      <c r="L77" s="6">
        <f t="shared" si="21"/>
        <v>2.08</v>
      </c>
      <c r="M77" s="2">
        <f t="shared" si="12"/>
        <v>1.6283277361213566</v>
      </c>
      <c r="N77" s="2">
        <v>2.1396560393007276</v>
      </c>
      <c r="O77" s="2">
        <f t="shared" si="13"/>
        <v>1.3541173300289966</v>
      </c>
      <c r="P77" s="85">
        <f t="shared" si="22"/>
        <v>2.0259413236607884</v>
      </c>
      <c r="Q77" s="2">
        <f t="shared" si="14"/>
        <v>1.3541173300289984</v>
      </c>
      <c r="R77" s="85">
        <f t="shared" si="23"/>
        <v>2.2533707549406667</v>
      </c>
      <c r="S77" s="2">
        <f t="shared" si="15"/>
        <v>1.3541173300289966</v>
      </c>
      <c r="T77" s="85">
        <f t="shared" si="24"/>
        <v>-6.0343960699272614E-2</v>
      </c>
      <c r="U77" s="2">
        <f t="shared" si="16"/>
        <v>3.4720231952634828</v>
      </c>
      <c r="V77" s="86">
        <f t="shared" si="25"/>
        <v>-0.12000000000000011</v>
      </c>
      <c r="W77" s="2">
        <f t="shared" si="17"/>
        <v>1.8708113756679674</v>
      </c>
    </row>
    <row r="78" spans="4:23" x14ac:dyDescent="0.25">
      <c r="D78" s="2">
        <v>15</v>
      </c>
      <c r="E78" s="84">
        <f t="shared" si="18"/>
        <v>2.2999999999999998</v>
      </c>
      <c r="F78" s="2">
        <f t="shared" si="9"/>
        <v>0.59221177833892891</v>
      </c>
      <c r="G78" s="2">
        <f t="shared" si="19"/>
        <v>11</v>
      </c>
      <c r="H78" s="2">
        <f t="shared" si="10"/>
        <v>1.2957739914983276E-2</v>
      </c>
      <c r="I78" s="2"/>
      <c r="J78" s="2">
        <f t="shared" si="20"/>
        <v>17</v>
      </c>
      <c r="K78" s="2">
        <f t="shared" si="11"/>
        <v>7.3159936566478036E-3</v>
      </c>
      <c r="L78" s="6">
        <f t="shared" si="21"/>
        <v>2.1</v>
      </c>
      <c r="M78" s="2">
        <f t="shared" si="12"/>
        <v>1.5340811137756472</v>
      </c>
      <c r="N78" s="2">
        <v>2.2115980637210186</v>
      </c>
      <c r="O78" s="2">
        <f t="shared" si="13"/>
        <v>0.82317919618049562</v>
      </c>
      <c r="P78" s="85">
        <f t="shared" si="22"/>
        <v>2.0978833480810795</v>
      </c>
      <c r="Q78" s="2">
        <f t="shared" si="14"/>
        <v>0.82317919618049706</v>
      </c>
      <c r="R78" s="85">
        <f t="shared" si="23"/>
        <v>2.3253127793609578</v>
      </c>
      <c r="S78" s="2">
        <f t="shared" si="15"/>
        <v>0.82317919618049562</v>
      </c>
      <c r="T78" s="85">
        <f t="shared" si="24"/>
        <v>-8.8401936278981186E-2</v>
      </c>
      <c r="U78" s="2">
        <f t="shared" si="16"/>
        <v>2.1106718004530913</v>
      </c>
      <c r="V78" s="86">
        <f t="shared" si="25"/>
        <v>-0.19999999999999973</v>
      </c>
      <c r="W78" s="2">
        <f t="shared" si="17"/>
        <v>0.84202932522841711</v>
      </c>
    </row>
    <row r="79" spans="4:23" x14ac:dyDescent="0.25">
      <c r="D79" s="2">
        <v>16</v>
      </c>
      <c r="E79" s="84">
        <f t="shared" si="18"/>
        <v>2.0666669999999998</v>
      </c>
      <c r="F79" s="2">
        <f t="shared" si="9"/>
        <v>1.4592995168933542</v>
      </c>
      <c r="G79" s="2">
        <f t="shared" si="19"/>
        <v>2</v>
      </c>
      <c r="H79" s="2">
        <f t="shared" si="10"/>
        <v>2.4040633233801196E-2</v>
      </c>
      <c r="I79" s="2"/>
      <c r="J79" s="2">
        <f t="shared" si="20"/>
        <v>12</v>
      </c>
      <c r="K79" s="2">
        <f t="shared" si="11"/>
        <v>1.1772994077372713E-2</v>
      </c>
      <c r="L79" s="6">
        <f t="shared" si="21"/>
        <v>2.12</v>
      </c>
      <c r="M79" s="2">
        <f t="shared" si="12"/>
        <v>1.4319911385223647</v>
      </c>
      <c r="N79" s="2">
        <v>2.0437335798804206</v>
      </c>
      <c r="O79" s="2">
        <f t="shared" si="13"/>
        <v>2.0284382162614807</v>
      </c>
      <c r="P79" s="85">
        <f t="shared" si="22"/>
        <v>1.9300188642404814</v>
      </c>
      <c r="Q79" s="2">
        <f t="shared" si="14"/>
        <v>2.028438216261482</v>
      </c>
      <c r="R79" s="85">
        <f t="shared" si="23"/>
        <v>2.1574482955203598</v>
      </c>
      <c r="S79" s="2">
        <f t="shared" si="15"/>
        <v>2.0284382162614807</v>
      </c>
      <c r="T79" s="85">
        <f t="shared" si="24"/>
        <v>-2.2933420119579218E-2</v>
      </c>
      <c r="U79" s="2">
        <f t="shared" si="16"/>
        <v>5.2010149939281538</v>
      </c>
      <c r="V79" s="86">
        <f t="shared" si="25"/>
        <v>5.3333000000000297E-2</v>
      </c>
      <c r="W79" s="2">
        <f t="shared" si="17"/>
        <v>2.8927206367661684</v>
      </c>
    </row>
    <row r="80" spans="4:23" x14ac:dyDescent="0.25">
      <c r="D80" s="2">
        <v>17</v>
      </c>
      <c r="E80" s="84">
        <f t="shared" si="18"/>
        <v>2.1</v>
      </c>
      <c r="F80" s="2">
        <f t="shared" si="9"/>
        <v>1.3562643888134012</v>
      </c>
      <c r="G80" s="2">
        <f t="shared" si="19"/>
        <v>0</v>
      </c>
      <c r="H80" s="2">
        <f t="shared" si="10"/>
        <v>2.6017218111226429E-2</v>
      </c>
      <c r="I80" s="2"/>
      <c r="J80" s="2">
        <f t="shared" si="20"/>
        <v>4</v>
      </c>
      <c r="K80" s="2">
        <f t="shared" si="11"/>
        <v>2.0065339177403389E-2</v>
      </c>
      <c r="L80" s="6">
        <f t="shared" si="21"/>
        <v>2.17</v>
      </c>
      <c r="M80" s="2">
        <f t="shared" si="12"/>
        <v>1.157729046978784</v>
      </c>
      <c r="N80" s="2">
        <v>2.0677140148804365</v>
      </c>
      <c r="O80" s="2">
        <f t="shared" si="13"/>
        <v>1.8852185488831852</v>
      </c>
      <c r="P80" s="85">
        <f t="shared" si="22"/>
        <v>1.9539992992404973</v>
      </c>
      <c r="Q80" s="2">
        <f t="shared" si="14"/>
        <v>1.885218548883187</v>
      </c>
      <c r="R80" s="85">
        <f t="shared" si="23"/>
        <v>2.1814287305203757</v>
      </c>
      <c r="S80" s="2">
        <f t="shared" si="15"/>
        <v>1.8852185488831852</v>
      </c>
      <c r="T80" s="85">
        <f t="shared" si="24"/>
        <v>-3.2285985119563598E-2</v>
      </c>
      <c r="U80" s="2">
        <f t="shared" si="16"/>
        <v>4.8337927480207679</v>
      </c>
      <c r="V80" s="86">
        <f t="shared" si="25"/>
        <v>6.999999999999984E-2</v>
      </c>
      <c r="W80" s="2">
        <f t="shared" si="17"/>
        <v>2.7477875715410223</v>
      </c>
    </row>
    <row r="81" spans="4:27" x14ac:dyDescent="0.25">
      <c r="D81" s="2">
        <v>18</v>
      </c>
      <c r="E81" s="84">
        <f t="shared" si="18"/>
        <v>2.2000000000000002</v>
      </c>
      <c r="F81" s="2">
        <f t="shared" si="9"/>
        <v>0.9741794202488554</v>
      </c>
      <c r="G81" s="2">
        <f t="shared" si="19"/>
        <v>-21</v>
      </c>
      <c r="H81" s="2">
        <f t="shared" si="10"/>
        <v>1.6572546740551974E-2</v>
      </c>
      <c r="I81" s="2"/>
      <c r="J81" s="2">
        <f t="shared" si="20"/>
        <v>-24</v>
      </c>
      <c r="K81" s="2">
        <f t="shared" si="11"/>
        <v>1.422825084044921E-2</v>
      </c>
      <c r="L81" s="6">
        <f t="shared" si="21"/>
        <v>2.2000000000000002</v>
      </c>
      <c r="M81" s="2">
        <f t="shared" si="12"/>
        <v>0.99120481304290498</v>
      </c>
      <c r="N81" s="2">
        <v>2.1396560393007276</v>
      </c>
      <c r="O81" s="2">
        <f t="shared" si="13"/>
        <v>1.3541173300289966</v>
      </c>
      <c r="P81" s="85">
        <f t="shared" si="22"/>
        <v>2.0259413236607884</v>
      </c>
      <c r="Q81" s="2">
        <f t="shared" si="14"/>
        <v>1.3541173300289984</v>
      </c>
      <c r="R81" s="85">
        <f t="shared" si="23"/>
        <v>2.2533707549406667</v>
      </c>
      <c r="S81" s="2">
        <f t="shared" si="15"/>
        <v>1.3541173300289966</v>
      </c>
      <c r="T81" s="85">
        <f t="shared" si="24"/>
        <v>-6.0343960699272614E-2</v>
      </c>
      <c r="U81" s="2">
        <f t="shared" si="16"/>
        <v>3.4720231952634828</v>
      </c>
      <c r="V81" s="86">
        <f t="shared" si="25"/>
        <v>0</v>
      </c>
      <c r="W81" s="2">
        <f t="shared" si="17"/>
        <v>3.0546791533494835</v>
      </c>
    </row>
    <row r="82" spans="4:27" x14ac:dyDescent="0.25">
      <c r="D82" s="2">
        <v>19</v>
      </c>
      <c r="E82" s="84">
        <f t="shared" si="18"/>
        <v>2.1666669999999999</v>
      </c>
      <c r="F82" s="2">
        <f t="shared" si="9"/>
        <v>1.1081306227590146</v>
      </c>
      <c r="G82" s="2">
        <f t="shared" si="19"/>
        <v>9</v>
      </c>
      <c r="H82" s="2">
        <f t="shared" si="10"/>
        <v>1.5427605379006707E-2</v>
      </c>
      <c r="I82" s="2"/>
      <c r="J82" s="2">
        <f t="shared" si="20"/>
        <v>6</v>
      </c>
      <c r="K82" s="2">
        <f t="shared" si="11"/>
        <v>1.8029440411086291E-2</v>
      </c>
      <c r="L82" s="6">
        <f t="shared" si="21"/>
        <v>2.27</v>
      </c>
      <c r="M82" s="2">
        <f t="shared" si="12"/>
        <v>0.63630939283909382</v>
      </c>
      <c r="N82" s="2">
        <v>2.1156756043007121</v>
      </c>
      <c r="O82" s="2">
        <f t="shared" si="13"/>
        <v>1.5403105927145213</v>
      </c>
      <c r="P82" s="85">
        <f t="shared" si="22"/>
        <v>2.0019608886607729</v>
      </c>
      <c r="Q82" s="2">
        <f t="shared" si="14"/>
        <v>1.5403105927145231</v>
      </c>
      <c r="R82" s="85">
        <f t="shared" si="23"/>
        <v>2.2293903199406513</v>
      </c>
      <c r="S82" s="2">
        <f t="shared" si="15"/>
        <v>1.5403105927145213</v>
      </c>
      <c r="T82" s="85">
        <f t="shared" si="24"/>
        <v>-5.0991395699287789E-2</v>
      </c>
      <c r="U82" s="2">
        <f t="shared" si="16"/>
        <v>3.9494318455405804</v>
      </c>
      <c r="V82" s="86">
        <f t="shared" si="25"/>
        <v>0.10333300000000012</v>
      </c>
      <c r="W82" s="2">
        <f t="shared" si="17"/>
        <v>2.3605344903055734</v>
      </c>
    </row>
    <row r="83" spans="4:27" x14ac:dyDescent="0.25">
      <c r="D83" s="2">
        <v>20</v>
      </c>
      <c r="E83" s="84">
        <f t="shared" si="18"/>
        <v>2.4666670000000002</v>
      </c>
      <c r="F83" s="2">
        <f t="shared" si="9"/>
        <v>0.17831648620141591</v>
      </c>
      <c r="G83" s="2">
        <f t="shared" si="19"/>
        <v>21</v>
      </c>
      <c r="H83" s="2">
        <f t="shared" si="10"/>
        <v>3.9400516708876076E-3</v>
      </c>
      <c r="I83" s="2"/>
      <c r="J83" s="2">
        <f t="shared" si="20"/>
        <v>14</v>
      </c>
      <c r="K83" s="2">
        <f t="shared" si="11"/>
        <v>9.8617571128282421E-3</v>
      </c>
      <c r="L83" s="6">
        <f t="shared" si="21"/>
        <v>2.2999999999999998</v>
      </c>
      <c r="M83" s="2">
        <f t="shared" si="12"/>
        <v>0.50829529410770802</v>
      </c>
      <c r="N83" s="2">
        <v>2.3315016775615858</v>
      </c>
      <c r="O83" s="2">
        <f t="shared" si="13"/>
        <v>0.2478613684258818</v>
      </c>
      <c r="P83" s="85">
        <f t="shared" si="22"/>
        <v>2.2177869619216466</v>
      </c>
      <c r="Q83" s="2">
        <f t="shared" si="14"/>
        <v>0.24786136842588224</v>
      </c>
      <c r="R83" s="85">
        <f t="shared" si="23"/>
        <v>2.445216393201525</v>
      </c>
      <c r="S83" s="2">
        <f t="shared" si="15"/>
        <v>0.2478613684258818</v>
      </c>
      <c r="T83" s="85">
        <f t="shared" si="24"/>
        <v>-0.13516532243841439</v>
      </c>
      <c r="U83" s="2">
        <f t="shared" si="16"/>
        <v>0.63552869555697045</v>
      </c>
      <c r="V83" s="86">
        <f t="shared" si="25"/>
        <v>-0.16666700000000034</v>
      </c>
      <c r="W83" s="2">
        <f t="shared" si="17"/>
        <v>1.2293938691572157</v>
      </c>
    </row>
    <row r="84" spans="4:27" x14ac:dyDescent="0.25">
      <c r="AA84" t="s">
        <v>111</v>
      </c>
    </row>
  </sheetData>
  <sortState xmlns:xlrd2="http://schemas.microsoft.com/office/spreadsheetml/2017/richdata2" ref="X31:X49">
    <sortCondition ref="X31"/>
  </sortState>
  <phoneticPr fontId="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7434-1317-4278-823E-381B97E2F0CC}">
  <dimension ref="C1:O17"/>
  <sheetViews>
    <sheetView workbookViewId="0">
      <selection activeCell="H30" sqref="H30"/>
    </sheetView>
  </sheetViews>
  <sheetFormatPr baseColWidth="10" defaultRowHeight="15" x14ac:dyDescent="0.25"/>
  <sheetData>
    <row r="1" spans="3:15" x14ac:dyDescent="0.25">
      <c r="C1" s="33"/>
      <c r="D1" s="33"/>
      <c r="E1" s="33"/>
      <c r="F1" s="33"/>
      <c r="G1" s="33">
        <v>10</v>
      </c>
      <c r="H1" s="33"/>
      <c r="I1" s="33" t="s">
        <v>132</v>
      </c>
      <c r="J1" s="33"/>
      <c r="K1" s="33"/>
      <c r="L1" s="33"/>
    </row>
    <row r="2" spans="3:15" x14ac:dyDescent="0.25">
      <c r="C2" s="38" t="s">
        <v>123</v>
      </c>
      <c r="D2" s="38" t="s">
        <v>124</v>
      </c>
      <c r="E2" s="38" t="s">
        <v>125</v>
      </c>
      <c r="F2" s="33"/>
      <c r="G2" s="110">
        <v>30</v>
      </c>
      <c r="H2" s="38" t="s">
        <v>127</v>
      </c>
      <c r="I2" s="38" t="s">
        <v>131</v>
      </c>
      <c r="J2" s="38" t="s">
        <v>134</v>
      </c>
      <c r="L2" s="38" t="s">
        <v>128</v>
      </c>
      <c r="M2" s="110" t="s">
        <v>129</v>
      </c>
      <c r="O2" s="33" t="s">
        <v>130</v>
      </c>
    </row>
    <row r="3" spans="3:15" x14ac:dyDescent="0.25">
      <c r="C3" s="111">
        <v>18</v>
      </c>
      <c r="D3" s="111">
        <v>26</v>
      </c>
      <c r="E3" s="112">
        <v>23</v>
      </c>
      <c r="F3" s="42">
        <f>SUM(C3:E3)</f>
        <v>67</v>
      </c>
      <c r="G3" s="116">
        <f>F3/G2</f>
        <v>2.2333333333333334</v>
      </c>
      <c r="H3" s="110">
        <f>2.26-M3</f>
        <v>2.1749999999999998</v>
      </c>
      <c r="I3" s="116">
        <v>1.7</v>
      </c>
      <c r="J3" s="110">
        <f>I3*10</f>
        <v>17</v>
      </c>
      <c r="K3" s="116">
        <f>(C4+D4+E4+I3)/4</f>
        <v>2.1</v>
      </c>
      <c r="L3" s="110">
        <v>1.8</v>
      </c>
      <c r="M3" s="110">
        <v>8.5000000000000006E-2</v>
      </c>
      <c r="O3" s="117">
        <v>40</v>
      </c>
    </row>
    <row r="4" spans="3:15" x14ac:dyDescent="0.25">
      <c r="C4" s="116">
        <f>C3/$G$1</f>
        <v>1.8</v>
      </c>
      <c r="D4" s="116">
        <f t="shared" ref="D4:E4" si="0">D3/$G$1</f>
        <v>2.6</v>
      </c>
      <c r="E4" s="116">
        <f t="shared" si="0"/>
        <v>2.2999999999999998</v>
      </c>
      <c r="N4" s="33"/>
    </row>
    <row r="5" spans="3:15" x14ac:dyDescent="0.25">
      <c r="C5" s="111">
        <v>26</v>
      </c>
      <c r="D5" s="111">
        <v>15</v>
      </c>
      <c r="E5" s="112">
        <v>21</v>
      </c>
      <c r="F5" s="42">
        <f>SUM(C5:E5)</f>
        <v>62</v>
      </c>
      <c r="G5" s="120">
        <f>F5/G2</f>
        <v>2.0666666666666669</v>
      </c>
      <c r="H5" s="110">
        <f>2.01-M5</f>
        <v>1.9309999999999998</v>
      </c>
      <c r="I5" s="116">
        <v>1.75</v>
      </c>
      <c r="J5" s="110">
        <f>I5*10</f>
        <v>17.5</v>
      </c>
      <c r="K5" s="116">
        <f>(C6+D6+E6+I5)/4</f>
        <v>1.9874999999999998</v>
      </c>
      <c r="L5" s="110">
        <v>1.6333</v>
      </c>
      <c r="M5" s="110">
        <v>7.9000000000000001E-2</v>
      </c>
      <c r="N5" s="33"/>
    </row>
    <row r="6" spans="3:15" x14ac:dyDescent="0.25">
      <c r="C6" s="116">
        <f>C5/$G$1</f>
        <v>2.6</v>
      </c>
      <c r="D6" s="116">
        <f t="shared" ref="D6:E6" si="1">D5/$G$1</f>
        <v>1.5</v>
      </c>
      <c r="E6" s="116">
        <f t="shared" si="1"/>
        <v>2.1</v>
      </c>
      <c r="H6" s="110">
        <f>H3+H5</f>
        <v>4.1059999999999999</v>
      </c>
      <c r="I6" s="116">
        <f>I3+I5</f>
        <v>3.45</v>
      </c>
      <c r="K6" s="116">
        <f>K3+K5</f>
        <v>4.0875000000000004</v>
      </c>
      <c r="L6" s="110">
        <f>L3+L5</f>
        <v>3.4333</v>
      </c>
      <c r="N6" s="33"/>
    </row>
    <row r="7" spans="3:15" x14ac:dyDescent="0.25">
      <c r="C7" s="33">
        <f>C4+C6</f>
        <v>4.4000000000000004</v>
      </c>
      <c r="D7" s="33">
        <f>D4+D6</f>
        <v>4.0999999999999996</v>
      </c>
      <c r="E7" s="33">
        <f t="shared" ref="E7" si="2">E4+E6</f>
        <v>4.4000000000000004</v>
      </c>
      <c r="F7" s="122"/>
      <c r="G7" s="119">
        <f>G3+G5</f>
        <v>4.3000000000000007</v>
      </c>
      <c r="H7" s="110">
        <f>H6*O3</f>
        <v>164.24</v>
      </c>
      <c r="I7" s="110"/>
      <c r="K7" s="110">
        <f>K6*O3</f>
        <v>163.5</v>
      </c>
      <c r="L7" s="110">
        <f>L6*O3</f>
        <v>137.33199999999999</v>
      </c>
      <c r="M7" s="33"/>
      <c r="N7" s="33"/>
    </row>
    <row r="8" spans="3:15" x14ac:dyDescent="0.25">
      <c r="C8" s="33">
        <f>C3+C5</f>
        <v>44</v>
      </c>
      <c r="D8" s="33">
        <f>D3+D5</f>
        <v>41</v>
      </c>
      <c r="E8" s="33">
        <f>E3+E5</f>
        <v>44</v>
      </c>
      <c r="F8" s="33">
        <f>F3+F5</f>
        <v>129</v>
      </c>
      <c r="G8" s="33"/>
      <c r="K8" s="33"/>
      <c r="L8" s="33"/>
    </row>
    <row r="9" spans="3:15" x14ac:dyDescent="0.25">
      <c r="C9" s="33"/>
      <c r="D9" s="33"/>
      <c r="E9" s="114" t="s">
        <v>122</v>
      </c>
      <c r="F9" s="114">
        <f>F3-F5</f>
        <v>5</v>
      </c>
      <c r="G9" s="33"/>
      <c r="H9" s="33"/>
      <c r="I9" s="33"/>
      <c r="J9" s="33"/>
      <c r="K9" s="33"/>
      <c r="L9" s="33"/>
    </row>
    <row r="10" spans="3:15" x14ac:dyDescent="0.25"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spans="3:15" x14ac:dyDescent="0.25">
      <c r="C11" s="33"/>
      <c r="D11" s="33"/>
      <c r="E11" s="33"/>
      <c r="F11" s="33"/>
      <c r="G11" s="33"/>
      <c r="H11" s="110" t="s">
        <v>117</v>
      </c>
      <c r="I11" s="33"/>
      <c r="J11" s="33"/>
      <c r="K11" s="33"/>
      <c r="L11" s="33"/>
    </row>
    <row r="12" spans="3:15" x14ac:dyDescent="0.25">
      <c r="C12" s="38" t="s">
        <v>123</v>
      </c>
      <c r="D12" s="38" t="s">
        <v>124</v>
      </c>
      <c r="E12" s="38" t="s">
        <v>125</v>
      </c>
      <c r="F12" s="38" t="s">
        <v>126</v>
      </c>
      <c r="G12" s="110" t="s">
        <v>9</v>
      </c>
      <c r="H12" s="110">
        <v>40</v>
      </c>
      <c r="I12" s="33"/>
      <c r="J12" s="33"/>
    </row>
    <row r="13" spans="3:15" x14ac:dyDescent="0.25">
      <c r="C13" s="111">
        <f>C3</f>
        <v>18</v>
      </c>
      <c r="D13" s="111">
        <f>D3</f>
        <v>26</v>
      </c>
      <c r="E13" s="112">
        <f>E3</f>
        <v>23</v>
      </c>
      <c r="F13" s="113">
        <v>17</v>
      </c>
      <c r="G13" s="110">
        <f>SUM(C13:F13)</f>
        <v>84</v>
      </c>
      <c r="H13" s="115">
        <f>G13/H$12</f>
        <v>2.1</v>
      </c>
      <c r="I13" s="118"/>
    </row>
    <row r="14" spans="3:15" x14ac:dyDescent="0.25">
      <c r="C14" s="116">
        <f>C13/$G$1</f>
        <v>1.8</v>
      </c>
      <c r="D14" s="116">
        <f t="shared" ref="D14:F14" si="3">D13/$G$1</f>
        <v>2.6</v>
      </c>
      <c r="E14" s="116">
        <f t="shared" si="3"/>
        <v>2.2999999999999998</v>
      </c>
      <c r="F14" s="116">
        <f t="shared" si="3"/>
        <v>1.7</v>
      </c>
      <c r="I14" s="118"/>
    </row>
    <row r="15" spans="3:15" x14ac:dyDescent="0.25">
      <c r="C15" s="111">
        <f>C5</f>
        <v>26</v>
      </c>
      <c r="D15" s="111">
        <f>D5</f>
        <v>15</v>
      </c>
      <c r="E15" s="112">
        <f>E5</f>
        <v>21</v>
      </c>
      <c r="F15" s="113">
        <v>11</v>
      </c>
      <c r="G15" s="110">
        <f>SUM(C15:F15)</f>
        <v>73</v>
      </c>
      <c r="H15" s="115">
        <f>G15/H$12</f>
        <v>1.825</v>
      </c>
    </row>
    <row r="16" spans="3:15" x14ac:dyDescent="0.25">
      <c r="C16" s="116">
        <f>C15/$G$1</f>
        <v>2.6</v>
      </c>
      <c r="D16" s="116">
        <f t="shared" ref="D16:F16" si="4">D15/$G$1</f>
        <v>1.5</v>
      </c>
      <c r="E16" s="116">
        <f t="shared" si="4"/>
        <v>2.1</v>
      </c>
      <c r="F16" s="116">
        <f t="shared" si="4"/>
        <v>1.1000000000000001</v>
      </c>
    </row>
    <row r="17" spans="3:8" x14ac:dyDescent="0.25">
      <c r="C17" s="116">
        <f>C14+C16</f>
        <v>4.4000000000000004</v>
      </c>
      <c r="D17" s="116">
        <f>D14+D16</f>
        <v>4.0999999999999996</v>
      </c>
      <c r="E17" s="116">
        <f>E14+E16</f>
        <v>4.4000000000000004</v>
      </c>
      <c r="F17" s="116">
        <f>F14+F16</f>
        <v>2.8</v>
      </c>
      <c r="G17" s="110">
        <f>G13+G15</f>
        <v>157</v>
      </c>
      <c r="H17" s="116">
        <f>H13+H15</f>
        <v>3.9249999999999998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F1D7-E302-4C94-B269-BE3976196AE2}">
  <dimension ref="A2:AE143"/>
  <sheetViews>
    <sheetView tabSelected="1" topLeftCell="P1" zoomScale="90" zoomScaleNormal="90" workbookViewId="0">
      <selection activeCell="X13" sqref="X13"/>
    </sheetView>
  </sheetViews>
  <sheetFormatPr baseColWidth="10" defaultRowHeight="15" x14ac:dyDescent="0.25"/>
  <cols>
    <col min="1" max="2" width="11.42578125" style="54"/>
    <col min="3" max="3" width="13.5703125" style="104" bestFit="1" customWidth="1"/>
    <col min="4" max="7" width="11.42578125" style="54"/>
    <col min="8" max="8" width="16.85546875" style="54" customWidth="1"/>
    <col min="9" max="9" width="18.85546875" style="104" customWidth="1"/>
    <col min="10" max="21" width="11.42578125" style="54"/>
    <col min="22" max="22" width="3.7109375" style="54" customWidth="1"/>
    <col min="23" max="25" width="11.42578125" style="54"/>
    <col min="26" max="26" width="14.7109375" style="54" customWidth="1"/>
    <col min="27" max="27" width="18" style="54" customWidth="1"/>
    <col min="28" max="29" width="21.28515625" style="54" customWidth="1"/>
    <col min="30" max="16384" width="11.42578125" style="54"/>
  </cols>
  <sheetData>
    <row r="2" spans="1:31" ht="30" x14ac:dyDescent="0.25">
      <c r="H2" s="53" t="s">
        <v>96</v>
      </c>
      <c r="I2" s="108" t="s">
        <v>97</v>
      </c>
    </row>
    <row r="3" spans="1:31" x14ac:dyDescent="0.25">
      <c r="A3" s="52" t="s">
        <v>81</v>
      </c>
      <c r="B3" s="51" t="s">
        <v>121</v>
      </c>
      <c r="C3" s="106" t="s">
        <v>82</v>
      </c>
      <c r="D3" s="52" t="s">
        <v>80</v>
      </c>
      <c r="E3" s="77"/>
      <c r="G3" s="52" t="s">
        <v>81</v>
      </c>
      <c r="H3" s="51">
        <v>1</v>
      </c>
      <c r="I3" s="121">
        <v>0</v>
      </c>
      <c r="K3" s="51">
        <v>1</v>
      </c>
      <c r="L3" s="51">
        <v>0</v>
      </c>
      <c r="W3" s="128" t="s">
        <v>123</v>
      </c>
      <c r="X3" s="129" t="s">
        <v>124</v>
      </c>
      <c r="Y3" s="129" t="s">
        <v>125</v>
      </c>
      <c r="Z3" s="129" t="s">
        <v>139</v>
      </c>
      <c r="AA3" s="129" t="s">
        <v>140</v>
      </c>
      <c r="AB3" s="129" t="s">
        <v>141</v>
      </c>
      <c r="AC3" s="129" t="s">
        <v>142</v>
      </c>
      <c r="AD3" s="129" t="s">
        <v>92</v>
      </c>
      <c r="AE3" s="129" t="s">
        <v>138</v>
      </c>
    </row>
    <row r="4" spans="1:31" x14ac:dyDescent="0.25">
      <c r="A4" s="56">
        <f>Avg_Match!E25</f>
        <v>1.5333330000000001</v>
      </c>
      <c r="B4" s="105">
        <f>Avg_Match!H25</f>
        <v>1.52</v>
      </c>
      <c r="C4" s="107">
        <v>-27</v>
      </c>
      <c r="D4" s="51">
        <v>1.52</v>
      </c>
      <c r="F4" s="51">
        <v>1</v>
      </c>
      <c r="G4" s="56">
        <v>1</v>
      </c>
      <c r="H4" s="51">
        <f>_xlfn.NORM.DIST(G4,$G$25,$G$28, 1)</f>
        <v>5.4159690365002011E-2</v>
      </c>
      <c r="I4" s="121">
        <f>_xlfn.NORM.DIST(G4,$G$25,$G$28, 0)</f>
        <v>1.8575750633576825E-2</v>
      </c>
      <c r="K4" s="51">
        <f t="shared" ref="K4:K23" si="0">_xlfn.NORM.DIST(G4, $G$25,$G$28,0)</f>
        <v>1.8575750633576825E-2</v>
      </c>
      <c r="L4" s="51">
        <f t="shared" ref="L4:L23" si="1">_xlfn.NORM.DIST(G4, $G$25,$G$28,1)</f>
        <v>5.4159690365002011E-2</v>
      </c>
      <c r="W4" s="126">
        <v>0.7</v>
      </c>
      <c r="X4" s="105">
        <v>1.6</v>
      </c>
      <c r="Y4" s="105">
        <v>1.7</v>
      </c>
      <c r="Z4" s="105">
        <f>MAX(W4:Y4)-MIN(W4:Y4)</f>
        <v>1</v>
      </c>
      <c r="AA4" s="105">
        <f>MAX(Tabla2[[#This Row],[Q1]:[Q2]])-MIN(Tabla2[[#This Row],[Q1]:[Q2]])</f>
        <v>0.90000000000000013</v>
      </c>
      <c r="AB4" s="105">
        <f t="shared" ref="AB4:AB12" si="2">MAX(W4,Y4)-MIN(W4,Y4)</f>
        <v>1</v>
      </c>
      <c r="AC4" s="134">
        <f t="shared" ref="AC4:AC12" si="3">MAX(X4,Y4)-MIN(X4,Y4)</f>
        <v>9.9999999999999867E-2</v>
      </c>
      <c r="AD4" s="134">
        <f>AVERAGE(W4:Y4)</f>
        <v>1.3333333333333333</v>
      </c>
      <c r="AE4" s="134">
        <f>_xlfn.STDEV.S(W4:Y4)</f>
        <v>0.55075705472861014</v>
      </c>
    </row>
    <row r="5" spans="1:31" x14ac:dyDescent="0.25">
      <c r="A5" s="56">
        <f>Avg_Match!E26</f>
        <v>1.8666670000000001</v>
      </c>
      <c r="B5" s="105">
        <f>Avg_Match!H26</f>
        <v>1.68</v>
      </c>
      <c r="C5" s="107">
        <v>-18</v>
      </c>
      <c r="D5" s="51">
        <v>1.68</v>
      </c>
      <c r="F5" s="51">
        <v>2</v>
      </c>
      <c r="G5" s="56">
        <v>2</v>
      </c>
      <c r="H5" s="51">
        <f t="shared" ref="H5:H22" si="4">_xlfn.NORM.DIST(G5,$G$25,$G$28, 1)</f>
        <v>7.5392782513985637E-2</v>
      </c>
      <c r="I5" s="121">
        <f t="shared" ref="I5:I23" si="5">_xlfn.NORM.DIST(G5,$G$25,$G$28, 0)</f>
        <v>2.4022715404011696E-2</v>
      </c>
      <c r="K5" s="51">
        <f t="shared" si="0"/>
        <v>2.4022715404011696E-2</v>
      </c>
      <c r="L5" s="51">
        <f t="shared" si="1"/>
        <v>7.5392782513985637E-2</v>
      </c>
      <c r="W5" s="126">
        <v>1.5</v>
      </c>
      <c r="X5" s="105">
        <v>2</v>
      </c>
      <c r="Y5" s="105">
        <v>0.6</v>
      </c>
      <c r="Z5" s="105">
        <f>MAX(W5:Y5)-MIN(W5:Y5)</f>
        <v>1.4</v>
      </c>
      <c r="AA5" s="107">
        <f>MAX(Tabla2[[#This Row],[Q1]:[Q2]])-MIN(Tabla2[[#This Row],[Q1]:[Q2]])</f>
        <v>0.5</v>
      </c>
      <c r="AB5" s="127">
        <f t="shared" si="2"/>
        <v>0.9</v>
      </c>
      <c r="AC5" s="127">
        <f t="shared" si="3"/>
        <v>1.4</v>
      </c>
      <c r="AD5" s="105">
        <f>AVERAGE(W5:Y5)</f>
        <v>1.3666666666666665</v>
      </c>
      <c r="AE5" s="105">
        <f>_xlfn.STDEV.S(W5:Y5)</f>
        <v>0.70945988845975916</v>
      </c>
    </row>
    <row r="6" spans="1:31" x14ac:dyDescent="0.25">
      <c r="A6" s="56">
        <f>Avg_Match!E27</f>
        <v>1.6333329999999999</v>
      </c>
      <c r="B6" s="105">
        <f>Avg_Match!H27</f>
        <v>1.73</v>
      </c>
      <c r="C6" s="107">
        <v>-17</v>
      </c>
      <c r="D6" s="51">
        <v>1.73</v>
      </c>
      <c r="F6" s="51">
        <v>3</v>
      </c>
      <c r="G6" s="56">
        <v>3</v>
      </c>
      <c r="H6" s="51">
        <f t="shared" si="4"/>
        <v>0.10244694690818926</v>
      </c>
      <c r="I6" s="121">
        <f t="shared" si="5"/>
        <v>3.019182784072922E-2</v>
      </c>
      <c r="K6" s="51">
        <f t="shared" si="0"/>
        <v>3.019182784072922E-2</v>
      </c>
      <c r="L6" s="51">
        <f t="shared" si="1"/>
        <v>0.10244694690818926</v>
      </c>
      <c r="W6" s="126">
        <v>2.1</v>
      </c>
      <c r="X6" s="105">
        <v>2</v>
      </c>
      <c r="Y6" s="105">
        <v>2.2999999999999998</v>
      </c>
      <c r="Z6" s="105">
        <f>MAX(W6:Y6)-MIN(W6:Y6)</f>
        <v>0.29999999999999982</v>
      </c>
      <c r="AA6" s="107">
        <f>MAX(Tabla2[[#This Row],[Q1]:[Q2]])-MIN(Tabla2[[#This Row],[Q1]:[Q2]])</f>
        <v>0.10000000000000009</v>
      </c>
      <c r="AB6" s="127">
        <f t="shared" si="2"/>
        <v>0.19999999999999973</v>
      </c>
      <c r="AC6" s="127">
        <f t="shared" si="3"/>
        <v>0.29999999999999982</v>
      </c>
      <c r="AD6" s="105">
        <f>AVERAGE(W6:Y6)</f>
        <v>2.1333333333333333</v>
      </c>
      <c r="AE6" s="105">
        <f>_xlfn.STDEV.S(W6:Y6)</f>
        <v>0.15275252316519458</v>
      </c>
    </row>
    <row r="7" spans="1:31" x14ac:dyDescent="0.25">
      <c r="A7" s="56">
        <f>Avg_Match!E28</f>
        <v>1.8333330000000001</v>
      </c>
      <c r="B7" s="105">
        <f>Avg_Match!H28</f>
        <v>1.75</v>
      </c>
      <c r="C7" s="107">
        <v>-17</v>
      </c>
      <c r="D7" s="51">
        <v>1.75</v>
      </c>
      <c r="F7" s="51">
        <v>4</v>
      </c>
      <c r="G7" s="56">
        <v>4</v>
      </c>
      <c r="H7" s="51">
        <f t="shared" si="4"/>
        <v>0.1359493554098242</v>
      </c>
      <c r="I7" s="121">
        <f t="shared" si="5"/>
        <v>3.687638179856368E-2</v>
      </c>
      <c r="K7" s="51">
        <f t="shared" si="0"/>
        <v>3.687638179856368E-2</v>
      </c>
      <c r="L7" s="51">
        <f t="shared" si="1"/>
        <v>0.1359493554098242</v>
      </c>
      <c r="W7" s="126">
        <v>1.4</v>
      </c>
      <c r="X7" s="105">
        <v>1.6</v>
      </c>
      <c r="Y7" s="105">
        <v>1.71</v>
      </c>
      <c r="Z7" s="105">
        <f>MAX(W7:Y7)-MIN(W7:Y7)</f>
        <v>0.31000000000000005</v>
      </c>
      <c r="AA7" s="107">
        <f>MAX(Tabla2[[#This Row],[Q1]:[Q2]])-MIN(Tabla2[[#This Row],[Q1]:[Q2]])</f>
        <v>0.20000000000000018</v>
      </c>
      <c r="AB7" s="127">
        <f t="shared" si="2"/>
        <v>0.31000000000000005</v>
      </c>
      <c r="AC7" s="127">
        <f t="shared" si="3"/>
        <v>0.10999999999999988</v>
      </c>
      <c r="AD7" s="105">
        <f>AVERAGE(W7:Y7)</f>
        <v>1.57</v>
      </c>
      <c r="AE7" s="105">
        <f>_xlfn.STDEV.S(W7:Y7)</f>
        <v>0.15716233645501715</v>
      </c>
    </row>
    <row r="8" spans="1:31" x14ac:dyDescent="0.25">
      <c r="A8" s="56">
        <f>Avg_Match!E29</f>
        <v>1.7</v>
      </c>
      <c r="B8" s="105">
        <f>Avg_Match!H29</f>
        <v>1.8</v>
      </c>
      <c r="C8" s="107">
        <v>-12</v>
      </c>
      <c r="D8" s="51">
        <v>1.8</v>
      </c>
      <c r="F8" s="51">
        <v>5</v>
      </c>
      <c r="G8" s="56">
        <v>5</v>
      </c>
      <c r="H8" s="51">
        <f t="shared" si="4"/>
        <v>0.17627106874985649</v>
      </c>
      <c r="I8" s="121">
        <f t="shared" si="5"/>
        <v>4.3772241374080395E-2</v>
      </c>
      <c r="K8" s="51">
        <f t="shared" si="0"/>
        <v>4.3772241374080395E-2</v>
      </c>
      <c r="L8" s="51">
        <f t="shared" si="1"/>
        <v>0.17627106874985649</v>
      </c>
      <c r="W8" s="126">
        <v>2.1</v>
      </c>
      <c r="X8" s="105">
        <v>1.89</v>
      </c>
      <c r="Y8" s="105">
        <v>2.4</v>
      </c>
      <c r="Z8" s="105">
        <f>MAX(W8:Y8)-MIN(W8:Y8)</f>
        <v>0.51</v>
      </c>
      <c r="AA8" s="107">
        <f>MAX(Tabla2[[#This Row],[Q1]:[Q2]])-MIN(Tabla2[[#This Row],[Q1]:[Q2]])</f>
        <v>0.21000000000000019</v>
      </c>
      <c r="AB8" s="127">
        <f t="shared" si="2"/>
        <v>0.29999999999999982</v>
      </c>
      <c r="AC8" s="127">
        <f t="shared" si="3"/>
        <v>0.51</v>
      </c>
      <c r="AD8" s="105">
        <f>AVERAGE(W8:Y8)</f>
        <v>2.1300000000000003</v>
      </c>
      <c r="AE8" s="105">
        <f>_xlfn.STDEV.S(W8:Y8)</f>
        <v>0.2563201123595259</v>
      </c>
    </row>
    <row r="9" spans="1:31" x14ac:dyDescent="0.25">
      <c r="A9" s="56">
        <f>Avg_Match!E30</f>
        <v>1.8333330000000001</v>
      </c>
      <c r="B9" s="105">
        <f>Avg_Match!H30</f>
        <v>1.8</v>
      </c>
      <c r="C9" s="107">
        <v>-23</v>
      </c>
      <c r="D9" s="51">
        <v>1.8</v>
      </c>
      <c r="F9" s="51">
        <v>6</v>
      </c>
      <c r="G9" s="56">
        <v>6</v>
      </c>
      <c r="H9" s="51">
        <f t="shared" si="4"/>
        <v>0.22343641035541539</v>
      </c>
      <c r="I9" s="121">
        <f t="shared" si="5"/>
        <v>5.0494125397238465E-2</v>
      </c>
      <c r="K9" s="51">
        <f t="shared" si="0"/>
        <v>5.0494125397238465E-2</v>
      </c>
      <c r="L9" s="51">
        <f t="shared" si="1"/>
        <v>0.22343641035541539</v>
      </c>
      <c r="W9" s="126">
        <v>2.25</v>
      </c>
      <c r="X9" s="105">
        <v>1.8</v>
      </c>
      <c r="Y9" s="105">
        <v>1.5</v>
      </c>
      <c r="Z9" s="105">
        <f>MAX(W9:Y9)-MIN(W9:Y9)</f>
        <v>0.75</v>
      </c>
      <c r="AA9" s="107">
        <f>MAX(Tabla2[[#This Row],[Q1]:[Q2]])-MIN(Tabla2[[#This Row],[Q1]:[Q2]])</f>
        <v>0.44999999999999996</v>
      </c>
      <c r="AB9" s="127">
        <f t="shared" si="2"/>
        <v>0.75</v>
      </c>
      <c r="AC9" s="127">
        <f t="shared" si="3"/>
        <v>0.30000000000000004</v>
      </c>
      <c r="AD9" s="105">
        <f>AVERAGE(W9:Y9)</f>
        <v>1.8499999999999999</v>
      </c>
      <c r="AE9" s="105">
        <f>_xlfn.STDEV.S(W9:Y9)</f>
        <v>0.37749172176353757</v>
      </c>
    </row>
    <row r="10" spans="1:31" x14ac:dyDescent="0.25">
      <c r="A10" s="56">
        <f>Avg_Match!E31</f>
        <v>2</v>
      </c>
      <c r="B10" s="105">
        <f>Avg_Match!H31</f>
        <v>1.85</v>
      </c>
      <c r="C10" s="107">
        <v>10</v>
      </c>
      <c r="D10" s="51">
        <v>1.85</v>
      </c>
      <c r="F10" s="51">
        <v>7</v>
      </c>
      <c r="G10" s="56">
        <v>7</v>
      </c>
      <c r="H10" s="51">
        <f t="shared" si="4"/>
        <v>0.27705656503472276</v>
      </c>
      <c r="I10" s="121">
        <f t="shared" si="5"/>
        <v>5.6607569614147216E-2</v>
      </c>
      <c r="K10" s="51">
        <f t="shared" si="0"/>
        <v>5.6607569614147216E-2</v>
      </c>
      <c r="L10" s="51">
        <f t="shared" si="1"/>
        <v>0.27705656503472276</v>
      </c>
      <c r="W10" s="126">
        <v>1.98</v>
      </c>
      <c r="X10" s="105">
        <v>1.7</v>
      </c>
      <c r="Y10" s="105">
        <v>1.45</v>
      </c>
      <c r="Z10" s="105">
        <f>MAX(W10:Y10)-MIN(W10:Y10)</f>
        <v>0.53</v>
      </c>
      <c r="AA10" s="107">
        <f>MAX(Tabla2[[#This Row],[Q1]:[Q2]])-MIN(Tabla2[[#This Row],[Q1]:[Q2]])</f>
        <v>0.28000000000000003</v>
      </c>
      <c r="AB10" s="127">
        <f t="shared" si="2"/>
        <v>0.53</v>
      </c>
      <c r="AC10" s="127">
        <f t="shared" si="3"/>
        <v>0.25</v>
      </c>
      <c r="AD10" s="105">
        <f>AVERAGE(W10:Y10)</f>
        <v>1.71</v>
      </c>
      <c r="AE10" s="105">
        <f>_xlfn.STDEV.S(W10:Y10)</f>
        <v>0.26514147167125796</v>
      </c>
    </row>
    <row r="11" spans="1:31" x14ac:dyDescent="0.25">
      <c r="A11" s="56">
        <f>Avg_Match!E32</f>
        <v>1.7</v>
      </c>
      <c r="B11" s="105">
        <f>Avg_Match!H32</f>
        <v>1.9</v>
      </c>
      <c r="C11" s="107">
        <v>-5</v>
      </c>
      <c r="D11" s="51">
        <v>1.9</v>
      </c>
      <c r="F11" s="51">
        <v>8</v>
      </c>
      <c r="G11" s="56">
        <v>8</v>
      </c>
      <c r="H11" s="51">
        <f t="shared" si="4"/>
        <v>0.33630190872075827</v>
      </c>
      <c r="I11" s="121">
        <f t="shared" si="5"/>
        <v>6.167366403107255E-2</v>
      </c>
      <c r="K11" s="51">
        <f t="shared" si="0"/>
        <v>6.167366403107255E-2</v>
      </c>
      <c r="L11" s="51">
        <f t="shared" si="1"/>
        <v>0.33630190872075827</v>
      </c>
      <c r="W11" s="126">
        <v>2.1</v>
      </c>
      <c r="X11" s="105">
        <v>4.3</v>
      </c>
      <c r="Y11" s="105">
        <v>2.5</v>
      </c>
      <c r="Z11" s="105">
        <f>MAX(W11:Y11)-MIN(W11:Y11)</f>
        <v>2.1999999999999997</v>
      </c>
      <c r="AA11" s="107">
        <f>MAX(Tabla2[[#This Row],[Q1]:[Q2]])-MIN(Tabla2[[#This Row],[Q1]:[Q2]])</f>
        <v>2.1999999999999997</v>
      </c>
      <c r="AB11" s="127">
        <f t="shared" si="2"/>
        <v>0.39999999999999991</v>
      </c>
      <c r="AC11" s="127">
        <f t="shared" si="3"/>
        <v>1.7999999999999998</v>
      </c>
      <c r="AD11" s="105">
        <f>AVERAGE(W11:Y11)</f>
        <v>2.9666666666666668</v>
      </c>
      <c r="AE11" s="105">
        <f>_xlfn.STDEV.S(W11:Y11)</f>
        <v>1.1718930554164622</v>
      </c>
    </row>
    <row r="12" spans="1:31" x14ac:dyDescent="0.25">
      <c r="A12" s="56">
        <f>Avg_Match!E33</f>
        <v>1.6666669999999999</v>
      </c>
      <c r="B12" s="105">
        <f>Avg_Match!H33</f>
        <v>1.92</v>
      </c>
      <c r="C12" s="107">
        <v>-7</v>
      </c>
      <c r="D12" s="51">
        <v>1.92</v>
      </c>
      <c r="F12" s="51">
        <v>9</v>
      </c>
      <c r="G12" s="56">
        <v>9</v>
      </c>
      <c r="H12" s="51">
        <f t="shared" si="4"/>
        <v>0.39992305283123664</v>
      </c>
      <c r="I12" s="121">
        <f t="shared" si="5"/>
        <v>6.530051075296818E-2</v>
      </c>
      <c r="K12" s="51">
        <f t="shared" si="0"/>
        <v>6.530051075296818E-2</v>
      </c>
      <c r="L12" s="51">
        <f t="shared" si="1"/>
        <v>0.39992305283123664</v>
      </c>
      <c r="W12" s="130">
        <v>1.8</v>
      </c>
      <c r="X12" s="131">
        <v>2.15</v>
      </c>
      <c r="Y12" s="131">
        <v>1.5</v>
      </c>
      <c r="Z12" s="131">
        <f>MAX(W12:Y12)-MIN(W12:Y12)</f>
        <v>0.64999999999999991</v>
      </c>
      <c r="AA12" s="132">
        <f>MAX(Tabla2[[#This Row],[Q1]:[Q2]])-MIN(Tabla2[[#This Row],[Q1]:[Q2]])</f>
        <v>0.34999999999999987</v>
      </c>
      <c r="AB12" s="133">
        <f t="shared" si="2"/>
        <v>0.30000000000000004</v>
      </c>
      <c r="AC12" s="133">
        <f t="shared" si="3"/>
        <v>0.64999999999999991</v>
      </c>
      <c r="AD12" s="131">
        <f>AVERAGE(W12:Y12)</f>
        <v>1.8166666666666667</v>
      </c>
      <c r="AE12" s="131">
        <f>_xlfn.STDEV.S(W12:Y12)</f>
        <v>0.32532035493238642</v>
      </c>
    </row>
    <row r="13" spans="1:31" x14ac:dyDescent="0.25">
      <c r="A13" s="56">
        <f>Avg_Match!E34</f>
        <v>1.9</v>
      </c>
      <c r="B13" s="105">
        <f>Avg_Match!H34</f>
        <v>1.98</v>
      </c>
      <c r="C13" s="107">
        <v>-14</v>
      </c>
      <c r="D13" s="51">
        <v>1.98</v>
      </c>
      <c r="F13" s="51">
        <v>10</v>
      </c>
      <c r="G13" s="56">
        <v>10</v>
      </c>
      <c r="H13" s="51">
        <f>_xlfn.NORM.DIST(G13,$G$25,$G$28, 1)</f>
        <v>0.46632331948293798</v>
      </c>
      <c r="I13" s="121">
        <f t="shared" si="5"/>
        <v>6.7193148565541247E-2</v>
      </c>
      <c r="K13" s="51">
        <f t="shared" si="0"/>
        <v>6.7193148565541247E-2</v>
      </c>
      <c r="L13" s="51">
        <f t="shared" si="1"/>
        <v>0.46632331948293798</v>
      </c>
    </row>
    <row r="14" spans="1:31" x14ac:dyDescent="0.25">
      <c r="A14" s="56">
        <f>Avg_Match!E35</f>
        <v>1.8333330000000001</v>
      </c>
      <c r="B14" s="105">
        <f>Avg_Match!H35</f>
        <v>2</v>
      </c>
      <c r="C14" s="107">
        <v>-24</v>
      </c>
      <c r="D14" s="51">
        <v>2</v>
      </c>
      <c r="F14" s="51">
        <v>11</v>
      </c>
      <c r="G14" s="56">
        <v>11</v>
      </c>
      <c r="H14" s="51">
        <f t="shared" si="4"/>
        <v>0.53367668051706207</v>
      </c>
      <c r="I14" s="121">
        <f t="shared" si="5"/>
        <v>6.7193148565541247E-2</v>
      </c>
      <c r="K14" s="51">
        <f t="shared" si="0"/>
        <v>6.7193148565541247E-2</v>
      </c>
      <c r="L14" s="51">
        <f t="shared" si="1"/>
        <v>0.53367668051706207</v>
      </c>
      <c r="W14" s="54">
        <v>12</v>
      </c>
    </row>
    <row r="15" spans="1:31" x14ac:dyDescent="0.25">
      <c r="A15" s="56">
        <f>Avg_Match!E36</f>
        <v>2</v>
      </c>
      <c r="B15" s="105">
        <f>Avg_Match!H36</f>
        <v>2</v>
      </c>
      <c r="C15" s="107">
        <v>8</v>
      </c>
      <c r="D15" s="51">
        <v>2</v>
      </c>
      <c r="F15" s="51">
        <v>12</v>
      </c>
      <c r="G15" s="56">
        <v>12</v>
      </c>
      <c r="H15" s="51">
        <f t="shared" si="4"/>
        <v>0.60007694716876336</v>
      </c>
      <c r="I15" s="121">
        <f t="shared" si="5"/>
        <v>6.530051075296818E-2</v>
      </c>
      <c r="K15" s="51">
        <f t="shared" si="0"/>
        <v>6.530051075296818E-2</v>
      </c>
      <c r="L15" s="51">
        <f t="shared" si="1"/>
        <v>0.60007694716876336</v>
      </c>
      <c r="W15" s="54">
        <f>W10*$W$14</f>
        <v>23.759999999999998</v>
      </c>
      <c r="X15" s="54">
        <f t="shared" ref="X15:Y15" si="6">X10*$W$14</f>
        <v>20.399999999999999</v>
      </c>
      <c r="Y15" s="54">
        <f>Y10*$W$14</f>
        <v>17.399999999999999</v>
      </c>
    </row>
    <row r="16" spans="1:31" x14ac:dyDescent="0.25">
      <c r="A16" s="56">
        <f>Avg_Match!E37</f>
        <v>2.0333329999999998</v>
      </c>
      <c r="B16" s="105">
        <f>Avg_Match!H37</f>
        <v>2.0499999999999998</v>
      </c>
      <c r="C16" s="107">
        <v>-2</v>
      </c>
      <c r="D16" s="51">
        <v>2.0499999999999998</v>
      </c>
      <c r="F16" s="51">
        <v>13</v>
      </c>
      <c r="G16" s="56">
        <v>13</v>
      </c>
      <c r="H16" s="51">
        <f t="shared" si="4"/>
        <v>0.66369809127924173</v>
      </c>
      <c r="I16" s="121">
        <f t="shared" si="5"/>
        <v>6.167366403107255E-2</v>
      </c>
      <c r="K16" s="51">
        <f t="shared" si="0"/>
        <v>6.167366403107255E-2</v>
      </c>
      <c r="L16" s="51">
        <f t="shared" si="1"/>
        <v>0.66369809127924173</v>
      </c>
    </row>
    <row r="17" spans="1:12" x14ac:dyDescent="0.25">
      <c r="A17" s="56">
        <f>Avg_Match!E38</f>
        <v>2.2000000000000002</v>
      </c>
      <c r="B17" s="105">
        <f>Avg_Match!H38</f>
        <v>2.08</v>
      </c>
      <c r="C17" s="107">
        <v>-3</v>
      </c>
      <c r="D17" s="51">
        <v>2.08</v>
      </c>
      <c r="F17" s="51">
        <v>14</v>
      </c>
      <c r="G17" s="56">
        <v>14</v>
      </c>
      <c r="H17" s="51">
        <f t="shared" si="4"/>
        <v>0.72294343496527724</v>
      </c>
      <c r="I17" s="121">
        <f t="shared" si="5"/>
        <v>5.6607569614147216E-2</v>
      </c>
      <c r="K17" s="51">
        <f t="shared" si="0"/>
        <v>5.6607569614147216E-2</v>
      </c>
      <c r="L17" s="51">
        <f t="shared" si="1"/>
        <v>0.72294343496527724</v>
      </c>
    </row>
    <row r="18" spans="1:12" x14ac:dyDescent="0.25">
      <c r="A18" s="56">
        <f>Avg_Match!E39</f>
        <v>2.2999999999999998</v>
      </c>
      <c r="B18" s="105">
        <f>Avg_Match!H39</f>
        <v>2.1</v>
      </c>
      <c r="C18" s="107">
        <v>11</v>
      </c>
      <c r="D18" s="51">
        <v>2.1</v>
      </c>
      <c r="F18" s="51">
        <v>15</v>
      </c>
      <c r="G18" s="56">
        <v>15</v>
      </c>
      <c r="H18" s="51">
        <f t="shared" si="4"/>
        <v>0.77656358964458461</v>
      </c>
      <c r="I18" s="121">
        <f t="shared" si="5"/>
        <v>5.0494125397238465E-2</v>
      </c>
      <c r="K18" s="51">
        <f t="shared" si="0"/>
        <v>5.0494125397238465E-2</v>
      </c>
      <c r="L18" s="51">
        <f t="shared" si="1"/>
        <v>0.77656358964458461</v>
      </c>
    </row>
    <row r="19" spans="1:12" x14ac:dyDescent="0.25">
      <c r="A19" s="56">
        <f>Avg_Match!E40</f>
        <v>2.0666669999999998</v>
      </c>
      <c r="B19" s="105">
        <f>Avg_Match!H40</f>
        <v>2.12</v>
      </c>
      <c r="C19" s="107">
        <v>2</v>
      </c>
      <c r="D19" s="51">
        <v>2.12</v>
      </c>
      <c r="F19" s="51">
        <v>16</v>
      </c>
      <c r="G19" s="56">
        <v>16</v>
      </c>
      <c r="H19" s="51">
        <f>_xlfn.NORM.DIST(G19,$G$25,$G$28, 1)</f>
        <v>0.82372893125014346</v>
      </c>
      <c r="I19" s="121">
        <f t="shared" si="5"/>
        <v>4.3772241374080395E-2</v>
      </c>
      <c r="K19" s="51">
        <f t="shared" si="0"/>
        <v>4.3772241374080395E-2</v>
      </c>
      <c r="L19" s="51">
        <f t="shared" si="1"/>
        <v>0.82372893125014346</v>
      </c>
    </row>
    <row r="20" spans="1:12" x14ac:dyDescent="0.25">
      <c r="A20" s="56">
        <f>Avg_Match!E41</f>
        <v>2.1</v>
      </c>
      <c r="B20" s="105">
        <f>Avg_Match!H41</f>
        <v>2.17</v>
      </c>
      <c r="C20" s="107">
        <v>0</v>
      </c>
      <c r="D20" s="51">
        <v>2.17</v>
      </c>
      <c r="F20" s="51">
        <v>17</v>
      </c>
      <c r="G20" s="56">
        <v>17</v>
      </c>
      <c r="H20" s="51">
        <f t="shared" si="4"/>
        <v>0.86405064459017578</v>
      </c>
      <c r="I20" s="121">
        <f t="shared" si="5"/>
        <v>3.687638179856368E-2</v>
      </c>
      <c r="K20" s="51">
        <f t="shared" si="0"/>
        <v>3.687638179856368E-2</v>
      </c>
      <c r="L20" s="51">
        <f t="shared" si="1"/>
        <v>0.86405064459017578</v>
      </c>
    </row>
    <row r="21" spans="1:12" x14ac:dyDescent="0.25">
      <c r="A21" s="56">
        <f>Avg_Match!E42</f>
        <v>2.2000000000000002</v>
      </c>
      <c r="B21" s="105">
        <f>Avg_Match!H42</f>
        <v>2.2000000000000002</v>
      </c>
      <c r="C21" s="107">
        <v>-21</v>
      </c>
      <c r="D21" s="51">
        <v>2.2000000000000002</v>
      </c>
      <c r="F21" s="51">
        <v>18</v>
      </c>
      <c r="G21" s="56">
        <v>18</v>
      </c>
      <c r="H21" s="51">
        <f t="shared" si="4"/>
        <v>0.89755305309181077</v>
      </c>
      <c r="I21" s="121">
        <f t="shared" si="5"/>
        <v>3.019182784072922E-2</v>
      </c>
      <c r="K21" s="51">
        <f t="shared" si="0"/>
        <v>3.019182784072922E-2</v>
      </c>
      <c r="L21" s="51">
        <f t="shared" si="1"/>
        <v>0.89755305309181077</v>
      </c>
    </row>
    <row r="22" spans="1:12" x14ac:dyDescent="0.25">
      <c r="A22" s="56">
        <f>Avg_Match!E43</f>
        <v>2.1666669999999999</v>
      </c>
      <c r="B22" s="105">
        <f>Avg_Match!H43</f>
        <v>2.27</v>
      </c>
      <c r="C22" s="107">
        <v>9</v>
      </c>
      <c r="D22" s="51">
        <v>2.27</v>
      </c>
      <c r="F22" s="51">
        <v>19</v>
      </c>
      <c r="G22" s="56">
        <v>19</v>
      </c>
      <c r="H22" s="51">
        <f t="shared" si="4"/>
        <v>0.92460721748601438</v>
      </c>
      <c r="I22" s="121">
        <f t="shared" si="5"/>
        <v>2.4022715404011696E-2</v>
      </c>
      <c r="K22" s="51">
        <f t="shared" si="0"/>
        <v>2.4022715404011696E-2</v>
      </c>
      <c r="L22" s="51">
        <f t="shared" si="1"/>
        <v>0.92460721748601438</v>
      </c>
    </row>
    <row r="23" spans="1:12" x14ac:dyDescent="0.25">
      <c r="A23" s="56">
        <f>Avg_Match!E44</f>
        <v>2.4666670000000002</v>
      </c>
      <c r="B23" s="105">
        <f>Avg_Match!H44</f>
        <v>2.2999999999999998</v>
      </c>
      <c r="C23" s="107">
        <v>21</v>
      </c>
      <c r="D23" s="51">
        <v>2.2999999999999998</v>
      </c>
      <c r="F23" s="51">
        <v>20</v>
      </c>
      <c r="G23" s="56">
        <v>20</v>
      </c>
      <c r="H23" s="51">
        <f>_xlfn.NORM.DIST(G23,$G$25,$G$28, 1)</f>
        <v>0.94584030963499799</v>
      </c>
      <c r="I23" s="121">
        <f t="shared" si="5"/>
        <v>1.8575750633576825E-2</v>
      </c>
      <c r="K23" s="51">
        <f t="shared" si="0"/>
        <v>1.8575750633576825E-2</v>
      </c>
      <c r="L23" s="51">
        <f t="shared" si="1"/>
        <v>0.94584030963499799</v>
      </c>
    </row>
    <row r="24" spans="1:12" x14ac:dyDescent="0.25">
      <c r="B24" s="55"/>
      <c r="H24" s="54">
        <f>SUM(H4:H23)</f>
        <v>10</v>
      </c>
      <c r="I24" s="104">
        <f>SUM(I4:I23)</f>
        <v>0.909415870823859</v>
      </c>
    </row>
    <row r="25" spans="1:12" x14ac:dyDescent="0.25">
      <c r="B25" s="55"/>
      <c r="F25" s="52" t="s">
        <v>92</v>
      </c>
      <c r="G25" s="56">
        <f>AVERAGE(G4:G23)</f>
        <v>10.5</v>
      </c>
      <c r="H25" s="52" t="s">
        <v>95</v>
      </c>
      <c r="I25" s="107">
        <f>_xlfn.VAR.P(G4:G23)</f>
        <v>33.25</v>
      </c>
    </row>
    <row r="26" spans="1:12" x14ac:dyDescent="0.25">
      <c r="B26" s="55"/>
      <c r="F26" s="52" t="s">
        <v>87</v>
      </c>
      <c r="G26" s="56">
        <f>MEDIAN(G4:G23)</f>
        <v>10.5</v>
      </c>
      <c r="H26" s="52" t="s">
        <v>98</v>
      </c>
      <c r="I26" s="107">
        <f>QUARTILE($G$4:$G$23, 1)</f>
        <v>5.75</v>
      </c>
    </row>
    <row r="27" spans="1:12" x14ac:dyDescent="0.25">
      <c r="B27" s="55"/>
      <c r="F27" s="52" t="s">
        <v>93</v>
      </c>
      <c r="G27" s="51" t="e">
        <f>_xlfn.MODE.SNGL(G4:G23)</f>
        <v>#N/A</v>
      </c>
      <c r="H27" s="52" t="s">
        <v>99</v>
      </c>
      <c r="I27" s="107">
        <f>QUARTILE($G$4:$G$23, 2)</f>
        <v>10.5</v>
      </c>
    </row>
    <row r="28" spans="1:12" x14ac:dyDescent="0.25">
      <c r="F28" s="52" t="s">
        <v>94</v>
      </c>
      <c r="G28" s="51">
        <f>_xlfn.STDEV.S(G4:G23)</f>
        <v>5.9160797830996161</v>
      </c>
      <c r="H28" s="52" t="s">
        <v>100</v>
      </c>
      <c r="I28" s="107">
        <f>QUARTILE($G$4:$G$23, 3)</f>
        <v>15.25</v>
      </c>
    </row>
    <row r="29" spans="1:12" x14ac:dyDescent="0.25">
      <c r="H29" s="52" t="s">
        <v>101</v>
      </c>
      <c r="I29" s="107">
        <f>QUARTILE($G$4:$G$23, 4)</f>
        <v>20</v>
      </c>
    </row>
    <row r="31" spans="1:12" x14ac:dyDescent="0.25">
      <c r="J31" s="51" t="s">
        <v>117</v>
      </c>
    </row>
    <row r="32" spans="1:12" x14ac:dyDescent="0.25">
      <c r="D32" s="51" t="s">
        <v>117</v>
      </c>
      <c r="J32" s="51">
        <v>40</v>
      </c>
    </row>
    <row r="33" spans="2:9" x14ac:dyDescent="0.25">
      <c r="D33" s="51">
        <v>30</v>
      </c>
      <c r="H33" s="51">
        <v>20</v>
      </c>
      <c r="I33" s="107">
        <f>H33/J$32</f>
        <v>0.5</v>
      </c>
    </row>
    <row r="34" spans="2:9" x14ac:dyDescent="0.25">
      <c r="B34" s="51">
        <v>5</v>
      </c>
      <c r="C34" s="107">
        <f t="shared" ref="C34:C65" si="7">B34/D$33</f>
        <v>0.16666666666666666</v>
      </c>
      <c r="H34" s="51">
        <v>21</v>
      </c>
      <c r="I34" s="107">
        <f>H34/J$32</f>
        <v>0.52500000000000002</v>
      </c>
    </row>
    <row r="35" spans="2:9" x14ac:dyDescent="0.25">
      <c r="B35" s="51">
        <v>6</v>
      </c>
      <c r="C35" s="107">
        <f t="shared" si="7"/>
        <v>0.2</v>
      </c>
      <c r="H35" s="51">
        <v>22</v>
      </c>
      <c r="I35" s="107">
        <f>H35/J$32</f>
        <v>0.55000000000000004</v>
      </c>
    </row>
    <row r="36" spans="2:9" x14ac:dyDescent="0.25">
      <c r="B36" s="51">
        <v>7</v>
      </c>
      <c r="C36" s="107">
        <f t="shared" si="7"/>
        <v>0.23333333333333334</v>
      </c>
      <c r="H36" s="51">
        <v>23</v>
      </c>
      <c r="I36" s="107">
        <f>H36/J$32</f>
        <v>0.57499999999999996</v>
      </c>
    </row>
    <row r="37" spans="2:9" x14ac:dyDescent="0.25">
      <c r="B37" s="51">
        <v>8</v>
      </c>
      <c r="C37" s="107">
        <f t="shared" si="7"/>
        <v>0.26666666666666666</v>
      </c>
      <c r="H37" s="51">
        <v>24</v>
      </c>
      <c r="I37" s="107">
        <f>H37/J$32</f>
        <v>0.6</v>
      </c>
    </row>
    <row r="38" spans="2:9" x14ac:dyDescent="0.25">
      <c r="B38" s="51">
        <v>9</v>
      </c>
      <c r="C38" s="107">
        <f t="shared" si="7"/>
        <v>0.3</v>
      </c>
      <c r="H38" s="51">
        <v>25</v>
      </c>
      <c r="I38" s="107">
        <f t="shared" ref="I38:I101" si="8">H38/J$32</f>
        <v>0.625</v>
      </c>
    </row>
    <row r="39" spans="2:9" x14ac:dyDescent="0.25">
      <c r="B39" s="51">
        <v>10</v>
      </c>
      <c r="C39" s="107">
        <f t="shared" si="7"/>
        <v>0.33333333333333331</v>
      </c>
      <c r="H39" s="51">
        <v>26</v>
      </c>
      <c r="I39" s="107">
        <f t="shared" si="8"/>
        <v>0.65</v>
      </c>
    </row>
    <row r="40" spans="2:9" x14ac:dyDescent="0.25">
      <c r="B40" s="51">
        <v>11</v>
      </c>
      <c r="C40" s="107">
        <f t="shared" si="7"/>
        <v>0.36666666666666664</v>
      </c>
      <c r="H40" s="51">
        <v>27</v>
      </c>
      <c r="I40" s="107">
        <f t="shared" si="8"/>
        <v>0.67500000000000004</v>
      </c>
    </row>
    <row r="41" spans="2:9" x14ac:dyDescent="0.25">
      <c r="B41" s="51">
        <v>12</v>
      </c>
      <c r="C41" s="107">
        <f t="shared" si="7"/>
        <v>0.4</v>
      </c>
      <c r="H41" s="51">
        <v>28</v>
      </c>
      <c r="I41" s="107">
        <f t="shared" si="8"/>
        <v>0.7</v>
      </c>
    </row>
    <row r="42" spans="2:9" x14ac:dyDescent="0.25">
      <c r="B42" s="51">
        <v>13</v>
      </c>
      <c r="C42" s="107">
        <f t="shared" si="7"/>
        <v>0.43333333333333335</v>
      </c>
      <c r="H42" s="51">
        <v>29</v>
      </c>
      <c r="I42" s="107">
        <f t="shared" si="8"/>
        <v>0.72499999999999998</v>
      </c>
    </row>
    <row r="43" spans="2:9" x14ac:dyDescent="0.25">
      <c r="B43" s="51">
        <v>14</v>
      </c>
      <c r="C43" s="107">
        <f t="shared" si="7"/>
        <v>0.46666666666666667</v>
      </c>
      <c r="H43" s="51">
        <v>30</v>
      </c>
      <c r="I43" s="107">
        <f t="shared" si="8"/>
        <v>0.75</v>
      </c>
    </row>
    <row r="44" spans="2:9" x14ac:dyDescent="0.25">
      <c r="B44" s="51">
        <v>15</v>
      </c>
      <c r="C44" s="107">
        <f t="shared" si="7"/>
        <v>0.5</v>
      </c>
      <c r="H44" s="51">
        <v>31</v>
      </c>
      <c r="I44" s="107">
        <f t="shared" si="8"/>
        <v>0.77500000000000002</v>
      </c>
    </row>
    <row r="45" spans="2:9" x14ac:dyDescent="0.25">
      <c r="B45" s="51">
        <v>16</v>
      </c>
      <c r="C45" s="107">
        <f t="shared" si="7"/>
        <v>0.53333333333333333</v>
      </c>
      <c r="H45" s="51">
        <v>32</v>
      </c>
      <c r="I45" s="107">
        <f t="shared" si="8"/>
        <v>0.8</v>
      </c>
    </row>
    <row r="46" spans="2:9" x14ac:dyDescent="0.25">
      <c r="B46" s="51">
        <v>17</v>
      </c>
      <c r="C46" s="107">
        <f t="shared" si="7"/>
        <v>0.56666666666666665</v>
      </c>
      <c r="H46" s="51">
        <v>33</v>
      </c>
      <c r="I46" s="107">
        <f t="shared" si="8"/>
        <v>0.82499999999999996</v>
      </c>
    </row>
    <row r="47" spans="2:9" x14ac:dyDescent="0.25">
      <c r="B47" s="51">
        <v>18</v>
      </c>
      <c r="C47" s="107">
        <f t="shared" si="7"/>
        <v>0.6</v>
      </c>
      <c r="H47" s="51">
        <v>34</v>
      </c>
      <c r="I47" s="107">
        <f t="shared" si="8"/>
        <v>0.85</v>
      </c>
    </row>
    <row r="48" spans="2:9" x14ac:dyDescent="0.25">
      <c r="B48" s="51">
        <v>19</v>
      </c>
      <c r="C48" s="107">
        <f t="shared" si="7"/>
        <v>0.6333333333333333</v>
      </c>
      <c r="H48" s="51">
        <v>35</v>
      </c>
      <c r="I48" s="107">
        <f t="shared" si="8"/>
        <v>0.875</v>
      </c>
    </row>
    <row r="49" spans="2:9" x14ac:dyDescent="0.25">
      <c r="B49" s="51">
        <v>20</v>
      </c>
      <c r="C49" s="107">
        <f t="shared" si="7"/>
        <v>0.66666666666666663</v>
      </c>
      <c r="H49" s="51">
        <v>36</v>
      </c>
      <c r="I49" s="107">
        <f t="shared" si="8"/>
        <v>0.9</v>
      </c>
    </row>
    <row r="50" spans="2:9" x14ac:dyDescent="0.25">
      <c r="B50" s="51">
        <v>21</v>
      </c>
      <c r="C50" s="107">
        <f t="shared" si="7"/>
        <v>0.7</v>
      </c>
      <c r="H50" s="51">
        <v>37</v>
      </c>
      <c r="I50" s="107">
        <f t="shared" si="8"/>
        <v>0.92500000000000004</v>
      </c>
    </row>
    <row r="51" spans="2:9" x14ac:dyDescent="0.25">
      <c r="B51" s="51">
        <v>22</v>
      </c>
      <c r="C51" s="107">
        <f t="shared" si="7"/>
        <v>0.73333333333333328</v>
      </c>
      <c r="H51" s="51">
        <v>38</v>
      </c>
      <c r="I51" s="107">
        <f t="shared" si="8"/>
        <v>0.95</v>
      </c>
    </row>
    <row r="52" spans="2:9" x14ac:dyDescent="0.25">
      <c r="B52" s="51">
        <v>23</v>
      </c>
      <c r="C52" s="107">
        <f t="shared" si="7"/>
        <v>0.76666666666666672</v>
      </c>
      <c r="H52" s="51">
        <v>39</v>
      </c>
      <c r="I52" s="107">
        <f t="shared" si="8"/>
        <v>0.97499999999999998</v>
      </c>
    </row>
    <row r="53" spans="2:9" x14ac:dyDescent="0.25">
      <c r="B53" s="51">
        <v>24</v>
      </c>
      <c r="C53" s="107">
        <f t="shared" si="7"/>
        <v>0.8</v>
      </c>
      <c r="H53" s="51">
        <v>40</v>
      </c>
      <c r="I53" s="107">
        <f t="shared" si="8"/>
        <v>1</v>
      </c>
    </row>
    <row r="54" spans="2:9" x14ac:dyDescent="0.25">
      <c r="B54" s="51">
        <v>25</v>
      </c>
      <c r="C54" s="107">
        <f t="shared" si="7"/>
        <v>0.83333333333333337</v>
      </c>
      <c r="H54" s="51">
        <v>41</v>
      </c>
      <c r="I54" s="107">
        <f t="shared" si="8"/>
        <v>1.0249999999999999</v>
      </c>
    </row>
    <row r="55" spans="2:9" x14ac:dyDescent="0.25">
      <c r="B55" s="51">
        <v>26</v>
      </c>
      <c r="C55" s="107">
        <f t="shared" si="7"/>
        <v>0.8666666666666667</v>
      </c>
      <c r="H55" s="51">
        <v>42</v>
      </c>
      <c r="I55" s="107">
        <f t="shared" si="8"/>
        <v>1.05</v>
      </c>
    </row>
    <row r="56" spans="2:9" x14ac:dyDescent="0.25">
      <c r="B56" s="51">
        <v>27</v>
      </c>
      <c r="C56" s="107">
        <f t="shared" si="7"/>
        <v>0.9</v>
      </c>
      <c r="H56" s="51">
        <v>43</v>
      </c>
      <c r="I56" s="107">
        <f t="shared" si="8"/>
        <v>1.075</v>
      </c>
    </row>
    <row r="57" spans="2:9" x14ac:dyDescent="0.25">
      <c r="B57" s="51">
        <v>28</v>
      </c>
      <c r="C57" s="107">
        <f t="shared" si="7"/>
        <v>0.93333333333333335</v>
      </c>
      <c r="H57" s="51">
        <v>44</v>
      </c>
      <c r="I57" s="107">
        <f t="shared" si="8"/>
        <v>1.1000000000000001</v>
      </c>
    </row>
    <row r="58" spans="2:9" x14ac:dyDescent="0.25">
      <c r="B58" s="51">
        <v>29</v>
      </c>
      <c r="C58" s="107">
        <f t="shared" si="7"/>
        <v>0.96666666666666667</v>
      </c>
      <c r="H58" s="51">
        <v>45</v>
      </c>
      <c r="I58" s="107">
        <f t="shared" si="8"/>
        <v>1.125</v>
      </c>
    </row>
    <row r="59" spans="2:9" x14ac:dyDescent="0.25">
      <c r="B59" s="51">
        <v>30</v>
      </c>
      <c r="C59" s="107">
        <f t="shared" si="7"/>
        <v>1</v>
      </c>
      <c r="H59" s="51">
        <v>46</v>
      </c>
      <c r="I59" s="107">
        <f t="shared" si="8"/>
        <v>1.1499999999999999</v>
      </c>
    </row>
    <row r="60" spans="2:9" x14ac:dyDescent="0.25">
      <c r="B60" s="51">
        <v>31</v>
      </c>
      <c r="C60" s="107">
        <f t="shared" si="7"/>
        <v>1.0333333333333334</v>
      </c>
      <c r="H60" s="51">
        <v>47</v>
      </c>
      <c r="I60" s="107">
        <f t="shared" si="8"/>
        <v>1.175</v>
      </c>
    </row>
    <row r="61" spans="2:9" x14ac:dyDescent="0.25">
      <c r="B61" s="51">
        <v>32</v>
      </c>
      <c r="C61" s="107">
        <f t="shared" si="7"/>
        <v>1.0666666666666667</v>
      </c>
      <c r="H61" s="51">
        <v>48</v>
      </c>
      <c r="I61" s="107">
        <f t="shared" si="8"/>
        <v>1.2</v>
      </c>
    </row>
    <row r="62" spans="2:9" x14ac:dyDescent="0.25">
      <c r="B62" s="51">
        <v>33</v>
      </c>
      <c r="C62" s="107">
        <f t="shared" si="7"/>
        <v>1.1000000000000001</v>
      </c>
      <c r="H62" s="51">
        <v>49</v>
      </c>
      <c r="I62" s="107">
        <f t="shared" si="8"/>
        <v>1.2250000000000001</v>
      </c>
    </row>
    <row r="63" spans="2:9" x14ac:dyDescent="0.25">
      <c r="B63" s="51">
        <v>34</v>
      </c>
      <c r="C63" s="107">
        <f t="shared" si="7"/>
        <v>1.1333333333333333</v>
      </c>
      <c r="H63" s="51">
        <v>50</v>
      </c>
      <c r="I63" s="107">
        <f t="shared" si="8"/>
        <v>1.25</v>
      </c>
    </row>
    <row r="64" spans="2:9" x14ac:dyDescent="0.25">
      <c r="B64" s="51">
        <v>35</v>
      </c>
      <c r="C64" s="107">
        <f t="shared" si="7"/>
        <v>1.1666666666666667</v>
      </c>
      <c r="H64" s="51">
        <v>51</v>
      </c>
      <c r="I64" s="107">
        <f t="shared" si="8"/>
        <v>1.2749999999999999</v>
      </c>
    </row>
    <row r="65" spans="2:10" x14ac:dyDescent="0.25">
      <c r="B65" s="51">
        <v>36</v>
      </c>
      <c r="C65" s="107">
        <f t="shared" si="7"/>
        <v>1.2</v>
      </c>
      <c r="H65" s="51">
        <v>52</v>
      </c>
      <c r="I65" s="107">
        <f t="shared" si="8"/>
        <v>1.3</v>
      </c>
    </row>
    <row r="66" spans="2:10" x14ac:dyDescent="0.25">
      <c r="B66" s="51">
        <v>37</v>
      </c>
      <c r="C66" s="107">
        <f t="shared" ref="C66:C97" si="9">B66/D$33</f>
        <v>1.2333333333333334</v>
      </c>
      <c r="H66" s="51">
        <v>53</v>
      </c>
      <c r="I66" s="107">
        <f t="shared" si="8"/>
        <v>1.325</v>
      </c>
    </row>
    <row r="67" spans="2:10" x14ac:dyDescent="0.25">
      <c r="B67" s="51">
        <v>38</v>
      </c>
      <c r="C67" s="107">
        <f t="shared" si="9"/>
        <v>1.2666666666666666</v>
      </c>
      <c r="H67" s="51">
        <v>54</v>
      </c>
      <c r="I67" s="107">
        <f t="shared" si="8"/>
        <v>1.35</v>
      </c>
    </row>
    <row r="68" spans="2:10" x14ac:dyDescent="0.25">
      <c r="B68" s="51">
        <v>39</v>
      </c>
      <c r="C68" s="107">
        <f t="shared" si="9"/>
        <v>1.3</v>
      </c>
      <c r="H68" s="51">
        <v>55</v>
      </c>
      <c r="I68" s="107">
        <f t="shared" si="8"/>
        <v>1.375</v>
      </c>
    </row>
    <row r="69" spans="2:10" x14ac:dyDescent="0.25">
      <c r="B69" s="51">
        <v>40</v>
      </c>
      <c r="C69" s="107">
        <f t="shared" si="9"/>
        <v>1.3333333333333333</v>
      </c>
      <c r="H69" s="51">
        <v>56</v>
      </c>
      <c r="I69" s="107">
        <f t="shared" si="8"/>
        <v>1.4</v>
      </c>
    </row>
    <row r="70" spans="2:10" x14ac:dyDescent="0.25">
      <c r="B70" s="51">
        <v>41</v>
      </c>
      <c r="C70" s="107">
        <f t="shared" si="9"/>
        <v>1.3666666666666667</v>
      </c>
      <c r="H70" s="51">
        <v>57</v>
      </c>
      <c r="I70" s="107">
        <f t="shared" si="8"/>
        <v>1.425</v>
      </c>
    </row>
    <row r="71" spans="2:10" x14ac:dyDescent="0.25">
      <c r="B71" s="51">
        <v>42</v>
      </c>
      <c r="C71" s="107">
        <f t="shared" si="9"/>
        <v>1.4</v>
      </c>
      <c r="H71" s="51">
        <v>58</v>
      </c>
      <c r="I71" s="107">
        <f t="shared" si="8"/>
        <v>1.45</v>
      </c>
    </row>
    <row r="72" spans="2:10" x14ac:dyDescent="0.25">
      <c r="B72" s="51">
        <v>43</v>
      </c>
      <c r="C72" s="107">
        <f t="shared" si="9"/>
        <v>1.4333333333333333</v>
      </c>
      <c r="H72" s="51">
        <v>59</v>
      </c>
      <c r="I72" s="107">
        <f t="shared" si="8"/>
        <v>1.4750000000000001</v>
      </c>
    </row>
    <row r="73" spans="2:10" x14ac:dyDescent="0.25">
      <c r="B73" s="51">
        <v>44</v>
      </c>
      <c r="C73" s="107">
        <f t="shared" si="9"/>
        <v>1.4666666666666666</v>
      </c>
      <c r="H73" s="51">
        <v>60</v>
      </c>
      <c r="I73" s="107">
        <f t="shared" si="8"/>
        <v>1.5</v>
      </c>
    </row>
    <row r="74" spans="2:10" x14ac:dyDescent="0.25">
      <c r="B74" s="51">
        <v>45</v>
      </c>
      <c r="C74" s="107">
        <f t="shared" si="9"/>
        <v>1.5</v>
      </c>
      <c r="H74" s="51">
        <v>61</v>
      </c>
      <c r="I74" s="107">
        <f t="shared" si="8"/>
        <v>1.5249999999999999</v>
      </c>
      <c r="J74" s="107">
        <v>1.52</v>
      </c>
    </row>
    <row r="75" spans="2:10" x14ac:dyDescent="0.25">
      <c r="B75" s="51">
        <v>46</v>
      </c>
      <c r="C75" s="107">
        <f t="shared" si="9"/>
        <v>1.5333333333333334</v>
      </c>
      <c r="D75" s="107">
        <v>1.5333330000000001</v>
      </c>
      <c r="E75" s="104"/>
      <c r="G75" s="104"/>
      <c r="H75" s="51">
        <v>62</v>
      </c>
      <c r="I75" s="107">
        <f t="shared" si="8"/>
        <v>1.55</v>
      </c>
    </row>
    <row r="76" spans="2:10" x14ac:dyDescent="0.25">
      <c r="B76" s="51">
        <v>47</v>
      </c>
      <c r="C76" s="107">
        <f t="shared" si="9"/>
        <v>1.5666666666666667</v>
      </c>
      <c r="D76" s="104"/>
      <c r="E76" s="104"/>
      <c r="F76" s="104"/>
      <c r="H76" s="51">
        <v>63</v>
      </c>
      <c r="I76" s="107">
        <f t="shared" si="8"/>
        <v>1.575</v>
      </c>
    </row>
    <row r="77" spans="2:10" x14ac:dyDescent="0.25">
      <c r="B77" s="51">
        <v>48</v>
      </c>
      <c r="C77" s="107">
        <f t="shared" si="9"/>
        <v>1.6</v>
      </c>
      <c r="D77" s="104"/>
      <c r="E77" s="104"/>
      <c r="F77" s="104"/>
      <c r="H77" s="51">
        <v>64</v>
      </c>
      <c r="I77" s="107">
        <f t="shared" si="8"/>
        <v>1.6</v>
      </c>
    </row>
    <row r="78" spans="2:10" x14ac:dyDescent="0.25">
      <c r="B78" s="51">
        <v>49</v>
      </c>
      <c r="C78" s="107">
        <f t="shared" si="9"/>
        <v>1.6333333333333333</v>
      </c>
      <c r="D78" s="107">
        <v>1.6333329999999999</v>
      </c>
      <c r="E78" s="107">
        <v>1.6666669999999999</v>
      </c>
      <c r="F78" s="104"/>
      <c r="H78" s="51">
        <v>65</v>
      </c>
      <c r="I78" s="107">
        <f t="shared" si="8"/>
        <v>1.625</v>
      </c>
    </row>
    <row r="79" spans="2:10" x14ac:dyDescent="0.25">
      <c r="B79" s="51">
        <v>50</v>
      </c>
      <c r="C79" s="107">
        <f t="shared" si="9"/>
        <v>1.6666666666666667</v>
      </c>
      <c r="H79" s="51">
        <v>66</v>
      </c>
      <c r="I79" s="107">
        <f t="shared" si="8"/>
        <v>1.65</v>
      </c>
    </row>
    <row r="80" spans="2:10" x14ac:dyDescent="0.25">
      <c r="B80" s="51">
        <v>51</v>
      </c>
      <c r="C80" s="107">
        <f t="shared" si="9"/>
        <v>1.7</v>
      </c>
      <c r="D80" s="107">
        <v>1.7</v>
      </c>
      <c r="E80" s="107">
        <v>1.7</v>
      </c>
      <c r="F80" s="104"/>
      <c r="H80" s="51">
        <v>67</v>
      </c>
      <c r="I80" s="107">
        <f t="shared" si="8"/>
        <v>1.675</v>
      </c>
      <c r="J80" s="107">
        <v>1.68</v>
      </c>
    </row>
    <row r="81" spans="2:13" x14ac:dyDescent="0.25">
      <c r="B81" s="51">
        <v>52</v>
      </c>
      <c r="C81" s="107">
        <f t="shared" si="9"/>
        <v>1.7333333333333334</v>
      </c>
      <c r="H81" s="51">
        <v>68</v>
      </c>
      <c r="I81" s="107">
        <f t="shared" si="8"/>
        <v>1.7</v>
      </c>
    </row>
    <row r="82" spans="2:13" x14ac:dyDescent="0.25">
      <c r="B82" s="51">
        <v>53</v>
      </c>
      <c r="C82" s="107">
        <f t="shared" si="9"/>
        <v>1.7666666666666666</v>
      </c>
      <c r="H82" s="51">
        <v>69</v>
      </c>
      <c r="I82" s="107">
        <f t="shared" si="8"/>
        <v>1.7250000000000001</v>
      </c>
      <c r="J82" s="107">
        <v>1.73</v>
      </c>
      <c r="M82" s="104"/>
    </row>
    <row r="83" spans="2:13" x14ac:dyDescent="0.25">
      <c r="B83" s="51">
        <v>54</v>
      </c>
      <c r="C83" s="107">
        <f t="shared" si="9"/>
        <v>1.8</v>
      </c>
      <c r="H83" s="51">
        <v>70</v>
      </c>
      <c r="I83" s="107">
        <f t="shared" si="8"/>
        <v>1.75</v>
      </c>
      <c r="J83" s="107">
        <v>1.75</v>
      </c>
    </row>
    <row r="84" spans="2:13" x14ac:dyDescent="0.25">
      <c r="B84" s="51">
        <v>55</v>
      </c>
      <c r="C84" s="107">
        <f t="shared" si="9"/>
        <v>1.8333333333333333</v>
      </c>
      <c r="D84" s="107">
        <v>1.8333330000000001</v>
      </c>
      <c r="E84" s="107">
        <v>1.8333330000000001</v>
      </c>
      <c r="F84" s="107">
        <v>1.8333330000000001</v>
      </c>
      <c r="H84" s="51">
        <v>71</v>
      </c>
      <c r="I84" s="107">
        <f t="shared" si="8"/>
        <v>1.7749999999999999</v>
      </c>
    </row>
    <row r="85" spans="2:13" x14ac:dyDescent="0.25">
      <c r="B85" s="51">
        <v>56</v>
      </c>
      <c r="C85" s="107">
        <f t="shared" si="9"/>
        <v>1.8666666666666667</v>
      </c>
      <c r="D85" s="107">
        <v>1.8666670000000001</v>
      </c>
      <c r="E85" s="104"/>
      <c r="F85" s="104"/>
      <c r="H85" s="51">
        <v>72</v>
      </c>
      <c r="I85" s="107">
        <f t="shared" si="8"/>
        <v>1.8</v>
      </c>
      <c r="J85" s="107">
        <v>1.8</v>
      </c>
      <c r="K85" s="107">
        <v>1.8</v>
      </c>
    </row>
    <row r="86" spans="2:13" x14ac:dyDescent="0.25">
      <c r="B86" s="51">
        <v>57</v>
      </c>
      <c r="C86" s="107">
        <f t="shared" si="9"/>
        <v>1.9</v>
      </c>
      <c r="D86" s="107">
        <v>1.9</v>
      </c>
      <c r="E86" s="104"/>
      <c r="F86" s="104"/>
      <c r="H86" s="51">
        <v>73</v>
      </c>
      <c r="I86" s="107">
        <f t="shared" si="8"/>
        <v>1.825</v>
      </c>
    </row>
    <row r="87" spans="2:13" x14ac:dyDescent="0.25">
      <c r="B87" s="51">
        <v>58</v>
      </c>
      <c r="C87" s="107">
        <f t="shared" si="9"/>
        <v>1.9333333333333333</v>
      </c>
      <c r="D87" s="104"/>
      <c r="F87" s="104"/>
      <c r="H87" s="51">
        <v>74</v>
      </c>
      <c r="I87" s="107">
        <f t="shared" si="8"/>
        <v>1.85</v>
      </c>
      <c r="J87" s="107">
        <v>1.85</v>
      </c>
    </row>
    <row r="88" spans="2:13" x14ac:dyDescent="0.25">
      <c r="B88" s="51">
        <v>59</v>
      </c>
      <c r="C88" s="107">
        <f t="shared" si="9"/>
        <v>1.9666666666666666</v>
      </c>
      <c r="D88" s="104"/>
      <c r="F88" s="104"/>
      <c r="H88" s="51">
        <v>75</v>
      </c>
      <c r="I88" s="107">
        <f t="shared" si="8"/>
        <v>1.875</v>
      </c>
    </row>
    <row r="89" spans="2:13" x14ac:dyDescent="0.25">
      <c r="B89" s="51">
        <v>60</v>
      </c>
      <c r="C89" s="107">
        <f t="shared" si="9"/>
        <v>2</v>
      </c>
      <c r="D89" s="107">
        <v>2</v>
      </c>
      <c r="E89" s="107">
        <v>2</v>
      </c>
      <c r="F89" s="104"/>
      <c r="H89" s="51">
        <v>76</v>
      </c>
      <c r="I89" s="107">
        <f t="shared" si="8"/>
        <v>1.9</v>
      </c>
      <c r="J89" s="107">
        <v>1.9</v>
      </c>
    </row>
    <row r="90" spans="2:13" x14ac:dyDescent="0.25">
      <c r="B90" s="51">
        <v>61</v>
      </c>
      <c r="C90" s="107">
        <f t="shared" si="9"/>
        <v>2.0333333333333332</v>
      </c>
      <c r="D90" s="107">
        <v>2.0333329999999998</v>
      </c>
      <c r="F90" s="104"/>
      <c r="H90" s="51">
        <v>77</v>
      </c>
      <c r="I90" s="107">
        <f t="shared" si="8"/>
        <v>1.925</v>
      </c>
      <c r="J90" s="107">
        <v>1.92</v>
      </c>
    </row>
    <row r="91" spans="2:13" x14ac:dyDescent="0.25">
      <c r="B91" s="51">
        <v>62</v>
      </c>
      <c r="C91" s="107">
        <f t="shared" si="9"/>
        <v>2.0666666666666669</v>
      </c>
      <c r="D91" s="107">
        <v>2.0666669999999998</v>
      </c>
      <c r="F91" s="104"/>
      <c r="H91" s="51">
        <v>78</v>
      </c>
      <c r="I91" s="107">
        <f t="shared" si="8"/>
        <v>1.95</v>
      </c>
    </row>
    <row r="92" spans="2:13" x14ac:dyDescent="0.25">
      <c r="B92" s="51">
        <v>63</v>
      </c>
      <c r="C92" s="107">
        <f t="shared" si="9"/>
        <v>2.1</v>
      </c>
      <c r="D92" s="107">
        <v>2.1</v>
      </c>
      <c r="H92" s="51">
        <v>79</v>
      </c>
      <c r="I92" s="107">
        <f t="shared" si="8"/>
        <v>1.9750000000000001</v>
      </c>
      <c r="J92" s="107">
        <v>1.98</v>
      </c>
    </row>
    <row r="93" spans="2:13" x14ac:dyDescent="0.25">
      <c r="B93" s="51">
        <v>64</v>
      </c>
      <c r="C93" s="107">
        <f t="shared" si="9"/>
        <v>2.1333333333333333</v>
      </c>
      <c r="H93" s="51">
        <v>80</v>
      </c>
      <c r="I93" s="107">
        <f t="shared" si="8"/>
        <v>2</v>
      </c>
      <c r="J93" s="107">
        <v>2</v>
      </c>
      <c r="K93" s="107">
        <v>2</v>
      </c>
    </row>
    <row r="94" spans="2:13" x14ac:dyDescent="0.25">
      <c r="B94" s="51">
        <v>65</v>
      </c>
      <c r="C94" s="107">
        <f t="shared" si="9"/>
        <v>2.1666666666666665</v>
      </c>
      <c r="D94" s="107">
        <v>2.1666669999999999</v>
      </c>
      <c r="H94" s="51">
        <v>81</v>
      </c>
      <c r="I94" s="107">
        <f t="shared" si="8"/>
        <v>2.0249999999999999</v>
      </c>
    </row>
    <row r="95" spans="2:13" x14ac:dyDescent="0.25">
      <c r="B95" s="51">
        <v>66</v>
      </c>
      <c r="C95" s="107">
        <f t="shared" si="9"/>
        <v>2.2000000000000002</v>
      </c>
      <c r="D95" s="107">
        <v>2.2000000000000002</v>
      </c>
      <c r="E95" s="107">
        <v>2.2000000000000002</v>
      </c>
      <c r="H95" s="51">
        <v>82</v>
      </c>
      <c r="I95" s="107">
        <f t="shared" si="8"/>
        <v>2.0499999999999998</v>
      </c>
      <c r="J95" s="107">
        <v>2.0499999999999998</v>
      </c>
    </row>
    <row r="96" spans="2:13" x14ac:dyDescent="0.25">
      <c r="B96" s="51">
        <v>67</v>
      </c>
      <c r="C96" s="107">
        <f t="shared" si="9"/>
        <v>2.2333333333333334</v>
      </c>
      <c r="H96" s="51">
        <v>83</v>
      </c>
      <c r="I96" s="107">
        <f t="shared" si="8"/>
        <v>2.0750000000000002</v>
      </c>
      <c r="J96" s="107">
        <v>2.08</v>
      </c>
    </row>
    <row r="97" spans="2:10" x14ac:dyDescent="0.25">
      <c r="B97" s="51">
        <v>68</v>
      </c>
      <c r="C97" s="107">
        <f t="shared" si="9"/>
        <v>2.2666666666666666</v>
      </c>
      <c r="H97" s="51">
        <v>84</v>
      </c>
      <c r="I97" s="107">
        <f t="shared" si="8"/>
        <v>2.1</v>
      </c>
      <c r="J97" s="107">
        <v>2.1</v>
      </c>
    </row>
    <row r="98" spans="2:10" x14ac:dyDescent="0.25">
      <c r="B98" s="51">
        <v>69</v>
      </c>
      <c r="C98" s="107">
        <f t="shared" ref="C98:C129" si="10">B98/D$33</f>
        <v>2.2999999999999998</v>
      </c>
      <c r="D98" s="107">
        <v>2.2999999999999998</v>
      </c>
      <c r="E98" s="104"/>
      <c r="H98" s="51">
        <v>85</v>
      </c>
      <c r="I98" s="107">
        <f t="shared" si="8"/>
        <v>2.125</v>
      </c>
      <c r="J98" s="107">
        <v>2.12</v>
      </c>
    </row>
    <row r="99" spans="2:10" x14ac:dyDescent="0.25">
      <c r="B99" s="51">
        <v>70</v>
      </c>
      <c r="C99" s="107">
        <f t="shared" si="10"/>
        <v>2.3333333333333335</v>
      </c>
      <c r="E99" s="104"/>
      <c r="H99" s="51">
        <v>86</v>
      </c>
      <c r="I99" s="107">
        <f t="shared" si="8"/>
        <v>2.15</v>
      </c>
    </row>
    <row r="100" spans="2:10" x14ac:dyDescent="0.25">
      <c r="B100" s="51">
        <v>71</v>
      </c>
      <c r="C100" s="107">
        <f t="shared" si="10"/>
        <v>2.3666666666666667</v>
      </c>
      <c r="D100" s="104"/>
      <c r="E100" s="104"/>
      <c r="F100" s="104"/>
      <c r="H100" s="51">
        <v>87</v>
      </c>
      <c r="I100" s="107">
        <f t="shared" si="8"/>
        <v>2.1749999999999998</v>
      </c>
      <c r="J100" s="107">
        <v>2.17</v>
      </c>
    </row>
    <row r="101" spans="2:10" x14ac:dyDescent="0.25">
      <c r="B101" s="51">
        <v>72</v>
      </c>
      <c r="C101" s="107">
        <f t="shared" si="10"/>
        <v>2.4</v>
      </c>
      <c r="D101" s="104"/>
      <c r="E101" s="104"/>
      <c r="F101" s="104"/>
      <c r="H101" s="51">
        <v>88</v>
      </c>
      <c r="I101" s="107">
        <f t="shared" si="8"/>
        <v>2.2000000000000002</v>
      </c>
      <c r="J101" s="107">
        <v>2.2000000000000002</v>
      </c>
    </row>
    <row r="102" spans="2:10" x14ac:dyDescent="0.25">
      <c r="B102" s="51">
        <v>73</v>
      </c>
      <c r="C102" s="107">
        <f t="shared" si="10"/>
        <v>2.4333333333333331</v>
      </c>
      <c r="D102" s="104"/>
      <c r="E102" s="104"/>
      <c r="F102" s="104"/>
      <c r="H102" s="51">
        <v>89</v>
      </c>
      <c r="I102" s="107">
        <f t="shared" ref="I102:I132" si="11">H102/J$32</f>
        <v>2.2250000000000001</v>
      </c>
    </row>
    <row r="103" spans="2:10" x14ac:dyDescent="0.25">
      <c r="B103" s="51">
        <v>74</v>
      </c>
      <c r="C103" s="107">
        <f t="shared" si="10"/>
        <v>2.4666666666666668</v>
      </c>
      <c r="D103" s="107">
        <v>2.4666670000000002</v>
      </c>
      <c r="E103" s="104"/>
      <c r="F103" s="104"/>
      <c r="H103" s="51">
        <v>90</v>
      </c>
      <c r="I103" s="107">
        <f t="shared" si="11"/>
        <v>2.25</v>
      </c>
    </row>
    <row r="104" spans="2:10" x14ac:dyDescent="0.25">
      <c r="B104" s="51">
        <v>75</v>
      </c>
      <c r="C104" s="107">
        <f t="shared" si="10"/>
        <v>2.5</v>
      </c>
      <c r="D104" s="104"/>
      <c r="E104" s="104"/>
      <c r="F104" s="104"/>
      <c r="H104" s="51">
        <v>91</v>
      </c>
      <c r="I104" s="107">
        <f t="shared" si="11"/>
        <v>2.2749999999999999</v>
      </c>
      <c r="J104" s="107">
        <v>2.27</v>
      </c>
    </row>
    <row r="105" spans="2:10" x14ac:dyDescent="0.25">
      <c r="B105" s="51">
        <v>76</v>
      </c>
      <c r="C105" s="107">
        <f t="shared" si="10"/>
        <v>2.5333333333333332</v>
      </c>
      <c r="D105" s="104"/>
      <c r="E105" s="104"/>
      <c r="F105" s="104"/>
      <c r="H105" s="51">
        <v>92</v>
      </c>
      <c r="I105" s="107">
        <f t="shared" si="11"/>
        <v>2.2999999999999998</v>
      </c>
      <c r="J105" s="107">
        <v>2.2999999999999998</v>
      </c>
    </row>
    <row r="106" spans="2:10" x14ac:dyDescent="0.25">
      <c r="B106" s="51">
        <v>77</v>
      </c>
      <c r="C106" s="107">
        <f t="shared" si="10"/>
        <v>2.5666666666666669</v>
      </c>
      <c r="D106" s="104"/>
      <c r="E106" s="104"/>
      <c r="F106" s="104"/>
      <c r="H106" s="51">
        <v>93</v>
      </c>
      <c r="I106" s="107">
        <f t="shared" si="11"/>
        <v>2.3250000000000002</v>
      </c>
    </row>
    <row r="107" spans="2:10" x14ac:dyDescent="0.25">
      <c r="B107" s="51">
        <v>78</v>
      </c>
      <c r="C107" s="107">
        <f t="shared" si="10"/>
        <v>2.6</v>
      </c>
      <c r="D107" s="104"/>
      <c r="E107" s="104"/>
      <c r="F107" s="104"/>
      <c r="H107" s="51">
        <v>94</v>
      </c>
      <c r="I107" s="107">
        <f t="shared" si="11"/>
        <v>2.35</v>
      </c>
    </row>
    <row r="108" spans="2:10" x14ac:dyDescent="0.25">
      <c r="B108" s="51">
        <v>79</v>
      </c>
      <c r="C108" s="107">
        <f t="shared" si="10"/>
        <v>2.6333333333333333</v>
      </c>
      <c r="D108" s="104"/>
      <c r="E108" s="104"/>
      <c r="F108" s="104"/>
      <c r="H108" s="51">
        <v>95</v>
      </c>
      <c r="I108" s="107">
        <f t="shared" si="11"/>
        <v>2.375</v>
      </c>
    </row>
    <row r="109" spans="2:10" x14ac:dyDescent="0.25">
      <c r="B109" s="51">
        <v>80</v>
      </c>
      <c r="C109" s="107">
        <f t="shared" si="10"/>
        <v>2.6666666666666665</v>
      </c>
      <c r="D109" s="104"/>
      <c r="E109" s="104"/>
      <c r="F109" s="104"/>
      <c r="H109" s="51">
        <v>96</v>
      </c>
      <c r="I109" s="107">
        <f t="shared" si="11"/>
        <v>2.4</v>
      </c>
    </row>
    <row r="110" spans="2:10" x14ac:dyDescent="0.25">
      <c r="B110" s="51">
        <v>81</v>
      </c>
      <c r="C110" s="107">
        <f t="shared" si="10"/>
        <v>2.7</v>
      </c>
      <c r="H110" s="51">
        <v>97</v>
      </c>
      <c r="I110" s="107">
        <f t="shared" si="11"/>
        <v>2.4249999999999998</v>
      </c>
    </row>
    <row r="111" spans="2:10" x14ac:dyDescent="0.25">
      <c r="B111" s="51">
        <v>82</v>
      </c>
      <c r="C111" s="107">
        <f t="shared" si="10"/>
        <v>2.7333333333333334</v>
      </c>
      <c r="H111" s="51">
        <v>98</v>
      </c>
      <c r="I111" s="107">
        <f t="shared" si="11"/>
        <v>2.4500000000000002</v>
      </c>
    </row>
    <row r="112" spans="2:10" x14ac:dyDescent="0.25">
      <c r="B112" s="51">
        <v>83</v>
      </c>
      <c r="C112" s="107">
        <f t="shared" si="10"/>
        <v>2.7666666666666666</v>
      </c>
      <c r="H112" s="51">
        <v>99</v>
      </c>
      <c r="I112" s="107">
        <f t="shared" si="11"/>
        <v>2.4750000000000001</v>
      </c>
    </row>
    <row r="113" spans="2:9" x14ac:dyDescent="0.25">
      <c r="B113" s="51">
        <v>84</v>
      </c>
      <c r="C113" s="107">
        <f t="shared" si="10"/>
        <v>2.8</v>
      </c>
      <c r="H113" s="51">
        <v>100</v>
      </c>
      <c r="I113" s="107">
        <f t="shared" si="11"/>
        <v>2.5</v>
      </c>
    </row>
    <row r="114" spans="2:9" x14ac:dyDescent="0.25">
      <c r="B114" s="51">
        <v>85</v>
      </c>
      <c r="C114" s="107">
        <f t="shared" si="10"/>
        <v>2.8333333333333335</v>
      </c>
      <c r="H114" s="51">
        <v>101</v>
      </c>
      <c r="I114" s="107">
        <f t="shared" si="11"/>
        <v>2.5249999999999999</v>
      </c>
    </row>
    <row r="115" spans="2:9" x14ac:dyDescent="0.25">
      <c r="B115" s="51">
        <v>86</v>
      </c>
      <c r="C115" s="107">
        <f t="shared" si="10"/>
        <v>2.8666666666666667</v>
      </c>
      <c r="H115" s="51">
        <v>102</v>
      </c>
      <c r="I115" s="107">
        <f t="shared" si="11"/>
        <v>2.5499999999999998</v>
      </c>
    </row>
    <row r="116" spans="2:9" x14ac:dyDescent="0.25">
      <c r="B116" s="51">
        <v>87</v>
      </c>
      <c r="C116" s="107">
        <f t="shared" si="10"/>
        <v>2.9</v>
      </c>
      <c r="H116" s="51">
        <v>103</v>
      </c>
      <c r="I116" s="107">
        <f t="shared" si="11"/>
        <v>2.5750000000000002</v>
      </c>
    </row>
    <row r="117" spans="2:9" x14ac:dyDescent="0.25">
      <c r="B117" s="51">
        <v>88</v>
      </c>
      <c r="C117" s="107">
        <f t="shared" si="10"/>
        <v>2.9333333333333331</v>
      </c>
      <c r="H117" s="51">
        <v>104</v>
      </c>
      <c r="I117" s="107">
        <f t="shared" si="11"/>
        <v>2.6</v>
      </c>
    </row>
    <row r="118" spans="2:9" x14ac:dyDescent="0.25">
      <c r="B118" s="51">
        <v>89</v>
      </c>
      <c r="C118" s="107">
        <f t="shared" si="10"/>
        <v>2.9666666666666668</v>
      </c>
      <c r="H118" s="51">
        <v>105</v>
      </c>
      <c r="I118" s="107">
        <f t="shared" si="11"/>
        <v>2.625</v>
      </c>
    </row>
    <row r="119" spans="2:9" x14ac:dyDescent="0.25">
      <c r="B119" s="51">
        <v>90</v>
      </c>
      <c r="C119" s="107">
        <f t="shared" si="10"/>
        <v>3</v>
      </c>
      <c r="H119" s="51">
        <v>106</v>
      </c>
      <c r="I119" s="107">
        <f t="shared" si="11"/>
        <v>2.65</v>
      </c>
    </row>
    <row r="120" spans="2:9" x14ac:dyDescent="0.25">
      <c r="B120" s="51">
        <v>91</v>
      </c>
      <c r="C120" s="107">
        <f t="shared" si="10"/>
        <v>3.0333333333333332</v>
      </c>
      <c r="H120" s="51">
        <v>107</v>
      </c>
      <c r="I120" s="107">
        <f t="shared" si="11"/>
        <v>2.6749999999999998</v>
      </c>
    </row>
    <row r="121" spans="2:9" x14ac:dyDescent="0.25">
      <c r="B121" s="51">
        <v>92</v>
      </c>
      <c r="C121" s="107">
        <f t="shared" si="10"/>
        <v>3.0666666666666669</v>
      </c>
      <c r="H121" s="51">
        <v>108</v>
      </c>
      <c r="I121" s="107">
        <f t="shared" si="11"/>
        <v>2.7</v>
      </c>
    </row>
    <row r="122" spans="2:9" x14ac:dyDescent="0.25">
      <c r="B122" s="51">
        <v>93</v>
      </c>
      <c r="C122" s="107">
        <f t="shared" si="10"/>
        <v>3.1</v>
      </c>
      <c r="H122" s="51">
        <v>109</v>
      </c>
      <c r="I122" s="107">
        <f t="shared" si="11"/>
        <v>2.7250000000000001</v>
      </c>
    </row>
    <row r="123" spans="2:9" x14ac:dyDescent="0.25">
      <c r="B123" s="51">
        <v>94</v>
      </c>
      <c r="C123" s="107">
        <f t="shared" si="10"/>
        <v>3.1333333333333333</v>
      </c>
      <c r="H123" s="51">
        <v>110</v>
      </c>
      <c r="I123" s="107">
        <f t="shared" si="11"/>
        <v>2.75</v>
      </c>
    </row>
    <row r="124" spans="2:9" x14ac:dyDescent="0.25">
      <c r="B124" s="51">
        <v>95</v>
      </c>
      <c r="C124" s="107">
        <f t="shared" si="10"/>
        <v>3.1666666666666665</v>
      </c>
      <c r="H124" s="51">
        <v>111</v>
      </c>
      <c r="I124" s="107">
        <f t="shared" si="11"/>
        <v>2.7749999999999999</v>
      </c>
    </row>
    <row r="125" spans="2:9" x14ac:dyDescent="0.25">
      <c r="B125" s="51">
        <v>96</v>
      </c>
      <c r="C125" s="107">
        <f t="shared" si="10"/>
        <v>3.2</v>
      </c>
      <c r="H125" s="51">
        <v>112</v>
      </c>
      <c r="I125" s="107">
        <f t="shared" si="11"/>
        <v>2.8</v>
      </c>
    </row>
    <row r="126" spans="2:9" x14ac:dyDescent="0.25">
      <c r="B126" s="51">
        <v>97</v>
      </c>
      <c r="C126" s="107">
        <f t="shared" si="10"/>
        <v>3.2333333333333334</v>
      </c>
      <c r="H126" s="51">
        <v>113</v>
      </c>
      <c r="I126" s="107">
        <f t="shared" si="11"/>
        <v>2.8250000000000002</v>
      </c>
    </row>
    <row r="127" spans="2:9" x14ac:dyDescent="0.25">
      <c r="B127" s="51">
        <v>98</v>
      </c>
      <c r="C127" s="107">
        <f t="shared" si="10"/>
        <v>3.2666666666666666</v>
      </c>
      <c r="H127" s="51">
        <v>114</v>
      </c>
      <c r="I127" s="107">
        <f t="shared" si="11"/>
        <v>2.85</v>
      </c>
    </row>
    <row r="128" spans="2:9" x14ac:dyDescent="0.25">
      <c r="B128" s="51">
        <v>99</v>
      </c>
      <c r="C128" s="107">
        <f t="shared" si="10"/>
        <v>3.3</v>
      </c>
      <c r="H128" s="51">
        <v>115</v>
      </c>
      <c r="I128" s="107">
        <f t="shared" si="11"/>
        <v>2.875</v>
      </c>
    </row>
    <row r="129" spans="2:9" x14ac:dyDescent="0.25">
      <c r="B129" s="51">
        <v>100</v>
      </c>
      <c r="C129" s="107">
        <f t="shared" si="10"/>
        <v>3.3333333333333335</v>
      </c>
      <c r="H129" s="51">
        <v>116</v>
      </c>
      <c r="I129" s="107">
        <f t="shared" si="11"/>
        <v>2.9</v>
      </c>
    </row>
    <row r="130" spans="2:9" x14ac:dyDescent="0.25">
      <c r="H130" s="51">
        <v>117</v>
      </c>
      <c r="I130" s="107">
        <f t="shared" si="11"/>
        <v>2.9249999999999998</v>
      </c>
    </row>
    <row r="131" spans="2:9" x14ac:dyDescent="0.25">
      <c r="H131" s="51">
        <v>118</v>
      </c>
      <c r="I131" s="107">
        <f t="shared" si="11"/>
        <v>2.95</v>
      </c>
    </row>
    <row r="132" spans="2:9" x14ac:dyDescent="0.25">
      <c r="H132" s="51">
        <v>119</v>
      </c>
      <c r="I132" s="107">
        <f t="shared" si="11"/>
        <v>2.9750000000000001</v>
      </c>
    </row>
    <row r="133" spans="2:9" x14ac:dyDescent="0.25">
      <c r="H133" s="51">
        <v>120</v>
      </c>
      <c r="I133" s="107">
        <f>H133/J$32</f>
        <v>3</v>
      </c>
    </row>
    <row r="141" spans="2:9" x14ac:dyDescent="0.25">
      <c r="B141" s="51" t="s">
        <v>119</v>
      </c>
      <c r="C141" s="109">
        <f>B75</f>
        <v>46</v>
      </c>
      <c r="H141" s="51" t="s">
        <v>119</v>
      </c>
      <c r="I141" s="109">
        <f>H74</f>
        <v>61</v>
      </c>
    </row>
    <row r="142" spans="2:9" x14ac:dyDescent="0.25">
      <c r="B142" s="51" t="s">
        <v>120</v>
      </c>
      <c r="C142" s="109">
        <f>B103</f>
        <v>74</v>
      </c>
      <c r="H142" s="51" t="s">
        <v>120</v>
      </c>
      <c r="I142" s="109">
        <f>H105</f>
        <v>92</v>
      </c>
    </row>
    <row r="143" spans="2:9" x14ac:dyDescent="0.25">
      <c r="B143" s="51" t="s">
        <v>118</v>
      </c>
      <c r="C143" s="109">
        <f>C142-C141</f>
        <v>28</v>
      </c>
      <c r="H143" s="51" t="s">
        <v>118</v>
      </c>
      <c r="I143" s="109">
        <f>I142-I141</f>
        <v>31</v>
      </c>
    </row>
  </sheetData>
  <sortState xmlns:xlrd2="http://schemas.microsoft.com/office/spreadsheetml/2017/richdata2" ref="D4:D23">
    <sortCondition ref="D4:D23"/>
  </sortState>
  <phoneticPr fontId="8" type="noConversion"/>
  <conditionalFormatting sqref="W4:Z12 AD4:AE12 AA4:AC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{811ED4DF-090A-491B-8517-E26BCD08A1AE}</x14:id>
        </ext>
      </extLst>
    </cfRule>
  </conditionalFormatting>
  <conditionalFormatting sqref="AA4:AC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{3DEFEFA2-256B-453E-B5A1-41D4ABA999D1}</x14:id>
        </ext>
      </extLs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1ED4DF-090A-491B-8517-E26BCD08A1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W4:Z12 AD4:AE12 AA4:AC4</xm:sqref>
        </x14:conditionalFormatting>
        <x14:conditionalFormatting xmlns:xm="http://schemas.microsoft.com/office/excel/2006/main">
          <x14:cfRule type="dataBar" id="{3DEFEFA2-256B-453E-B5A1-41D4ABA999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AA4:AC12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F9BD-4379-4405-B793-B04BABC99C18}">
  <dimension ref="C1:N30"/>
  <sheetViews>
    <sheetView topLeftCell="B5" workbookViewId="0">
      <selection activeCell="C3" sqref="C3"/>
    </sheetView>
  </sheetViews>
  <sheetFormatPr baseColWidth="10" defaultRowHeight="15" x14ac:dyDescent="0.25"/>
  <cols>
    <col min="8" max="8" width="12" bestFit="1" customWidth="1"/>
  </cols>
  <sheetData>
    <row r="1" spans="3:14" x14ac:dyDescent="0.25">
      <c r="C1">
        <v>1</v>
      </c>
      <c r="D1">
        <v>2</v>
      </c>
      <c r="E1">
        <v>3</v>
      </c>
    </row>
    <row r="2" spans="3:14" x14ac:dyDescent="0.25">
      <c r="C2" s="123" t="s">
        <v>81</v>
      </c>
      <c r="D2" s="110" t="s">
        <v>85</v>
      </c>
      <c r="E2" s="110" t="s">
        <v>80</v>
      </c>
    </row>
    <row r="3" spans="3:14" x14ac:dyDescent="0.25">
      <c r="C3" s="125">
        <f>Avg_Match!E25</f>
        <v>1.5333330000000001</v>
      </c>
      <c r="D3" s="110">
        <f>Avg_Match!F25</f>
        <v>-27</v>
      </c>
      <c r="E3" s="124">
        <f>Avg_Match!H25</f>
        <v>1.52</v>
      </c>
      <c r="M3" t="s">
        <v>135</v>
      </c>
      <c r="N3">
        <f>CORREL(C3:C19,D3:D19)</f>
        <v>0.75590777844710599</v>
      </c>
    </row>
    <row r="4" spans="3:14" x14ac:dyDescent="0.25">
      <c r="C4" s="125">
        <f>Avg_Match!E26</f>
        <v>1.8666670000000001</v>
      </c>
      <c r="D4" s="110">
        <f>Avg_Match!F26</f>
        <v>-18</v>
      </c>
      <c r="E4" s="124">
        <f>Avg_Match!H26</f>
        <v>1.68</v>
      </c>
    </row>
    <row r="5" spans="3:14" x14ac:dyDescent="0.25">
      <c r="C5" s="125">
        <f>Avg_Match!E27</f>
        <v>1.6333329999999999</v>
      </c>
      <c r="D5" s="110">
        <f>Avg_Match!F27</f>
        <v>-17</v>
      </c>
      <c r="E5" s="124">
        <f>Avg_Match!H27</f>
        <v>1.73</v>
      </c>
    </row>
    <row r="6" spans="3:14" x14ac:dyDescent="0.25">
      <c r="C6" s="125">
        <f>Avg_Match!E28</f>
        <v>1.8333330000000001</v>
      </c>
      <c r="D6" s="110">
        <f>Avg_Match!F28</f>
        <v>-17</v>
      </c>
      <c r="E6" s="124">
        <f>Avg_Match!H28</f>
        <v>1.75</v>
      </c>
    </row>
    <row r="7" spans="3:14" x14ac:dyDescent="0.25">
      <c r="C7" s="125">
        <f>Avg_Match!E29</f>
        <v>1.7</v>
      </c>
      <c r="D7" s="110">
        <f>Avg_Match!F29</f>
        <v>-12</v>
      </c>
      <c r="E7" s="124">
        <f>Avg_Match!H29</f>
        <v>1.8</v>
      </c>
    </row>
    <row r="8" spans="3:14" x14ac:dyDescent="0.25">
      <c r="C8" s="125">
        <f>Avg_Match!E30</f>
        <v>1.8333330000000001</v>
      </c>
      <c r="D8" s="110">
        <f>Avg_Match!F30</f>
        <v>-23</v>
      </c>
      <c r="E8" s="124">
        <f>Avg_Match!H30</f>
        <v>1.8</v>
      </c>
    </row>
    <row r="9" spans="3:14" x14ac:dyDescent="0.25">
      <c r="C9" s="125">
        <f>Avg_Match!E31</f>
        <v>2</v>
      </c>
      <c r="D9" s="110">
        <f>Avg_Match!F31</f>
        <v>10</v>
      </c>
      <c r="E9" s="124">
        <f>Avg_Match!H31</f>
        <v>1.85</v>
      </c>
    </row>
    <row r="10" spans="3:14" x14ac:dyDescent="0.25">
      <c r="C10" s="125">
        <f>Avg_Match!E32</f>
        <v>1.7</v>
      </c>
      <c r="D10" s="110">
        <f>Avg_Match!F32</f>
        <v>-5</v>
      </c>
      <c r="E10" s="124">
        <f>Avg_Match!H32</f>
        <v>1.9</v>
      </c>
    </row>
    <row r="11" spans="3:14" x14ac:dyDescent="0.25">
      <c r="C11" s="125">
        <f>Avg_Match!E33</f>
        <v>1.6666669999999999</v>
      </c>
      <c r="D11" s="110">
        <f>Avg_Match!F33</f>
        <v>-7</v>
      </c>
      <c r="E11" s="124">
        <f>Avg_Match!H33</f>
        <v>1.92</v>
      </c>
    </row>
    <row r="12" spans="3:14" x14ac:dyDescent="0.25">
      <c r="C12" s="125">
        <f>Avg_Match!E34</f>
        <v>1.9</v>
      </c>
      <c r="D12" s="110">
        <f>Avg_Match!F34</f>
        <v>-14</v>
      </c>
      <c r="E12" s="124">
        <f>Avg_Match!H34</f>
        <v>1.98</v>
      </c>
    </row>
    <row r="13" spans="3:14" x14ac:dyDescent="0.25">
      <c r="C13" s="125">
        <f>Avg_Match!E36</f>
        <v>2</v>
      </c>
      <c r="D13" s="110">
        <f>Avg_Match!F36</f>
        <v>8</v>
      </c>
      <c r="E13" s="124">
        <f>Avg_Match!H36</f>
        <v>2</v>
      </c>
    </row>
    <row r="14" spans="3:14" x14ac:dyDescent="0.25">
      <c r="C14" s="125">
        <f>Avg_Match!E37</f>
        <v>2.0333329999999998</v>
      </c>
      <c r="D14" s="110">
        <f>Avg_Match!F37</f>
        <v>-2</v>
      </c>
      <c r="E14" s="124">
        <f>Avg_Match!H37</f>
        <v>2.0499999999999998</v>
      </c>
    </row>
    <row r="15" spans="3:14" x14ac:dyDescent="0.25">
      <c r="C15" s="125">
        <f>Avg_Match!E38</f>
        <v>2.2000000000000002</v>
      </c>
      <c r="D15" s="110">
        <f>Avg_Match!F38</f>
        <v>-3</v>
      </c>
      <c r="E15" s="124">
        <f>Avg_Match!H38</f>
        <v>2.08</v>
      </c>
    </row>
    <row r="16" spans="3:14" x14ac:dyDescent="0.25">
      <c r="C16" s="125">
        <f>Avg_Match!E39</f>
        <v>2.2999999999999998</v>
      </c>
      <c r="D16" s="110">
        <f>Avg_Match!F39</f>
        <v>11</v>
      </c>
      <c r="E16" s="124">
        <f>Avg_Match!H39</f>
        <v>2.1</v>
      </c>
      <c r="M16" t="s">
        <v>137</v>
      </c>
      <c r="N16">
        <f>CORREL(C3:C19,E3:E19)</f>
        <v>0.81408149830666321</v>
      </c>
    </row>
    <row r="17" spans="3:14" x14ac:dyDescent="0.25">
      <c r="C17" s="125">
        <f>Avg_Match!E40</f>
        <v>2.0666669999999998</v>
      </c>
      <c r="D17" s="110">
        <f>Avg_Match!F40</f>
        <v>2</v>
      </c>
      <c r="E17" s="124">
        <f>Avg_Match!H40</f>
        <v>2.12</v>
      </c>
    </row>
    <row r="18" spans="3:14" x14ac:dyDescent="0.25">
      <c r="C18" s="125">
        <f>Avg_Match!E41</f>
        <v>2.1</v>
      </c>
      <c r="D18" s="110">
        <f>Avg_Match!F41</f>
        <v>0</v>
      </c>
      <c r="E18" s="124">
        <f>Avg_Match!H41</f>
        <v>2.17</v>
      </c>
    </row>
    <row r="19" spans="3:14" x14ac:dyDescent="0.25">
      <c r="C19" s="125">
        <f>Avg_Match!E43</f>
        <v>2.1666669999999999</v>
      </c>
      <c r="D19" s="110">
        <f>Avg_Match!F43</f>
        <v>9</v>
      </c>
      <c r="E19" s="124">
        <f>Avg_Match!H43</f>
        <v>2.27</v>
      </c>
    </row>
    <row r="20" spans="3:14" x14ac:dyDescent="0.25">
      <c r="C20" s="125">
        <f>Avg_Match!E44</f>
        <v>2.4666670000000002</v>
      </c>
      <c r="D20" s="110">
        <f>Avg_Match!F44</f>
        <v>21</v>
      </c>
      <c r="E20" s="124">
        <f>Avg_Match!H44</f>
        <v>2.2999999999999998</v>
      </c>
    </row>
    <row r="30" spans="3:14" x14ac:dyDescent="0.25">
      <c r="M30" t="s">
        <v>136</v>
      </c>
      <c r="N30">
        <f>CORREL(D3:D19,E3:E19)</f>
        <v>0.78703580413793783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Nymburk - Opava</vt:lpstr>
      <vt:lpstr>Hoja2</vt:lpstr>
      <vt:lpstr>Hoja4</vt:lpstr>
      <vt:lpstr>Both</vt:lpstr>
      <vt:lpstr>Avg_Match</vt:lpstr>
      <vt:lpstr>Hoja3</vt:lpstr>
      <vt:lpstr>Hoja8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2023-05-10T18:26:57Z</dcterms:created>
  <dcterms:modified xsi:type="dcterms:W3CDTF">2023-05-29T06:18:04Z</dcterms:modified>
</cp:coreProperties>
</file>