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comunidadunammx-my.sharepoint.com/personal/yolanda_unamdjm_comunidad_unam_mx/Documents/ComputacionGrafica/Teoria/"/>
    </mc:Choice>
  </mc:AlternateContent>
  <xr:revisionPtr revIDLastSave="59" documentId="8_{A656124C-A207-459C-8A4B-E2C7306C2DBA}" xr6:coauthVersionLast="47" xr6:coauthVersionMax="47" xr10:uidLastSave="{C8897D2F-2266-4D38-9EF0-6D116ABCD2B4}"/>
  <bookViews>
    <workbookView xWindow="-120" yWindow="-120" windowWidth="20730" windowHeight="11760" xr2:uid="{00000000-000D-0000-FFFF-FFFF00000000}"/>
  </bookViews>
  <sheets>
    <sheet name="HOJA DE TRABAJO" sheetId="3" r:id="rId1"/>
    <sheet name="Hoja1"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4" i="3" l="1"/>
  <c r="D172" i="3"/>
  <c r="E164" i="3"/>
  <c r="F164" i="3"/>
  <c r="J164" i="3"/>
  <c r="H164" i="3"/>
  <c r="D164" i="3"/>
  <c r="I164" i="3"/>
  <c r="I163" i="3"/>
  <c r="I162" i="3"/>
  <c r="I161" i="3"/>
  <c r="I160" i="3"/>
  <c r="I159" i="3"/>
  <c r="I158" i="3"/>
  <c r="J160" i="3"/>
  <c r="J161" i="3" s="1"/>
  <c r="J162" i="3" s="1"/>
  <c r="J163" i="3" s="1"/>
  <c r="J159" i="3"/>
  <c r="J158" i="3"/>
  <c r="K159" i="3"/>
  <c r="K163" i="3"/>
  <c r="K162" i="3"/>
  <c r="K161" i="3"/>
  <c r="K160" i="3"/>
  <c r="K158" i="3"/>
  <c r="G163" i="3"/>
  <c r="G162" i="3"/>
  <c r="G161" i="3"/>
  <c r="G160" i="3"/>
  <c r="G159" i="3"/>
  <c r="G158" i="3"/>
  <c r="F159" i="3"/>
  <c r="F160" i="3"/>
  <c r="F161" i="3"/>
  <c r="F162" i="3"/>
  <c r="F163" i="3"/>
  <c r="F158" i="3"/>
  <c r="E160" i="3"/>
  <c r="E161" i="3"/>
  <c r="E162" i="3"/>
  <c r="E163" i="3"/>
  <c r="E159" i="3"/>
  <c r="G164" i="3" l="1"/>
  <c r="G166" i="3" s="1"/>
  <c r="D163" i="3" l="1"/>
  <c r="D161" i="3"/>
  <c r="D162" i="3"/>
  <c r="D160" i="3"/>
  <c r="R130" i="3"/>
  <c r="R133" i="3"/>
  <c r="R134" i="3"/>
  <c r="Q130" i="3"/>
  <c r="Q133" i="3"/>
  <c r="Q134" i="3"/>
  <c r="P130" i="3"/>
  <c r="P133" i="3"/>
  <c r="P134" i="3"/>
  <c r="O130" i="3"/>
  <c r="O133" i="3"/>
  <c r="O134" i="3"/>
  <c r="N133" i="3"/>
  <c r="N134" i="3"/>
  <c r="N130" i="3"/>
  <c r="N122" i="3"/>
  <c r="E65" i="3"/>
  <c r="E85" i="3" s="1"/>
  <c r="F135" i="3"/>
  <c r="G135" i="3"/>
  <c r="N24" i="3"/>
  <c r="E123" i="3" s="1"/>
  <c r="E92" i="3"/>
  <c r="F92" i="3"/>
  <c r="G92" i="3"/>
  <c r="H92" i="3"/>
  <c r="I92" i="3"/>
  <c r="E93" i="3"/>
  <c r="F93" i="3"/>
  <c r="G93" i="3"/>
  <c r="H93" i="3"/>
  <c r="I93" i="3"/>
  <c r="E94" i="3"/>
  <c r="F94" i="3"/>
  <c r="G94" i="3"/>
  <c r="H94" i="3"/>
  <c r="I94" i="3"/>
  <c r="F91" i="3"/>
  <c r="G91" i="3"/>
  <c r="H91" i="3"/>
  <c r="I91" i="3"/>
  <c r="E91" i="3"/>
  <c r="J77" i="3"/>
  <c r="J78" i="3"/>
  <c r="J79" i="3"/>
  <c r="J76" i="3"/>
  <c r="E66" i="3"/>
  <c r="E86" i="3" s="1"/>
  <c r="F66" i="3"/>
  <c r="F86" i="3" s="1"/>
  <c r="G66" i="3"/>
  <c r="G86" i="3" s="1"/>
  <c r="H66" i="3"/>
  <c r="H86" i="3" s="1"/>
  <c r="I66" i="3"/>
  <c r="I86" i="3" s="1"/>
  <c r="E67" i="3"/>
  <c r="E87" i="3" s="1"/>
  <c r="F67" i="3"/>
  <c r="F87" i="3" s="1"/>
  <c r="G67" i="3"/>
  <c r="G87" i="3" s="1"/>
  <c r="H67" i="3"/>
  <c r="H87" i="3" s="1"/>
  <c r="I67" i="3"/>
  <c r="I87" i="3" s="1"/>
  <c r="E68" i="3"/>
  <c r="E88" i="3" s="1"/>
  <c r="F68" i="3"/>
  <c r="F88" i="3" s="1"/>
  <c r="G68" i="3"/>
  <c r="G88" i="3" s="1"/>
  <c r="H68" i="3"/>
  <c r="H88" i="3" s="1"/>
  <c r="I68" i="3"/>
  <c r="I88" i="3" s="1"/>
  <c r="F65" i="3"/>
  <c r="F85" i="3" s="1"/>
  <c r="G65" i="3"/>
  <c r="G85" i="3" s="1"/>
  <c r="H65" i="3"/>
  <c r="H85" i="3" s="1"/>
  <c r="I65" i="3"/>
  <c r="I85" i="3" s="1"/>
  <c r="X80" i="3"/>
  <c r="X79" i="3"/>
  <c r="X78" i="3"/>
  <c r="R81" i="3"/>
  <c r="I69" i="3" s="1"/>
  <c r="I89" i="3" s="1"/>
  <c r="Q81" i="3"/>
  <c r="H70" i="3" s="1"/>
  <c r="H90" i="3" s="1"/>
  <c r="P81" i="3"/>
  <c r="O81" i="3"/>
  <c r="F69" i="3" s="1"/>
  <c r="F89" i="3" s="1"/>
  <c r="N81" i="3"/>
  <c r="E70" i="3" s="1"/>
  <c r="E90" i="3" s="1"/>
  <c r="S80" i="3"/>
  <c r="S79" i="3"/>
  <c r="S78" i="3"/>
  <c r="S77" i="3"/>
  <c r="S76" i="3"/>
  <c r="S75" i="3"/>
  <c r="AB70" i="3"/>
  <c r="AB69" i="3"/>
  <c r="AB68" i="3"/>
  <c r="AB67" i="3"/>
  <c r="AB66" i="3"/>
  <c r="AB65" i="3"/>
  <c r="S68" i="3"/>
  <c r="R24" i="3"/>
  <c r="I123" i="3" s="1"/>
  <c r="Q24" i="3"/>
  <c r="H123" i="3" s="1"/>
  <c r="P24" i="3"/>
  <c r="G123" i="3" s="1"/>
  <c r="O24" i="3"/>
  <c r="F123" i="3" s="1"/>
  <c r="S23" i="3"/>
  <c r="S22" i="3"/>
  <c r="S21" i="3"/>
  <c r="S20" i="3"/>
  <c r="S19" i="3"/>
  <c r="S18" i="3"/>
  <c r="X23" i="3"/>
  <c r="X22" i="3"/>
  <c r="X21" i="3"/>
  <c r="X20" i="3"/>
  <c r="M8" i="3"/>
  <c r="O123" i="3" l="1"/>
  <c r="Q123" i="3"/>
  <c r="N123" i="3"/>
  <c r="P123" i="3"/>
  <c r="E135" i="3"/>
  <c r="I135" i="3"/>
  <c r="H135" i="3"/>
  <c r="J123" i="3"/>
  <c r="R123" i="3" s="1"/>
  <c r="J92" i="3"/>
  <c r="J91" i="3"/>
  <c r="I70" i="3"/>
  <c r="I90" i="3" s="1"/>
  <c r="E22" i="3"/>
  <c r="H22" i="3" s="1"/>
  <c r="H37" i="3" s="1"/>
  <c r="F70" i="3"/>
  <c r="F90" i="3" s="1"/>
  <c r="H69" i="3"/>
  <c r="H89" i="3" s="1"/>
  <c r="J86" i="3"/>
  <c r="J68" i="3"/>
  <c r="J94" i="3"/>
  <c r="G69" i="3"/>
  <c r="G89" i="3" s="1"/>
  <c r="G70" i="3"/>
  <c r="G90" i="3" s="1"/>
  <c r="J85" i="3"/>
  <c r="J88" i="3"/>
  <c r="J87" i="3"/>
  <c r="J93" i="3"/>
  <c r="E69" i="3"/>
  <c r="E89" i="3" s="1"/>
  <c r="S81" i="3"/>
  <c r="S24" i="3"/>
  <c r="O25" i="3" s="1"/>
  <c r="X77" i="3"/>
  <c r="X76" i="3"/>
  <c r="AT106" i="3"/>
  <c r="AX105" i="3"/>
  <c r="AW105" i="3"/>
  <c r="AV105" i="3"/>
  <c r="AT105" i="3"/>
  <c r="AW104" i="3"/>
  <c r="AV104" i="3"/>
  <c r="AU104" i="3"/>
  <c r="AT104" i="3"/>
  <c r="AX102" i="3"/>
  <c r="AW102" i="3"/>
  <c r="AV102" i="3"/>
  <c r="AX101" i="3"/>
  <c r="AL90" i="3"/>
  <c r="AK90" i="3"/>
  <c r="AJ90" i="3"/>
  <c r="AJ106" i="3" s="1"/>
  <c r="AS106" i="3" s="1"/>
  <c r="BB106" i="3" s="1"/>
  <c r="BD77" i="3"/>
  <c r="BD76" i="3"/>
  <c r="AT8" i="3"/>
  <c r="BD20" i="3"/>
  <c r="BD19" i="3"/>
  <c r="AL33" i="3"/>
  <c r="AL106" i="3" s="1"/>
  <c r="AK33" i="3"/>
  <c r="AK106" i="3" s="1"/>
  <c r="AO32" i="3"/>
  <c r="AN32" i="3"/>
  <c r="AM32" i="3"/>
  <c r="AL32" i="3"/>
  <c r="AK32" i="3"/>
  <c r="AJ33" i="3"/>
  <c r="AS33" i="3" s="1"/>
  <c r="BB33" i="3" s="1"/>
  <c r="AJ32" i="3"/>
  <c r="AS32" i="3" s="1"/>
  <c r="BB32" i="3" s="1"/>
  <c r="AI32" i="3"/>
  <c r="AJ28" i="3"/>
  <c r="AK21" i="3"/>
  <c r="M95" i="3"/>
  <c r="AB55" i="3"/>
  <c r="AB54" i="3"/>
  <c r="AB53" i="3"/>
  <c r="AB52" i="3"/>
  <c r="AB51" i="3"/>
  <c r="AB50" i="3"/>
  <c r="AB49" i="3"/>
  <c r="AB48" i="3"/>
  <c r="AB47" i="3"/>
  <c r="AB46" i="3"/>
  <c r="M13" i="3"/>
  <c r="V13" i="3" s="1"/>
  <c r="M12" i="3"/>
  <c r="V12" i="3" s="1"/>
  <c r="M11" i="3"/>
  <c r="V11" i="3" s="1"/>
  <c r="M10" i="3"/>
  <c r="V10" i="3" s="1"/>
  <c r="M9" i="3"/>
  <c r="V9" i="3" s="1"/>
  <c r="V8" i="3"/>
  <c r="C65" i="3"/>
  <c r="C85" i="3" s="1"/>
  <c r="D79" i="3"/>
  <c r="D94" i="3" s="1"/>
  <c r="M94" i="3" s="1"/>
  <c r="V94" i="3" s="1"/>
  <c r="D78" i="3"/>
  <c r="D93" i="3" s="1"/>
  <c r="M93" i="3" s="1"/>
  <c r="V93" i="3" s="1"/>
  <c r="D77" i="3"/>
  <c r="D92" i="3" s="1"/>
  <c r="M92" i="3" s="1"/>
  <c r="V92" i="3" s="1"/>
  <c r="D70" i="3"/>
  <c r="D69" i="3"/>
  <c r="D68" i="3"/>
  <c r="D67" i="3"/>
  <c r="D66" i="3"/>
  <c r="D65" i="3"/>
  <c r="M65" i="3" s="1"/>
  <c r="V65" i="3" s="1"/>
  <c r="X19" i="3"/>
  <c r="H11" i="3" s="1"/>
  <c r="D37" i="3"/>
  <c r="M37" i="3" s="1"/>
  <c r="V37" i="3" s="1"/>
  <c r="I36" i="3"/>
  <c r="H36" i="3"/>
  <c r="G36" i="3"/>
  <c r="F36" i="3"/>
  <c r="E36" i="3"/>
  <c r="D36" i="3"/>
  <c r="M36" i="3" s="1"/>
  <c r="V36" i="3" s="1"/>
  <c r="I35" i="3"/>
  <c r="H35" i="3"/>
  <c r="G35" i="3"/>
  <c r="F35" i="3"/>
  <c r="E35" i="3"/>
  <c r="D35" i="3"/>
  <c r="M35" i="3" s="1"/>
  <c r="V35" i="3" s="1"/>
  <c r="I34" i="3"/>
  <c r="H34" i="3"/>
  <c r="G34" i="3"/>
  <c r="F34" i="3"/>
  <c r="E34" i="3"/>
  <c r="D34" i="3"/>
  <c r="M34" i="3" s="1"/>
  <c r="V34" i="3" s="1"/>
  <c r="D33" i="3"/>
  <c r="M33" i="3" s="1"/>
  <c r="V33" i="3" s="1"/>
  <c r="D32" i="3"/>
  <c r="M32" i="3" s="1"/>
  <c r="V32" i="3" s="1"/>
  <c r="J21" i="3"/>
  <c r="E23" i="3"/>
  <c r="S11" i="3"/>
  <c r="S12" i="3"/>
  <c r="AB13" i="3"/>
  <c r="AB12" i="3"/>
  <c r="S13" i="3"/>
  <c r="E37" i="3" l="1"/>
  <c r="F22" i="3"/>
  <c r="I22" i="3"/>
  <c r="I37" i="3" s="1"/>
  <c r="I110" i="3"/>
  <c r="G109" i="3"/>
  <c r="E107" i="3"/>
  <c r="G108" i="3"/>
  <c r="I109" i="3"/>
  <c r="F108" i="3"/>
  <c r="H109" i="3"/>
  <c r="F107" i="3"/>
  <c r="H108" i="3"/>
  <c r="J135" i="3"/>
  <c r="H107" i="3"/>
  <c r="H110" i="3"/>
  <c r="H95" i="3"/>
  <c r="E108" i="3"/>
  <c r="G107" i="3"/>
  <c r="E110" i="3"/>
  <c r="I107" i="3"/>
  <c r="E109" i="3"/>
  <c r="I95" i="3"/>
  <c r="F95" i="3"/>
  <c r="I108" i="3"/>
  <c r="F109" i="3"/>
  <c r="G95" i="3"/>
  <c r="J90" i="3"/>
  <c r="G22" i="3"/>
  <c r="G37" i="3" s="1"/>
  <c r="H9" i="3"/>
  <c r="H29" i="3" s="1"/>
  <c r="G12" i="3"/>
  <c r="G32" i="3" s="1"/>
  <c r="D86" i="3"/>
  <c r="M86" i="3" s="1"/>
  <c r="V86" i="3" s="1"/>
  <c r="M66" i="3"/>
  <c r="V66" i="3" s="1"/>
  <c r="G8" i="3"/>
  <c r="G28" i="3" s="1"/>
  <c r="I8" i="3"/>
  <c r="J89" i="3"/>
  <c r="D87" i="3"/>
  <c r="M87" i="3" s="1"/>
  <c r="V87" i="3" s="1"/>
  <c r="M67" i="3"/>
  <c r="V67" i="3" s="1"/>
  <c r="E13" i="3"/>
  <c r="E33" i="3" s="1"/>
  <c r="E8" i="3"/>
  <c r="R25" i="3"/>
  <c r="E95" i="3"/>
  <c r="G9" i="3"/>
  <c r="I11" i="3"/>
  <c r="D89" i="3"/>
  <c r="M89" i="3" s="1"/>
  <c r="V89" i="3" s="1"/>
  <c r="M69" i="3"/>
  <c r="V69" i="3" s="1"/>
  <c r="AS90" i="3"/>
  <c r="BB90" i="3" s="1"/>
  <c r="F10" i="3"/>
  <c r="T19" i="3"/>
  <c r="F8" i="3"/>
  <c r="D88" i="3"/>
  <c r="M88" i="3" s="1"/>
  <c r="V88" i="3" s="1"/>
  <c r="M68" i="3"/>
  <c r="V68" i="3" s="1"/>
  <c r="H8" i="3"/>
  <c r="Q25" i="3"/>
  <c r="D90" i="3"/>
  <c r="M90" i="3" s="1"/>
  <c r="V90" i="3" s="1"/>
  <c r="M70" i="3"/>
  <c r="V70" i="3" s="1"/>
  <c r="E9" i="3"/>
  <c r="J108" i="3"/>
  <c r="I13" i="3"/>
  <c r="I33" i="3" s="1"/>
  <c r="O33" i="3"/>
  <c r="P33" i="3"/>
  <c r="Q33" i="3"/>
  <c r="R33" i="3"/>
  <c r="N33" i="3"/>
  <c r="P32" i="3"/>
  <c r="Q32" i="3"/>
  <c r="R32" i="3"/>
  <c r="N32" i="3"/>
  <c r="O32" i="3"/>
  <c r="F9" i="3"/>
  <c r="H10" i="3"/>
  <c r="E12" i="3"/>
  <c r="E32" i="3" s="1"/>
  <c r="I10" i="3"/>
  <c r="H13" i="3"/>
  <c r="H33" i="3" s="1"/>
  <c r="F12" i="3"/>
  <c r="F32" i="3" s="1"/>
  <c r="G11" i="3"/>
  <c r="G10" i="3"/>
  <c r="P25" i="3"/>
  <c r="N25" i="3"/>
  <c r="T20" i="3"/>
  <c r="T18" i="3"/>
  <c r="E10" i="3"/>
  <c r="F37" i="3"/>
  <c r="G13" i="3"/>
  <c r="G33" i="3" s="1"/>
  <c r="I9" i="3"/>
  <c r="I12" i="3"/>
  <c r="I32" i="3" s="1"/>
  <c r="E11" i="3"/>
  <c r="E31" i="3" s="1"/>
  <c r="F13" i="3"/>
  <c r="H12" i="3"/>
  <c r="H32" i="3" s="1"/>
  <c r="F11" i="3"/>
  <c r="L65" i="3"/>
  <c r="U65" i="3" s="1"/>
  <c r="D109" i="3"/>
  <c r="M109" i="3" s="1"/>
  <c r="V109" i="3" s="1"/>
  <c r="D102" i="3"/>
  <c r="M102" i="3" s="1"/>
  <c r="V102" i="3" s="1"/>
  <c r="D108" i="3"/>
  <c r="M108" i="3" s="1"/>
  <c r="V108" i="3" s="1"/>
  <c r="D110" i="3"/>
  <c r="M110" i="3" s="1"/>
  <c r="V110" i="3" s="1"/>
  <c r="M53" i="3"/>
  <c r="V53" i="3" s="1"/>
  <c r="M52" i="3"/>
  <c r="V52" i="3" s="1"/>
  <c r="M50" i="3"/>
  <c r="V50" i="3" s="1"/>
  <c r="M54" i="3"/>
  <c r="V54" i="3" s="1"/>
  <c r="M51" i="3"/>
  <c r="V51" i="3" s="1"/>
  <c r="M55" i="3"/>
  <c r="V55" i="3" s="1"/>
  <c r="J34" i="3"/>
  <c r="R34" i="3" s="1"/>
  <c r="J36" i="3"/>
  <c r="N36" i="3" s="1"/>
  <c r="J35" i="3"/>
  <c r="W107" i="3" l="1"/>
  <c r="AA107" i="3"/>
  <c r="H106" i="3"/>
  <c r="H105" i="3"/>
  <c r="J22" i="3"/>
  <c r="Z107" i="3"/>
  <c r="E105" i="3"/>
  <c r="E127" i="3"/>
  <c r="G101" i="3"/>
  <c r="G127" i="3"/>
  <c r="Q127" i="3" s="1"/>
  <c r="Z108" i="3"/>
  <c r="X108" i="3"/>
  <c r="W108" i="3"/>
  <c r="E104" i="3"/>
  <c r="F127" i="3"/>
  <c r="H127" i="3"/>
  <c r="I105" i="3"/>
  <c r="I127" i="3"/>
  <c r="X107" i="3"/>
  <c r="AA109" i="3"/>
  <c r="Y109" i="3"/>
  <c r="F105" i="3"/>
  <c r="Z110" i="3"/>
  <c r="G110" i="3"/>
  <c r="Y110" i="3" s="1"/>
  <c r="Z109" i="3"/>
  <c r="D105" i="3"/>
  <c r="M105" i="3" s="1"/>
  <c r="V105" i="3" s="1"/>
  <c r="D103" i="3"/>
  <c r="M103" i="3" s="1"/>
  <c r="V103" i="3" s="1"/>
  <c r="J109" i="3"/>
  <c r="E106" i="3"/>
  <c r="J107" i="3"/>
  <c r="H102" i="3"/>
  <c r="I106" i="3"/>
  <c r="AA108" i="3"/>
  <c r="G106" i="3"/>
  <c r="G105" i="3"/>
  <c r="X109" i="3"/>
  <c r="W109" i="3"/>
  <c r="Y107" i="3"/>
  <c r="Y108" i="3"/>
  <c r="D106" i="3"/>
  <c r="M106" i="3" s="1"/>
  <c r="V106" i="3" s="1"/>
  <c r="P36" i="3"/>
  <c r="S25" i="3"/>
  <c r="E14" i="3"/>
  <c r="N34" i="3"/>
  <c r="Q36" i="3"/>
  <c r="O36" i="3"/>
  <c r="J95" i="3"/>
  <c r="AB108" i="3"/>
  <c r="I14" i="3"/>
  <c r="D104" i="3"/>
  <c r="M104" i="3" s="1"/>
  <c r="V104" i="3" s="1"/>
  <c r="G14" i="3"/>
  <c r="H14" i="3"/>
  <c r="J37" i="3"/>
  <c r="O37" i="3" s="1"/>
  <c r="F110" i="3"/>
  <c r="X110" i="3" s="1"/>
  <c r="P34" i="3"/>
  <c r="R36" i="3"/>
  <c r="F14" i="3"/>
  <c r="Q34" i="3"/>
  <c r="O34" i="3"/>
  <c r="J32" i="3"/>
  <c r="J12" i="3"/>
  <c r="J13" i="3"/>
  <c r="F33" i="3"/>
  <c r="D76" i="3"/>
  <c r="D91" i="3" s="1"/>
  <c r="O127" i="3" l="1"/>
  <c r="N127" i="3"/>
  <c r="P127" i="3"/>
  <c r="R127" i="3"/>
  <c r="Y105" i="3"/>
  <c r="AA110" i="3"/>
  <c r="AA105" i="3"/>
  <c r="J127" i="3"/>
  <c r="Z105" i="3"/>
  <c r="X105" i="3"/>
  <c r="Q37" i="3"/>
  <c r="J105" i="3"/>
  <c r="W105" i="3"/>
  <c r="F106" i="3"/>
  <c r="W110" i="3"/>
  <c r="AB107" i="3"/>
  <c r="AB109" i="3"/>
  <c r="N37" i="3"/>
  <c r="J110" i="3"/>
  <c r="P37" i="3"/>
  <c r="R37" i="3"/>
  <c r="J33" i="3"/>
  <c r="Y106" i="3" s="1"/>
  <c r="M91" i="3"/>
  <c r="V91" i="3" s="1"/>
  <c r="D107" i="3"/>
  <c r="M107" i="3" s="1"/>
  <c r="V107" i="3" s="1"/>
  <c r="X106" i="3" l="1"/>
  <c r="Z106" i="3"/>
  <c r="AA106" i="3"/>
  <c r="W106" i="3"/>
  <c r="J106" i="3"/>
  <c r="AB110" i="3"/>
  <c r="AB105" i="3"/>
  <c r="L207" i="3"/>
  <c r="L206" i="3"/>
  <c r="L205" i="3"/>
  <c r="G204" i="3"/>
  <c r="G203" i="3"/>
  <c r="L201" i="3"/>
  <c r="G201" i="3"/>
  <c r="D201" i="3"/>
  <c r="L200" i="3"/>
  <c r="G200" i="3"/>
  <c r="D200" i="3"/>
  <c r="L199" i="3"/>
  <c r="G199" i="3"/>
  <c r="D199" i="3"/>
  <c r="G198" i="3"/>
  <c r="D198" i="3"/>
  <c r="G197" i="3"/>
  <c r="D197" i="3"/>
  <c r="G196" i="3"/>
  <c r="D196" i="3"/>
  <c r="G195" i="3"/>
  <c r="D195" i="3"/>
  <c r="AT117" i="3"/>
  <c r="N117" i="3"/>
  <c r="AS107" i="3"/>
  <c r="M111" i="3"/>
  <c r="AS91" i="3"/>
  <c r="AO89" i="3"/>
  <c r="AO105" i="3" s="1"/>
  <c r="AN89" i="3"/>
  <c r="AN105" i="3" s="1"/>
  <c r="AM89" i="3"/>
  <c r="AM105" i="3" s="1"/>
  <c r="AL89" i="3"/>
  <c r="AL105" i="3" s="1"/>
  <c r="AK89" i="3"/>
  <c r="AK105" i="3" s="1"/>
  <c r="AJ89" i="3"/>
  <c r="AJ105" i="3" s="1"/>
  <c r="AS105" i="3" s="1"/>
  <c r="BB105" i="3" s="1"/>
  <c r="AJ88" i="3"/>
  <c r="AS88" i="3" s="1"/>
  <c r="BB88" i="3" s="1"/>
  <c r="AJ87" i="3"/>
  <c r="AJ103" i="3" s="1"/>
  <c r="AS103" i="3" s="1"/>
  <c r="BB103" i="3" s="1"/>
  <c r="AJ86" i="3"/>
  <c r="AJ85" i="3"/>
  <c r="AS85" i="3" s="1"/>
  <c r="BB85" i="3" s="1"/>
  <c r="AI85" i="3"/>
  <c r="AI101" i="3" s="1"/>
  <c r="C101" i="3"/>
  <c r="AL78" i="3"/>
  <c r="AK78" i="3"/>
  <c r="F80" i="3"/>
  <c r="E80" i="3"/>
  <c r="AM77" i="3"/>
  <c r="AP76" i="3"/>
  <c r="BC69" i="3"/>
  <c r="AA71" i="3"/>
  <c r="I134" i="3" s="1"/>
  <c r="X71" i="3"/>
  <c r="F134" i="3" s="1"/>
  <c r="W71" i="3"/>
  <c r="E134" i="3" s="1"/>
  <c r="R71" i="3"/>
  <c r="Q71" i="3"/>
  <c r="S70" i="3"/>
  <c r="J70" i="3" s="1"/>
  <c r="BG68" i="3"/>
  <c r="BH68" i="3" s="1"/>
  <c r="AX68" i="3"/>
  <c r="S69" i="3"/>
  <c r="J69" i="3" s="1"/>
  <c r="BG67" i="3"/>
  <c r="BF67" i="3"/>
  <c r="BF69" i="3" s="1"/>
  <c r="BE67" i="3"/>
  <c r="BE69" i="3" s="1"/>
  <c r="BD67" i="3"/>
  <c r="BD69" i="3" s="1"/>
  <c r="AX67" i="3"/>
  <c r="AW67" i="3"/>
  <c r="AV67" i="3"/>
  <c r="AU67" i="3"/>
  <c r="Z71" i="3"/>
  <c r="H134" i="3" s="1"/>
  <c r="Y71" i="3"/>
  <c r="G134" i="3" s="1"/>
  <c r="P71" i="3"/>
  <c r="BH66" i="3"/>
  <c r="AU66" i="3"/>
  <c r="AT66" i="3"/>
  <c r="AI66" i="3"/>
  <c r="AI67" i="3" s="1"/>
  <c r="O71" i="3"/>
  <c r="BH65" i="3"/>
  <c r="AT65" i="3"/>
  <c r="AS65" i="3"/>
  <c r="BB65" i="3" s="1"/>
  <c r="AS56" i="3"/>
  <c r="M56" i="3"/>
  <c r="BH49" i="3"/>
  <c r="BH48" i="3"/>
  <c r="BH46" i="3"/>
  <c r="AS34" i="3"/>
  <c r="M38" i="3"/>
  <c r="AJ31" i="3"/>
  <c r="AS31" i="3" s="1"/>
  <c r="BB31" i="3" s="1"/>
  <c r="D31" i="3"/>
  <c r="M49" i="3" s="1"/>
  <c r="V49" i="3" s="1"/>
  <c r="AJ30" i="3"/>
  <c r="AS30" i="3" s="1"/>
  <c r="BB30" i="3" s="1"/>
  <c r="D30" i="3"/>
  <c r="M48" i="3" s="1"/>
  <c r="V48" i="3" s="1"/>
  <c r="AO29" i="3"/>
  <c r="AN29" i="3"/>
  <c r="AM29" i="3"/>
  <c r="AL29" i="3"/>
  <c r="AJ29" i="3"/>
  <c r="AS47" i="3" s="1"/>
  <c r="D29" i="3"/>
  <c r="AO28" i="3"/>
  <c r="AN28" i="3"/>
  <c r="AM28" i="3"/>
  <c r="AS46" i="3"/>
  <c r="AI28" i="3"/>
  <c r="D28" i="3"/>
  <c r="M46" i="3" s="1"/>
  <c r="V46" i="3" s="1"/>
  <c r="C28" i="3"/>
  <c r="AL21" i="3"/>
  <c r="F23" i="3"/>
  <c r="AM20" i="3"/>
  <c r="AM33" i="3" s="1"/>
  <c r="AP19" i="3"/>
  <c r="AP32" i="3" s="1"/>
  <c r="J19" i="3"/>
  <c r="BC12" i="3"/>
  <c r="AK122" i="3" s="1"/>
  <c r="W14" i="3"/>
  <c r="E122" i="3" s="1"/>
  <c r="P14" i="3"/>
  <c r="O14" i="3"/>
  <c r="AA14" i="3"/>
  <c r="I122" i="3" s="1"/>
  <c r="BG11" i="3"/>
  <c r="BG12" i="3" s="1"/>
  <c r="AX11" i="3"/>
  <c r="AY11" i="3" s="1"/>
  <c r="AB11" i="3"/>
  <c r="R14" i="3"/>
  <c r="BF10" i="3"/>
  <c r="BF12" i="3" s="1"/>
  <c r="BE10" i="3"/>
  <c r="BE12" i="3" s="1"/>
  <c r="BD10" i="3"/>
  <c r="BD12" i="3" s="1"/>
  <c r="AW10" i="3"/>
  <c r="AV10" i="3"/>
  <c r="AV12" i="3" s="1"/>
  <c r="AU10" i="3"/>
  <c r="AU12" i="3" s="1"/>
  <c r="Z14" i="3"/>
  <c r="H122" i="3" s="1"/>
  <c r="Y14" i="3"/>
  <c r="G122" i="3" s="1"/>
  <c r="Q14" i="3"/>
  <c r="BH9" i="3"/>
  <c r="AT9" i="3"/>
  <c r="AY9" i="3" s="1"/>
  <c r="AI9" i="3"/>
  <c r="AI29" i="3" s="1"/>
  <c r="AB9" i="3"/>
  <c r="G29" i="3"/>
  <c r="C9" i="3"/>
  <c r="BH8" i="3"/>
  <c r="AS8" i="3"/>
  <c r="BB8" i="3" s="1"/>
  <c r="AB8" i="3"/>
  <c r="S8" i="3"/>
  <c r="G102" i="3" l="1"/>
  <c r="J134" i="3"/>
  <c r="I130" i="3"/>
  <c r="I133" i="3"/>
  <c r="G133" i="3"/>
  <c r="G130" i="3"/>
  <c r="F133" i="3"/>
  <c r="F130" i="3"/>
  <c r="H130" i="3"/>
  <c r="H133" i="3"/>
  <c r="I120" i="3"/>
  <c r="I121" i="3"/>
  <c r="AB106" i="3"/>
  <c r="H121" i="3"/>
  <c r="H120" i="3"/>
  <c r="G121" i="3"/>
  <c r="G120" i="3"/>
  <c r="F121" i="3"/>
  <c r="N28" i="3"/>
  <c r="O28" i="3"/>
  <c r="P28" i="3"/>
  <c r="Q28" i="3"/>
  <c r="R28" i="3"/>
  <c r="O31" i="3"/>
  <c r="N31" i="3"/>
  <c r="Q31" i="3"/>
  <c r="R31" i="3"/>
  <c r="P31" i="3"/>
  <c r="AK134" i="3"/>
  <c r="AT134" i="3" s="1"/>
  <c r="AN77" i="3"/>
  <c r="AN90" i="3" s="1"/>
  <c r="AM90" i="3"/>
  <c r="AM106" i="3" s="1"/>
  <c r="AT12" i="3"/>
  <c r="AK120" i="3" s="1"/>
  <c r="AL66" i="3"/>
  <c r="AL86" i="3" s="1"/>
  <c r="AL102" i="3" s="1"/>
  <c r="AO67" i="3"/>
  <c r="AO87" i="3" s="1"/>
  <c r="AY65" i="3"/>
  <c r="AK65" i="3"/>
  <c r="AK85" i="3" s="1"/>
  <c r="AV69" i="3"/>
  <c r="AM67" i="3"/>
  <c r="AM87" i="3" s="1"/>
  <c r="AL121" i="3"/>
  <c r="AW12" i="3"/>
  <c r="AN120" i="3" s="1"/>
  <c r="AN10" i="3"/>
  <c r="AL122" i="3"/>
  <c r="AK68" i="3"/>
  <c r="AK67" i="3"/>
  <c r="AM66" i="3"/>
  <c r="AM86" i="3" s="1"/>
  <c r="AM102" i="3" s="1"/>
  <c r="AN65" i="3"/>
  <c r="AM68" i="3"/>
  <c r="AM88" i="3" s="1"/>
  <c r="AO66" i="3"/>
  <c r="AO86" i="3" s="1"/>
  <c r="AO102" i="3" s="1"/>
  <c r="AL65" i="3"/>
  <c r="AL68" i="3"/>
  <c r="AL88" i="3" s="1"/>
  <c r="AN66" i="3"/>
  <c r="AN86" i="3" s="1"/>
  <c r="AN102" i="3" s="1"/>
  <c r="AN68" i="3"/>
  <c r="AN88" i="3" s="1"/>
  <c r="AM65" i="3"/>
  <c r="AO65" i="3"/>
  <c r="AK66" i="3"/>
  <c r="AW69" i="3"/>
  <c r="AN67" i="3"/>
  <c r="AN87" i="3" s="1"/>
  <c r="AY68" i="3"/>
  <c r="AP68" i="3" s="1"/>
  <c r="AO68" i="3"/>
  <c r="AO88" i="3" s="1"/>
  <c r="AO122" i="3"/>
  <c r="AL67" i="3"/>
  <c r="AL87" i="3" s="1"/>
  <c r="C29" i="3"/>
  <c r="C66" i="3"/>
  <c r="L66" i="3" s="1"/>
  <c r="U66" i="3" s="1"/>
  <c r="M29" i="3"/>
  <c r="V29" i="3" s="1"/>
  <c r="M47" i="3"/>
  <c r="V47" i="3" s="1"/>
  <c r="BG69" i="3"/>
  <c r="M31" i="3"/>
  <c r="V31" i="3" s="1"/>
  <c r="M30" i="3"/>
  <c r="V30" i="3" s="1"/>
  <c r="M28" i="3"/>
  <c r="V28" i="3" s="1"/>
  <c r="AY66" i="3"/>
  <c r="AP66" i="3" s="1"/>
  <c r="AK10" i="3"/>
  <c r="AK30" i="3" s="1"/>
  <c r="AI86" i="3"/>
  <c r="AI102" i="3" s="1"/>
  <c r="AS9" i="3"/>
  <c r="BB9" i="3" s="1"/>
  <c r="C10" i="3"/>
  <c r="C67" i="3" s="1"/>
  <c r="D85" i="3"/>
  <c r="D101" i="3" s="1"/>
  <c r="AO11" i="3"/>
  <c r="AO31" i="3" s="1"/>
  <c r="AO104" i="3" s="1"/>
  <c r="AS29" i="3"/>
  <c r="BB29" i="3" s="1"/>
  <c r="BB48" i="3"/>
  <c r="AS66" i="3"/>
  <c r="BB66" i="3" s="1"/>
  <c r="AJ101" i="3"/>
  <c r="AS101" i="3" s="1"/>
  <c r="BB101" i="3" s="1"/>
  <c r="AS28" i="3"/>
  <c r="BB46" i="3" s="1"/>
  <c r="AP89" i="3"/>
  <c r="AS49" i="3"/>
  <c r="AS89" i="3"/>
  <c r="BB89" i="3" s="1"/>
  <c r="AJ104" i="3"/>
  <c r="AS104" i="3" s="1"/>
  <c r="BB104" i="3" s="1"/>
  <c r="AS48" i="3"/>
  <c r="BB49" i="3"/>
  <c r="AS87" i="3"/>
  <c r="BB87" i="3" s="1"/>
  <c r="E29" i="3"/>
  <c r="AN122" i="3"/>
  <c r="E30" i="3"/>
  <c r="AM122" i="3"/>
  <c r="AM11" i="3"/>
  <c r="AM31" i="3" s="1"/>
  <c r="AK11" i="3"/>
  <c r="AK31" i="3" s="1"/>
  <c r="F31" i="3"/>
  <c r="AK8" i="3"/>
  <c r="I29" i="3"/>
  <c r="S9" i="3"/>
  <c r="S10" i="3"/>
  <c r="AM10" i="3"/>
  <c r="G31" i="3"/>
  <c r="AK9" i="3"/>
  <c r="N71" i="3"/>
  <c r="H30" i="3"/>
  <c r="AL10" i="3"/>
  <c r="AY8" i="3"/>
  <c r="G30" i="3"/>
  <c r="AY10" i="3"/>
  <c r="BH11" i="3"/>
  <c r="AM121" i="3"/>
  <c r="AM120" i="3"/>
  <c r="F30" i="3"/>
  <c r="H31" i="3"/>
  <c r="AL11" i="3"/>
  <c r="AL31" i="3" s="1"/>
  <c r="AL104" i="3" s="1"/>
  <c r="AX12" i="3"/>
  <c r="AM21" i="3"/>
  <c r="AN20" i="3"/>
  <c r="AN33" i="3" s="1"/>
  <c r="AN106" i="3" s="1"/>
  <c r="S65" i="3"/>
  <c r="J65" i="3" s="1"/>
  <c r="H80" i="3"/>
  <c r="F29" i="3"/>
  <c r="I30" i="3"/>
  <c r="X14" i="3"/>
  <c r="F122" i="3" s="1"/>
  <c r="AB10" i="3"/>
  <c r="AB14" i="3" s="1"/>
  <c r="AI10" i="3"/>
  <c r="AO10" i="3"/>
  <c r="AO12" i="3" s="1"/>
  <c r="BH10" i="3"/>
  <c r="I31" i="3"/>
  <c r="AN11" i="3"/>
  <c r="AN31" i="3" s="1"/>
  <c r="G23" i="3"/>
  <c r="AI68" i="3"/>
  <c r="AI87" i="3"/>
  <c r="AI103" i="3" s="1"/>
  <c r="AS67" i="3"/>
  <c r="BB67" i="3" s="1"/>
  <c r="AL120" i="3"/>
  <c r="N14" i="3"/>
  <c r="AX69" i="3"/>
  <c r="G80" i="3"/>
  <c r="AJ102" i="3"/>
  <c r="AS102" i="3" s="1"/>
  <c r="BB102" i="3" s="1"/>
  <c r="AS86" i="3"/>
  <c r="BB86" i="3" s="1"/>
  <c r="S66" i="3"/>
  <c r="J66" i="3" s="1"/>
  <c r="S67" i="3"/>
  <c r="J67" i="3" s="1"/>
  <c r="AL134" i="3"/>
  <c r="BH67" i="3"/>
  <c r="AM78" i="3"/>
  <c r="AY67" i="3"/>
  <c r="AN134" i="3"/>
  <c r="AT69" i="3"/>
  <c r="AU69" i="3"/>
  <c r="AM134" i="3"/>
  <c r="J122" i="3" l="1"/>
  <c r="R122" i="3"/>
  <c r="Q122" i="3"/>
  <c r="P122" i="3"/>
  <c r="O122" i="3"/>
  <c r="I131" i="3"/>
  <c r="G104" i="3"/>
  <c r="E103" i="3"/>
  <c r="I103" i="3"/>
  <c r="H104" i="3"/>
  <c r="I102" i="3"/>
  <c r="E102" i="3"/>
  <c r="G103" i="3"/>
  <c r="F102" i="3"/>
  <c r="G131" i="3"/>
  <c r="H103" i="3"/>
  <c r="I104" i="3"/>
  <c r="F104" i="3"/>
  <c r="F103" i="3"/>
  <c r="E130" i="3"/>
  <c r="J130" i="3" s="1"/>
  <c r="E133" i="3"/>
  <c r="J133" i="3" s="1"/>
  <c r="H131" i="3"/>
  <c r="E120" i="3"/>
  <c r="E121" i="3"/>
  <c r="F120" i="3"/>
  <c r="AM104" i="3"/>
  <c r="P30" i="3"/>
  <c r="Q30" i="3"/>
  <c r="O30" i="3"/>
  <c r="R30" i="3"/>
  <c r="N30" i="3"/>
  <c r="AP67" i="3"/>
  <c r="AN104" i="3"/>
  <c r="AN121" i="3"/>
  <c r="P29" i="3"/>
  <c r="Q29" i="3"/>
  <c r="R29" i="3"/>
  <c r="N29" i="3"/>
  <c r="O29" i="3"/>
  <c r="AO134" i="3"/>
  <c r="AX134" i="3" s="1"/>
  <c r="AN130" i="3"/>
  <c r="AN131" i="3" s="1"/>
  <c r="AM133" i="3"/>
  <c r="AO77" i="3"/>
  <c r="AO78" i="3" s="1"/>
  <c r="AN78" i="3"/>
  <c r="AP65" i="3"/>
  <c r="AN133" i="3"/>
  <c r="AN12" i="3"/>
  <c r="AL12" i="3"/>
  <c r="AM130" i="3"/>
  <c r="AM131" i="3" s="1"/>
  <c r="AM12" i="3"/>
  <c r="AK12" i="3"/>
  <c r="AU122" i="3"/>
  <c r="AT122" i="3"/>
  <c r="C87" i="3"/>
  <c r="C103" i="3" s="1"/>
  <c r="L67" i="3"/>
  <c r="U67" i="3" s="1"/>
  <c r="AK121" i="3"/>
  <c r="AU121" i="3" s="1"/>
  <c r="M101" i="3"/>
  <c r="V101" i="3" s="1"/>
  <c r="M85" i="3"/>
  <c r="V85" i="3" s="1"/>
  <c r="C86" i="3"/>
  <c r="C102" i="3" s="1"/>
  <c r="AC13" i="3"/>
  <c r="AC12" i="3"/>
  <c r="BB47" i="3"/>
  <c r="AU120" i="3"/>
  <c r="AW122" i="3"/>
  <c r="AV134" i="3"/>
  <c r="AX122" i="3"/>
  <c r="AV122" i="3"/>
  <c r="C11" i="3"/>
  <c r="C30" i="3"/>
  <c r="BB28" i="3"/>
  <c r="Y15" i="3"/>
  <c r="S14" i="3"/>
  <c r="H71" i="3"/>
  <c r="X15" i="3"/>
  <c r="S71" i="3"/>
  <c r="AN30" i="3"/>
  <c r="AN103" i="3" s="1"/>
  <c r="AM85" i="3"/>
  <c r="AM101" i="3" s="1"/>
  <c r="AM69" i="3"/>
  <c r="AC9" i="3"/>
  <c r="AC8" i="3"/>
  <c r="Z15" i="3"/>
  <c r="F71" i="3"/>
  <c r="AO120" i="3"/>
  <c r="AO121" i="3"/>
  <c r="J31" i="3"/>
  <c r="W104" i="3" s="1"/>
  <c r="AY12" i="3"/>
  <c r="AT70" i="3" s="1"/>
  <c r="AN69" i="3"/>
  <c r="AN85" i="3"/>
  <c r="AN101" i="3" s="1"/>
  <c r="G38" i="3"/>
  <c r="G119" i="3" s="1"/>
  <c r="G128" i="3" s="1"/>
  <c r="E28" i="3"/>
  <c r="J8" i="3"/>
  <c r="J10" i="3"/>
  <c r="AL133" i="3"/>
  <c r="AL130" i="3"/>
  <c r="AW134" i="3"/>
  <c r="AB71" i="3"/>
  <c r="AO133" i="3"/>
  <c r="AO130" i="3"/>
  <c r="AI88" i="3"/>
  <c r="AS68" i="3"/>
  <c r="BB68" i="3" s="1"/>
  <c r="AI30" i="3"/>
  <c r="AI11" i="3"/>
  <c r="AS10" i="3"/>
  <c r="BB10" i="3" s="1"/>
  <c r="AO20" i="3"/>
  <c r="AO33" i="3" s="1"/>
  <c r="AN21" i="3"/>
  <c r="J11" i="3"/>
  <c r="AP122" i="3"/>
  <c r="AK29" i="3"/>
  <c r="AP9" i="3"/>
  <c r="AM30" i="3"/>
  <c r="AM103" i="3" s="1"/>
  <c r="AP8" i="3"/>
  <c r="AK28" i="3"/>
  <c r="AK101" i="3" s="1"/>
  <c r="I28" i="3"/>
  <c r="I71" i="3"/>
  <c r="AK69" i="3"/>
  <c r="J30" i="3"/>
  <c r="AA15" i="3"/>
  <c r="J9" i="3"/>
  <c r="E71" i="3"/>
  <c r="AL85" i="3"/>
  <c r="AL101" i="3" s="1"/>
  <c r="AL69" i="3"/>
  <c r="AO30" i="3"/>
  <c r="AO103" i="3" s="1"/>
  <c r="I80" i="3"/>
  <c r="H23" i="3"/>
  <c r="AK86" i="3"/>
  <c r="AP31" i="3"/>
  <c r="AP11" i="3"/>
  <c r="G71" i="3"/>
  <c r="AK88" i="3"/>
  <c r="AP88" i="3" s="1"/>
  <c r="BH12" i="3"/>
  <c r="BH69" i="3"/>
  <c r="AK133" i="3"/>
  <c r="AK130" i="3"/>
  <c r="J80" i="3"/>
  <c r="AU134" i="3"/>
  <c r="J20" i="3"/>
  <c r="AC10" i="3"/>
  <c r="H28" i="3"/>
  <c r="AK87" i="3"/>
  <c r="AP87" i="3" s="1"/>
  <c r="AP10" i="3"/>
  <c r="AL30" i="3"/>
  <c r="AL103" i="3" s="1"/>
  <c r="F28" i="3"/>
  <c r="AY69" i="3"/>
  <c r="AO69" i="3"/>
  <c r="AO85" i="3"/>
  <c r="AO101" i="3" s="1"/>
  <c r="W15" i="3"/>
  <c r="AC11" i="3"/>
  <c r="J29" i="3"/>
  <c r="Z102" i="3" s="1"/>
  <c r="J121" i="3" l="1"/>
  <c r="R121" i="3" s="1"/>
  <c r="O121" i="3"/>
  <c r="Q121" i="3"/>
  <c r="P121" i="3"/>
  <c r="N121" i="3"/>
  <c r="O120" i="3"/>
  <c r="Z104" i="3"/>
  <c r="AA104" i="3"/>
  <c r="X102" i="3"/>
  <c r="X104" i="3"/>
  <c r="I101" i="3"/>
  <c r="J102" i="3"/>
  <c r="W102" i="3"/>
  <c r="W103" i="3"/>
  <c r="J104" i="3"/>
  <c r="J103" i="3"/>
  <c r="Y102" i="3"/>
  <c r="Z103" i="3"/>
  <c r="H101" i="3"/>
  <c r="Y103" i="3"/>
  <c r="E101" i="3"/>
  <c r="F101" i="3"/>
  <c r="F131" i="3"/>
  <c r="AA102" i="3"/>
  <c r="G111" i="3"/>
  <c r="Y104" i="3"/>
  <c r="E131" i="3"/>
  <c r="N120" i="3"/>
  <c r="P120" i="3"/>
  <c r="R120" i="3"/>
  <c r="Q120" i="3"/>
  <c r="AA103" i="3"/>
  <c r="X103" i="3"/>
  <c r="N38" i="3"/>
  <c r="J120" i="3"/>
  <c r="AK102" i="3"/>
  <c r="I111" i="3"/>
  <c r="J101" i="3"/>
  <c r="F111" i="3"/>
  <c r="AK103" i="3"/>
  <c r="F38" i="3"/>
  <c r="F119" i="3" s="1"/>
  <c r="E38" i="3"/>
  <c r="E119" i="3" s="1"/>
  <c r="N128" i="3" s="1"/>
  <c r="AP105" i="3"/>
  <c r="AK104" i="3"/>
  <c r="AP104" i="3" s="1"/>
  <c r="AB15" i="3"/>
  <c r="T12" i="3"/>
  <c r="T21" i="3"/>
  <c r="T22" i="3"/>
  <c r="T23" i="3"/>
  <c r="T8" i="3"/>
  <c r="AN91" i="3"/>
  <c r="AM91" i="3"/>
  <c r="AK91" i="3"/>
  <c r="AK34" i="3"/>
  <c r="AK119" i="3" s="1"/>
  <c r="AP102" i="3"/>
  <c r="AM34" i="3"/>
  <c r="AL34" i="3"/>
  <c r="AO34" i="3"/>
  <c r="AN34" i="3"/>
  <c r="AL91" i="3"/>
  <c r="AL107" i="3"/>
  <c r="AI104" i="3"/>
  <c r="AI89" i="3"/>
  <c r="AI90" i="3" s="1"/>
  <c r="AP134" i="3"/>
  <c r="BE70" i="3"/>
  <c r="BF70" i="3"/>
  <c r="BC70" i="3"/>
  <c r="BD70" i="3"/>
  <c r="AV70" i="3"/>
  <c r="BG70" i="3"/>
  <c r="AU70" i="3"/>
  <c r="AW70" i="3"/>
  <c r="AX70" i="3"/>
  <c r="BI69" i="3"/>
  <c r="AZ65" i="3"/>
  <c r="AP77" i="3"/>
  <c r="AP78" i="3" s="1"/>
  <c r="AO90" i="3"/>
  <c r="AO106" i="3" s="1"/>
  <c r="AO107" i="3" s="1"/>
  <c r="AP12" i="3"/>
  <c r="AQ8" i="3" s="1"/>
  <c r="AV121" i="3"/>
  <c r="AW120" i="3"/>
  <c r="AW121" i="3"/>
  <c r="AT121" i="3"/>
  <c r="AX121" i="3"/>
  <c r="AZ67" i="3"/>
  <c r="AZ11" i="3"/>
  <c r="AU13" i="3"/>
  <c r="AV13" i="3"/>
  <c r="AZ9" i="3"/>
  <c r="AT13" i="3"/>
  <c r="AX13" i="3"/>
  <c r="AZ8" i="3"/>
  <c r="AZ10" i="3"/>
  <c r="BI8" i="3"/>
  <c r="BI9" i="3"/>
  <c r="BD13" i="3"/>
  <c r="BI65" i="3"/>
  <c r="BE13" i="3"/>
  <c r="BG13" i="3"/>
  <c r="BC13" i="3"/>
  <c r="BI68" i="3"/>
  <c r="BI66" i="3"/>
  <c r="BF13" i="3"/>
  <c r="BI10" i="3"/>
  <c r="AW13" i="3"/>
  <c r="BI67" i="3"/>
  <c r="BI11" i="3"/>
  <c r="T10" i="3"/>
  <c r="T9" i="3"/>
  <c r="T13" i="3"/>
  <c r="T11" i="3"/>
  <c r="AT120" i="3"/>
  <c r="AX120" i="3"/>
  <c r="C12" i="3"/>
  <c r="C69" i="3" s="1"/>
  <c r="C68" i="3"/>
  <c r="AV120" i="3"/>
  <c r="AZ70" i="3"/>
  <c r="AX133" i="3"/>
  <c r="AP121" i="3"/>
  <c r="AP30" i="3"/>
  <c r="N15" i="3"/>
  <c r="R15" i="3"/>
  <c r="C31" i="3"/>
  <c r="AW130" i="3"/>
  <c r="O15" i="3"/>
  <c r="AX130" i="3"/>
  <c r="Q15" i="3"/>
  <c r="P15" i="3"/>
  <c r="BG31" i="3"/>
  <c r="AP85" i="3"/>
  <c r="J71" i="3"/>
  <c r="AO131" i="3"/>
  <c r="H38" i="3"/>
  <c r="H119" i="3" s="1"/>
  <c r="H128" i="3" s="1"/>
  <c r="AP130" i="3"/>
  <c r="AV130" i="3"/>
  <c r="AT130" i="3"/>
  <c r="AU130" i="3"/>
  <c r="AP86" i="3"/>
  <c r="I23" i="3"/>
  <c r="AK131" i="3"/>
  <c r="BG88" i="3"/>
  <c r="BH88" i="3" s="1"/>
  <c r="AP29" i="3"/>
  <c r="AI76" i="3"/>
  <c r="AW133" i="3"/>
  <c r="AC14" i="3"/>
  <c r="J23" i="3"/>
  <c r="I81" i="3" s="1"/>
  <c r="J28" i="3"/>
  <c r="AI31" i="3"/>
  <c r="AS11" i="3"/>
  <c r="BB11" i="3" s="1"/>
  <c r="AL131" i="3"/>
  <c r="AP133" i="3"/>
  <c r="AU133" i="3"/>
  <c r="AT133" i="3"/>
  <c r="AV133" i="3"/>
  <c r="AP120" i="3"/>
  <c r="AP69" i="3"/>
  <c r="AP28" i="3"/>
  <c r="BF101" i="3" s="1"/>
  <c r="AO21" i="3"/>
  <c r="AP20" i="3"/>
  <c r="AP33" i="3" s="1"/>
  <c r="J14" i="3"/>
  <c r="G72" i="3" s="1"/>
  <c r="AZ69" i="3"/>
  <c r="AZ66" i="3"/>
  <c r="Z101" i="3" l="1"/>
  <c r="J131" i="3"/>
  <c r="O131" i="3"/>
  <c r="Q131" i="3"/>
  <c r="R131" i="3"/>
  <c r="P131" i="3"/>
  <c r="N131" i="3"/>
  <c r="H111" i="3"/>
  <c r="AA101" i="3"/>
  <c r="Z88" i="3"/>
  <c r="W90" i="3"/>
  <c r="X85" i="3"/>
  <c r="X86" i="3"/>
  <c r="X94" i="3"/>
  <c r="Y88" i="3"/>
  <c r="W93" i="3"/>
  <c r="AA85" i="3"/>
  <c r="AA86" i="3"/>
  <c r="W92" i="3"/>
  <c r="X93" i="3"/>
  <c r="Z93" i="3"/>
  <c r="W85" i="3"/>
  <c r="W88" i="3"/>
  <c r="W91" i="3"/>
  <c r="W87" i="3"/>
  <c r="AA94" i="3"/>
  <c r="Y93" i="3"/>
  <c r="Z92" i="3"/>
  <c r="Y86" i="3"/>
  <c r="Z85" i="3"/>
  <c r="Y94" i="3"/>
  <c r="Z94" i="3"/>
  <c r="X91" i="3"/>
  <c r="X92" i="3"/>
  <c r="AA91" i="3"/>
  <c r="AA87" i="3"/>
  <c r="Z90" i="3"/>
  <c r="X87" i="3"/>
  <c r="AB87" i="3" s="1"/>
  <c r="W94" i="3"/>
  <c r="Y85" i="3"/>
  <c r="AA92" i="3"/>
  <c r="AA88" i="3"/>
  <c r="X89" i="3"/>
  <c r="AA89" i="3"/>
  <c r="X88" i="3"/>
  <c r="Y92" i="3"/>
  <c r="Z91" i="3"/>
  <c r="W86" i="3"/>
  <c r="Z86" i="3"/>
  <c r="AA93" i="3"/>
  <c r="Y91" i="3"/>
  <c r="Z87" i="3"/>
  <c r="Y87" i="3"/>
  <c r="Y89" i="3"/>
  <c r="Y90" i="3"/>
  <c r="AA90" i="3"/>
  <c r="Z89" i="3"/>
  <c r="X90" i="3"/>
  <c r="W89" i="3"/>
  <c r="Y101" i="3"/>
  <c r="E128" i="3"/>
  <c r="O128" i="3" s="1"/>
  <c r="Q119" i="3"/>
  <c r="O119" i="3"/>
  <c r="N119" i="3"/>
  <c r="X101" i="3"/>
  <c r="F128" i="3"/>
  <c r="P119" i="3"/>
  <c r="W101" i="3"/>
  <c r="E72" i="3"/>
  <c r="K10" i="3"/>
  <c r="I24" i="3"/>
  <c r="J72" i="3"/>
  <c r="K71" i="3"/>
  <c r="F72" i="3"/>
  <c r="I72" i="3"/>
  <c r="AB104" i="3"/>
  <c r="K79" i="3"/>
  <c r="K76" i="3"/>
  <c r="K77" i="3"/>
  <c r="K78" i="3"/>
  <c r="E81" i="3"/>
  <c r="F81" i="3"/>
  <c r="H81" i="3"/>
  <c r="G81" i="3"/>
  <c r="K20" i="3"/>
  <c r="K9" i="3"/>
  <c r="H72" i="3"/>
  <c r="H24" i="3"/>
  <c r="K68" i="3"/>
  <c r="K70" i="3"/>
  <c r="K69" i="3"/>
  <c r="K65" i="3"/>
  <c r="K66" i="3"/>
  <c r="K67" i="3"/>
  <c r="J81" i="3"/>
  <c r="AB103" i="3"/>
  <c r="K80" i="3"/>
  <c r="AB102" i="3"/>
  <c r="BD106" i="3"/>
  <c r="BC106" i="3"/>
  <c r="BD105" i="3"/>
  <c r="BC105" i="3"/>
  <c r="BE105" i="3"/>
  <c r="BF105" i="3"/>
  <c r="BG105" i="3"/>
  <c r="BD102" i="3"/>
  <c r="BG102" i="3"/>
  <c r="BE106" i="3"/>
  <c r="BE102" i="3"/>
  <c r="BG104" i="3"/>
  <c r="BF106" i="3"/>
  <c r="BD104" i="3"/>
  <c r="BF102" i="3"/>
  <c r="T24" i="3"/>
  <c r="BC103" i="3"/>
  <c r="BD103" i="3"/>
  <c r="S15" i="3"/>
  <c r="BG101" i="3"/>
  <c r="BE103" i="3"/>
  <c r="BF104" i="3"/>
  <c r="BD101" i="3"/>
  <c r="BE101" i="3"/>
  <c r="BG106" i="3"/>
  <c r="BF103" i="3"/>
  <c r="G15" i="3"/>
  <c r="F15" i="3"/>
  <c r="I15" i="3"/>
  <c r="E15" i="3"/>
  <c r="H15" i="3"/>
  <c r="K12" i="3"/>
  <c r="K13" i="3"/>
  <c r="BC102" i="3"/>
  <c r="K8" i="3"/>
  <c r="BG103" i="3"/>
  <c r="K21" i="3"/>
  <c r="E24" i="3"/>
  <c r="K22" i="3"/>
  <c r="F24" i="3"/>
  <c r="K19" i="3"/>
  <c r="G24" i="3"/>
  <c r="BC104" i="3"/>
  <c r="BC101" i="3"/>
  <c r="K11" i="3"/>
  <c r="BE104" i="3"/>
  <c r="AP106" i="3"/>
  <c r="AP34" i="3"/>
  <c r="AX90" i="3" s="1"/>
  <c r="AX106" i="3" s="1"/>
  <c r="BE87" i="3"/>
  <c r="BD90" i="3"/>
  <c r="BD89" i="3"/>
  <c r="BH89" i="3" s="1"/>
  <c r="BF90" i="3"/>
  <c r="BE90" i="3"/>
  <c r="AP90" i="3"/>
  <c r="AP91" i="3" s="1"/>
  <c r="BG90" i="3"/>
  <c r="AM107" i="3"/>
  <c r="AN107" i="3"/>
  <c r="AP103" i="3"/>
  <c r="AO91" i="3"/>
  <c r="AP101" i="3"/>
  <c r="BH70" i="3"/>
  <c r="AK107" i="3"/>
  <c r="AZ12" i="3"/>
  <c r="BI12" i="3"/>
  <c r="C89" i="3"/>
  <c r="C105" i="3" s="1"/>
  <c r="L69" i="3"/>
  <c r="U69" i="3" s="1"/>
  <c r="BF87" i="3"/>
  <c r="C88" i="3"/>
  <c r="C104" i="3" s="1"/>
  <c r="L68" i="3"/>
  <c r="U68" i="3" s="1"/>
  <c r="BC28" i="3"/>
  <c r="BH28" i="3" s="1"/>
  <c r="AY70" i="3"/>
  <c r="T14" i="3"/>
  <c r="BE30" i="3"/>
  <c r="C32" i="3"/>
  <c r="C13" i="3"/>
  <c r="C70" i="3" s="1"/>
  <c r="AP131" i="3"/>
  <c r="BD30" i="3"/>
  <c r="BF30" i="3"/>
  <c r="BG87" i="3"/>
  <c r="BD87" i="3"/>
  <c r="AW131" i="3"/>
  <c r="I38" i="3"/>
  <c r="BC85" i="3"/>
  <c r="BH85" i="3" s="1"/>
  <c r="BD86" i="3"/>
  <c r="AU131" i="3"/>
  <c r="AV131" i="3"/>
  <c r="AT131" i="3"/>
  <c r="AP21" i="3"/>
  <c r="J38" i="3"/>
  <c r="G112" i="3" s="1"/>
  <c r="AX131" i="3"/>
  <c r="AI77" i="3"/>
  <c r="AI106" i="3" s="1"/>
  <c r="AI105" i="3"/>
  <c r="BC29" i="3"/>
  <c r="BH29" i="3" s="1"/>
  <c r="E111" i="3"/>
  <c r="BC86" i="3"/>
  <c r="Q128" i="3" l="1"/>
  <c r="AB88" i="3"/>
  <c r="AB85" i="3"/>
  <c r="I112" i="3"/>
  <c r="P128" i="3"/>
  <c r="E112" i="3"/>
  <c r="F112" i="3"/>
  <c r="AB89" i="3"/>
  <c r="AB92" i="3"/>
  <c r="AB90" i="3"/>
  <c r="BH101" i="3"/>
  <c r="N88" i="3"/>
  <c r="P86" i="3"/>
  <c r="P94" i="3"/>
  <c r="R87" i="3"/>
  <c r="Q86" i="3"/>
  <c r="P93" i="3"/>
  <c r="O92" i="3"/>
  <c r="N85" i="3"/>
  <c r="Q87" i="3"/>
  <c r="O87" i="3"/>
  <c r="O85" i="3"/>
  <c r="R88" i="3"/>
  <c r="O89" i="3"/>
  <c r="Q90" i="3"/>
  <c r="P87" i="3"/>
  <c r="N94" i="3"/>
  <c r="N93" i="3"/>
  <c r="Q91" i="3"/>
  <c r="R91" i="3"/>
  <c r="Q88" i="3"/>
  <c r="O88" i="3"/>
  <c r="N86" i="3"/>
  <c r="R85" i="3"/>
  <c r="R92" i="3"/>
  <c r="P88" i="3"/>
  <c r="R89" i="3"/>
  <c r="Q85" i="3"/>
  <c r="O93" i="3"/>
  <c r="O91" i="3"/>
  <c r="P91" i="3"/>
  <c r="N90" i="3"/>
  <c r="O86" i="3"/>
  <c r="N87" i="3"/>
  <c r="P92" i="3"/>
  <c r="Q92" i="3"/>
  <c r="R94" i="3"/>
  <c r="P85" i="3"/>
  <c r="Q94" i="3"/>
  <c r="Q93" i="3"/>
  <c r="R93" i="3"/>
  <c r="N91" i="3"/>
  <c r="O94" i="3"/>
  <c r="N92" i="3"/>
  <c r="R86" i="3"/>
  <c r="K92" i="3"/>
  <c r="Z37" i="3"/>
  <c r="Q110" i="3" s="1"/>
  <c r="K94" i="3"/>
  <c r="AA37" i="3"/>
  <c r="Y35" i="3"/>
  <c r="S92" i="3"/>
  <c r="P89" i="3"/>
  <c r="K88" i="3"/>
  <c r="Y34" i="3"/>
  <c r="W36" i="3"/>
  <c r="X36" i="3"/>
  <c r="R90" i="3"/>
  <c r="P90" i="3"/>
  <c r="S88" i="3"/>
  <c r="S85" i="3"/>
  <c r="Z36" i="3"/>
  <c r="AA35" i="3"/>
  <c r="Y36" i="3"/>
  <c r="P109" i="3" s="1"/>
  <c r="AA36" i="3"/>
  <c r="X34" i="3"/>
  <c r="S87" i="3"/>
  <c r="W37" i="3"/>
  <c r="K85" i="3"/>
  <c r="S93" i="3"/>
  <c r="K91" i="3"/>
  <c r="N89" i="3"/>
  <c r="K87" i="3"/>
  <c r="S86" i="3"/>
  <c r="Z34" i="3"/>
  <c r="W34" i="3"/>
  <c r="AA34" i="3"/>
  <c r="S91" i="3"/>
  <c r="X35" i="3"/>
  <c r="Z35" i="3"/>
  <c r="Q89" i="3"/>
  <c r="K86" i="3"/>
  <c r="O90" i="3"/>
  <c r="K93" i="3"/>
  <c r="S94" i="3"/>
  <c r="W35" i="3"/>
  <c r="S90" i="3"/>
  <c r="F96" i="3"/>
  <c r="Y37" i="3"/>
  <c r="Y32" i="3"/>
  <c r="Z33" i="3"/>
  <c r="G96" i="3"/>
  <c r="Z29" i="3"/>
  <c r="W31" i="3"/>
  <c r="N104" i="3" s="1"/>
  <c r="K89" i="3"/>
  <c r="H96" i="3"/>
  <c r="W33" i="3"/>
  <c r="S89" i="3"/>
  <c r="W32" i="3"/>
  <c r="X37" i="3"/>
  <c r="AA33" i="3"/>
  <c r="Y33" i="3"/>
  <c r="P106" i="3" s="1"/>
  <c r="K90" i="3"/>
  <c r="I96" i="3"/>
  <c r="Y28" i="3"/>
  <c r="Z32" i="3"/>
  <c r="E96" i="3"/>
  <c r="AA32" i="3"/>
  <c r="R105" i="3" s="1"/>
  <c r="X32" i="3"/>
  <c r="X33" i="3"/>
  <c r="J96" i="3"/>
  <c r="K95" i="3"/>
  <c r="Y29" i="3"/>
  <c r="Z31" i="3"/>
  <c r="X29" i="3"/>
  <c r="X30" i="3"/>
  <c r="Y30" i="3"/>
  <c r="Y31" i="3"/>
  <c r="AA29" i="3"/>
  <c r="R102" i="3" s="1"/>
  <c r="AA30" i="3"/>
  <c r="X31" i="3"/>
  <c r="Z30" i="3"/>
  <c r="AA31" i="3"/>
  <c r="W30" i="3"/>
  <c r="N103" i="3" s="1"/>
  <c r="W29" i="3"/>
  <c r="W28" i="3"/>
  <c r="X28" i="3"/>
  <c r="AA28" i="3"/>
  <c r="Z28" i="3"/>
  <c r="AB86" i="3"/>
  <c r="AB91" i="3"/>
  <c r="AB93" i="3"/>
  <c r="H112" i="3"/>
  <c r="AB101" i="3"/>
  <c r="AQ103" i="3"/>
  <c r="AQ102" i="3"/>
  <c r="J111" i="3"/>
  <c r="J112" i="3" s="1"/>
  <c r="BH102" i="3"/>
  <c r="I39" i="3"/>
  <c r="I125" i="3" s="1"/>
  <c r="I119" i="3"/>
  <c r="R119" i="3" s="1"/>
  <c r="E39" i="3"/>
  <c r="E125" i="3" s="1"/>
  <c r="J24" i="3"/>
  <c r="J15" i="3"/>
  <c r="K37" i="3"/>
  <c r="K34" i="3"/>
  <c r="K35" i="3"/>
  <c r="K36" i="3"/>
  <c r="K32" i="3"/>
  <c r="K33" i="3"/>
  <c r="G39" i="3"/>
  <c r="G125" i="3" s="1"/>
  <c r="K14" i="3"/>
  <c r="BH105" i="3"/>
  <c r="H39" i="3"/>
  <c r="H125" i="3" s="1"/>
  <c r="BH106" i="3"/>
  <c r="F39" i="3"/>
  <c r="F125" i="3" s="1"/>
  <c r="AQ101" i="3"/>
  <c r="BH104" i="3"/>
  <c r="S28" i="3"/>
  <c r="K31" i="3"/>
  <c r="K29" i="3"/>
  <c r="K28" i="3"/>
  <c r="K30" i="3"/>
  <c r="AQ104" i="3"/>
  <c r="AQ106" i="3"/>
  <c r="AU90" i="3"/>
  <c r="AU106" i="3" s="1"/>
  <c r="AV90" i="3"/>
  <c r="AV106" i="3" s="1"/>
  <c r="AY89" i="3"/>
  <c r="AW90" i="3"/>
  <c r="AW106" i="3" s="1"/>
  <c r="AQ105" i="3"/>
  <c r="AY88" i="3"/>
  <c r="AY87" i="3"/>
  <c r="AK108" i="3"/>
  <c r="AY86" i="3"/>
  <c r="AY90" i="3"/>
  <c r="BH90" i="3"/>
  <c r="AY85" i="3"/>
  <c r="AP107" i="3"/>
  <c r="AQ107" i="3" s="1"/>
  <c r="AO22" i="3"/>
  <c r="AL22" i="3"/>
  <c r="C90" i="3"/>
  <c r="C106" i="3" s="1"/>
  <c r="L70" i="3"/>
  <c r="U70" i="3" s="1"/>
  <c r="S35" i="3"/>
  <c r="S29" i="3"/>
  <c r="S32" i="3"/>
  <c r="S37" i="3"/>
  <c r="S36" i="3"/>
  <c r="S34" i="3"/>
  <c r="S33" i="3"/>
  <c r="BH87" i="3"/>
  <c r="C19" i="3"/>
  <c r="C20" i="3" s="1"/>
  <c r="C77" i="3" s="1"/>
  <c r="C92" i="3" s="1"/>
  <c r="C108" i="3" s="1"/>
  <c r="C33" i="3"/>
  <c r="BH30" i="3"/>
  <c r="BH86" i="3"/>
  <c r="BH103" i="3"/>
  <c r="AQ76" i="3"/>
  <c r="AL79" i="3"/>
  <c r="AK79" i="3"/>
  <c r="AQ19" i="3"/>
  <c r="AK22" i="3"/>
  <c r="AQ77" i="3"/>
  <c r="AM22" i="3"/>
  <c r="AM79" i="3"/>
  <c r="AN79" i="3"/>
  <c r="AP79" i="3"/>
  <c r="AQ78" i="3"/>
  <c r="AO79" i="3"/>
  <c r="AN22" i="3"/>
  <c r="S30" i="3"/>
  <c r="S31" i="3"/>
  <c r="AQ20" i="3"/>
  <c r="AI20" i="3"/>
  <c r="AI33" i="3" s="1"/>
  <c r="N109" i="3" l="1"/>
  <c r="R103" i="3"/>
  <c r="N105" i="3"/>
  <c r="Q106" i="3"/>
  <c r="Q104" i="3"/>
  <c r="R110" i="3"/>
  <c r="R108" i="3"/>
  <c r="O104" i="3"/>
  <c r="O109" i="3"/>
  <c r="Q109" i="3"/>
  <c r="R104" i="3"/>
  <c r="Z38" i="3"/>
  <c r="H124" i="3" s="1"/>
  <c r="P105" i="3"/>
  <c r="Q108" i="3"/>
  <c r="Q105" i="3"/>
  <c r="R109" i="3"/>
  <c r="O108" i="3"/>
  <c r="P103" i="3"/>
  <c r="N110" i="3"/>
  <c r="Q125" i="3"/>
  <c r="O125" i="3"/>
  <c r="P125" i="3"/>
  <c r="N125" i="3"/>
  <c r="Q102" i="3"/>
  <c r="O101" i="3"/>
  <c r="X38" i="3"/>
  <c r="F124" i="3" s="1"/>
  <c r="J125" i="3"/>
  <c r="R125" i="3" s="1"/>
  <c r="J119" i="3"/>
  <c r="I128" i="3"/>
  <c r="W38" i="3"/>
  <c r="R101" i="3"/>
  <c r="AA38" i="3"/>
  <c r="I124" i="3" s="1"/>
  <c r="Y38" i="3"/>
  <c r="G124" i="3" s="1"/>
  <c r="N108" i="3"/>
  <c r="P110" i="3"/>
  <c r="Q95" i="3"/>
  <c r="H141" i="3" s="1"/>
  <c r="P104" i="3"/>
  <c r="N102" i="3"/>
  <c r="O110" i="3"/>
  <c r="R106" i="3"/>
  <c r="P108" i="3"/>
  <c r="N101" i="3"/>
  <c r="O103" i="3"/>
  <c r="P95" i="3"/>
  <c r="G141" i="3" s="1"/>
  <c r="P102" i="3"/>
  <c r="P101" i="3"/>
  <c r="N95" i="3"/>
  <c r="E141" i="3" s="1"/>
  <c r="Q52" i="3"/>
  <c r="Q107" i="3"/>
  <c r="R52" i="3"/>
  <c r="R107" i="3"/>
  <c r="O95" i="3"/>
  <c r="F141" i="3" s="1"/>
  <c r="J39" i="3"/>
  <c r="Q101" i="3"/>
  <c r="AB33" i="3"/>
  <c r="N106" i="3"/>
  <c r="AB34" i="3"/>
  <c r="S52" i="3" s="1"/>
  <c r="N107" i="3"/>
  <c r="N52" i="3"/>
  <c r="AB94" i="3"/>
  <c r="O102" i="3"/>
  <c r="O106" i="3"/>
  <c r="O105" i="3"/>
  <c r="P107" i="3"/>
  <c r="P52" i="3"/>
  <c r="S95" i="3"/>
  <c r="Q103" i="3"/>
  <c r="O107" i="3"/>
  <c r="O52" i="3"/>
  <c r="R95" i="3"/>
  <c r="I141" i="3" s="1"/>
  <c r="I142" i="3" s="1"/>
  <c r="AB35" i="3"/>
  <c r="AB32" i="3"/>
  <c r="AB29" i="3"/>
  <c r="AB31" i="3"/>
  <c r="AB28" i="3"/>
  <c r="AB36" i="3"/>
  <c r="AB30" i="3"/>
  <c r="AB37" i="3"/>
  <c r="AY106" i="3"/>
  <c r="AY91" i="3"/>
  <c r="AP22" i="3"/>
  <c r="C76" i="3"/>
  <c r="C91" i="3" s="1"/>
  <c r="C107" i="3" s="1"/>
  <c r="S38" i="3"/>
  <c r="C34" i="3"/>
  <c r="C21" i="3"/>
  <c r="C78" i="3" s="1"/>
  <c r="C93" i="3" s="1"/>
  <c r="C109" i="3" s="1"/>
  <c r="C35" i="3"/>
  <c r="AQ21" i="3"/>
  <c r="O38" i="3"/>
  <c r="P38" i="3"/>
  <c r="Q38" i="3"/>
  <c r="R38" i="3"/>
  <c r="S105" i="3" l="1"/>
  <c r="I143" i="3"/>
  <c r="S109" i="3"/>
  <c r="S104" i="3"/>
  <c r="Q111" i="3"/>
  <c r="J128" i="3"/>
  <c r="R128" i="3"/>
  <c r="F142" i="3"/>
  <c r="P141" i="3"/>
  <c r="S103" i="3"/>
  <c r="H142" i="3"/>
  <c r="R141" i="3"/>
  <c r="N141" i="3"/>
  <c r="O141" i="3"/>
  <c r="S110" i="3"/>
  <c r="G142" i="3"/>
  <c r="Q141" i="3"/>
  <c r="S102" i="3"/>
  <c r="S108" i="3"/>
  <c r="E142" i="3"/>
  <c r="J141" i="3"/>
  <c r="J142" i="3" s="1"/>
  <c r="J143" i="3" s="1"/>
  <c r="AB38" i="3"/>
  <c r="E124" i="3"/>
  <c r="P54" i="3"/>
  <c r="Q54" i="3"/>
  <c r="O54" i="3"/>
  <c r="N54" i="3"/>
  <c r="R54" i="3"/>
  <c r="S54" i="3"/>
  <c r="P47" i="3"/>
  <c r="N47" i="3"/>
  <c r="O47" i="3"/>
  <c r="R47" i="3"/>
  <c r="Q47" i="3"/>
  <c r="S47" i="3"/>
  <c r="S107" i="3"/>
  <c r="Q48" i="3"/>
  <c r="R48" i="3"/>
  <c r="N48" i="3"/>
  <c r="P48" i="3"/>
  <c r="O48" i="3"/>
  <c r="S48" i="3"/>
  <c r="O46" i="3"/>
  <c r="Q46" i="3"/>
  <c r="P46" i="3"/>
  <c r="R46" i="3"/>
  <c r="N46" i="3"/>
  <c r="S46" i="3"/>
  <c r="O50" i="3"/>
  <c r="R50" i="3"/>
  <c r="P50" i="3"/>
  <c r="Q50" i="3"/>
  <c r="N50" i="3"/>
  <c r="S50" i="3"/>
  <c r="O53" i="3"/>
  <c r="P53" i="3"/>
  <c r="Q53" i="3"/>
  <c r="R53" i="3"/>
  <c r="N53" i="3"/>
  <c r="S53" i="3"/>
  <c r="S106" i="3"/>
  <c r="O49" i="3"/>
  <c r="P49" i="3"/>
  <c r="Q49" i="3"/>
  <c r="R49" i="3"/>
  <c r="N49" i="3"/>
  <c r="S49" i="3"/>
  <c r="R55" i="3"/>
  <c r="O55" i="3"/>
  <c r="N55" i="3"/>
  <c r="Q55" i="3"/>
  <c r="P55" i="3"/>
  <c r="S55" i="3"/>
  <c r="N51" i="3"/>
  <c r="O51" i="3"/>
  <c r="P51" i="3"/>
  <c r="R51" i="3"/>
  <c r="Q51" i="3"/>
  <c r="S51" i="3"/>
  <c r="C22" i="3"/>
  <c r="C36" i="3"/>
  <c r="O111" i="3"/>
  <c r="S101" i="3"/>
  <c r="N111" i="3"/>
  <c r="P111" i="3"/>
  <c r="R111" i="3"/>
  <c r="F143" i="3" l="1"/>
  <c r="P142" i="3"/>
  <c r="P143" i="3" s="1"/>
  <c r="G143" i="3"/>
  <c r="Q142" i="3"/>
  <c r="Q143" i="3" s="1"/>
  <c r="H143" i="3"/>
  <c r="R142" i="3"/>
  <c r="R143" i="3" s="1"/>
  <c r="J124" i="3"/>
  <c r="R124" i="3" s="1"/>
  <c r="Q124" i="3"/>
  <c r="O124" i="3"/>
  <c r="P124" i="3"/>
  <c r="N124" i="3"/>
  <c r="E143" i="3"/>
  <c r="N142" i="3"/>
  <c r="N143" i="3" s="1"/>
  <c r="O142" i="3"/>
  <c r="O143" i="3" s="1"/>
  <c r="R56" i="3"/>
  <c r="I137" i="3" s="1"/>
  <c r="I138" i="3" s="1"/>
  <c r="I139" i="3" s="1"/>
  <c r="Q56" i="3"/>
  <c r="H137" i="3" s="1"/>
  <c r="O56" i="3"/>
  <c r="F137" i="3" s="1"/>
  <c r="N56" i="3"/>
  <c r="E137" i="3" s="1"/>
  <c r="P56" i="3"/>
  <c r="G137" i="3" s="1"/>
  <c r="S56" i="3"/>
  <c r="C37" i="3"/>
  <c r="C79" i="3"/>
  <c r="S111" i="3"/>
  <c r="G138" i="3" l="1"/>
  <c r="Q137" i="3"/>
  <c r="H138" i="3"/>
  <c r="R137" i="3"/>
  <c r="N137" i="3"/>
  <c r="O137" i="3"/>
  <c r="F138" i="3"/>
  <c r="P137" i="3"/>
  <c r="G145" i="3"/>
  <c r="G146" i="3" s="1"/>
  <c r="E138" i="3"/>
  <c r="J137" i="3"/>
  <c r="I145" i="3"/>
  <c r="I146" i="3" s="1"/>
  <c r="C94" i="3"/>
  <c r="C110" i="3" s="1"/>
  <c r="F139" i="3" l="1"/>
  <c r="P138" i="3"/>
  <c r="E139" i="3"/>
  <c r="O138" i="3"/>
  <c r="N138" i="3"/>
  <c r="F145" i="3"/>
  <c r="F146" i="3" s="1"/>
  <c r="H139" i="3"/>
  <c r="R138" i="3"/>
  <c r="H145" i="3"/>
  <c r="H146" i="3" s="1"/>
  <c r="G139" i="3"/>
  <c r="Q138" i="3"/>
  <c r="J138" i="3"/>
  <c r="J139" i="3" s="1"/>
  <c r="E145" i="3"/>
  <c r="E146" i="3" s="1"/>
  <c r="AN70" i="3"/>
  <c r="AK70" i="3"/>
  <c r="AQ69" i="3"/>
  <c r="AQ68" i="3"/>
  <c r="AK13" i="3"/>
  <c r="AN13" i="3"/>
  <c r="AQ66" i="3"/>
  <c r="AQ9" i="3"/>
  <c r="AL70" i="3"/>
  <c r="AL13" i="3"/>
  <c r="AQ11" i="3"/>
  <c r="AM13" i="3"/>
  <c r="AO70" i="3"/>
  <c r="AQ65" i="3"/>
  <c r="AP70" i="3"/>
  <c r="AQ67" i="3"/>
  <c r="AM70" i="3"/>
  <c r="AQ10" i="3"/>
  <c r="AO13" i="3"/>
  <c r="AK127" i="3"/>
  <c r="AM127" i="3"/>
  <c r="AL127" i="3"/>
  <c r="AN127" i="3"/>
  <c r="AO127" i="3"/>
  <c r="N139" i="3" l="1"/>
  <c r="N144" i="3"/>
  <c r="N145" i="3" s="1"/>
  <c r="O139" i="3"/>
  <c r="O144" i="3"/>
  <c r="O145" i="3" s="1"/>
  <c r="P139" i="3"/>
  <c r="P144" i="3"/>
  <c r="P145" i="3" s="1"/>
  <c r="R144" i="3"/>
  <c r="R145" i="3" s="1"/>
  <c r="R139" i="3"/>
  <c r="Q144" i="3"/>
  <c r="Q145" i="3" s="1"/>
  <c r="Q139" i="3"/>
  <c r="J145" i="3"/>
  <c r="J146" i="3" s="1"/>
  <c r="AQ12" i="3"/>
  <c r="AW127" i="3"/>
  <c r="AU127" i="3"/>
  <c r="AT127" i="3"/>
  <c r="AP127" i="3"/>
  <c r="AV127" i="3"/>
  <c r="AX127" i="3"/>
  <c r="AP13" i="3"/>
  <c r="AV87" i="3"/>
  <c r="AT29" i="3"/>
  <c r="AK92" i="3"/>
  <c r="AW87" i="3"/>
  <c r="AW91" i="3" s="1"/>
  <c r="AN140" i="3" s="1"/>
  <c r="AX31" i="3"/>
  <c r="AX87" i="3"/>
  <c r="AX103" i="3" s="1"/>
  <c r="AQ28" i="3"/>
  <c r="AW30" i="3"/>
  <c r="AU30" i="3"/>
  <c r="AU86" i="3"/>
  <c r="AU102" i="3" s="1"/>
  <c r="AV30" i="3"/>
  <c r="AY29" i="3"/>
  <c r="AT47" i="3" s="1"/>
  <c r="AT28" i="3"/>
  <c r="AT85" i="3"/>
  <c r="AY28" i="3"/>
  <c r="AY30" i="3"/>
  <c r="AT48" i="3" s="1"/>
  <c r="AP35" i="3"/>
  <c r="AL92" i="3"/>
  <c r="AQ85" i="3"/>
  <c r="AX88" i="3"/>
  <c r="AQ29" i="3"/>
  <c r="AM92" i="3"/>
  <c r="AU87" i="3"/>
  <c r="AU89" i="3"/>
  <c r="AU105" i="3" s="1"/>
  <c r="AY105" i="3" s="1"/>
  <c r="AN92" i="3"/>
  <c r="AT30" i="3"/>
  <c r="AT103" i="3" s="1"/>
  <c r="AO92" i="3"/>
  <c r="AQ92" i="3"/>
  <c r="AT86" i="3"/>
  <c r="AV103" i="3" l="1"/>
  <c r="AV107" i="3" s="1"/>
  <c r="AT91" i="3"/>
  <c r="AK140" i="3" s="1"/>
  <c r="AT140" i="3" s="1"/>
  <c r="AT101" i="3"/>
  <c r="AX34" i="3"/>
  <c r="AX104" i="3"/>
  <c r="AX107" i="3" s="1"/>
  <c r="AT46" i="3"/>
  <c r="AT56" i="3" s="1"/>
  <c r="AK136" i="3" s="1"/>
  <c r="AU34" i="3"/>
  <c r="AU103" i="3"/>
  <c r="AU107" i="3" s="1"/>
  <c r="AT102" i="3"/>
  <c r="AW34" i="3"/>
  <c r="AW103" i="3"/>
  <c r="AW107" i="3" s="1"/>
  <c r="AT34" i="3"/>
  <c r="AK123" i="3" s="1"/>
  <c r="AV34" i="3"/>
  <c r="AU91" i="3"/>
  <c r="AL140" i="3" s="1"/>
  <c r="AV91" i="3"/>
  <c r="AM140" i="3" s="1"/>
  <c r="AX91" i="3"/>
  <c r="AO140" i="3" s="1"/>
  <c r="AY102" i="3"/>
  <c r="AV48" i="3"/>
  <c r="AV56" i="3" s="1"/>
  <c r="AM136" i="3" s="1"/>
  <c r="AP92" i="3"/>
  <c r="AX48" i="3"/>
  <c r="AX56" i="3" s="1"/>
  <c r="AO136" i="3" s="1"/>
  <c r="AU48" i="3"/>
  <c r="AU56" i="3" s="1"/>
  <c r="AL136" i="3" s="1"/>
  <c r="AW48" i="3"/>
  <c r="AW56" i="3" s="1"/>
  <c r="AN136" i="3" s="1"/>
  <c r="AY104" i="3" l="1"/>
  <c r="AV140" i="3"/>
  <c r="AW140" i="3" s="1"/>
  <c r="AY46" i="3"/>
  <c r="AT107" i="3"/>
  <c r="AY101" i="3"/>
  <c r="AX140" i="3"/>
  <c r="AP140" i="3"/>
  <c r="AY48" i="3"/>
  <c r="AY103" i="3"/>
  <c r="AU136" i="3"/>
  <c r="AV136" i="3"/>
  <c r="AW136" i="3" s="1"/>
  <c r="AX136" i="3" s="1"/>
  <c r="AT136" i="3"/>
  <c r="AP136" i="3"/>
  <c r="AU140" i="3"/>
  <c r="AK137" i="3"/>
  <c r="AY56" i="3" l="1"/>
  <c r="AY107" i="3"/>
  <c r="AT123" i="3"/>
  <c r="AT137" i="3"/>
  <c r="AL123" i="3"/>
  <c r="AU123" i="3" l="1"/>
  <c r="AL137" i="3"/>
  <c r="AU137" i="3" l="1"/>
  <c r="AO123" i="3"/>
  <c r="AM123" i="3"/>
  <c r="AM137" i="3" s="1"/>
  <c r="AN123" i="3"/>
  <c r="AW123" i="3" l="1"/>
  <c r="AN137" i="3"/>
  <c r="AP123" i="3"/>
  <c r="AX123" i="3"/>
  <c r="AV123" i="3"/>
  <c r="AV137" i="3"/>
  <c r="AO137" i="3"/>
  <c r="AP137" i="3" l="1"/>
  <c r="AW137" i="3"/>
  <c r="AX137" i="3" l="1"/>
  <c r="AK35" i="3"/>
  <c r="AK124" i="3" s="1"/>
  <c r="AK141" i="3" l="1"/>
  <c r="AT124" i="3"/>
  <c r="AK128" i="3"/>
  <c r="AT119" i="3"/>
  <c r="AT128" i="3" l="1"/>
  <c r="AT141" i="3"/>
  <c r="AK144" i="3"/>
  <c r="AT144" i="3" l="1"/>
  <c r="AL119" i="3"/>
  <c r="AU119" i="3" s="1"/>
  <c r="AL35" i="3"/>
  <c r="AL124" i="3" s="1"/>
  <c r="AL128" i="3" l="1"/>
  <c r="AU128" i="3" s="1"/>
  <c r="AU124" i="3"/>
  <c r="AL141" i="3"/>
  <c r="AU141" i="3" l="1"/>
  <c r="AL144" i="3"/>
  <c r="AU144" i="3" l="1"/>
  <c r="AM119" i="3"/>
  <c r="AM128" i="3" s="1"/>
  <c r="AM35" i="3"/>
  <c r="AM124" i="3" s="1"/>
  <c r="AV119" i="3" l="1"/>
  <c r="AV128" i="3"/>
  <c r="AM141" i="3"/>
  <c r="AV124" i="3"/>
  <c r="AV141" i="3" l="1"/>
  <c r="AM144" i="3"/>
  <c r="AV144" i="3" l="1"/>
  <c r="AN119" i="3"/>
  <c r="AW119" i="3" s="1"/>
  <c r="AN35" i="3"/>
  <c r="AN124" i="3" s="1"/>
  <c r="AN141" i="3" l="1"/>
  <c r="AW124" i="3"/>
  <c r="AN128" i="3"/>
  <c r="AW128" i="3" l="1"/>
  <c r="AW141" i="3"/>
  <c r="AN144" i="3"/>
  <c r="AW144" i="3" l="1"/>
  <c r="AO119" i="3"/>
  <c r="AX119" i="3" s="1"/>
  <c r="AO35" i="3"/>
  <c r="AO124" i="3" s="1"/>
  <c r="AO141" i="3" l="1"/>
  <c r="AX124" i="3"/>
  <c r="AP124" i="3"/>
  <c r="AP141" i="3" s="1"/>
  <c r="AO128" i="3"/>
  <c r="AP119" i="3"/>
  <c r="AX128" i="3" l="1"/>
  <c r="AP128" i="3"/>
  <c r="AP144" i="3"/>
  <c r="AP145" i="3" s="1"/>
  <c r="AP142" i="3"/>
  <c r="AN142" i="3"/>
  <c r="AV138" i="3"/>
  <c r="AV145" i="3"/>
  <c r="AM138" i="3"/>
  <c r="AT145" i="3"/>
  <c r="AT138" i="3"/>
  <c r="AW142" i="3"/>
  <c r="AU145" i="3"/>
  <c r="AL142" i="3"/>
  <c r="AN138" i="3"/>
  <c r="AX138" i="3"/>
  <c r="AK142" i="3"/>
  <c r="AW138" i="3"/>
  <c r="AU142" i="3"/>
  <c r="AW145" i="3"/>
  <c r="AP138" i="3"/>
  <c r="AL145" i="3"/>
  <c r="AO138" i="3"/>
  <c r="AL138" i="3"/>
  <c r="AM142" i="3"/>
  <c r="AK138" i="3"/>
  <c r="AM145" i="3"/>
  <c r="AK145" i="3"/>
  <c r="AU138" i="3"/>
  <c r="AN145" i="3"/>
  <c r="AT142" i="3"/>
  <c r="AV142" i="3"/>
  <c r="AO142" i="3"/>
  <c r="AX141" i="3"/>
  <c r="AO144" i="3"/>
  <c r="AO145" i="3" s="1"/>
  <c r="AX144" i="3" l="1"/>
  <c r="AX145" i="3" s="1"/>
  <c r="AX142" i="3"/>
  <c r="AL108" i="3"/>
  <c r="AM108" i="3"/>
  <c r="AN108" i="3"/>
  <c r="AO108" i="3"/>
  <c r="AP108" i="3"/>
</calcChain>
</file>

<file path=xl/sharedStrings.xml><?xml version="1.0" encoding="utf-8"?>
<sst xmlns="http://schemas.openxmlformats.org/spreadsheetml/2006/main" count="625" uniqueCount="232">
  <si>
    <t>Presupuesto</t>
  </si>
  <si>
    <t>Sem 1</t>
  </si>
  <si>
    <t>Sem 2</t>
  </si>
  <si>
    <t>Sem 3</t>
  </si>
  <si>
    <t>Sem 4</t>
  </si>
  <si>
    <t>Total</t>
  </si>
  <si>
    <t>Valor ganado  (el costo presupuestado del trabajo realmente ejecutado)</t>
  </si>
  <si>
    <t>Costos</t>
  </si>
  <si>
    <t>Técnica Valor Ganado o EVM (Earned Value Management)</t>
  </si>
  <si>
    <t>Presupuesto en Insumos (costos )</t>
  </si>
  <si>
    <t>Presupuesto Total</t>
  </si>
  <si>
    <t>Diseño del producto</t>
  </si>
  <si>
    <t>Programación</t>
  </si>
  <si>
    <t>Integración y pruebas</t>
  </si>
  <si>
    <t>Infraestructura (SW)</t>
  </si>
  <si>
    <t>Costos Fijos (Luz, Agua, servicios)</t>
  </si>
  <si>
    <t>Programador Junior</t>
  </si>
  <si>
    <t>Programador Senior</t>
  </si>
  <si>
    <t>Pesos</t>
  </si>
  <si>
    <t>Dólares</t>
  </si>
  <si>
    <t xml:space="preserve">Presupuesto en Pesos sobre horas trabajadas </t>
  </si>
  <si>
    <t>Sem 5</t>
  </si>
  <si>
    <t>Presupuesto de Horas trabajadas (programador Senior)</t>
  </si>
  <si>
    <t>Presupuesto de Horas trabajadas (programador Junior)</t>
  </si>
  <si>
    <t>Total Horas programación</t>
  </si>
  <si>
    <t>Total Costos (insumos)</t>
  </si>
  <si>
    <t>Total Presupuesto</t>
  </si>
  <si>
    <t>Horas senior</t>
  </si>
  <si>
    <t>Horas Junior</t>
  </si>
  <si>
    <t>Análisis Factibilidad, Planes y Req</t>
  </si>
  <si>
    <t>Control de Avance (total)</t>
  </si>
  <si>
    <t>Avance en % del total</t>
  </si>
  <si>
    <t>Avance en % (específico)</t>
  </si>
  <si>
    <t>Real</t>
  </si>
  <si>
    <t>CIFRAS REALES</t>
  </si>
  <si>
    <t xml:space="preserve">Gasto real Pesos sobre horas trabajadas </t>
  </si>
  <si>
    <t>Real de Horas trabajadas (programador Senior)</t>
  </si>
  <si>
    <t>Real de Horas trabajadas (programador Junior)</t>
  </si>
  <si>
    <t>Real gastado en Insumos (costos )</t>
  </si>
  <si>
    <t>Gastos Reales (semana 3)</t>
  </si>
  <si>
    <t>Total Gastos Semana 3</t>
  </si>
  <si>
    <t>Diferencial Gastos</t>
  </si>
  <si>
    <t>Diferencial en Avance</t>
  </si>
  <si>
    <t>Avance en % del total (Gastado)</t>
  </si>
  <si>
    <t>Horas invertidas Totales</t>
  </si>
  <si>
    <t>Horas Senior</t>
  </si>
  <si>
    <t>% de Avance Esperado</t>
  </si>
  <si>
    <t>% de Gasto Realizado</t>
  </si>
  <si>
    <t>Gasto Real</t>
  </si>
  <si>
    <t xml:space="preserve">   Mejor / (Peor)</t>
  </si>
  <si>
    <t>Horas Invertidas Reales</t>
  </si>
  <si>
    <t>PRESUPUESTO</t>
  </si>
  <si>
    <t>GASTOS REALES</t>
  </si>
  <si>
    <t>% de Gasto Planeado</t>
  </si>
  <si>
    <t>% de Avance Realizado</t>
  </si>
  <si>
    <t>Diferencial excedente de presupuesto en %</t>
  </si>
  <si>
    <t>Excedente Vs Presupuesto</t>
  </si>
  <si>
    <t xml:space="preserve">Diferencial  </t>
  </si>
  <si>
    <t>Excedente Vs Presupuesto en %</t>
  </si>
  <si>
    <t>Excedente Vs Presupuesto en pesos</t>
  </si>
  <si>
    <t>a Sem 2</t>
  </si>
  <si>
    <t>a Sem 3</t>
  </si>
  <si>
    <t>a Sem 4</t>
  </si>
  <si>
    <t>a Sem 5</t>
  </si>
  <si>
    <t>CIFRAS ACUMULADAS</t>
  </si>
  <si>
    <t>EXPLICACIÓN DETALLADA DE CADA CUADRO</t>
  </si>
  <si>
    <t>Este es el presupuesto que caclulas cuando vas a realizar un proyecto, el presupuesto deber estar detallado y debe incluir todas las lineas requeridas. En primer lugar en este caso tenemos las horas de programación. Las horas de programación se calculan multiplicando las horas que se requerirán para realizar el trabajo x el costo por hora de cada recurso (dependiendo la experiencia de los recursos, en nuestros casos acedémicos sólo manejaremos Programador Senior y Programador Junior)</t>
  </si>
  <si>
    <t>Estos son estimados de tiempo de programación requerido, se calculan en función de la experiencia</t>
  </si>
  <si>
    <t xml:space="preserve">Son costos asociados al proyecto pero que no están directamente relacionados con las horas de programación </t>
  </si>
  <si>
    <t>9% representa que el paso 1 de Análisis de Factibliad, planes y Req representa el 9% del total del esfuezo del proyecto en cuestión de horas de programación. Se calcula dividiendo 16,667 / 189,750</t>
  </si>
  <si>
    <t>Suma de semana 1</t>
  </si>
  <si>
    <t>Suma de cada uno de los pasos del proyecto</t>
  </si>
  <si>
    <t>Se multiplica el Número Horas X costo x hora. Sumandose ambos cálculos (programadores senior &amp; junior)</t>
  </si>
  <si>
    <t>Suma de los detalles de presupuesto calculados. En este caso Presupuesto de programación y de costos (insumos)</t>
  </si>
  <si>
    <t>Dividir 50,000 / 222,550, representa que en la semana 1 deberemos tener un avance del 22% de Total del proyecto  así con todos los periodos</t>
  </si>
  <si>
    <t>Dividir 9,200 / 37,800, representa que en la semana 2 deberemos tener un avance del 24% de los insumos y así con todos los periodos</t>
  </si>
  <si>
    <t>Dividir 50,000 / 189,750, representa que en la semana 1 deberemos tener un avance del 26% de las horas trabajadas y así con todos los periodos</t>
  </si>
  <si>
    <t xml:space="preserve">7% se calcula dividiendo 16,667 / 222,550 y representa la proporción que significa un gasto específico (en este caso el análisis de factibilidad), del total del proyecto </t>
  </si>
  <si>
    <t>Siempre tiene que ser 100%</t>
  </si>
  <si>
    <r>
      <t xml:space="preserve">PRESUPUESTO </t>
    </r>
    <r>
      <rPr>
        <b/>
        <sz val="11"/>
        <color rgb="FF7030A0"/>
        <rFont val="Calibri (Cuerpo)"/>
      </rPr>
      <t xml:space="preserve">= </t>
    </r>
    <r>
      <rPr>
        <sz val="11"/>
        <color rgb="FF7030A0"/>
        <rFont val="Calibri (Cuerpo)"/>
      </rPr>
      <t>Cuánto esperamos gastar. Es muy importante, porque en función de esto determinaremos el precio, es decir, lo que vamos a cobrar.</t>
    </r>
  </si>
  <si>
    <t>Muestra que % del TOTAL representa cada una de las actividades en cada uno de los periodos</t>
  </si>
  <si>
    <t>Quiere decir que en el año 1 debemos tener un avance del 22% del total del proyecto</t>
  </si>
  <si>
    <t>Se calcula dividiendo el presupuesto de gasto de esta actividad y periodo / el total de gastos: 16,667 / 222,550</t>
  </si>
  <si>
    <t>Se suman los %, para mostrar el esfuerzo total que representa determinada actividad sobre el todo. La programación representa el 45% del esfuerzo / costo del proyecto</t>
  </si>
  <si>
    <t>Muestra cada actividad de manera aislada, es decir, de la actividad específica cuándo se completará la misma. Ejemplo: El análisis de factibilidad se concluye al 100% en la semana 1</t>
  </si>
  <si>
    <t>cada línea debe sumar 100%</t>
  </si>
  <si>
    <t>NO SE SUMAN LOS TOTALES, POR QUE ES UN CUADRO ESPECÍFICO Y NO TOTAL</t>
  </si>
  <si>
    <t>Una vez que se ha hecho el presupuesto y se está ejecutando, se muy importante darle seguimiento al avance. Existen muchos métodos para el seguimiento de proyectos, pero todo ellos requieren un análisis detallado de avances y costos.  La Técnica de Valor Ganado (Earned Value Management) busca identificar el diferencial del presupuesto financiero y técnico con la realidad.  Para ello es fundamental calcular los costos reales y el avance efectivo del proyecto.  Cuando un proyecto se retraza hay una mayor posiblidad de tener costos más altos, ya sea por esfuerzos extraordinarios para alcanzar los plazos estipulados, por correcciones requeridas o bien por falta de una correcta administración del proyecto.</t>
  </si>
  <si>
    <t>PASO 1</t>
  </si>
  <si>
    <t>PASO 2</t>
  </si>
  <si>
    <t>PASO 3</t>
  </si>
  <si>
    <t>PASO 4</t>
  </si>
  <si>
    <t>PASO 5</t>
  </si>
  <si>
    <t>PASO 6</t>
  </si>
  <si>
    <t>Este es un avance técnico y no financiero, es decir, aquí no se considera cuándo dinero se ha gastado, sino cuál es la posición sobre la evolución del proyecto tecnicamente hablando</t>
  </si>
  <si>
    <t xml:space="preserve">Control de Avance (específico) </t>
  </si>
  <si>
    <t>Quiere decir que se concluyó en semana 1 el paso de análisis</t>
  </si>
  <si>
    <t>El diseño se concluyo en la seman 2, se realizó el 50% en semana 1 y el 50% en semana 2</t>
  </si>
  <si>
    <t>Siempre que un proyecto se termina esto tiene que ser 100%, hay veces que los proyectos dejan temas inconclusos, y esto puede reflejarse en un % diferente a 100% , sólo en estas circunstancias</t>
  </si>
  <si>
    <t>Normalmente se marcan de color (scorecard) para visualmente entender en dónde estamos retrazados (ROJO) y en dónde vamos bien (VERDE) o en dónde hay algun retrazo (AMARILLO), pero aun no es un tema de mucha preocupación. Todo comparando el avance real contra el Plan hecho.</t>
  </si>
  <si>
    <t>PASO 7</t>
  </si>
  <si>
    <t>Es el avance que lleva el proyecto en su totalidad</t>
  </si>
  <si>
    <t>Se calcula dividiendo el valor del presupuesto de esta casilla / el total de la actividad, nos dice qué % se completa de esta actividad en esta casilla</t>
  </si>
  <si>
    <t>PASO 8</t>
  </si>
  <si>
    <t>PASO 9</t>
  </si>
  <si>
    <t>PASO 10</t>
  </si>
  <si>
    <t>PASO 11</t>
  </si>
  <si>
    <t>PASO 12</t>
  </si>
  <si>
    <t>Son valores dados, los costos por hora son calculados con metodologías específicas de "Recovery Rates", en donde se incluyen todos los costos que representan una hora de trabajo de una persona, desde sueldo, vacaciones, aguinaldo, hasta espacio ocupado.</t>
  </si>
  <si>
    <t>Aquí se refleja el costo real de horas realmente trabajadas en el proyecto</t>
  </si>
  <si>
    <t>Reflejo de las horas reales utilizadas por los programadores</t>
  </si>
  <si>
    <t>Este % puede ser mayor o menor, las diferencias reflejan las diferencias de los presupuestos contra las cifras reales</t>
  </si>
  <si>
    <t>los cálculos y detalles son iguales que en los programadores senior</t>
  </si>
  <si>
    <t>Estos % se calculan sobre el total y no sobre los gastos realmente ejecutados. $45,000 / 189,750 (presupuesto total de horas)</t>
  </si>
  <si>
    <t xml:space="preserve">Estos % se calculan sobre el total y no sobre los gastos realmente ejecutados. </t>
  </si>
  <si>
    <t>Este %, puede ser menor o mayor del 100%, si es menor es que se ha gastado menos, si es mayor que se ha gastado más</t>
  </si>
  <si>
    <t xml:space="preserve">El % se calcula sobre las horas presupuestadas y no sobre el total de reales. </t>
  </si>
  <si>
    <t>PASO 13</t>
  </si>
  <si>
    <t>Divide el gasto real / el total de gastos presupuestado, el 11% significa que en la actividad de Análisis de la semana 1 se ha gastado el 11% de presupuesto</t>
  </si>
  <si>
    <t>Esta tabla analiza qué tanto se ha gastado respecto al presupuesto y el avance de cada paso desde la visión de gastos</t>
  </si>
  <si>
    <t>ANÁLISIS SUMARIO</t>
  </si>
  <si>
    <t>Total Diferencial - Mejor / (Peor)</t>
  </si>
  <si>
    <t>PASO 14</t>
  </si>
  <si>
    <t>Esta tabla analiza qué tanto se ha gastado respecto al presupuesto y el avance de cada paso desde la visión de gastos de cada línea</t>
  </si>
  <si>
    <t>Se divide el gasto real / Total Presupuestado de esta línea</t>
  </si>
  <si>
    <t>Estos números pueden ser mayores o menores del 100%, si son menores significa que han gastado menos por línea, si son mayores significa que han gastado más</t>
  </si>
  <si>
    <t>PASO 15</t>
  </si>
  <si>
    <t>PASO 16</t>
  </si>
  <si>
    <t>PASO 17</t>
  </si>
  <si>
    <t>Este cuadro se lee por línea y no en los totales. Si están negativos los %, significa que se gastó mas en ese %, si están positivos, significa que se gastó menos en ese %</t>
  </si>
  <si>
    <t>Si el % es positivo significa que hemos gastado menos. SI es negativo que hemos gastado mas</t>
  </si>
  <si>
    <t>PASO 18</t>
  </si>
  <si>
    <t>Se hace un sumario con el resumen de los cálculos realizados</t>
  </si>
  <si>
    <t>PASO 19</t>
  </si>
  <si>
    <t xml:space="preserve">Se hacen cálculos acumulados. </t>
  </si>
  <si>
    <t>Sem 1+2</t>
  </si>
  <si>
    <t>Sem 1+2+3</t>
  </si>
  <si>
    <t>Sem 1+2+3+4</t>
  </si>
  <si>
    <t>Sem 1+2+3+4+5</t>
  </si>
  <si>
    <t>Diferencial entre el % de Avance Según presupuesto y el % de avance realizado (real)</t>
  </si>
  <si>
    <t>Diferencial entre el % de Gasto presupuesto y el % de gasto realizado (real)</t>
  </si>
  <si>
    <t>Impacto financiero del retrazo si es negativo o el valor obtenido si es positivo por los tiempos en la solución técnica</t>
  </si>
  <si>
    <t>Impacto financiero del retrazo si es negativo o el valor obtenido si es positivo por gastos adicionales, pueden ser generados por el mismo retrazo o bien por otros factores</t>
  </si>
  <si>
    <t>P2</t>
  </si>
  <si>
    <t>P1</t>
  </si>
  <si>
    <t>P3</t>
  </si>
  <si>
    <t>P4</t>
  </si>
  <si>
    <t>P5</t>
  </si>
  <si>
    <t>P6</t>
  </si>
  <si>
    <t>P7</t>
  </si>
  <si>
    <t>P8</t>
  </si>
  <si>
    <t>P9</t>
  </si>
  <si>
    <t>P10</t>
  </si>
  <si>
    <t>P11</t>
  </si>
  <si>
    <t>P12</t>
  </si>
  <si>
    <t>P13</t>
  </si>
  <si>
    <t>P14</t>
  </si>
  <si>
    <t>P15</t>
  </si>
  <si>
    <t>P16</t>
  </si>
  <si>
    <t>P17</t>
  </si>
  <si>
    <t>P18</t>
  </si>
  <si>
    <t>P19</t>
  </si>
  <si>
    <t>P20</t>
  </si>
  <si>
    <t>PASO 20</t>
  </si>
  <si>
    <t>PASO 21</t>
  </si>
  <si>
    <t>P21</t>
  </si>
  <si>
    <t>P22</t>
  </si>
  <si>
    <t>Análisis del Proyecto</t>
  </si>
  <si>
    <t>Presupuesto Horas trabajadas (programador Junior)</t>
  </si>
  <si>
    <t>Presupuesto Horas trabajadas (programador Senior)</t>
  </si>
  <si>
    <t>REAL</t>
  </si>
  <si>
    <t>Avance en % del total (Presupuestado)</t>
  </si>
  <si>
    <t>Avance en % específico (Presupuestado)</t>
  </si>
  <si>
    <t>Avance en % específico (Gastado)</t>
  </si>
  <si>
    <t>Diferencial en Avance % total</t>
  </si>
  <si>
    <t>Diferencial en Avance en % específico</t>
  </si>
  <si>
    <t>ANÁLISIS</t>
  </si>
  <si>
    <t>Cifras acumuladas sirven para el análisis en cada semana y saber cómo vamos</t>
  </si>
  <si>
    <t>Paso 22</t>
  </si>
  <si>
    <t>PROYECTO FINAL</t>
  </si>
  <si>
    <t>PROYECTO 1</t>
  </si>
  <si>
    <t>Inversión Inicial es de 100,000 pesos y costos del 30% sobre los ingresos</t>
  </si>
  <si>
    <t>Flujo Neto</t>
  </si>
  <si>
    <t>NPV</t>
  </si>
  <si>
    <t>Ingresos</t>
  </si>
  <si>
    <t>TIR</t>
  </si>
  <si>
    <t>Costos VP</t>
  </si>
  <si>
    <t>Payback</t>
  </si>
  <si>
    <t>PAYBACK</t>
  </si>
  <si>
    <t>Tasa Descuento</t>
  </si>
  <si>
    <t>ROI</t>
  </si>
  <si>
    <t>ROI NPV</t>
  </si>
  <si>
    <t>20 pesos x dólar</t>
  </si>
  <si>
    <t>Ejemplo: Infraestructura (SW o HW)</t>
  </si>
  <si>
    <t>Ejemplo: Costos Fijos (Luz, Agua, servicios)</t>
  </si>
  <si>
    <t>Se multiplica el % de avance (Paso 8) x (Paso 6) x lo que representa esta casilla del todo. Es decir, del 7% que vale esta actividad en la pestaña de Presupuesto (PASO 6), llevamos el 100% = 7%</t>
  </si>
  <si>
    <t>Total Gastos</t>
  </si>
  <si>
    <t>Debe ser 100%</t>
  </si>
  <si>
    <t>etc…</t>
  </si>
  <si>
    <t>etc..</t>
  </si>
  <si>
    <t>…</t>
  </si>
  <si>
    <t>Este porcentaje se calcula sobre el presupuesto y no sobre las cifras reales. Es la división de 108 / 210 (que es el total de horas senior mostradas en Paso 1). El 51% representa que lo que llevamos en la semana 1 reprenta del total de horas Senior presupuestadas</t>
  </si>
  <si>
    <t>El % se calcula sobre las horas presupuestadas y no sobre el total de reales. 60/210</t>
  </si>
  <si>
    <t>20 pesos por dólar</t>
  </si>
  <si>
    <t>Si los % son positivos es se se gastó menos, si son negativos es que se gastó más</t>
  </si>
  <si>
    <t>Diferencia entre reales (Paso 14) y presupuesto (Paso5)</t>
  </si>
  <si>
    <t>Diferencial de Paso 6 - Paso 15</t>
  </si>
  <si>
    <t>Suma de diferencial de avance + Gasto. El X% significa que gastamos X% más de lo presupuestado</t>
  </si>
  <si>
    <t>que representa un gasto adicional de $XX pesos</t>
  </si>
  <si>
    <t>En el proyecto real el peso se apreció, valiendo ahora 19 pesos por.1 dólar</t>
  </si>
  <si>
    <t>19 pesos x dólar</t>
  </si>
  <si>
    <t>Análisis Factibilidad, Planes</t>
  </si>
  <si>
    <t>Pruebas (Testging)</t>
  </si>
  <si>
    <t>Corrección de Errores</t>
  </si>
  <si>
    <t>Lanzamiento a Productivo</t>
  </si>
  <si>
    <t>Contador</t>
  </si>
  <si>
    <t>Abogado</t>
  </si>
  <si>
    <t>Administrativo</t>
  </si>
  <si>
    <t>Presupuesto Horas trabajadas (Contador, Administrativo, Abogado)</t>
  </si>
  <si>
    <t>Administativo</t>
  </si>
  <si>
    <t xml:space="preserve">Consideraciones </t>
  </si>
  <si>
    <t>Para el abogado, el contador y el administrativo nos basamos en las horas de trabajo a la semana y salarios investigados en internet.</t>
  </si>
  <si>
    <t>Salarios</t>
  </si>
  <si>
    <t>Sumos y costos</t>
  </si>
  <si>
    <t xml:space="preserve">Para el programador senio se consideran 50 horas semanales. </t>
  </si>
  <si>
    <t xml:space="preserve">Compra del software inicial, hospedaje y licencias. </t>
  </si>
  <si>
    <t xml:space="preserve">El trabajo es remoto (en casa), por lo que no se pagan servicios de instalaciones. </t>
  </si>
  <si>
    <t xml:space="preserve">Renta de oficina para juntas ocasionales. </t>
  </si>
  <si>
    <t>Horas Contador, Abogado y Administrador</t>
  </si>
  <si>
    <t>Horas Contador, Abogado, Administrador</t>
  </si>
  <si>
    <t>Renta/Improvistos</t>
  </si>
  <si>
    <t>Presupuesto Horas trabajadas (otros)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</si>
</sst>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Red]\-0%"/>
    <numFmt numFmtId="166" formatCode="#,##0_ ;[Red]\-#,##0\ "/>
    <numFmt numFmtId="167" formatCode="0.0%"/>
    <numFmt numFmtId="168" formatCode="_(* #,##0_);_(* \(#,##0\);_(* &quot;-&quot;??_);_(@_)"/>
  </numFmts>
  <fonts count="62" x14ac:knownFonts="1">
    <font>
      <sz val="12"/>
      <color theme="1"/>
      <name val="Calibri"/>
      <family val="2"/>
      <scheme val="minor"/>
    </font>
    <font>
      <sz val="14"/>
      <color rgb="FF202122"/>
      <name val="Arial"/>
      <family val="2"/>
    </font>
    <font>
      <b/>
      <sz val="14"/>
      <color rgb="FF202122"/>
      <name val="Arial"/>
      <family val="2"/>
    </font>
    <font>
      <sz val="13"/>
      <color rgb="FF0B0080"/>
      <name val="Arial"/>
      <family val="2"/>
    </font>
    <font>
      <sz val="12"/>
      <color theme="1"/>
      <name val="Calibri"/>
      <family val="2"/>
      <scheme val="minor"/>
    </font>
    <font>
      <b/>
      <sz val="12"/>
      <color rgb="FF202122"/>
      <name val="Arial"/>
      <family val="2"/>
    </font>
    <font>
      <b/>
      <sz val="12"/>
      <color theme="0"/>
      <name val="Calibri"/>
      <family val="2"/>
      <scheme val="minor"/>
    </font>
    <font>
      <b/>
      <sz val="12"/>
      <color theme="1"/>
      <name val="Calibri"/>
      <family val="2"/>
      <scheme val="minor"/>
    </font>
    <font>
      <sz val="12"/>
      <color theme="0"/>
      <name val="Calibri"/>
      <family val="2"/>
      <scheme val="minor"/>
    </font>
    <font>
      <sz val="12"/>
      <color rgb="FF202122"/>
      <name val="Arial"/>
      <family val="2"/>
    </font>
    <font>
      <i/>
      <sz val="12"/>
      <color theme="4" tint="-0.249977111117893"/>
      <name val="Arial"/>
      <family val="2"/>
    </font>
    <font>
      <b/>
      <i/>
      <sz val="12"/>
      <color theme="4" tint="-0.249977111117893"/>
      <name val="Calibri"/>
      <family val="2"/>
      <scheme val="minor"/>
    </font>
    <font>
      <i/>
      <sz val="12"/>
      <color theme="4" tint="-0.249977111117893"/>
      <name val="Calibri"/>
      <family val="2"/>
      <scheme val="minor"/>
    </font>
    <font>
      <sz val="10"/>
      <color theme="1"/>
      <name val="Calibri"/>
      <family val="2"/>
      <scheme val="minor"/>
    </font>
    <font>
      <b/>
      <sz val="10"/>
      <color theme="1"/>
      <name val="Calibri"/>
      <family val="2"/>
      <scheme val="minor"/>
    </font>
    <font>
      <b/>
      <sz val="10"/>
      <color rgb="FF202122"/>
      <name val="Arial"/>
      <family val="2"/>
    </font>
    <font>
      <i/>
      <sz val="12"/>
      <color theme="1"/>
      <name val="Calibri"/>
      <family val="2"/>
      <scheme val="minor"/>
    </font>
    <font>
      <b/>
      <sz val="18"/>
      <color theme="1"/>
      <name val="Calibri"/>
      <family val="2"/>
      <scheme val="minor"/>
    </font>
    <font>
      <b/>
      <sz val="14"/>
      <color theme="1"/>
      <name val="Calibri"/>
      <family val="2"/>
      <scheme val="minor"/>
    </font>
    <font>
      <b/>
      <sz val="18"/>
      <color theme="4"/>
      <name val="Calibri"/>
      <family val="2"/>
      <scheme val="minor"/>
    </font>
    <font>
      <b/>
      <u/>
      <sz val="14"/>
      <color theme="4"/>
      <name val="Calibri"/>
      <family val="2"/>
      <scheme val="minor"/>
    </font>
    <font>
      <b/>
      <u/>
      <sz val="16"/>
      <color rgb="FF202122"/>
      <name val="Arial"/>
      <family val="2"/>
    </font>
    <font>
      <sz val="12"/>
      <color rgb="FF7030A0"/>
      <name val="Calibri"/>
      <family val="2"/>
      <scheme val="minor"/>
    </font>
    <font>
      <b/>
      <sz val="12"/>
      <color theme="0"/>
      <name val="Arial"/>
      <family val="2"/>
    </font>
    <font>
      <sz val="12"/>
      <color rgb="FF7030A0"/>
      <name val="Arial"/>
      <family val="2"/>
    </font>
    <font>
      <sz val="12"/>
      <color theme="0"/>
      <name val="Arial"/>
      <family val="2"/>
    </font>
    <font>
      <i/>
      <sz val="12"/>
      <color theme="0"/>
      <name val="Arial"/>
      <family val="2"/>
    </font>
    <font>
      <b/>
      <sz val="14"/>
      <color theme="0"/>
      <name val="Arial"/>
      <family val="2"/>
    </font>
    <font>
      <b/>
      <sz val="18"/>
      <color rgb="FF7030A0"/>
      <name val="Calibri"/>
      <family val="2"/>
      <scheme val="minor"/>
    </font>
    <font>
      <i/>
      <sz val="12"/>
      <color theme="0"/>
      <name val="Calibri"/>
      <family val="2"/>
      <scheme val="minor"/>
    </font>
    <font>
      <sz val="11"/>
      <color theme="1"/>
      <name val="Calibri"/>
      <family val="2"/>
      <scheme val="minor"/>
    </font>
    <font>
      <sz val="10"/>
      <color rgb="FF7030A0"/>
      <name val="Arial"/>
      <family val="2"/>
    </font>
    <font>
      <sz val="9"/>
      <color rgb="FF7030A0"/>
      <name val="Arial"/>
      <family val="2"/>
    </font>
    <font>
      <sz val="9"/>
      <color theme="1"/>
      <name val="Calibri"/>
      <family val="2"/>
      <scheme val="minor"/>
    </font>
    <font>
      <b/>
      <u/>
      <sz val="16"/>
      <color theme="0"/>
      <name val="Arial"/>
      <family val="2"/>
    </font>
    <font>
      <sz val="11"/>
      <color rgb="FF7030A0"/>
      <name val="Calibri"/>
      <family val="2"/>
      <scheme val="minor"/>
    </font>
    <font>
      <sz val="10"/>
      <color rgb="FF7030A0"/>
      <name val="Calibri"/>
      <family val="2"/>
      <scheme val="minor"/>
    </font>
    <font>
      <b/>
      <i/>
      <sz val="12"/>
      <color theme="0"/>
      <name val="Arial"/>
      <family val="2"/>
    </font>
    <font>
      <b/>
      <i/>
      <sz val="12"/>
      <color theme="0"/>
      <name val="Calibri"/>
      <family val="2"/>
      <scheme val="minor"/>
    </font>
    <font>
      <b/>
      <sz val="11"/>
      <color rgb="FF7030A0"/>
      <name val="Calibri (Cuerpo)"/>
    </font>
    <font>
      <sz val="11"/>
      <color rgb="FF7030A0"/>
      <name val="Calibri (Cuerpo)"/>
    </font>
    <font>
      <sz val="11"/>
      <color rgb="FF202122"/>
      <name val="Arial"/>
      <family val="2"/>
    </font>
    <font>
      <b/>
      <sz val="12"/>
      <color rgb="FF7030A0"/>
      <name val="Calibri"/>
      <family val="2"/>
      <scheme val="minor"/>
    </font>
    <font>
      <b/>
      <sz val="12"/>
      <color rgb="FFC00000"/>
      <name val="Calibri"/>
      <family val="2"/>
      <scheme val="minor"/>
    </font>
    <font>
      <sz val="9"/>
      <color rgb="FF7030A0"/>
      <name val="Calibri"/>
      <family val="2"/>
      <scheme val="minor"/>
    </font>
    <font>
      <sz val="7"/>
      <color rgb="FF7030A0"/>
      <name val="Arial"/>
      <family val="2"/>
    </font>
    <font>
      <b/>
      <sz val="13"/>
      <color rgb="FFC00000"/>
      <name val="Arial"/>
      <family val="2"/>
    </font>
    <font>
      <i/>
      <sz val="11"/>
      <color rgb="FF7030A0"/>
      <name val="Arial"/>
      <family val="2"/>
    </font>
    <font>
      <b/>
      <sz val="18"/>
      <color theme="0"/>
      <name val="Calibri"/>
      <family val="2"/>
      <scheme val="minor"/>
    </font>
    <font>
      <b/>
      <sz val="11"/>
      <color rgb="FFC00000"/>
      <name val="Calibri"/>
      <family val="2"/>
      <scheme val="minor"/>
    </font>
    <font>
      <b/>
      <sz val="20"/>
      <color theme="1"/>
      <name val="Calibri"/>
      <family val="2"/>
      <scheme val="minor"/>
    </font>
    <font>
      <b/>
      <sz val="16"/>
      <color theme="4"/>
      <name val="Calibri"/>
      <family val="2"/>
      <scheme val="minor"/>
    </font>
    <font>
      <b/>
      <sz val="16"/>
      <color theme="0"/>
      <name val="Calibri"/>
      <family val="2"/>
      <scheme val="minor"/>
    </font>
    <font>
      <b/>
      <sz val="10"/>
      <color theme="0"/>
      <name val="Calibri"/>
      <family val="2"/>
      <scheme val="minor"/>
    </font>
    <font>
      <sz val="10"/>
      <color rgb="FF202122"/>
      <name val="Arial"/>
      <family val="2"/>
    </font>
    <font>
      <b/>
      <sz val="11"/>
      <color rgb="FF202122"/>
      <name val="Arial"/>
      <family val="2"/>
    </font>
    <font>
      <sz val="8"/>
      <color rgb="FF7030A0"/>
      <name val="Arial"/>
      <family val="2"/>
    </font>
    <font>
      <b/>
      <sz val="8"/>
      <color rgb="FFFF0000"/>
      <name val="Calibri"/>
      <family val="2"/>
      <scheme val="minor"/>
    </font>
    <font>
      <sz val="12"/>
      <name val="Calibri"/>
      <family val="2"/>
      <scheme val="minor"/>
    </font>
    <font>
      <sz val="11"/>
      <color theme="1"/>
      <name val="Lucida Bright"/>
      <family val="1"/>
    </font>
    <font>
      <sz val="12"/>
      <color theme="1"/>
      <name val="Lucida Bright"/>
      <family val="1"/>
    </font>
    <font>
      <i/>
      <sz val="12"/>
      <color theme="4"/>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7030A0"/>
        <bgColor indexed="64"/>
      </patternFill>
    </fill>
    <fill>
      <patternFill patternType="solid">
        <fgColor theme="9" tint="0.59999389629810485"/>
        <bgColor indexed="64"/>
      </patternFill>
    </fill>
    <fill>
      <patternFill patternType="solid">
        <fgColor rgb="FF00B050"/>
        <bgColor indexed="64"/>
      </patternFill>
    </fill>
    <fill>
      <patternFill patternType="solid">
        <fgColor theme="4" tint="0.79998168889431442"/>
        <bgColor indexed="64"/>
      </patternFill>
    </fill>
  </fills>
  <borders count="5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medium">
        <color indexed="64"/>
      </top>
      <bottom/>
      <diagonal/>
    </border>
    <border>
      <left/>
      <right style="medium">
        <color indexed="64"/>
      </right>
      <top/>
      <bottom style="thin">
        <color indexed="64"/>
      </bottom>
      <diagonal/>
    </border>
    <border>
      <left style="thick">
        <color rgb="FF7030A0"/>
      </left>
      <right/>
      <top style="thick">
        <color rgb="FF7030A0"/>
      </top>
      <bottom/>
      <diagonal/>
    </border>
    <border>
      <left/>
      <right/>
      <top style="thick">
        <color rgb="FF7030A0"/>
      </top>
      <bottom/>
      <diagonal/>
    </border>
    <border>
      <left/>
      <right style="thick">
        <color rgb="FF7030A0"/>
      </right>
      <top style="thick">
        <color rgb="FF7030A0"/>
      </top>
      <bottom/>
      <diagonal/>
    </border>
    <border>
      <left style="thick">
        <color rgb="FF7030A0"/>
      </left>
      <right/>
      <top/>
      <bottom/>
      <diagonal/>
    </border>
    <border>
      <left/>
      <right style="thick">
        <color rgb="FF7030A0"/>
      </right>
      <top/>
      <bottom/>
      <diagonal/>
    </border>
    <border>
      <left style="thick">
        <color rgb="FF7030A0"/>
      </left>
      <right/>
      <top/>
      <bottom style="thick">
        <color rgb="FF7030A0"/>
      </bottom>
      <diagonal/>
    </border>
    <border>
      <left/>
      <right/>
      <top/>
      <bottom style="thick">
        <color rgb="FF7030A0"/>
      </bottom>
      <diagonal/>
    </border>
    <border>
      <left/>
      <right style="thick">
        <color rgb="FF7030A0"/>
      </right>
      <top/>
      <bottom style="thick">
        <color rgb="FF7030A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321">
    <xf numFmtId="0" fontId="0" fillId="0" borderId="0" xfId="0"/>
    <xf numFmtId="0" fontId="1" fillId="0" borderId="0" xfId="0" applyFont="1"/>
    <xf numFmtId="0" fontId="14" fillId="0" borderId="0" xfId="0" applyFont="1"/>
    <xf numFmtId="0" fontId="16" fillId="0" borderId="0" xfId="0" applyFont="1"/>
    <xf numFmtId="0" fontId="17" fillId="0" borderId="0" xfId="0" applyFont="1"/>
    <xf numFmtId="3" fontId="9" fillId="0" borderId="2" xfId="1" applyNumberFormat="1" applyFont="1" applyBorder="1"/>
    <xf numFmtId="3" fontId="9" fillId="0" borderId="4" xfId="1" applyNumberFormat="1" applyFont="1" applyBorder="1"/>
    <xf numFmtId="3" fontId="5" fillId="0" borderId="5" xfId="1" applyNumberFormat="1" applyFont="1" applyBorder="1"/>
    <xf numFmtId="3" fontId="5" fillId="0" borderId="6" xfId="1" applyNumberFormat="1" applyFont="1" applyBorder="1"/>
    <xf numFmtId="3" fontId="5" fillId="0" borderId="7" xfId="1" applyNumberFormat="1" applyFont="1" applyBorder="1"/>
    <xf numFmtId="9" fontId="9" fillId="0" borderId="2" xfId="2" applyFont="1" applyBorder="1"/>
    <xf numFmtId="9" fontId="7" fillId="0" borderId="5" xfId="2" applyFont="1" applyBorder="1"/>
    <xf numFmtId="9" fontId="7" fillId="0" borderId="6" xfId="2" applyFont="1" applyBorder="1"/>
    <xf numFmtId="9" fontId="7" fillId="0" borderId="7" xfId="2" applyFont="1" applyBorder="1"/>
    <xf numFmtId="9" fontId="9" fillId="0" borderId="8" xfId="2" applyFont="1" applyBorder="1"/>
    <xf numFmtId="9" fontId="9" fillId="0" borderId="9" xfId="2" applyFont="1" applyBorder="1"/>
    <xf numFmtId="9" fontId="9" fillId="0" borderId="10" xfId="2" applyFont="1" applyBorder="1"/>
    <xf numFmtId="9" fontId="9" fillId="0" borderId="11" xfId="2" applyFont="1" applyBorder="1"/>
    <xf numFmtId="9" fontId="9" fillId="0" borderId="12" xfId="2" applyFont="1" applyBorder="1"/>
    <xf numFmtId="9" fontId="9" fillId="0" borderId="13" xfId="2" applyFont="1" applyBorder="1"/>
    <xf numFmtId="9" fontId="9" fillId="0" borderId="14" xfId="2" applyFont="1" applyBorder="1"/>
    <xf numFmtId="9" fontId="9" fillId="0" borderId="15" xfId="2" applyFont="1" applyBorder="1"/>
    <xf numFmtId="9" fontId="0" fillId="0" borderId="2" xfId="0" applyNumberFormat="1" applyBorder="1"/>
    <xf numFmtId="9" fontId="0" fillId="2" borderId="2" xfId="0" applyNumberFormat="1" applyFill="1" applyBorder="1"/>
    <xf numFmtId="0" fontId="0" fillId="0" borderId="2" xfId="0" applyBorder="1"/>
    <xf numFmtId="9" fontId="0" fillId="0" borderId="9" xfId="0" applyNumberFormat="1" applyBorder="1"/>
    <xf numFmtId="9" fontId="0" fillId="0" borderId="10" xfId="0" applyNumberFormat="1" applyBorder="1"/>
    <xf numFmtId="9" fontId="0" fillId="2" borderId="11" xfId="0" applyNumberFormat="1" applyFill="1" applyBorder="1"/>
    <xf numFmtId="9" fontId="0" fillId="0" borderId="12" xfId="0" applyNumberFormat="1" applyBorder="1"/>
    <xf numFmtId="0" fontId="0" fillId="0" borderId="11" xfId="0" applyBorder="1"/>
    <xf numFmtId="9" fontId="0" fillId="3" borderId="2" xfId="0" applyNumberFormat="1" applyFill="1" applyBorder="1"/>
    <xf numFmtId="9" fontId="0" fillId="4" borderId="2" xfId="0" applyNumberFormat="1" applyFill="1" applyBorder="1"/>
    <xf numFmtId="9" fontId="0" fillId="5" borderId="12" xfId="0" applyNumberFormat="1" applyFill="1" applyBorder="1"/>
    <xf numFmtId="9" fontId="0" fillId="5" borderId="8" xfId="0" applyNumberFormat="1" applyFill="1" applyBorder="1"/>
    <xf numFmtId="3" fontId="0" fillId="0" borderId="2" xfId="0" applyNumberFormat="1" applyBorder="1"/>
    <xf numFmtId="9" fontId="0" fillId="0" borderId="2" xfId="2" applyFont="1" applyBorder="1"/>
    <xf numFmtId="3" fontId="16" fillId="0" borderId="2" xfId="0" applyNumberFormat="1" applyFont="1" applyBorder="1"/>
    <xf numFmtId="165" fontId="16" fillId="0" borderId="2" xfId="0" applyNumberFormat="1" applyFont="1" applyBorder="1"/>
    <xf numFmtId="166" fontId="16" fillId="0" borderId="2" xfId="0" applyNumberFormat="1" applyFont="1" applyBorder="1" applyAlignment="1">
      <alignment horizontal="right"/>
    </xf>
    <xf numFmtId="3" fontId="5" fillId="6" borderId="5" xfId="1" applyNumberFormat="1" applyFont="1" applyFill="1" applyBorder="1"/>
    <xf numFmtId="3" fontId="5" fillId="6" borderId="6" xfId="1" applyNumberFormat="1" applyFont="1" applyFill="1" applyBorder="1"/>
    <xf numFmtId="3" fontId="5" fillId="6" borderId="7" xfId="1" applyNumberFormat="1" applyFont="1" applyFill="1" applyBorder="1"/>
    <xf numFmtId="0" fontId="0" fillId="0" borderId="18" xfId="0" applyBorder="1"/>
    <xf numFmtId="0" fontId="14" fillId="0" borderId="0" xfId="0" applyFont="1" applyBorder="1"/>
    <xf numFmtId="0" fontId="0" fillId="0" borderId="0" xfId="0" applyBorder="1"/>
    <xf numFmtId="0" fontId="0" fillId="0" borderId="19" xfId="0" applyBorder="1"/>
    <xf numFmtId="0" fontId="2" fillId="0" borderId="0" xfId="0" applyFont="1" applyBorder="1"/>
    <xf numFmtId="0" fontId="1" fillId="0" borderId="0" xfId="0" applyFont="1" applyBorder="1"/>
    <xf numFmtId="0" fontId="2" fillId="0" borderId="0" xfId="0" applyFont="1" applyBorder="1" applyAlignment="1">
      <alignment horizontal="center"/>
    </xf>
    <xf numFmtId="0" fontId="1" fillId="0" borderId="0" xfId="0" applyFont="1" applyBorder="1" applyAlignment="1">
      <alignment horizontal="left" indent="1"/>
    </xf>
    <xf numFmtId="9" fontId="10" fillId="0" borderId="0" xfId="2" applyFont="1" applyBorder="1"/>
    <xf numFmtId="3" fontId="4" fillId="0" borderId="0" xfId="0" applyNumberFormat="1" applyFont="1" applyBorder="1"/>
    <xf numFmtId="3" fontId="9" fillId="0" borderId="0" xfId="0" applyNumberFormat="1" applyFont="1" applyBorder="1" applyAlignment="1">
      <alignment horizontal="left" indent="1"/>
    </xf>
    <xf numFmtId="9" fontId="11" fillId="0" borderId="0" xfId="2" applyFont="1" applyBorder="1"/>
    <xf numFmtId="3" fontId="5" fillId="0" borderId="0" xfId="0" applyNumberFormat="1" applyFont="1" applyBorder="1"/>
    <xf numFmtId="9" fontId="12" fillId="0" borderId="0" xfId="2" applyFont="1" applyBorder="1"/>
    <xf numFmtId="0" fontId="7" fillId="0" borderId="0" xfId="0" applyFont="1" applyBorder="1" applyAlignment="1">
      <alignment horizontal="center"/>
    </xf>
    <xf numFmtId="0" fontId="0" fillId="0" borderId="0" xfId="0" applyBorder="1" applyAlignment="1">
      <alignment horizontal="left" indent="1"/>
    </xf>
    <xf numFmtId="1" fontId="0" fillId="0" borderId="0" xfId="0" applyNumberFormat="1" applyBorder="1"/>
    <xf numFmtId="164" fontId="0" fillId="0" borderId="0" xfId="1" applyNumberFormat="1" applyFont="1" applyBorder="1"/>
    <xf numFmtId="0" fontId="21" fillId="0" borderId="0" xfId="0" applyFont="1" applyBorder="1"/>
    <xf numFmtId="0" fontId="15" fillId="0" borderId="0" xfId="0" applyFont="1" applyBorder="1"/>
    <xf numFmtId="3" fontId="9" fillId="0" borderId="0" xfId="2" applyNumberFormat="1" applyFont="1" applyBorder="1"/>
    <xf numFmtId="3" fontId="9" fillId="0" borderId="0" xfId="0" applyNumberFormat="1" applyFont="1" applyBorder="1"/>
    <xf numFmtId="9" fontId="4" fillId="0" borderId="0" xfId="2" applyFont="1" applyBorder="1"/>
    <xf numFmtId="9" fontId="9" fillId="0" borderId="0" xfId="2" applyFont="1" applyBorder="1"/>
    <xf numFmtId="3" fontId="9" fillId="0" borderId="0" xfId="1" applyNumberFormat="1" applyFont="1" applyBorder="1"/>
    <xf numFmtId="9" fontId="7" fillId="0" borderId="0" xfId="2"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19" fillId="0" borderId="24" xfId="0" applyFont="1"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14" fillId="0" borderId="1" xfId="0" applyFont="1" applyBorder="1"/>
    <xf numFmtId="0" fontId="1" fillId="0" borderId="1" xfId="0" applyFont="1" applyBorder="1"/>
    <xf numFmtId="0" fontId="0" fillId="0" borderId="1" xfId="0" applyBorder="1"/>
    <xf numFmtId="0" fontId="0" fillId="0" borderId="29" xfId="0" applyBorder="1"/>
    <xf numFmtId="0" fontId="14" fillId="0" borderId="24" xfId="0" applyFont="1" applyBorder="1"/>
    <xf numFmtId="0" fontId="1" fillId="0" borderId="24" xfId="0" applyFont="1" applyBorder="1"/>
    <xf numFmtId="0" fontId="19" fillId="0" borderId="0" xfId="0" applyFont="1" applyBorder="1"/>
    <xf numFmtId="3" fontId="0" fillId="0" borderId="0" xfId="0" applyNumberFormat="1" applyBorder="1"/>
    <xf numFmtId="165" fontId="0" fillId="0" borderId="0" xfId="0" applyNumberFormat="1" applyBorder="1"/>
    <xf numFmtId="9" fontId="0" fillId="0" borderId="0" xfId="0" applyNumberFormat="1" applyBorder="1"/>
    <xf numFmtId="0" fontId="3" fillId="0" borderId="0" xfId="0" applyFont="1" applyBorder="1"/>
    <xf numFmtId="164" fontId="0" fillId="0" borderId="0" xfId="0" applyNumberFormat="1" applyBorder="1"/>
    <xf numFmtId="0" fontId="18" fillId="0" borderId="0" xfId="0" applyFont="1" applyBorder="1"/>
    <xf numFmtId="0" fontId="2" fillId="0" borderId="27" xfId="0" applyFont="1" applyBorder="1" applyAlignment="1">
      <alignment horizontal="center"/>
    </xf>
    <xf numFmtId="0" fontId="20" fillId="0" borderId="0" xfId="0" applyFont="1" applyBorder="1"/>
    <xf numFmtId="0" fontId="0" fillId="0" borderId="0" xfId="0" applyBorder="1" applyAlignment="1">
      <alignment horizontal="left" indent="3"/>
    </xf>
    <xf numFmtId="0" fontId="16" fillId="0" borderId="0" xfId="0" applyFont="1" applyBorder="1" applyAlignment="1">
      <alignment horizontal="left" indent="1"/>
    </xf>
    <xf numFmtId="0" fontId="16" fillId="0" borderId="0" xfId="0" applyFont="1" applyBorder="1"/>
    <xf numFmtId="0" fontId="16" fillId="0" borderId="27" xfId="0" applyFont="1" applyBorder="1"/>
    <xf numFmtId="3" fontId="16" fillId="0" borderId="0" xfId="0" applyNumberFormat="1" applyFont="1" applyBorder="1"/>
    <xf numFmtId="0" fontId="22" fillId="0" borderId="0" xfId="0" applyFont="1" applyBorder="1"/>
    <xf numFmtId="3" fontId="23" fillId="7" borderId="5" xfId="1" applyNumberFormat="1" applyFont="1" applyFill="1" applyBorder="1"/>
    <xf numFmtId="3" fontId="25" fillId="7" borderId="2" xfId="1" applyNumberFormat="1" applyFont="1" applyFill="1" applyBorder="1"/>
    <xf numFmtId="9" fontId="26" fillId="7" borderId="0" xfId="2" applyFont="1" applyFill="1" applyBorder="1"/>
    <xf numFmtId="3" fontId="22" fillId="0" borderId="0" xfId="0" applyNumberFormat="1" applyFont="1" applyBorder="1"/>
    <xf numFmtId="0" fontId="27" fillId="7" borderId="0" xfId="0" applyFont="1" applyFill="1" applyBorder="1"/>
    <xf numFmtId="0" fontId="8" fillId="7" borderId="0" xfId="0" applyFont="1" applyFill="1" applyBorder="1"/>
    <xf numFmtId="0" fontId="28" fillId="0" borderId="0" xfId="0" applyFont="1"/>
    <xf numFmtId="9" fontId="29" fillId="7" borderId="0" xfId="2" applyFont="1" applyFill="1" applyBorder="1"/>
    <xf numFmtId="0" fontId="24" fillId="0" borderId="0" xfId="0" applyFont="1" applyFill="1" applyBorder="1" applyAlignment="1">
      <alignment horizontal="left" indent="1"/>
    </xf>
    <xf numFmtId="3" fontId="9" fillId="0" borderId="36" xfId="1" applyNumberFormat="1" applyFont="1" applyBorder="1"/>
    <xf numFmtId="3" fontId="25" fillId="7" borderId="3" xfId="1" applyNumberFormat="1" applyFont="1" applyFill="1" applyBorder="1"/>
    <xf numFmtId="0" fontId="34" fillId="7" borderId="0" xfId="0" applyFont="1" applyFill="1" applyBorder="1"/>
    <xf numFmtId="0" fontId="35" fillId="0" borderId="0" xfId="0" applyFont="1" applyBorder="1"/>
    <xf numFmtId="3" fontId="35" fillId="0" borderId="0" xfId="0" applyNumberFormat="1" applyFont="1" applyBorder="1"/>
    <xf numFmtId="9" fontId="37" fillId="7" borderId="0" xfId="2" applyFont="1" applyFill="1" applyBorder="1"/>
    <xf numFmtId="9" fontId="38" fillId="7" borderId="0" xfId="2" applyFont="1" applyFill="1" applyBorder="1"/>
    <xf numFmtId="9" fontId="6" fillId="7" borderId="5" xfId="2" applyFont="1" applyFill="1" applyBorder="1"/>
    <xf numFmtId="3" fontId="30" fillId="0" borderId="0" xfId="0" applyNumberFormat="1" applyFont="1" applyBorder="1"/>
    <xf numFmtId="9" fontId="25" fillId="7" borderId="2" xfId="2" applyFont="1" applyFill="1" applyBorder="1"/>
    <xf numFmtId="9" fontId="31" fillId="0" borderId="2" xfId="2" applyFont="1" applyBorder="1"/>
    <xf numFmtId="9" fontId="35" fillId="0" borderId="0" xfId="2" applyFont="1" applyBorder="1"/>
    <xf numFmtId="9" fontId="42" fillId="0" borderId="0" xfId="2" applyFont="1" applyBorder="1"/>
    <xf numFmtId="9" fontId="25" fillId="7" borderId="0" xfId="2" applyFont="1" applyFill="1" applyBorder="1"/>
    <xf numFmtId="0" fontId="43" fillId="0" borderId="0" xfId="0" applyFont="1" applyBorder="1"/>
    <xf numFmtId="9" fontId="44" fillId="0" borderId="9" xfId="0" applyNumberFormat="1" applyFont="1" applyBorder="1"/>
    <xf numFmtId="9" fontId="36" fillId="0" borderId="2" xfId="0" applyNumberFormat="1" applyFont="1" applyBorder="1"/>
    <xf numFmtId="0" fontId="0" fillId="0" borderId="0" xfId="0" applyFill="1" applyBorder="1"/>
    <xf numFmtId="0" fontId="43" fillId="0" borderId="0" xfId="0" applyFont="1" applyFill="1" applyBorder="1"/>
    <xf numFmtId="9" fontId="32" fillId="0" borderId="9" xfId="2" applyFont="1" applyBorder="1"/>
    <xf numFmtId="9" fontId="25" fillId="7" borderId="8" xfId="2" applyFont="1"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43" fillId="0" borderId="43" xfId="0" applyFont="1" applyBorder="1"/>
    <xf numFmtId="0" fontId="22" fillId="0" borderId="0" xfId="0" applyFont="1" applyBorder="1" applyAlignment="1">
      <alignment wrapText="1"/>
    </xf>
    <xf numFmtId="0" fontId="0" fillId="0" borderId="45" xfId="0" applyBorder="1"/>
    <xf numFmtId="0" fontId="14" fillId="0" borderId="46" xfId="0" applyFont="1" applyBorder="1"/>
    <xf numFmtId="0" fontId="1" fillId="0" borderId="46" xfId="0" applyFont="1" applyBorder="1"/>
    <xf numFmtId="0" fontId="0" fillId="0" borderId="46" xfId="0" applyBorder="1"/>
    <xf numFmtId="0" fontId="0" fillId="0" borderId="47" xfId="0" applyBorder="1"/>
    <xf numFmtId="0" fontId="14" fillId="0" borderId="41" xfId="0" applyFont="1" applyBorder="1"/>
    <xf numFmtId="0" fontId="1" fillId="0" borderId="41" xfId="0" applyFont="1" applyBorder="1"/>
    <xf numFmtId="0" fontId="2" fillId="0" borderId="44" xfId="0" applyFont="1" applyBorder="1" applyAlignment="1">
      <alignment horizontal="center"/>
    </xf>
    <xf numFmtId="0" fontId="16" fillId="0" borderId="44" xfId="0" applyFont="1" applyBorder="1"/>
    <xf numFmtId="0" fontId="46" fillId="0" borderId="0" xfId="0" applyFont="1" applyBorder="1"/>
    <xf numFmtId="9" fontId="10" fillId="0" borderId="0" xfId="2" applyFont="1" applyFill="1" applyBorder="1"/>
    <xf numFmtId="0" fontId="36" fillId="0" borderId="0" xfId="0" applyFont="1" applyBorder="1"/>
    <xf numFmtId="0" fontId="35" fillId="0" borderId="0" xfId="0" applyFont="1" applyAlignment="1">
      <alignment vertical="top" wrapText="1"/>
    </xf>
    <xf numFmtId="9" fontId="6" fillId="7" borderId="7" xfId="2" applyFont="1" applyFill="1" applyBorder="1"/>
    <xf numFmtId="0" fontId="48" fillId="7" borderId="0" xfId="0" applyFont="1" applyFill="1" applyBorder="1"/>
    <xf numFmtId="0" fontId="8" fillId="7" borderId="0" xfId="0" applyFont="1" applyFill="1"/>
    <xf numFmtId="9" fontId="25" fillId="7" borderId="10" xfId="2" applyFont="1" applyFill="1" applyBorder="1"/>
    <xf numFmtId="0" fontId="49" fillId="0" borderId="0" xfId="0" applyFont="1" applyBorder="1"/>
    <xf numFmtId="0" fontId="22" fillId="0" borderId="46" xfId="0" applyFont="1" applyBorder="1"/>
    <xf numFmtId="0" fontId="35" fillId="0" borderId="46" xfId="0" applyFont="1" applyBorder="1"/>
    <xf numFmtId="0" fontId="36" fillId="0" borderId="44" xfId="0" applyFont="1" applyBorder="1"/>
    <xf numFmtId="0" fontId="2" fillId="0" borderId="0" xfId="0" applyFont="1" applyFill="1" applyBorder="1" applyAlignment="1">
      <alignment horizontal="center"/>
    </xf>
    <xf numFmtId="0" fontId="43" fillId="0" borderId="41" xfId="0" applyFont="1" applyBorder="1"/>
    <xf numFmtId="0" fontId="22" fillId="0" borderId="41" xfId="0" applyFont="1" applyBorder="1"/>
    <xf numFmtId="3" fontId="8" fillId="7" borderId="2" xfId="0" applyNumberFormat="1" applyFont="1" applyFill="1" applyBorder="1"/>
    <xf numFmtId="0" fontId="36" fillId="0" borderId="0" xfId="0" applyFont="1" applyFill="1" applyBorder="1"/>
    <xf numFmtId="9" fontId="29" fillId="7" borderId="2" xfId="0" applyNumberFormat="1" applyFont="1" applyFill="1" applyBorder="1"/>
    <xf numFmtId="0" fontId="50" fillId="0" borderId="0" xfId="0" applyFont="1"/>
    <xf numFmtId="0" fontId="9" fillId="0" borderId="0" xfId="0" applyFont="1" applyBorder="1" applyAlignment="1">
      <alignment horizontal="left" indent="1"/>
    </xf>
    <xf numFmtId="3" fontId="41" fillId="0" borderId="0" xfId="0" applyNumberFormat="1" applyFont="1" applyBorder="1"/>
    <xf numFmtId="3" fontId="7" fillId="0" borderId="0" xfId="0" applyNumberFormat="1" applyFont="1" applyBorder="1"/>
    <xf numFmtId="166" fontId="16" fillId="0" borderId="0" xfId="0" applyNumberFormat="1" applyFont="1" applyBorder="1" applyAlignment="1">
      <alignment horizontal="right"/>
    </xf>
    <xf numFmtId="0" fontId="49" fillId="0" borderId="18" xfId="0" applyFont="1" applyBorder="1" applyAlignment="1">
      <alignment horizontal="left" indent="1"/>
    </xf>
    <xf numFmtId="0" fontId="0" fillId="0" borderId="0" xfId="0" applyFont="1" applyBorder="1"/>
    <xf numFmtId="0" fontId="14" fillId="0" borderId="18" xfId="0" applyFont="1" applyBorder="1"/>
    <xf numFmtId="0" fontId="14" fillId="0" borderId="20" xfId="0" applyFont="1" applyBorder="1"/>
    <xf numFmtId="0" fontId="49" fillId="0" borderId="18" xfId="0" applyFont="1" applyBorder="1" applyAlignment="1">
      <alignment horizontal="left" indent="4"/>
    </xf>
    <xf numFmtId="0" fontId="0" fillId="0" borderId="18" xfId="0" applyBorder="1" applyAlignment="1">
      <alignment horizontal="left" indent="4"/>
    </xf>
    <xf numFmtId="0" fontId="0" fillId="0" borderId="18" xfId="0" applyFont="1" applyBorder="1"/>
    <xf numFmtId="0" fontId="0" fillId="0" borderId="19" xfId="0" applyFont="1" applyBorder="1"/>
    <xf numFmtId="0" fontId="0" fillId="0" borderId="20" xfId="0" applyFont="1" applyBorder="1"/>
    <xf numFmtId="0" fontId="0" fillId="0" borderId="21" xfId="0" applyFont="1" applyBorder="1"/>
    <xf numFmtId="0" fontId="0" fillId="0" borderId="22" xfId="0" applyFont="1" applyBorder="1"/>
    <xf numFmtId="0" fontId="7" fillId="0" borderId="18" xfId="0" applyFont="1" applyBorder="1" applyAlignment="1">
      <alignment horizontal="left" indent="4"/>
    </xf>
    <xf numFmtId="0" fontId="0" fillId="0" borderId="50" xfId="0" applyBorder="1"/>
    <xf numFmtId="168" fontId="0" fillId="0" borderId="0" xfId="1" applyNumberFormat="1" applyFont="1" applyBorder="1"/>
    <xf numFmtId="9" fontId="0" fillId="0" borderId="0" xfId="0" applyNumberFormat="1" applyBorder="1" applyAlignment="1">
      <alignment horizontal="left"/>
    </xf>
    <xf numFmtId="0" fontId="7" fillId="0" borderId="0" xfId="0" applyFont="1" applyBorder="1"/>
    <xf numFmtId="0" fontId="52" fillId="0" borderId="0" xfId="0" applyFont="1" applyFill="1" applyBorder="1"/>
    <xf numFmtId="0" fontId="8" fillId="0" borderId="0" xfId="0" applyFont="1" applyFill="1" applyBorder="1"/>
    <xf numFmtId="167" fontId="8" fillId="0" borderId="0" xfId="0" applyNumberFormat="1" applyFont="1" applyFill="1" applyBorder="1" applyAlignment="1">
      <alignment horizontal="left"/>
    </xf>
    <xf numFmtId="9" fontId="8" fillId="0" borderId="0" xfId="0" applyNumberFormat="1" applyFont="1" applyFill="1" applyBorder="1"/>
    <xf numFmtId="9" fontId="8" fillId="0" borderId="0" xfId="0" applyNumberFormat="1" applyFont="1" applyFill="1" applyBorder="1" applyAlignment="1">
      <alignment horizontal="left"/>
    </xf>
    <xf numFmtId="0" fontId="6" fillId="0" borderId="0" xfId="0" applyFont="1" applyFill="1" applyBorder="1"/>
    <xf numFmtId="0" fontId="6" fillId="0" borderId="0" xfId="0" applyFont="1" applyFill="1" applyBorder="1" applyAlignment="1">
      <alignment horizontal="center"/>
    </xf>
    <xf numFmtId="168" fontId="8" fillId="0" borderId="0" xfId="1" applyNumberFormat="1" applyFont="1" applyFill="1" applyBorder="1"/>
    <xf numFmtId="168" fontId="8" fillId="0" borderId="0" xfId="0" applyNumberFormat="1" applyFont="1" applyFill="1" applyBorder="1"/>
    <xf numFmtId="167" fontId="8" fillId="0" borderId="0" xfId="2" applyNumberFormat="1" applyFont="1" applyFill="1" applyBorder="1"/>
    <xf numFmtId="9" fontId="8" fillId="0" borderId="0" xfId="2" applyFont="1" applyFill="1" applyBorder="1"/>
    <xf numFmtId="0" fontId="53" fillId="0" borderId="0" xfId="0" applyFont="1" applyFill="1" applyBorder="1"/>
    <xf numFmtId="0" fontId="51" fillId="0" borderId="24" xfId="0" applyFont="1" applyBorder="1"/>
    <xf numFmtId="167" fontId="0" fillId="0" borderId="27" xfId="0" applyNumberFormat="1" applyBorder="1" applyAlignment="1">
      <alignment horizontal="left"/>
    </xf>
    <xf numFmtId="0" fontId="7" fillId="0" borderId="27" xfId="0" applyFont="1" applyBorder="1" applyAlignment="1">
      <alignment horizontal="center"/>
    </xf>
    <xf numFmtId="0" fontId="7" fillId="0" borderId="27" xfId="0" applyFont="1" applyBorder="1"/>
    <xf numFmtId="168" fontId="0" fillId="0" borderId="27" xfId="1" applyNumberFormat="1" applyFont="1" applyBorder="1"/>
    <xf numFmtId="168" fontId="0" fillId="0" borderId="1" xfId="1" applyNumberFormat="1" applyFont="1" applyBorder="1"/>
    <xf numFmtId="168" fontId="13" fillId="0" borderId="1" xfId="1" applyNumberFormat="1" applyFont="1" applyBorder="1"/>
    <xf numFmtId="168" fontId="0" fillId="0" borderId="29" xfId="1" applyNumberFormat="1" applyFont="1" applyBorder="1"/>
    <xf numFmtId="168" fontId="0" fillId="0" borderId="0" xfId="1" applyNumberFormat="1" applyFont="1" applyFill="1" applyBorder="1"/>
    <xf numFmtId="168" fontId="0" fillId="0" borderId="0" xfId="0" applyNumberFormat="1" applyFill="1" applyBorder="1"/>
    <xf numFmtId="168" fontId="0" fillId="0" borderId="27" xfId="0" applyNumberFormat="1" applyFill="1" applyBorder="1"/>
    <xf numFmtId="168" fontId="0" fillId="0" borderId="51" xfId="1" applyNumberFormat="1" applyFont="1" applyFill="1" applyBorder="1"/>
    <xf numFmtId="167" fontId="0" fillId="0" borderId="51" xfId="2" applyNumberFormat="1" applyFont="1" applyFill="1" applyBorder="1"/>
    <xf numFmtId="168" fontId="0" fillId="0" borderId="51" xfId="0" applyNumberFormat="1" applyFill="1" applyBorder="1"/>
    <xf numFmtId="9" fontId="0" fillId="0" borderId="0" xfId="2" applyFont="1" applyFill="1" applyBorder="1"/>
    <xf numFmtId="168" fontId="13" fillId="0" borderId="0" xfId="1" applyNumberFormat="1" applyFont="1" applyFill="1" applyBorder="1"/>
    <xf numFmtId="0" fontId="35" fillId="0" borderId="0" xfId="0" applyFont="1" applyAlignment="1">
      <alignment vertical="top" wrapText="1"/>
    </xf>
    <xf numFmtId="0" fontId="0" fillId="0" borderId="0" xfId="0" applyAlignment="1">
      <alignment wrapText="1"/>
    </xf>
    <xf numFmtId="3" fontId="36" fillId="0" borderId="0" xfId="0" applyNumberFormat="1" applyFont="1" applyBorder="1" applyAlignment="1">
      <alignment wrapText="1"/>
    </xf>
    <xf numFmtId="3" fontId="41" fillId="0" borderId="0" xfId="0" applyNumberFormat="1" applyFont="1" applyBorder="1" applyAlignment="1">
      <alignment horizontal="left" indent="1"/>
    </xf>
    <xf numFmtId="3" fontId="54" fillId="0" borderId="0" xfId="0" applyNumberFormat="1" applyFont="1" applyBorder="1" applyAlignment="1">
      <alignment horizontal="left" indent="1"/>
    </xf>
    <xf numFmtId="0" fontId="41" fillId="0" borderId="0" xfId="0" applyFont="1" applyBorder="1" applyAlignment="1">
      <alignment horizontal="left" indent="2"/>
    </xf>
    <xf numFmtId="0" fontId="9" fillId="0" borderId="0" xfId="0" applyFont="1" applyBorder="1" applyAlignment="1">
      <alignment horizontal="left" indent="2"/>
    </xf>
    <xf numFmtId="3" fontId="30" fillId="0" borderId="0" xfId="0" applyNumberFormat="1" applyFont="1" applyBorder="1" applyAlignment="1">
      <alignment horizontal="left" indent="1"/>
    </xf>
    <xf numFmtId="3" fontId="55" fillId="0" borderId="0" xfId="0" applyNumberFormat="1" applyFont="1" applyBorder="1"/>
    <xf numFmtId="9" fontId="9" fillId="0" borderId="16" xfId="2" applyFont="1" applyBorder="1"/>
    <xf numFmtId="9" fontId="56" fillId="0" borderId="16" xfId="2" applyFont="1" applyBorder="1"/>
    <xf numFmtId="0" fontId="32" fillId="0" borderId="0" xfId="0" applyFont="1" applyBorder="1"/>
    <xf numFmtId="9" fontId="42" fillId="0" borderId="31" xfId="2" applyFont="1" applyBorder="1"/>
    <xf numFmtId="9" fontId="9" fillId="0" borderId="31" xfId="2" applyFont="1" applyBorder="1"/>
    <xf numFmtId="0" fontId="0" fillId="0" borderId="0" xfId="0" applyFill="1" applyBorder="1" applyAlignment="1">
      <alignment horizontal="left" indent="1"/>
    </xf>
    <xf numFmtId="1" fontId="0" fillId="0" borderId="0" xfId="0" applyNumberFormat="1" applyFill="1" applyBorder="1"/>
    <xf numFmtId="10" fontId="4" fillId="0" borderId="0" xfId="0" applyNumberFormat="1" applyFont="1" applyBorder="1"/>
    <xf numFmtId="0" fontId="0" fillId="0" borderId="2" xfId="0" applyBorder="1" applyAlignment="1">
      <alignment wrapText="1"/>
    </xf>
    <xf numFmtId="0" fontId="0" fillId="0" borderId="2" xfId="0" applyBorder="1" applyAlignment="1">
      <alignment vertical="center" wrapText="1"/>
    </xf>
    <xf numFmtId="0" fontId="0" fillId="0" borderId="2" xfId="0" applyBorder="1" applyAlignment="1">
      <alignment horizontal="left" vertical="center" wrapText="1"/>
    </xf>
    <xf numFmtId="0" fontId="22" fillId="0" borderId="0" xfId="0" applyFont="1" applyBorder="1" applyAlignment="1">
      <alignment vertical="top" wrapText="1"/>
    </xf>
    <xf numFmtId="0" fontId="22" fillId="0" borderId="27" xfId="0" applyFont="1" applyBorder="1" applyAlignment="1">
      <alignment vertical="top" wrapText="1"/>
    </xf>
    <xf numFmtId="0" fontId="22" fillId="0" borderId="1" xfId="0" applyFont="1" applyBorder="1" applyAlignment="1">
      <alignment vertical="top" wrapText="1"/>
    </xf>
    <xf numFmtId="0" fontId="22" fillId="0" borderId="29" xfId="0" applyFont="1" applyBorder="1" applyAlignment="1">
      <alignment vertical="top" wrapText="1"/>
    </xf>
    <xf numFmtId="9" fontId="9" fillId="9" borderId="8" xfId="2" applyFont="1" applyFill="1" applyBorder="1"/>
    <xf numFmtId="9" fontId="9" fillId="3" borderId="2" xfId="2" applyFont="1" applyFill="1" applyBorder="1"/>
    <xf numFmtId="9" fontId="9" fillId="4" borderId="12" xfId="2" applyFont="1" applyFill="1" applyBorder="1"/>
    <xf numFmtId="9" fontId="9" fillId="9" borderId="2" xfId="2" applyFont="1" applyFill="1" applyBorder="1"/>
    <xf numFmtId="9" fontId="9" fillId="9" borderId="11" xfId="2" applyFont="1" applyFill="1" applyBorder="1"/>
    <xf numFmtId="9" fontId="9" fillId="9" borderId="13" xfId="2" applyFont="1" applyFill="1" applyBorder="1"/>
    <xf numFmtId="9" fontId="9" fillId="3" borderId="15" xfId="2" applyFont="1" applyFill="1" applyBorder="1"/>
    <xf numFmtId="9" fontId="9" fillId="0" borderId="12" xfId="2" applyFont="1" applyFill="1" applyBorder="1"/>
    <xf numFmtId="0" fontId="57" fillId="0" borderId="0" xfId="0" applyFont="1" applyBorder="1"/>
    <xf numFmtId="0" fontId="0" fillId="0" borderId="2" xfId="0" applyNumberFormat="1" applyBorder="1"/>
    <xf numFmtId="10" fontId="0" fillId="0" borderId="2" xfId="0" applyNumberFormat="1" applyBorder="1"/>
    <xf numFmtId="0" fontId="58" fillId="0" borderId="0" xfId="0" applyFont="1" applyFill="1" applyBorder="1"/>
    <xf numFmtId="38" fontId="59" fillId="10" borderId="0" xfId="1" applyNumberFormat="1" applyFont="1" applyFill="1" applyAlignment="1">
      <alignment horizontal="left"/>
    </xf>
    <xf numFmtId="0" fontId="60" fillId="0" borderId="0" xfId="0" applyFont="1"/>
    <xf numFmtId="168" fontId="0" fillId="0" borderId="0" xfId="1" applyNumberFormat="1" applyFont="1" applyFill="1" applyBorder="1" applyAlignment="1">
      <alignment vertical="center"/>
    </xf>
    <xf numFmtId="10" fontId="61" fillId="0" borderId="0" xfId="0" applyNumberFormat="1" applyFont="1" applyBorder="1"/>
    <xf numFmtId="0" fontId="35" fillId="0" borderId="0" xfId="0" applyFont="1" applyBorder="1" applyAlignment="1">
      <alignment vertical="top" wrapText="1"/>
    </xf>
    <xf numFmtId="0" fontId="0" fillId="0" borderId="0" xfId="0" applyAlignment="1">
      <alignment vertical="top" wrapText="1"/>
    </xf>
    <xf numFmtId="3" fontId="36" fillId="0" borderId="0" xfId="0" applyNumberFormat="1" applyFont="1" applyBorder="1" applyAlignment="1">
      <alignment wrapText="1"/>
    </xf>
    <xf numFmtId="0" fontId="0" fillId="0" borderId="0" xfId="0" applyAlignment="1">
      <alignment wrapText="1"/>
    </xf>
    <xf numFmtId="3" fontId="44" fillId="0" borderId="0" xfId="0" applyNumberFormat="1" applyFont="1" applyBorder="1" applyAlignment="1">
      <alignment wrapText="1"/>
    </xf>
    <xf numFmtId="0" fontId="33" fillId="0" borderId="0" xfId="0" applyFont="1" applyAlignment="1">
      <alignment wrapText="1"/>
    </xf>
    <xf numFmtId="3" fontId="36" fillId="0" borderId="18" xfId="0" applyNumberFormat="1" applyFont="1" applyBorder="1" applyAlignment="1">
      <alignment vertical="top" wrapText="1"/>
    </xf>
    <xf numFmtId="0" fontId="0" fillId="0" borderId="44" xfId="0" applyBorder="1" applyAlignment="1">
      <alignment vertical="top" wrapText="1"/>
    </xf>
    <xf numFmtId="0" fontId="0" fillId="0" borderId="18" xfId="0" applyBorder="1" applyAlignment="1">
      <alignment vertical="top" wrapText="1"/>
    </xf>
    <xf numFmtId="0" fontId="0" fillId="0" borderId="0" xfId="0" applyBorder="1" applyAlignment="1">
      <alignment vertical="top" wrapText="1"/>
    </xf>
    <xf numFmtId="0" fontId="35" fillId="0" borderId="0" xfId="0" applyFont="1" applyBorder="1" applyAlignment="1">
      <alignment wrapText="1"/>
    </xf>
    <xf numFmtId="0" fontId="18" fillId="0" borderId="48" xfId="0" applyFont="1" applyBorder="1" applyAlignment="1">
      <alignment horizontal="left" wrapText="1" indent="13"/>
    </xf>
    <xf numFmtId="0" fontId="18" fillId="0" borderId="49" xfId="0" applyFont="1" applyBorder="1" applyAlignment="1">
      <alignment horizontal="left" wrapText="1" indent="13"/>
    </xf>
    <xf numFmtId="0" fontId="18" fillId="0" borderId="48" xfId="0" applyFont="1" applyBorder="1" applyAlignment="1">
      <alignment horizontal="left" wrapText="1" indent="16"/>
    </xf>
    <xf numFmtId="0" fontId="18" fillId="0" borderId="49" xfId="0" applyFont="1" applyBorder="1" applyAlignment="1">
      <alignment horizontal="left" wrapText="1" indent="16"/>
    </xf>
    <xf numFmtId="0" fontId="18" fillId="0" borderId="48" xfId="0" applyFont="1" applyBorder="1" applyAlignment="1">
      <alignment horizontal="center" wrapText="1"/>
    </xf>
    <xf numFmtId="0" fontId="18" fillId="0" borderId="49" xfId="0" applyFont="1" applyBorder="1" applyAlignment="1">
      <alignment horizontal="center" wrapText="1"/>
    </xf>
    <xf numFmtId="0" fontId="18" fillId="0" borderId="50" xfId="0" applyFont="1" applyBorder="1" applyAlignment="1">
      <alignment horizontal="center" wrapText="1"/>
    </xf>
    <xf numFmtId="0" fontId="35" fillId="0" borderId="41" xfId="0" applyFont="1" applyBorder="1" applyAlignment="1">
      <alignment wrapText="1"/>
    </xf>
    <xf numFmtId="0" fontId="35" fillId="0" borderId="42" xfId="0" applyFont="1" applyBorder="1" applyAlignment="1">
      <alignment wrapText="1"/>
    </xf>
    <xf numFmtId="0" fontId="35" fillId="0" borderId="44" xfId="0" applyFont="1" applyBorder="1" applyAlignment="1">
      <alignment wrapText="1"/>
    </xf>
    <xf numFmtId="0" fontId="22" fillId="0" borderId="0" xfId="0" applyFont="1" applyBorder="1" applyAlignment="1">
      <alignment vertical="top" wrapText="1"/>
    </xf>
    <xf numFmtId="9" fontId="45" fillId="0" borderId="37" xfId="2" applyFont="1" applyBorder="1" applyAlignment="1">
      <alignment wrapText="1"/>
    </xf>
    <xf numFmtId="0" fontId="0" fillId="0" borderId="0" xfId="0" applyBorder="1" applyAlignment="1">
      <alignment wrapText="1"/>
    </xf>
    <xf numFmtId="0" fontId="0" fillId="0" borderId="33" xfId="0" applyBorder="1" applyAlignment="1">
      <alignment wrapText="1"/>
    </xf>
    <xf numFmtId="0" fontId="0" fillId="0" borderId="34" xfId="0" applyBorder="1" applyAlignment="1">
      <alignment wrapText="1"/>
    </xf>
    <xf numFmtId="0" fontId="44" fillId="0" borderId="0" xfId="0" applyFont="1" applyBorder="1" applyAlignment="1">
      <alignment wrapText="1"/>
    </xf>
    <xf numFmtId="0" fontId="0" fillId="0" borderId="44" xfId="0" applyBorder="1" applyAlignment="1">
      <alignment wrapText="1"/>
    </xf>
    <xf numFmtId="0" fontId="36" fillId="0" borderId="0" xfId="0" applyFont="1" applyBorder="1" applyAlignment="1">
      <alignment vertical="top" wrapText="1"/>
    </xf>
    <xf numFmtId="0" fontId="36" fillId="0" borderId="44" xfId="0" applyFont="1" applyBorder="1" applyAlignment="1">
      <alignment vertical="top" wrapText="1"/>
    </xf>
    <xf numFmtId="0" fontId="35" fillId="0" borderId="0" xfId="0" applyFont="1" applyAlignment="1">
      <alignment vertical="top" wrapText="1"/>
    </xf>
    <xf numFmtId="9" fontId="47" fillId="0" borderId="0" xfId="2" applyFont="1" applyFill="1" applyBorder="1" applyAlignment="1">
      <alignment horizontal="left" vertical="top" wrapText="1" indent="1"/>
    </xf>
    <xf numFmtId="0" fontId="35" fillId="0" borderId="0" xfId="0" applyFont="1" applyAlignment="1">
      <alignment horizontal="left" vertical="top" wrapText="1" indent="1"/>
    </xf>
    <xf numFmtId="0" fontId="35" fillId="0" borderId="0" xfId="0" applyFont="1" applyAlignment="1">
      <alignment wrapText="1"/>
    </xf>
    <xf numFmtId="3" fontId="35" fillId="0" borderId="18" xfId="0" applyNumberFormat="1" applyFont="1" applyBorder="1" applyAlignment="1">
      <alignment wrapText="1"/>
    </xf>
    <xf numFmtId="0" fontId="35" fillId="0" borderId="18" xfId="0" applyFont="1" applyBorder="1" applyAlignment="1">
      <alignment wrapText="1"/>
    </xf>
    <xf numFmtId="0" fontId="30" fillId="0" borderId="0" xfId="0" applyFont="1" applyAlignment="1">
      <alignment wrapText="1"/>
    </xf>
    <xf numFmtId="0" fontId="30" fillId="0" borderId="44" xfId="0" applyFont="1" applyBorder="1" applyAlignment="1">
      <alignment wrapText="1"/>
    </xf>
    <xf numFmtId="3" fontId="35" fillId="0" borderId="0" xfId="0" applyNumberFormat="1" applyFont="1" applyBorder="1" applyAlignment="1">
      <alignment vertical="top" wrapText="1"/>
    </xf>
    <xf numFmtId="0" fontId="30" fillId="0" borderId="0" xfId="0" applyFont="1" applyBorder="1" applyAlignment="1">
      <alignment vertical="top" wrapText="1"/>
    </xf>
    <xf numFmtId="9" fontId="32" fillId="0" borderId="30" xfId="2" applyFont="1" applyBorder="1" applyAlignment="1">
      <alignment vertical="top" wrapText="1"/>
    </xf>
    <xf numFmtId="0" fontId="33" fillId="0" borderId="31" xfId="0" applyFont="1" applyBorder="1" applyAlignment="1">
      <alignment vertical="top" wrapText="1"/>
    </xf>
    <xf numFmtId="0" fontId="33" fillId="0" borderId="32" xfId="0" applyFont="1" applyBorder="1" applyAlignment="1">
      <alignment vertical="top" wrapText="1"/>
    </xf>
    <xf numFmtId="0" fontId="33" fillId="0" borderId="33" xfId="0" applyFont="1" applyBorder="1" applyAlignment="1">
      <alignment vertical="top" wrapText="1"/>
    </xf>
    <xf numFmtId="0" fontId="33" fillId="0" borderId="34" xfId="0" applyFont="1" applyBorder="1" applyAlignment="1">
      <alignment vertical="top" wrapText="1"/>
    </xf>
    <xf numFmtId="0" fontId="33" fillId="0" borderId="35" xfId="0" applyFont="1" applyBorder="1" applyAlignment="1">
      <alignment vertical="top" wrapText="1"/>
    </xf>
    <xf numFmtId="9" fontId="32" fillId="0" borderId="38" xfId="2" applyFont="1"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39" xfId="0" applyBorder="1" applyAlignment="1">
      <alignment wrapText="1"/>
    </xf>
    <xf numFmtId="0" fontId="35" fillId="0" borderId="44" xfId="0" applyFont="1" applyBorder="1" applyAlignment="1">
      <alignment vertical="top" wrapText="1"/>
    </xf>
    <xf numFmtId="9" fontId="36" fillId="0" borderId="37" xfId="2" applyFont="1" applyBorder="1" applyAlignment="1">
      <alignment vertical="top" wrapText="1"/>
    </xf>
    <xf numFmtId="0" fontId="13" fillId="0" borderId="0" xfId="0" applyFont="1" applyBorder="1" applyAlignment="1">
      <alignment vertical="top" wrapText="1"/>
    </xf>
    <xf numFmtId="0" fontId="13" fillId="0" borderId="37" xfId="0" applyFont="1" applyBorder="1" applyAlignment="1">
      <alignment vertical="top" wrapText="1"/>
    </xf>
    <xf numFmtId="0" fontId="19" fillId="0" borderId="41" xfId="0" applyFont="1" applyBorder="1" applyAlignment="1">
      <alignment wrapText="1"/>
    </xf>
    <xf numFmtId="0" fontId="0" fillId="0" borderId="41" xfId="0" applyBorder="1" applyAlignment="1">
      <alignment wrapText="1"/>
    </xf>
    <xf numFmtId="0" fontId="35" fillId="0" borderId="41" xfId="0" applyFont="1" applyBorder="1" applyAlignment="1">
      <alignment vertical="top" wrapText="1"/>
    </xf>
    <xf numFmtId="0" fontId="30" fillId="0" borderId="41" xfId="0" applyFont="1" applyBorder="1" applyAlignment="1">
      <alignment vertical="top" wrapText="1"/>
    </xf>
    <xf numFmtId="0" fontId="22" fillId="0" borderId="0" xfId="0" applyFont="1" applyBorder="1" applyAlignment="1">
      <alignment wrapText="1"/>
    </xf>
    <xf numFmtId="3" fontId="35" fillId="0" borderId="0" xfId="0" applyNumberFormat="1" applyFont="1" applyBorder="1" applyAlignment="1">
      <alignment wrapText="1"/>
    </xf>
    <xf numFmtId="0" fontId="30" fillId="0" borderId="0" xfId="0" applyFont="1" applyBorder="1" applyAlignment="1">
      <alignment wrapText="1"/>
    </xf>
    <xf numFmtId="3" fontId="32" fillId="0" borderId="30" xfId="1" applyNumberFormat="1" applyFont="1" applyBorder="1" applyAlignment="1">
      <alignment horizontal="left" wrapText="1"/>
    </xf>
    <xf numFmtId="0" fontId="33" fillId="0" borderId="31" xfId="0" applyFont="1" applyBorder="1" applyAlignment="1">
      <alignment horizontal="left" wrapText="1"/>
    </xf>
    <xf numFmtId="0" fontId="33" fillId="0" borderId="33" xfId="0" applyFont="1" applyBorder="1" applyAlignment="1">
      <alignment horizontal="left" wrapText="1"/>
    </xf>
    <xf numFmtId="0" fontId="33" fillId="0" borderId="34" xfId="0" applyFont="1" applyBorder="1" applyAlignment="1">
      <alignment horizontal="left" wrapText="1"/>
    </xf>
    <xf numFmtId="0" fontId="33" fillId="0" borderId="35" xfId="0" applyFont="1" applyBorder="1" applyAlignment="1">
      <alignment horizontal="left" wrapText="1"/>
    </xf>
    <xf numFmtId="0" fontId="0" fillId="8" borderId="2" xfId="0"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38</xdr:col>
      <xdr:colOff>52463</xdr:colOff>
      <xdr:row>5</xdr:row>
      <xdr:rowOff>134671</xdr:rowOff>
    </xdr:from>
    <xdr:to>
      <xdr:col>43</xdr:col>
      <xdr:colOff>2370695</xdr:colOff>
      <xdr:row>5</xdr:row>
      <xdr:rowOff>190495</xdr:rowOff>
    </xdr:to>
    <xdr:cxnSp macro="">
      <xdr:nvCxnSpPr>
        <xdr:cNvPr id="2" name="Conector angular 1">
          <a:extLst>
            <a:ext uri="{FF2B5EF4-FFF2-40B4-BE49-F238E27FC236}">
              <a16:creationId xmlns:a16="http://schemas.microsoft.com/office/drawing/2014/main" id="{6EABA1DB-379A-9949-B8D1-0C02B1A3E2E4}"/>
            </a:ext>
          </a:extLst>
        </xdr:cNvPr>
        <xdr:cNvCxnSpPr/>
      </xdr:nvCxnSpPr>
      <xdr:spPr>
        <a:xfrm rot="10800000">
          <a:off x="34253563" y="1582471"/>
          <a:ext cx="6648932" cy="55824"/>
        </a:xfrm>
        <a:prstGeom prst="bentConnector3">
          <a:avLst>
            <a:gd name="adj1" fmla="val 52925"/>
          </a:avLst>
        </a:prstGeom>
        <a:ln w="952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809450</xdr:colOff>
      <xdr:row>3</xdr:row>
      <xdr:rowOff>279121</xdr:rowOff>
    </xdr:from>
    <xdr:to>
      <xdr:col>42</xdr:col>
      <xdr:colOff>654820</xdr:colOff>
      <xdr:row>6</xdr:row>
      <xdr:rowOff>194269</xdr:rowOff>
    </xdr:to>
    <xdr:cxnSp macro="">
      <xdr:nvCxnSpPr>
        <xdr:cNvPr id="3" name="Conector angular 2">
          <a:extLst>
            <a:ext uri="{FF2B5EF4-FFF2-40B4-BE49-F238E27FC236}">
              <a16:creationId xmlns:a16="http://schemas.microsoft.com/office/drawing/2014/main" id="{8BD55C4E-09FB-8342-B24B-EBCEE0CD64D4}"/>
            </a:ext>
          </a:extLst>
        </xdr:cNvPr>
        <xdr:cNvCxnSpPr/>
      </xdr:nvCxnSpPr>
      <xdr:spPr>
        <a:xfrm rot="16200000" flipV="1">
          <a:off x="37541061" y="1152210"/>
          <a:ext cx="740648" cy="696270"/>
        </a:xfrm>
        <a:prstGeom prst="bentConnector3">
          <a:avLst>
            <a:gd name="adj1" fmla="val 50000"/>
          </a:avLst>
        </a:prstGeom>
        <a:ln w="952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208227</xdr:colOff>
      <xdr:row>16</xdr:row>
      <xdr:rowOff>110532</xdr:rowOff>
    </xdr:from>
    <xdr:to>
      <xdr:col>43</xdr:col>
      <xdr:colOff>1856155</xdr:colOff>
      <xdr:row>17</xdr:row>
      <xdr:rowOff>0</xdr:rowOff>
    </xdr:to>
    <xdr:cxnSp macro="">
      <xdr:nvCxnSpPr>
        <xdr:cNvPr id="4" name="Conector angular 3">
          <a:extLst>
            <a:ext uri="{FF2B5EF4-FFF2-40B4-BE49-F238E27FC236}">
              <a16:creationId xmlns:a16="http://schemas.microsoft.com/office/drawing/2014/main" id="{D1967B16-F136-6449-835E-AD6CB451E955}"/>
            </a:ext>
          </a:extLst>
        </xdr:cNvPr>
        <xdr:cNvCxnSpPr/>
      </xdr:nvCxnSpPr>
      <xdr:spPr>
        <a:xfrm rot="10800000">
          <a:off x="32707527" y="3844332"/>
          <a:ext cx="7680428" cy="118068"/>
        </a:xfrm>
        <a:prstGeom prst="bentConnector3">
          <a:avLst>
            <a:gd name="adj1" fmla="val 50000"/>
          </a:avLst>
        </a:prstGeom>
        <a:ln w="952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2020875</xdr:colOff>
      <xdr:row>11</xdr:row>
      <xdr:rowOff>129781</xdr:rowOff>
    </xdr:from>
    <xdr:to>
      <xdr:col>35</xdr:col>
      <xdr:colOff>2873722</xdr:colOff>
      <xdr:row>12</xdr:row>
      <xdr:rowOff>148321</xdr:rowOff>
    </xdr:to>
    <xdr:cxnSp macro="">
      <xdr:nvCxnSpPr>
        <xdr:cNvPr id="5" name="Conector recto de flecha 4">
          <a:extLst>
            <a:ext uri="{FF2B5EF4-FFF2-40B4-BE49-F238E27FC236}">
              <a16:creationId xmlns:a16="http://schemas.microsoft.com/office/drawing/2014/main" id="{5AEFEF6F-A66A-4C4E-8089-3C1C17450E73}"/>
            </a:ext>
          </a:extLst>
        </xdr:cNvPr>
        <xdr:cNvCxnSpPr/>
      </xdr:nvCxnSpPr>
      <xdr:spPr>
        <a:xfrm flipV="1">
          <a:off x="31586475" y="3215881"/>
          <a:ext cx="852847" cy="259840"/>
        </a:xfrm>
        <a:prstGeom prst="straightConnector1">
          <a:avLst/>
        </a:prstGeom>
        <a:ln w="952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806496</xdr:colOff>
      <xdr:row>5</xdr:row>
      <xdr:rowOff>18540</xdr:rowOff>
    </xdr:from>
    <xdr:to>
      <xdr:col>41</xdr:col>
      <xdr:colOff>120511</xdr:colOff>
      <xdr:row>6</xdr:row>
      <xdr:rowOff>194672</xdr:rowOff>
    </xdr:to>
    <xdr:cxnSp macro="">
      <xdr:nvCxnSpPr>
        <xdr:cNvPr id="6" name="Conector recto de flecha 5">
          <a:extLst>
            <a:ext uri="{FF2B5EF4-FFF2-40B4-BE49-F238E27FC236}">
              <a16:creationId xmlns:a16="http://schemas.microsoft.com/office/drawing/2014/main" id="{B6B33B44-D7F3-834C-92FB-4A2CA62DF653}"/>
            </a:ext>
          </a:extLst>
        </xdr:cNvPr>
        <xdr:cNvCxnSpPr/>
      </xdr:nvCxnSpPr>
      <xdr:spPr>
        <a:xfrm flipH="1" flipV="1">
          <a:off x="35858496" y="1466340"/>
          <a:ext cx="1015815" cy="404732"/>
        </a:xfrm>
        <a:prstGeom prst="straightConnector1">
          <a:avLst/>
        </a:prstGeom>
        <a:ln w="952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18540</xdr:colOff>
      <xdr:row>7</xdr:row>
      <xdr:rowOff>83431</xdr:rowOff>
    </xdr:from>
    <xdr:to>
      <xdr:col>37</xdr:col>
      <xdr:colOff>287373</xdr:colOff>
      <xdr:row>7</xdr:row>
      <xdr:rowOff>120511</xdr:rowOff>
    </xdr:to>
    <xdr:cxnSp macro="">
      <xdr:nvCxnSpPr>
        <xdr:cNvPr id="7" name="Conector recto de flecha 6">
          <a:extLst>
            <a:ext uri="{FF2B5EF4-FFF2-40B4-BE49-F238E27FC236}">
              <a16:creationId xmlns:a16="http://schemas.microsoft.com/office/drawing/2014/main" id="{658AFB59-EC67-7446-8E61-43FFA0733F3E}"/>
            </a:ext>
          </a:extLst>
        </xdr:cNvPr>
        <xdr:cNvCxnSpPr/>
      </xdr:nvCxnSpPr>
      <xdr:spPr>
        <a:xfrm flipH="1" flipV="1">
          <a:off x="33368740" y="2001131"/>
          <a:ext cx="268833" cy="37080"/>
        </a:xfrm>
        <a:prstGeom prst="straightConnector1">
          <a:avLst/>
        </a:prstGeom>
        <a:ln w="952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J208"/>
  <sheetViews>
    <sheetView showGridLines="0" tabSelected="1" zoomScale="63" zoomScaleNormal="60" workbookViewId="0">
      <selection activeCell="F161" sqref="F161"/>
    </sheetView>
  </sheetViews>
  <sheetFormatPr baseColWidth="10" defaultRowHeight="15.75" x14ac:dyDescent="0.25"/>
  <cols>
    <col min="1" max="1" width="4.25" customWidth="1"/>
    <col min="2" max="2" width="2.5" customWidth="1"/>
    <col min="3" max="3" width="4.75" style="2" customWidth="1"/>
    <col min="4" max="4" width="43" customWidth="1"/>
    <col min="5" max="10" width="11.25" customWidth="1"/>
    <col min="11" max="11" width="12.25" customWidth="1"/>
    <col min="12" max="12" width="4.75" customWidth="1"/>
    <col min="13" max="13" width="41.5" customWidth="1"/>
    <col min="14" max="19" width="10.25" customWidth="1"/>
    <col min="21" max="21" width="4.5" customWidth="1"/>
    <col min="22" max="22" width="40.75" customWidth="1"/>
    <col min="33" max="33" width="4.25" customWidth="1"/>
    <col min="34" max="34" width="2.5" customWidth="1"/>
    <col min="35" max="35" width="4.75" style="2" customWidth="1"/>
    <col min="36" max="36" width="39.75" customWidth="1"/>
    <col min="37" max="42" width="11.25" customWidth="1"/>
    <col min="43" max="43" width="12.25" customWidth="1"/>
    <col min="44" max="44" width="54.5" customWidth="1"/>
    <col min="45" max="45" width="33.25" customWidth="1"/>
    <col min="46" max="51" width="10.25" customWidth="1"/>
    <col min="53" max="53" width="17.75" customWidth="1"/>
    <col min="54" max="54" width="34.75" customWidth="1"/>
  </cols>
  <sheetData>
    <row r="2" spans="2:62" ht="26.25" x14ac:dyDescent="0.4">
      <c r="B2" s="163" t="s">
        <v>179</v>
      </c>
      <c r="AJ2" s="4" t="s">
        <v>8</v>
      </c>
    </row>
    <row r="3" spans="2:62" ht="24" thickBot="1" x14ac:dyDescent="0.4">
      <c r="D3" s="4"/>
      <c r="AJ3" s="105" t="s">
        <v>65</v>
      </c>
    </row>
    <row r="4" spans="2:62" ht="31.15" customHeight="1" thickTop="1" x14ac:dyDescent="0.35">
      <c r="B4" s="71"/>
      <c r="C4" s="72" t="s">
        <v>51</v>
      </c>
      <c r="D4" s="73"/>
      <c r="E4" s="73"/>
      <c r="F4" s="73"/>
      <c r="G4" s="73"/>
      <c r="H4" s="73"/>
      <c r="I4" s="73"/>
      <c r="J4" s="73"/>
      <c r="K4" s="73"/>
      <c r="L4" s="73"/>
      <c r="M4" s="73"/>
      <c r="N4" s="73"/>
      <c r="O4" s="73"/>
      <c r="P4" s="73"/>
      <c r="Q4" s="73"/>
      <c r="R4" s="73"/>
      <c r="S4" s="73"/>
      <c r="T4" s="73"/>
      <c r="U4" s="73"/>
      <c r="V4" s="73"/>
      <c r="W4" s="73"/>
      <c r="X4" s="73"/>
      <c r="Y4" s="73"/>
      <c r="Z4" s="73"/>
      <c r="AA4" s="73"/>
      <c r="AB4" s="73"/>
      <c r="AC4" s="73"/>
      <c r="AD4" s="74"/>
      <c r="AH4" s="129"/>
      <c r="AI4" s="306" t="s">
        <v>79</v>
      </c>
      <c r="AJ4" s="307"/>
      <c r="AK4" s="307"/>
      <c r="AL4" s="307"/>
      <c r="AM4" s="130"/>
      <c r="AN4" s="130"/>
      <c r="AO4" s="130"/>
      <c r="AP4" s="130"/>
      <c r="AQ4" s="308" t="s">
        <v>69</v>
      </c>
      <c r="AR4" s="309"/>
      <c r="AS4" s="309"/>
      <c r="AT4" s="130"/>
      <c r="AU4" s="130"/>
      <c r="AV4" s="130"/>
      <c r="AW4" s="130"/>
      <c r="AX4" s="130"/>
      <c r="AY4" s="130"/>
      <c r="AZ4" s="130"/>
      <c r="BA4" s="130"/>
      <c r="BB4" s="130"/>
      <c r="BC4" s="130"/>
      <c r="BD4" s="130"/>
      <c r="BE4" s="130"/>
      <c r="BF4" s="130"/>
      <c r="BG4" s="130"/>
      <c r="BH4" s="130"/>
      <c r="BI4" s="130"/>
      <c r="BJ4" s="131"/>
    </row>
    <row r="5" spans="2:62" x14ac:dyDescent="0.25">
      <c r="B5" s="75"/>
      <c r="C5" s="43"/>
      <c r="D5" s="44"/>
      <c r="E5" s="44"/>
      <c r="F5" s="44"/>
      <c r="G5" s="44"/>
      <c r="H5" s="44"/>
      <c r="I5" s="44"/>
      <c r="J5" s="44"/>
      <c r="K5" s="44"/>
      <c r="L5" s="44"/>
      <c r="M5" s="44"/>
      <c r="N5" s="44"/>
      <c r="O5" s="44"/>
      <c r="P5" s="44"/>
      <c r="Q5" s="44"/>
      <c r="R5" s="44"/>
      <c r="S5" s="44"/>
      <c r="T5" s="44"/>
      <c r="U5" s="44"/>
      <c r="V5" s="44"/>
      <c r="W5" s="44"/>
      <c r="X5" s="44"/>
      <c r="Y5" s="44"/>
      <c r="Z5" s="44"/>
      <c r="AA5" s="44"/>
      <c r="AB5" s="44"/>
      <c r="AC5" s="44"/>
      <c r="AD5" s="76"/>
      <c r="AH5" s="132"/>
      <c r="AI5" s="275"/>
      <c r="AJ5" s="275"/>
      <c r="AK5" s="275"/>
      <c r="AL5" s="275"/>
      <c r="AM5" s="111" t="s">
        <v>71</v>
      </c>
      <c r="AN5" s="44"/>
      <c r="AO5" s="44"/>
      <c r="AP5" s="44"/>
      <c r="AQ5" s="291"/>
      <c r="AR5" s="291"/>
      <c r="AS5" s="291"/>
      <c r="AT5" s="122" t="s">
        <v>88</v>
      </c>
      <c r="AU5" s="44"/>
      <c r="AV5" s="44"/>
      <c r="AW5" s="310" t="s">
        <v>67</v>
      </c>
      <c r="AX5" s="275"/>
      <c r="AY5" s="275"/>
      <c r="AZ5" s="275"/>
      <c r="BA5" s="275"/>
      <c r="BB5" s="44"/>
      <c r="BC5" s="44"/>
      <c r="BD5" s="122" t="s">
        <v>89</v>
      </c>
      <c r="BE5" s="44"/>
      <c r="BF5" s="44"/>
      <c r="BG5" s="44"/>
      <c r="BH5" s="44"/>
      <c r="BI5" s="44"/>
      <c r="BJ5" s="133"/>
    </row>
    <row r="6" spans="2:62" ht="18" x14ac:dyDescent="0.25">
      <c r="B6" s="75"/>
      <c r="C6" s="122" t="s">
        <v>145</v>
      </c>
      <c r="D6" s="46" t="s">
        <v>20</v>
      </c>
      <c r="E6" s="44"/>
      <c r="F6" s="44"/>
      <c r="G6" s="44"/>
      <c r="H6" s="44"/>
      <c r="I6" s="44"/>
      <c r="J6" s="44"/>
      <c r="K6" s="44"/>
      <c r="L6" s="122" t="s">
        <v>144</v>
      </c>
      <c r="M6" s="46" t="s">
        <v>169</v>
      </c>
      <c r="N6" s="44"/>
      <c r="O6" s="44"/>
      <c r="P6" s="44"/>
      <c r="Q6" s="44"/>
      <c r="R6" s="44"/>
      <c r="S6" s="44"/>
      <c r="T6" s="44"/>
      <c r="U6" s="122" t="s">
        <v>143</v>
      </c>
      <c r="V6" s="46" t="s">
        <v>168</v>
      </c>
      <c r="W6" s="44"/>
      <c r="X6" s="44"/>
      <c r="Y6" s="44"/>
      <c r="Z6" s="44"/>
      <c r="AA6" s="44"/>
      <c r="AB6" s="44"/>
      <c r="AC6" s="44"/>
      <c r="AD6" s="76"/>
      <c r="AH6" s="134" t="s">
        <v>90</v>
      </c>
      <c r="AI6" s="43"/>
      <c r="AJ6" s="103" t="s">
        <v>20</v>
      </c>
      <c r="AK6" s="104"/>
      <c r="AL6" s="104"/>
      <c r="AM6" s="44"/>
      <c r="AN6" s="44"/>
      <c r="AO6" s="44"/>
      <c r="AP6" s="44"/>
      <c r="AQ6" s="44"/>
      <c r="AR6" s="311" t="s">
        <v>66</v>
      </c>
      <c r="AS6" s="103" t="s">
        <v>22</v>
      </c>
      <c r="AT6" s="104"/>
      <c r="AU6" s="104"/>
      <c r="AV6" s="104"/>
      <c r="AW6" s="275"/>
      <c r="AX6" s="275"/>
      <c r="AY6" s="275"/>
      <c r="AZ6" s="275"/>
      <c r="BA6" s="275"/>
      <c r="BB6" s="46" t="s">
        <v>23</v>
      </c>
      <c r="BC6" s="44"/>
      <c r="BD6" s="44"/>
      <c r="BE6" s="44"/>
      <c r="BF6" s="44"/>
      <c r="BG6" s="44"/>
      <c r="BH6" s="44"/>
      <c r="BI6" s="44"/>
      <c r="BJ6" s="133"/>
    </row>
    <row r="7" spans="2:62" ht="18.75" thickBot="1" x14ac:dyDescent="0.3">
      <c r="B7" s="75"/>
      <c r="C7" s="43"/>
      <c r="D7" s="47"/>
      <c r="E7" s="48" t="s">
        <v>1</v>
      </c>
      <c r="F7" s="48" t="s">
        <v>2</v>
      </c>
      <c r="G7" s="48" t="s">
        <v>3</v>
      </c>
      <c r="H7" s="48" t="s">
        <v>4</v>
      </c>
      <c r="I7" s="48" t="s">
        <v>21</v>
      </c>
      <c r="J7" s="48" t="s">
        <v>5</v>
      </c>
      <c r="K7" s="46"/>
      <c r="L7" s="44"/>
      <c r="M7" s="47"/>
      <c r="N7" s="48" t="s">
        <v>1</v>
      </c>
      <c r="O7" s="48" t="s">
        <v>2</v>
      </c>
      <c r="P7" s="48" t="s">
        <v>3</v>
      </c>
      <c r="Q7" s="48" t="s">
        <v>4</v>
      </c>
      <c r="R7" s="48" t="s">
        <v>21</v>
      </c>
      <c r="S7" s="46" t="s">
        <v>5</v>
      </c>
      <c r="T7" s="46"/>
      <c r="U7" s="44"/>
      <c r="V7" s="47"/>
      <c r="W7" s="48" t="s">
        <v>1</v>
      </c>
      <c r="X7" s="48" t="s">
        <v>2</v>
      </c>
      <c r="Y7" s="48" t="s">
        <v>3</v>
      </c>
      <c r="Z7" s="48" t="s">
        <v>4</v>
      </c>
      <c r="AA7" s="48" t="s">
        <v>21</v>
      </c>
      <c r="AB7" s="46" t="s">
        <v>5</v>
      </c>
      <c r="AC7" s="46"/>
      <c r="AD7" s="76"/>
      <c r="AH7" s="132"/>
      <c r="AI7" s="43"/>
      <c r="AJ7" s="47"/>
      <c r="AK7" s="48" t="s">
        <v>1</v>
      </c>
      <c r="AL7" s="48" t="s">
        <v>2</v>
      </c>
      <c r="AM7" s="48" t="s">
        <v>3</v>
      </c>
      <c r="AN7" s="48" t="s">
        <v>4</v>
      </c>
      <c r="AO7" s="48" t="s">
        <v>21</v>
      </c>
      <c r="AP7" s="48" t="s">
        <v>5</v>
      </c>
      <c r="AQ7" s="46"/>
      <c r="AR7" s="312"/>
      <c r="AS7" s="47"/>
      <c r="AT7" s="48" t="s">
        <v>1</v>
      </c>
      <c r="AU7" s="48" t="s">
        <v>2</v>
      </c>
      <c r="AV7" s="48" t="s">
        <v>3</v>
      </c>
      <c r="AW7" s="48" t="s">
        <v>4</v>
      </c>
      <c r="AX7" s="48" t="s">
        <v>21</v>
      </c>
      <c r="AY7" s="46" t="s">
        <v>5</v>
      </c>
      <c r="AZ7" s="46"/>
      <c r="BA7" s="44"/>
      <c r="BB7" s="47"/>
      <c r="BC7" s="48" t="s">
        <v>1</v>
      </c>
      <c r="BD7" s="48" t="s">
        <v>2</v>
      </c>
      <c r="BE7" s="48" t="s">
        <v>3</v>
      </c>
      <c r="BF7" s="48" t="s">
        <v>4</v>
      </c>
      <c r="BG7" s="48" t="s">
        <v>21</v>
      </c>
      <c r="BH7" s="46" t="s">
        <v>5</v>
      </c>
      <c r="BI7" s="46"/>
      <c r="BJ7" s="133"/>
    </row>
    <row r="8" spans="2:62" ht="18.75" thickBot="1" x14ac:dyDescent="0.3">
      <c r="B8" s="75"/>
      <c r="C8" s="43">
        <v>1</v>
      </c>
      <c r="D8" s="217" t="s">
        <v>211</v>
      </c>
      <c r="E8" s="5">
        <f>N8*X20+W8*X19</f>
        <v>150</v>
      </c>
      <c r="F8" s="5">
        <f>O8*X20+X8*X19</f>
        <v>50</v>
      </c>
      <c r="G8" s="5">
        <f>P8*X20+Y8*X19</f>
        <v>0</v>
      </c>
      <c r="H8" s="5">
        <f>Q8*X20+Z8*X19</f>
        <v>0</v>
      </c>
      <c r="I8" s="5">
        <f>R8*X20+AA8*X19</f>
        <v>0</v>
      </c>
      <c r="J8" s="5">
        <f t="shared" ref="J8:J13" si="0">SUM(E8:I8)</f>
        <v>200</v>
      </c>
      <c r="K8" s="50">
        <f>J8/J14</f>
        <v>0.13333333333333333</v>
      </c>
      <c r="L8" s="51"/>
      <c r="M8" s="216" t="str">
        <f>+D8</f>
        <v>Análisis Factibilidad, Planes</v>
      </c>
      <c r="N8" s="5">
        <v>30</v>
      </c>
      <c r="O8" s="5">
        <v>10</v>
      </c>
      <c r="P8" s="5"/>
      <c r="Q8" s="5"/>
      <c r="R8" s="5"/>
      <c r="S8" s="5">
        <f>SUM(N8:R8)</f>
        <v>40</v>
      </c>
      <c r="T8" s="50">
        <f>+S8/$S$14</f>
        <v>0.13333333333333333</v>
      </c>
      <c r="U8" s="44"/>
      <c r="V8" s="216" t="str">
        <f>+M8</f>
        <v>Análisis Factibilidad, Planes</v>
      </c>
      <c r="W8" s="5"/>
      <c r="X8" s="5"/>
      <c r="Y8" s="5"/>
      <c r="Z8" s="5"/>
      <c r="AA8" s="5"/>
      <c r="AB8" s="5">
        <f>SUM(W8:AA8)</f>
        <v>0</v>
      </c>
      <c r="AC8" s="50" t="e">
        <f t="shared" ref="AC8:AC13" si="1">+AB8/$AB$14</f>
        <v>#DIV/0!</v>
      </c>
      <c r="AD8" s="76"/>
      <c r="AH8" s="132"/>
      <c r="AI8" s="43">
        <v>1</v>
      </c>
      <c r="AJ8" s="49" t="s">
        <v>29</v>
      </c>
      <c r="AK8" s="100">
        <f>(+AT8*$BC$20)+(BC8*$BC$19)</f>
        <v>20000</v>
      </c>
      <c r="AL8" s="313" t="s">
        <v>72</v>
      </c>
      <c r="AM8" s="314"/>
      <c r="AN8" s="314"/>
      <c r="AO8" s="314"/>
      <c r="AP8" s="109">
        <f>SUM(AK8:AO8)</f>
        <v>20000</v>
      </c>
      <c r="AQ8" s="101">
        <f>+AP8/$AP$12</f>
        <v>8.4388185654008435E-2</v>
      </c>
      <c r="AR8" s="312"/>
      <c r="AS8" s="52">
        <f>+AI8</f>
        <v>1</v>
      </c>
      <c r="AT8" s="5">
        <f>8*5</f>
        <v>40</v>
      </c>
      <c r="AU8" s="5"/>
      <c r="AV8" s="5"/>
      <c r="AW8" s="5"/>
      <c r="AX8" s="5"/>
      <c r="AY8" s="5">
        <f>SUM(AT8:AX8)</f>
        <v>40</v>
      </c>
      <c r="AZ8" s="50">
        <f>+AY8/$AY$12</f>
        <v>0.19047619047619047</v>
      </c>
      <c r="BA8" s="44"/>
      <c r="BB8" s="52">
        <f>+AS8</f>
        <v>1</v>
      </c>
      <c r="BC8" s="5"/>
      <c r="BD8" s="5"/>
      <c r="BE8" s="5"/>
      <c r="BF8" s="5"/>
      <c r="BG8" s="5"/>
      <c r="BH8" s="5">
        <f>SUM(BC8:BG8)</f>
        <v>0</v>
      </c>
      <c r="BI8" s="50">
        <f>+BH8/$BH$12</f>
        <v>0</v>
      </c>
      <c r="BJ8" s="133"/>
    </row>
    <row r="9" spans="2:62" ht="18" x14ac:dyDescent="0.25">
      <c r="B9" s="75"/>
      <c r="C9" s="43">
        <f>+C8+1</f>
        <v>2</v>
      </c>
      <c r="D9" s="217" t="s">
        <v>11</v>
      </c>
      <c r="E9" s="5">
        <f>N9*X20+W9*X19</f>
        <v>75</v>
      </c>
      <c r="F9" s="5">
        <f>O9*X20+X9*X19</f>
        <v>50</v>
      </c>
      <c r="G9" s="5">
        <f>P9*X20+Y9*X19</f>
        <v>0</v>
      </c>
      <c r="H9" s="5">
        <f>Q9*X20+Z9*X19</f>
        <v>0</v>
      </c>
      <c r="I9" s="5">
        <f>R9*X20+AA9*X19</f>
        <v>0</v>
      </c>
      <c r="J9" s="5">
        <f t="shared" si="0"/>
        <v>125</v>
      </c>
      <c r="K9" s="50">
        <f>J9/J14</f>
        <v>8.3333333333333329E-2</v>
      </c>
      <c r="L9" s="51"/>
      <c r="M9" s="216" t="str">
        <f t="shared" ref="M9:M13" si="2">+D9</f>
        <v>Diseño del producto</v>
      </c>
      <c r="N9" s="5">
        <v>15</v>
      </c>
      <c r="O9" s="5">
        <v>10</v>
      </c>
      <c r="P9" s="5"/>
      <c r="Q9" s="5"/>
      <c r="R9" s="5"/>
      <c r="S9" s="5">
        <f>SUM(N9:R9)</f>
        <v>25</v>
      </c>
      <c r="T9" s="50">
        <f t="shared" ref="T9:T13" si="3">+S9/$S$14</f>
        <v>8.3333333333333329E-2</v>
      </c>
      <c r="U9" s="44"/>
      <c r="V9" s="216" t="str">
        <f t="shared" ref="V9:V13" si="4">+M9</f>
        <v>Diseño del producto</v>
      </c>
      <c r="W9" s="5"/>
      <c r="X9" s="5"/>
      <c r="Y9" s="5"/>
      <c r="Z9" s="5"/>
      <c r="AA9" s="5"/>
      <c r="AB9" s="5">
        <f>SUM(W9:AA9)</f>
        <v>0</v>
      </c>
      <c r="AC9" s="50" t="e">
        <f t="shared" si="1"/>
        <v>#DIV/0!</v>
      </c>
      <c r="AD9" s="76"/>
      <c r="AH9" s="132"/>
      <c r="AI9" s="43">
        <f>+AI8+1</f>
        <v>2</v>
      </c>
      <c r="AJ9" s="49" t="s">
        <v>11</v>
      </c>
      <c r="AK9" s="5">
        <f>(+AT9*$BC$20)+(BC9*$BC$19)</f>
        <v>40000</v>
      </c>
      <c r="AL9" s="315"/>
      <c r="AM9" s="316"/>
      <c r="AN9" s="316"/>
      <c r="AO9" s="317"/>
      <c r="AP9" s="108">
        <f>SUM(AK9:AO9)</f>
        <v>40000</v>
      </c>
      <c r="AQ9" s="50">
        <f>+AP9/$AP$12</f>
        <v>0.16877637130801687</v>
      </c>
      <c r="AR9" s="312"/>
      <c r="AS9" s="52">
        <f>+AI9</f>
        <v>2</v>
      </c>
      <c r="AT9" s="5">
        <f>8*5*2</f>
        <v>80</v>
      </c>
      <c r="AU9" s="5"/>
      <c r="AV9" s="5"/>
      <c r="AW9" s="5"/>
      <c r="AX9" s="5"/>
      <c r="AY9" s="5">
        <f>SUM(AT9:AX9)</f>
        <v>80</v>
      </c>
      <c r="AZ9" s="50">
        <f>+AY9/$AY$12</f>
        <v>0.38095238095238093</v>
      </c>
      <c r="BA9" s="44"/>
      <c r="BB9" s="52">
        <f>+AS9</f>
        <v>2</v>
      </c>
      <c r="BC9" s="5"/>
      <c r="BD9" s="5"/>
      <c r="BE9" s="5"/>
      <c r="BF9" s="5"/>
      <c r="BG9" s="5"/>
      <c r="BH9" s="5">
        <f>SUM(BC9:BG9)</f>
        <v>0</v>
      </c>
      <c r="BI9" s="50">
        <f>+BH9/$BH$12</f>
        <v>0</v>
      </c>
      <c r="BJ9" s="133"/>
    </row>
    <row r="10" spans="2:62" ht="18" x14ac:dyDescent="0.25">
      <c r="B10" s="75"/>
      <c r="C10" s="43">
        <f>+C9+1</f>
        <v>3</v>
      </c>
      <c r="D10" s="217" t="s">
        <v>12</v>
      </c>
      <c r="E10" s="5">
        <f>N10*X20+W10*X19</f>
        <v>70</v>
      </c>
      <c r="F10" s="5">
        <f>O10*X20+X10*X19</f>
        <v>75</v>
      </c>
      <c r="G10" s="5">
        <f>P10*X20+Y10*X19</f>
        <v>200</v>
      </c>
      <c r="H10" s="5">
        <f>Q10*X20+Z10*X19</f>
        <v>150</v>
      </c>
      <c r="I10" s="5">
        <f>R10*X20+AA10*X19</f>
        <v>100</v>
      </c>
      <c r="J10" s="5">
        <f t="shared" si="0"/>
        <v>595</v>
      </c>
      <c r="K10" s="50">
        <f>J10/J14</f>
        <v>0.39666666666666667</v>
      </c>
      <c r="L10" s="51"/>
      <c r="M10" s="216" t="str">
        <f t="shared" si="2"/>
        <v>Programación</v>
      </c>
      <c r="N10" s="5">
        <v>14</v>
      </c>
      <c r="O10" s="5">
        <v>15</v>
      </c>
      <c r="P10" s="5">
        <v>40</v>
      </c>
      <c r="Q10" s="5">
        <v>30</v>
      </c>
      <c r="R10" s="5">
        <v>20</v>
      </c>
      <c r="S10" s="5">
        <f>SUM(N10:R10)</f>
        <v>119</v>
      </c>
      <c r="T10" s="50">
        <f t="shared" si="3"/>
        <v>0.39666666666666667</v>
      </c>
      <c r="U10" s="44"/>
      <c r="V10" s="216" t="str">
        <f t="shared" si="4"/>
        <v>Programación</v>
      </c>
      <c r="W10" s="5"/>
      <c r="X10" s="5">
        <v>0</v>
      </c>
      <c r="Y10" s="5">
        <v>0</v>
      </c>
      <c r="Z10" s="5"/>
      <c r="AA10" s="5"/>
      <c r="AB10" s="5">
        <f>SUM(W10:AA10)</f>
        <v>0</v>
      </c>
      <c r="AC10" s="50" t="e">
        <f t="shared" si="1"/>
        <v>#DIV/0!</v>
      </c>
      <c r="AD10" s="76"/>
      <c r="AH10" s="132"/>
      <c r="AI10" s="43">
        <f>+AI9+1</f>
        <v>3</v>
      </c>
      <c r="AJ10" s="49" t="s">
        <v>12</v>
      </c>
      <c r="AK10" s="5">
        <f>(+AT10*$W$20)+(BC10*$W$19)</f>
        <v>0</v>
      </c>
      <c r="AL10" s="5">
        <f>(+AU10*$BC$20)+(BD10*$BC$19)</f>
        <v>46000</v>
      </c>
      <c r="AM10" s="5">
        <f>(+AV10*$BC$20)+(BE10*$BC$19)</f>
        <v>46000</v>
      </c>
      <c r="AN10" s="5">
        <f>(+AW10*$BC$20)+(BF10*$BC$19)</f>
        <v>51000</v>
      </c>
      <c r="AO10" s="5">
        <f>(+AX10*$W$20)+(BG10*$W$19)</f>
        <v>0</v>
      </c>
      <c r="AP10" s="5">
        <f>SUM(AK10:AO10)</f>
        <v>143000</v>
      </c>
      <c r="AQ10" s="50">
        <f>+AP10/$AP$12</f>
        <v>0.6033755274261603</v>
      </c>
      <c r="AR10" s="312"/>
      <c r="AS10" s="52">
        <f>+AI10</f>
        <v>3</v>
      </c>
      <c r="AT10" s="5"/>
      <c r="AU10" s="5">
        <f>4*5</f>
        <v>20</v>
      </c>
      <c r="AV10" s="5">
        <f>4*5</f>
        <v>20</v>
      </c>
      <c r="AW10" s="5">
        <f>5*6</f>
        <v>30</v>
      </c>
      <c r="AX10" s="5"/>
      <c r="AY10" s="5">
        <f>SUM(AT10:AX10)</f>
        <v>70</v>
      </c>
      <c r="AZ10" s="50">
        <f>+AY10/$AY$12</f>
        <v>0.33333333333333331</v>
      </c>
      <c r="BA10" s="44"/>
      <c r="BB10" s="52">
        <f>+AS10</f>
        <v>3</v>
      </c>
      <c r="BC10" s="5"/>
      <c r="BD10" s="5">
        <f>3*8*5</f>
        <v>120</v>
      </c>
      <c r="BE10" s="5">
        <f>3*8*5</f>
        <v>120</v>
      </c>
      <c r="BF10" s="5">
        <f>3*8*5</f>
        <v>120</v>
      </c>
      <c r="BG10" s="5"/>
      <c r="BH10" s="5">
        <f>SUM(BC10:BG10)</f>
        <v>360</v>
      </c>
      <c r="BI10" s="50">
        <f>+BH10/$BH$12</f>
        <v>0.81818181818181823</v>
      </c>
      <c r="BJ10" s="133"/>
    </row>
    <row r="11" spans="2:62" ht="18.75" thickBot="1" x14ac:dyDescent="0.3">
      <c r="B11" s="75"/>
      <c r="C11" s="43">
        <f>+C10+1</f>
        <v>4</v>
      </c>
      <c r="D11" s="217" t="s">
        <v>212</v>
      </c>
      <c r="E11" s="5">
        <f>N11*X20+W11*X19</f>
        <v>15</v>
      </c>
      <c r="F11" s="5">
        <f>O11*X20+X11*X19</f>
        <v>15</v>
      </c>
      <c r="G11" s="5">
        <f>P11*X20+Y11*X19</f>
        <v>50</v>
      </c>
      <c r="H11" s="5">
        <f>Q11*X20+Z11*X19</f>
        <v>75</v>
      </c>
      <c r="I11" s="5">
        <f>R11*X20+AA11*X19</f>
        <v>50</v>
      </c>
      <c r="J11" s="5">
        <f t="shared" si="0"/>
        <v>205</v>
      </c>
      <c r="K11" s="50">
        <f>J11/J14</f>
        <v>0.13666666666666666</v>
      </c>
      <c r="L11" s="51"/>
      <c r="M11" s="216" t="str">
        <f t="shared" si="2"/>
        <v>Pruebas (Testging)</v>
      </c>
      <c r="N11" s="5">
        <v>3</v>
      </c>
      <c r="O11" s="5">
        <v>3</v>
      </c>
      <c r="P11" s="5">
        <v>10</v>
      </c>
      <c r="Q11" s="5">
        <v>15</v>
      </c>
      <c r="R11" s="5">
        <v>10</v>
      </c>
      <c r="S11" s="5">
        <f>SUM(N11:R11)</f>
        <v>41</v>
      </c>
      <c r="T11" s="50">
        <f t="shared" si="3"/>
        <v>0.13666666666666666</v>
      </c>
      <c r="U11" s="44"/>
      <c r="V11" s="216" t="str">
        <f t="shared" si="4"/>
        <v>Pruebas (Testging)</v>
      </c>
      <c r="W11" s="5"/>
      <c r="X11" s="5"/>
      <c r="Y11" s="5">
        <v>0</v>
      </c>
      <c r="Z11" s="5">
        <v>0</v>
      </c>
      <c r="AA11" s="5">
        <v>0</v>
      </c>
      <c r="AB11" s="5">
        <f>SUM(W11:AA11)</f>
        <v>0</v>
      </c>
      <c r="AC11" s="50" t="e">
        <f t="shared" si="1"/>
        <v>#DIV/0!</v>
      </c>
      <c r="AD11" s="76"/>
      <c r="AH11" s="132"/>
      <c r="AI11" s="43">
        <f>+AI10+1</f>
        <v>4</v>
      </c>
      <c r="AJ11" s="49" t="s">
        <v>13</v>
      </c>
      <c r="AK11" s="5">
        <f>(+AT11*$W$20)+(BC11*$W$19)</f>
        <v>0</v>
      </c>
      <c r="AL11" s="5">
        <f>(+AU11*$W$20)+(BD11*$W$19)</f>
        <v>0</v>
      </c>
      <c r="AM11" s="5">
        <f>(+AV11*$W$20)+(BE11*$W$19)</f>
        <v>0</v>
      </c>
      <c r="AN11" s="5">
        <f>(+AW11*$W$20)+(BF11*$W$19)</f>
        <v>0</v>
      </c>
      <c r="AO11" s="5">
        <f>(+AX11*$BC$20)+(BG11*$BC$19)</f>
        <v>34000</v>
      </c>
      <c r="AP11" s="5">
        <f>SUM(AK11:AO11)</f>
        <v>34000</v>
      </c>
      <c r="AQ11" s="50">
        <f>+AP11/$AP$12</f>
        <v>0.14345991561181434</v>
      </c>
      <c r="AR11" s="312"/>
      <c r="AS11" s="52">
        <f>+AI11</f>
        <v>4</v>
      </c>
      <c r="AT11" s="5"/>
      <c r="AU11" s="5"/>
      <c r="AV11" s="5"/>
      <c r="AW11" s="5"/>
      <c r="AX11" s="5">
        <f>5*4</f>
        <v>20</v>
      </c>
      <c r="AY11" s="5">
        <f>SUM(AT11:AX11)</f>
        <v>20</v>
      </c>
      <c r="AZ11" s="50">
        <f>+AY11/$AY$12</f>
        <v>9.5238095238095233E-2</v>
      </c>
      <c r="BA11" s="44"/>
      <c r="BB11" s="52">
        <f>+AS11</f>
        <v>4</v>
      </c>
      <c r="BC11" s="5"/>
      <c r="BD11" s="5"/>
      <c r="BE11" s="5"/>
      <c r="BF11" s="5"/>
      <c r="BG11" s="5">
        <f>2*8*5</f>
        <v>80</v>
      </c>
      <c r="BH11" s="5">
        <f>SUM(BC11:BG11)</f>
        <v>80</v>
      </c>
      <c r="BI11" s="50">
        <f>+BH11/$BH$12</f>
        <v>0.18181818181818182</v>
      </c>
      <c r="BJ11" s="133"/>
    </row>
    <row r="12" spans="2:62" ht="18.75" thickBot="1" x14ac:dyDescent="0.3">
      <c r="B12" s="75"/>
      <c r="C12" s="43">
        <f>+C11+1</f>
        <v>5</v>
      </c>
      <c r="D12" s="217" t="s">
        <v>213</v>
      </c>
      <c r="E12" s="6">
        <f>N12*X20+W12*X19</f>
        <v>25</v>
      </c>
      <c r="F12" s="6">
        <f>O12*X20+X12*X19</f>
        <v>25</v>
      </c>
      <c r="G12" s="6">
        <f>P12*X20+Y12*X19</f>
        <v>50</v>
      </c>
      <c r="H12" s="6">
        <f>Q12*X20+Z12*X19</f>
        <v>125</v>
      </c>
      <c r="I12" s="6">
        <f>R12*X20+AA12*X19</f>
        <v>100</v>
      </c>
      <c r="J12" s="5">
        <f t="shared" si="0"/>
        <v>325</v>
      </c>
      <c r="K12" s="50">
        <f>J12/J14</f>
        <v>0.21666666666666667</v>
      </c>
      <c r="L12" s="51"/>
      <c r="M12" s="216" t="str">
        <f t="shared" si="2"/>
        <v>Corrección de Errores</v>
      </c>
      <c r="N12" s="6">
        <v>5</v>
      </c>
      <c r="O12" s="6">
        <v>5</v>
      </c>
      <c r="P12" s="6">
        <v>10</v>
      </c>
      <c r="Q12" s="6">
        <v>25</v>
      </c>
      <c r="R12" s="6">
        <v>20</v>
      </c>
      <c r="S12" s="5">
        <f>SUM(N12:R12)</f>
        <v>65</v>
      </c>
      <c r="T12" s="50">
        <f>+S12/$S$14</f>
        <v>0.21666666666666667</v>
      </c>
      <c r="U12" s="44"/>
      <c r="V12" s="216" t="str">
        <f t="shared" si="4"/>
        <v>Corrección de Errores</v>
      </c>
      <c r="W12" s="6"/>
      <c r="X12" s="6"/>
      <c r="Y12" s="6"/>
      <c r="Z12" s="6">
        <v>0</v>
      </c>
      <c r="AA12" s="6">
        <v>0</v>
      </c>
      <c r="AB12" s="5">
        <f t="shared" ref="AB12:AB13" si="5">SUM(W12:AA12)</f>
        <v>0</v>
      </c>
      <c r="AC12" s="50" t="e">
        <f t="shared" si="1"/>
        <v>#DIV/0!</v>
      </c>
      <c r="AD12" s="76"/>
      <c r="AH12" s="132"/>
      <c r="AI12" s="43"/>
      <c r="AJ12" s="46" t="s">
        <v>24</v>
      </c>
      <c r="AK12" s="99">
        <f t="shared" ref="AK12:AQ12" si="6">SUM(AK8:AK11)</f>
        <v>60000</v>
      </c>
      <c r="AL12" s="8">
        <f t="shared" si="6"/>
        <v>46000</v>
      </c>
      <c r="AM12" s="8">
        <f t="shared" si="6"/>
        <v>46000</v>
      </c>
      <c r="AN12" s="8">
        <f t="shared" si="6"/>
        <v>51000</v>
      </c>
      <c r="AO12" s="8">
        <f t="shared" si="6"/>
        <v>34000</v>
      </c>
      <c r="AP12" s="8">
        <f t="shared" si="6"/>
        <v>237000</v>
      </c>
      <c r="AQ12" s="114">
        <f t="shared" si="6"/>
        <v>1</v>
      </c>
      <c r="AR12" s="312"/>
      <c r="AS12" s="54" t="s">
        <v>27</v>
      </c>
      <c r="AT12" s="7">
        <f t="shared" ref="AT12:AZ12" si="7">SUM(AT8:AT11)</f>
        <v>120</v>
      </c>
      <c r="AU12" s="8">
        <f t="shared" si="7"/>
        <v>20</v>
      </c>
      <c r="AV12" s="8">
        <f t="shared" si="7"/>
        <v>20</v>
      </c>
      <c r="AW12" s="8">
        <f t="shared" si="7"/>
        <v>30</v>
      </c>
      <c r="AX12" s="8">
        <f t="shared" si="7"/>
        <v>20</v>
      </c>
      <c r="AY12" s="9">
        <f t="shared" si="7"/>
        <v>210</v>
      </c>
      <c r="AZ12" s="55">
        <f t="shared" si="7"/>
        <v>0.99999999999999989</v>
      </c>
      <c r="BA12" s="44"/>
      <c r="BB12" s="54" t="s">
        <v>28</v>
      </c>
      <c r="BC12" s="7">
        <f t="shared" ref="BC12:BI12" si="8">SUM(BC8:BC11)</f>
        <v>0</v>
      </c>
      <c r="BD12" s="8">
        <f t="shared" si="8"/>
        <v>120</v>
      </c>
      <c r="BE12" s="8">
        <f t="shared" si="8"/>
        <v>120</v>
      </c>
      <c r="BF12" s="8">
        <f t="shared" si="8"/>
        <v>120</v>
      </c>
      <c r="BG12" s="8">
        <f t="shared" si="8"/>
        <v>80</v>
      </c>
      <c r="BH12" s="9">
        <f t="shared" si="8"/>
        <v>440</v>
      </c>
      <c r="BI12" s="55">
        <f t="shared" si="8"/>
        <v>1</v>
      </c>
      <c r="BJ12" s="133"/>
    </row>
    <row r="13" spans="2:62" ht="16.5" thickBot="1" x14ac:dyDescent="0.3">
      <c r="B13" s="75"/>
      <c r="C13" s="43">
        <f t="shared" ref="C13" si="9">+C12+1</f>
        <v>6</v>
      </c>
      <c r="D13" s="217" t="s">
        <v>214</v>
      </c>
      <c r="E13" s="6">
        <f>N13*X20+W13*X19</f>
        <v>0</v>
      </c>
      <c r="F13" s="6">
        <f>O13*X20+X13*X19</f>
        <v>0</v>
      </c>
      <c r="G13" s="6">
        <f>P13*X20+Y13*X19</f>
        <v>0</v>
      </c>
      <c r="H13" s="6">
        <f>Q13*X20+Z13*X19</f>
        <v>0</v>
      </c>
      <c r="I13" s="6">
        <f>R13*X20+AA13*X19</f>
        <v>50</v>
      </c>
      <c r="J13" s="5">
        <f t="shared" si="0"/>
        <v>50</v>
      </c>
      <c r="K13" s="50">
        <f>J13/J14</f>
        <v>3.3333333333333333E-2</v>
      </c>
      <c r="L13" s="51"/>
      <c r="M13" s="216" t="str">
        <f t="shared" si="2"/>
        <v>Lanzamiento a Productivo</v>
      </c>
      <c r="N13" s="6"/>
      <c r="O13" s="6"/>
      <c r="P13" s="6"/>
      <c r="Q13" s="6"/>
      <c r="R13" s="6">
        <v>10</v>
      </c>
      <c r="S13" s="5">
        <f t="shared" ref="S13" si="10">SUM(N13:R13)</f>
        <v>10</v>
      </c>
      <c r="T13" s="50">
        <f t="shared" si="3"/>
        <v>3.3333333333333333E-2</v>
      </c>
      <c r="U13" s="44"/>
      <c r="V13" s="216" t="str">
        <f t="shared" si="4"/>
        <v>Lanzamiento a Productivo</v>
      </c>
      <c r="W13" s="6"/>
      <c r="X13" s="6"/>
      <c r="Y13" s="6"/>
      <c r="Z13" s="6"/>
      <c r="AA13" s="6">
        <v>0</v>
      </c>
      <c r="AB13" s="5">
        <f t="shared" si="5"/>
        <v>0</v>
      </c>
      <c r="AC13" s="50" t="e">
        <f t="shared" si="1"/>
        <v>#DIV/0!</v>
      </c>
      <c r="AD13" s="76"/>
      <c r="AH13" s="132"/>
      <c r="AI13" s="43"/>
      <c r="AJ13" s="107" t="s">
        <v>70</v>
      </c>
      <c r="AK13" s="106">
        <f>+AK12/$AP$12</f>
        <v>0.25316455696202533</v>
      </c>
      <c r="AL13" s="55">
        <f>+AL12/$AP$12</f>
        <v>0.1940928270042194</v>
      </c>
      <c r="AM13" s="55">
        <f>+AM12/$AP$12</f>
        <v>0.1940928270042194</v>
      </c>
      <c r="AN13" s="55">
        <f>+AN12/$AP$12</f>
        <v>0.21518987341772153</v>
      </c>
      <c r="AO13" s="55">
        <f>+AO12/$AP$12</f>
        <v>0.14345991561181434</v>
      </c>
      <c r="AP13" s="106">
        <f>SUM(AK13:AO13)</f>
        <v>1</v>
      </c>
      <c r="AQ13" s="112" t="s">
        <v>78</v>
      </c>
      <c r="AR13" s="312"/>
      <c r="AS13" s="51"/>
      <c r="AT13" s="55">
        <f>+AT12/$AY$12</f>
        <v>0.5714285714285714</v>
      </c>
      <c r="AU13" s="55">
        <f>+AU12/$AY$12</f>
        <v>9.5238095238095233E-2</v>
      </c>
      <c r="AV13" s="55">
        <f>+AV12/$AY$12</f>
        <v>9.5238095238095233E-2</v>
      </c>
      <c r="AW13" s="55">
        <f>+AW12/$AY$12</f>
        <v>0.14285714285714285</v>
      </c>
      <c r="AX13" s="55">
        <f>+AX12/$AY$12</f>
        <v>9.5238095238095233E-2</v>
      </c>
      <c r="AY13" s="51"/>
      <c r="AZ13" s="44"/>
      <c r="BA13" s="44"/>
      <c r="BB13" s="51"/>
      <c r="BC13" s="55">
        <f>+BC12/$BH$12</f>
        <v>0</v>
      </c>
      <c r="BD13" s="55">
        <f>+BD12/$BH$12</f>
        <v>0.27272727272727271</v>
      </c>
      <c r="BE13" s="55">
        <f>+BE12/$BH$12</f>
        <v>0.27272727272727271</v>
      </c>
      <c r="BF13" s="55">
        <f>+BF12/$BH$12</f>
        <v>0.27272727272727271</v>
      </c>
      <c r="BG13" s="55">
        <f>+BG12/$BH$12</f>
        <v>0.18181818181818182</v>
      </c>
      <c r="BH13" s="51"/>
      <c r="BI13" s="44"/>
      <c r="BJ13" s="133"/>
    </row>
    <row r="14" spans="2:62" ht="18.75" thickBot="1" x14ac:dyDescent="0.3">
      <c r="B14" s="75"/>
      <c r="C14" s="43"/>
      <c r="D14" s="46" t="s">
        <v>24</v>
      </c>
      <c r="E14" s="7">
        <f>SUM(E8:E13)</f>
        <v>335</v>
      </c>
      <c r="F14" s="7">
        <f t="shared" ref="F14:J14" si="11">SUM(F8:F13)</f>
        <v>215</v>
      </c>
      <c r="G14" s="7">
        <f t="shared" si="11"/>
        <v>300</v>
      </c>
      <c r="H14" s="7">
        <f t="shared" si="11"/>
        <v>350</v>
      </c>
      <c r="I14" s="7">
        <f t="shared" si="11"/>
        <v>300</v>
      </c>
      <c r="J14" s="9">
        <f t="shared" si="11"/>
        <v>1500</v>
      </c>
      <c r="K14" s="53">
        <f>SUM(K8:K13)</f>
        <v>1</v>
      </c>
      <c r="L14" s="51"/>
      <c r="M14" s="54" t="s">
        <v>27</v>
      </c>
      <c r="N14" s="7">
        <f t="shared" ref="N14:T14" si="12">SUM(N8:N13)</f>
        <v>67</v>
      </c>
      <c r="O14" s="8">
        <f t="shared" si="12"/>
        <v>43</v>
      </c>
      <c r="P14" s="8">
        <f t="shared" si="12"/>
        <v>60</v>
      </c>
      <c r="Q14" s="8">
        <f t="shared" si="12"/>
        <v>70</v>
      </c>
      <c r="R14" s="8">
        <f t="shared" si="12"/>
        <v>60</v>
      </c>
      <c r="S14" s="9">
        <f t="shared" si="12"/>
        <v>300</v>
      </c>
      <c r="T14" s="55">
        <f t="shared" si="12"/>
        <v>1</v>
      </c>
      <c r="U14" s="44"/>
      <c r="V14" s="54" t="s">
        <v>28</v>
      </c>
      <c r="W14" s="7">
        <f t="shared" ref="W14:AC14" si="13">SUM(W8:W13)</f>
        <v>0</v>
      </c>
      <c r="X14" s="8">
        <f t="shared" si="13"/>
        <v>0</v>
      </c>
      <c r="Y14" s="8">
        <f t="shared" si="13"/>
        <v>0</v>
      </c>
      <c r="Z14" s="8">
        <f t="shared" si="13"/>
        <v>0</v>
      </c>
      <c r="AA14" s="8">
        <f t="shared" si="13"/>
        <v>0</v>
      </c>
      <c r="AB14" s="9">
        <f t="shared" si="13"/>
        <v>0</v>
      </c>
      <c r="AC14" s="55" t="e">
        <f t="shared" si="13"/>
        <v>#DIV/0!</v>
      </c>
      <c r="AD14" s="76"/>
      <c r="AH14" s="132"/>
      <c r="AR14" s="312"/>
      <c r="AS14" s="44"/>
      <c r="AT14" s="44"/>
      <c r="AU14" s="44"/>
      <c r="AV14" s="44"/>
      <c r="AW14" s="44"/>
      <c r="AX14" s="44"/>
      <c r="AY14" s="44"/>
      <c r="AZ14" s="44"/>
      <c r="BA14" s="44"/>
      <c r="BB14" s="44"/>
      <c r="BC14" s="44"/>
      <c r="BD14" s="44"/>
      <c r="BE14" s="44"/>
      <c r="BF14" s="44"/>
      <c r="BG14" s="44"/>
      <c r="BH14" s="44"/>
      <c r="BI14" s="44"/>
      <c r="BJ14" s="133"/>
    </row>
    <row r="15" spans="2:62" x14ac:dyDescent="0.25">
      <c r="B15" s="75"/>
      <c r="C15" s="43"/>
      <c r="D15" s="44"/>
      <c r="E15" s="55">
        <f>E14/J14</f>
        <v>0.22333333333333333</v>
      </c>
      <c r="F15" s="55">
        <f>F14/J14</f>
        <v>0.14333333333333334</v>
      </c>
      <c r="G15" s="55">
        <f>G14/J14</f>
        <v>0.2</v>
      </c>
      <c r="H15" s="55">
        <f>H14/J14</f>
        <v>0.23333333333333334</v>
      </c>
      <c r="I15" s="55">
        <f>I14/J14</f>
        <v>0.2</v>
      </c>
      <c r="J15" s="55">
        <f>SUM(E15:I15)</f>
        <v>1</v>
      </c>
      <c r="K15" s="51"/>
      <c r="L15" s="51"/>
      <c r="M15" s="51"/>
      <c r="N15" s="55">
        <f>+N14/$S$14</f>
        <v>0.22333333333333333</v>
      </c>
      <c r="O15" s="55">
        <f>+O14/$S$14</f>
        <v>0.14333333333333334</v>
      </c>
      <c r="P15" s="55">
        <f>+P14/$S$14</f>
        <v>0.2</v>
      </c>
      <c r="Q15" s="55">
        <f>+Q14/$S$14</f>
        <v>0.23333333333333334</v>
      </c>
      <c r="R15" s="55">
        <f>+R14/$S$14</f>
        <v>0.2</v>
      </c>
      <c r="S15" s="251">
        <f>N15+O15+P15+Q15+R15</f>
        <v>1</v>
      </c>
      <c r="T15" s="44"/>
      <c r="U15" s="44"/>
      <c r="V15" s="51"/>
      <c r="W15" s="55" t="e">
        <f>+W14/$AB$14</f>
        <v>#DIV/0!</v>
      </c>
      <c r="X15" s="55" t="e">
        <f>+X14/$AB$14</f>
        <v>#DIV/0!</v>
      </c>
      <c r="Y15" s="55" t="e">
        <f>+Y14/$AB$14</f>
        <v>#DIV/0!</v>
      </c>
      <c r="Z15" s="55" t="e">
        <f>+Z14/$AB$14</f>
        <v>#DIV/0!</v>
      </c>
      <c r="AA15" s="55" t="e">
        <f>+AA14/$AB$14</f>
        <v>#DIV/0!</v>
      </c>
      <c r="AB15" s="64" t="e">
        <f>SUM(W15:AA15)</f>
        <v>#DIV/0!</v>
      </c>
      <c r="AC15" s="44"/>
      <c r="AD15" s="76"/>
      <c r="AH15" s="132"/>
      <c r="AR15" s="135"/>
      <c r="BJ15" s="133"/>
    </row>
    <row r="16" spans="2:62" ht="18" x14ac:dyDescent="0.25">
      <c r="B16" s="75"/>
      <c r="C16" s="43"/>
      <c r="D16" s="44"/>
      <c r="E16" s="44"/>
      <c r="F16" s="44"/>
      <c r="G16" s="44"/>
      <c r="H16" s="44"/>
      <c r="I16" s="44"/>
      <c r="J16" s="44"/>
      <c r="K16" s="44"/>
      <c r="L16" s="44"/>
      <c r="M16" s="46" t="s">
        <v>231</v>
      </c>
      <c r="N16" s="44"/>
      <c r="O16" s="44"/>
      <c r="P16" s="44"/>
      <c r="Q16" s="44"/>
      <c r="R16" s="44"/>
      <c r="S16" s="44"/>
      <c r="T16" s="44"/>
      <c r="U16" s="44"/>
      <c r="V16" s="44"/>
      <c r="W16" s="44"/>
      <c r="X16" s="44"/>
      <c r="Y16" s="44"/>
      <c r="Z16" s="44"/>
      <c r="AA16" s="44"/>
      <c r="AB16" s="44"/>
      <c r="AC16" s="44"/>
      <c r="AD16" s="76"/>
      <c r="AH16" s="132"/>
      <c r="AI16" s="43"/>
      <c r="AJ16" s="44"/>
      <c r="AK16" s="111" t="s">
        <v>76</v>
      </c>
      <c r="AL16" s="44"/>
      <c r="AM16" s="44"/>
      <c r="AN16" s="44"/>
      <c r="AO16" s="44"/>
      <c r="AP16" s="44"/>
      <c r="AQ16" s="44"/>
      <c r="AR16" s="135"/>
      <c r="BJ16" s="133"/>
    </row>
    <row r="17" spans="2:62" ht="18" x14ac:dyDescent="0.25">
      <c r="B17" s="75"/>
      <c r="C17" s="122" t="s">
        <v>146</v>
      </c>
      <c r="D17" s="46" t="s">
        <v>9</v>
      </c>
      <c r="E17" s="44"/>
      <c r="F17" s="44"/>
      <c r="G17" s="44"/>
      <c r="H17" s="44"/>
      <c r="I17" s="44"/>
      <c r="J17" s="44"/>
      <c r="K17" s="44"/>
      <c r="L17" s="44"/>
      <c r="M17" s="47"/>
      <c r="N17" s="48" t="s">
        <v>1</v>
      </c>
      <c r="O17" s="48" t="s">
        <v>2</v>
      </c>
      <c r="P17" s="48" t="s">
        <v>3</v>
      </c>
      <c r="Q17" s="48" t="s">
        <v>4</v>
      </c>
      <c r="R17" s="48" t="s">
        <v>21</v>
      </c>
      <c r="S17" s="46" t="s">
        <v>5</v>
      </c>
      <c r="T17" s="46"/>
      <c r="U17" s="44"/>
      <c r="V17" s="44"/>
      <c r="W17" s="44"/>
      <c r="X17" s="44"/>
      <c r="Y17" s="44"/>
      <c r="Z17" s="44"/>
      <c r="AA17" s="44"/>
      <c r="AB17" s="44"/>
      <c r="AC17" s="44"/>
      <c r="AD17" s="76"/>
      <c r="AH17" s="134" t="s">
        <v>91</v>
      </c>
      <c r="AI17" s="43"/>
      <c r="AJ17" s="103" t="s">
        <v>9</v>
      </c>
      <c r="AK17" s="44"/>
      <c r="AL17" s="44"/>
      <c r="AM17" s="44"/>
      <c r="AN17" s="44"/>
      <c r="AO17" s="44"/>
      <c r="AP17" s="44"/>
      <c r="AQ17" s="44"/>
      <c r="AR17" s="44"/>
      <c r="AS17" s="44"/>
      <c r="AT17" s="44"/>
      <c r="AU17" s="44"/>
      <c r="AV17" s="44"/>
      <c r="AW17" s="44"/>
      <c r="AX17" s="44"/>
      <c r="AY17" s="44"/>
      <c r="AZ17" s="44"/>
      <c r="BA17" s="44"/>
      <c r="BB17" s="44"/>
      <c r="BC17" s="44"/>
      <c r="BD17" s="44"/>
      <c r="BE17" s="44" t="s">
        <v>203</v>
      </c>
      <c r="BF17" s="44"/>
      <c r="BG17" s="44"/>
      <c r="BH17" s="44"/>
      <c r="BI17" s="44"/>
      <c r="BJ17" s="133"/>
    </row>
    <row r="18" spans="2:62" ht="18" x14ac:dyDescent="0.25">
      <c r="B18" s="75"/>
      <c r="C18" s="43"/>
      <c r="D18" s="47"/>
      <c r="E18" s="48" t="s">
        <v>1</v>
      </c>
      <c r="F18" s="48" t="s">
        <v>2</v>
      </c>
      <c r="G18" s="48" t="s">
        <v>3</v>
      </c>
      <c r="H18" s="48" t="s">
        <v>4</v>
      </c>
      <c r="I18" s="48" t="s">
        <v>21</v>
      </c>
      <c r="J18" s="48" t="s">
        <v>5</v>
      </c>
      <c r="K18" s="46"/>
      <c r="L18" s="44"/>
      <c r="M18" s="216" t="s">
        <v>215</v>
      </c>
      <c r="N18" s="5">
        <v>0</v>
      </c>
      <c r="O18" s="5">
        <v>0</v>
      </c>
      <c r="P18" s="5">
        <v>0</v>
      </c>
      <c r="Q18" s="5">
        <v>0</v>
      </c>
      <c r="R18" s="5">
        <v>0</v>
      </c>
      <c r="S18" s="5">
        <f>SUM(N18:R18)</f>
        <v>0</v>
      </c>
      <c r="T18" s="50" t="e">
        <f>+S18/S24</f>
        <v>#DIV/0!</v>
      </c>
      <c r="U18" s="44"/>
      <c r="V18" s="44"/>
      <c r="W18" s="56" t="s">
        <v>18</v>
      </c>
      <c r="X18" s="56" t="s">
        <v>19</v>
      </c>
      <c r="Y18" s="44"/>
      <c r="Z18" s="44"/>
      <c r="AA18" s="44"/>
      <c r="AB18" s="44"/>
      <c r="AC18" s="44"/>
      <c r="AD18" s="76"/>
      <c r="AH18" s="132"/>
      <c r="AI18" s="43"/>
      <c r="AJ18" s="47"/>
      <c r="AK18" s="48" t="s">
        <v>1</v>
      </c>
      <c r="AL18" s="48" t="s">
        <v>2</v>
      </c>
      <c r="AM18" s="48" t="s">
        <v>3</v>
      </c>
      <c r="AN18" s="48" t="s">
        <v>4</v>
      </c>
      <c r="AO18" s="48" t="s">
        <v>21</v>
      </c>
      <c r="AP18" s="48" t="s">
        <v>5</v>
      </c>
      <c r="AQ18" s="46"/>
      <c r="AR18" s="290" t="s">
        <v>68</v>
      </c>
      <c r="AS18" s="44"/>
      <c r="AT18" s="44"/>
      <c r="AU18" s="44"/>
      <c r="AV18" s="44"/>
      <c r="AW18" s="44"/>
      <c r="AX18" s="44"/>
      <c r="AY18" s="44"/>
      <c r="AZ18" s="44"/>
      <c r="BA18" s="44"/>
      <c r="BB18" s="44"/>
      <c r="BC18" s="56" t="s">
        <v>18</v>
      </c>
      <c r="BD18" s="56" t="s">
        <v>19</v>
      </c>
      <c r="BE18" s="262" t="s">
        <v>108</v>
      </c>
      <c r="BF18" s="288"/>
      <c r="BG18" s="288"/>
      <c r="BH18" s="288"/>
      <c r="BI18" s="288"/>
      <c r="BJ18" s="289"/>
    </row>
    <row r="19" spans="2:62" ht="18" x14ac:dyDescent="0.25">
      <c r="B19" s="75"/>
      <c r="C19" s="43">
        <f>+C13+1</f>
        <v>7</v>
      </c>
      <c r="D19" s="218" t="s">
        <v>193</v>
      </c>
      <c r="E19" s="5">
        <v>0</v>
      </c>
      <c r="F19" s="5">
        <v>0</v>
      </c>
      <c r="G19" s="5">
        <v>0</v>
      </c>
      <c r="H19" s="5">
        <v>0</v>
      </c>
      <c r="I19" s="5">
        <v>0</v>
      </c>
      <c r="J19" s="5">
        <f>SUM(E19:I19)</f>
        <v>0</v>
      </c>
      <c r="K19" s="50">
        <f>J19/J23</f>
        <v>0</v>
      </c>
      <c r="L19" s="51"/>
      <c r="M19" s="216" t="s">
        <v>219</v>
      </c>
      <c r="N19" s="5">
        <v>0</v>
      </c>
      <c r="O19" s="5">
        <v>0</v>
      </c>
      <c r="P19" s="5">
        <v>0</v>
      </c>
      <c r="Q19" s="5">
        <v>0</v>
      </c>
      <c r="R19" s="5">
        <v>0</v>
      </c>
      <c r="S19" s="5">
        <f>SUM(N19:R19)</f>
        <v>0</v>
      </c>
      <c r="T19" s="50" t="e">
        <f>+S19/S24</f>
        <v>#DIV/0!</v>
      </c>
      <c r="U19" s="44"/>
      <c r="V19" s="57" t="s">
        <v>16</v>
      </c>
      <c r="W19" s="58">
        <v>0</v>
      </c>
      <c r="X19" s="59">
        <f>+W19/20</f>
        <v>0</v>
      </c>
      <c r="Y19" s="44" t="s">
        <v>192</v>
      </c>
      <c r="Z19" s="44"/>
      <c r="AA19" s="44"/>
      <c r="AB19" s="44"/>
      <c r="AC19" s="44"/>
      <c r="AD19" s="76"/>
      <c r="AH19" s="132"/>
      <c r="AI19" s="43">
        <v>5</v>
      </c>
      <c r="AJ19" s="49" t="s">
        <v>14</v>
      </c>
      <c r="AK19" s="5"/>
      <c r="AL19" s="5">
        <v>8000</v>
      </c>
      <c r="AM19" s="5"/>
      <c r="AN19" s="5"/>
      <c r="AO19" s="5"/>
      <c r="AP19" s="5">
        <f>SUM(AK19:AO19)</f>
        <v>8000</v>
      </c>
      <c r="AQ19" s="50">
        <f>+AP19/$AP$21</f>
        <v>0.625</v>
      </c>
      <c r="AR19" s="291"/>
      <c r="AS19" s="44"/>
      <c r="AT19" s="44"/>
      <c r="AU19" s="44"/>
      <c r="AV19" s="51"/>
      <c r="AW19" s="51"/>
      <c r="AX19" s="51"/>
      <c r="AY19" s="51"/>
      <c r="AZ19" s="51"/>
      <c r="BA19" s="44"/>
      <c r="BB19" s="57" t="s">
        <v>16</v>
      </c>
      <c r="BC19" s="58">
        <v>300</v>
      </c>
      <c r="BD19" s="59">
        <f>+BC19/20</f>
        <v>15</v>
      </c>
      <c r="BE19" s="288"/>
      <c r="BF19" s="288"/>
      <c r="BG19" s="288"/>
      <c r="BH19" s="288"/>
      <c r="BI19" s="288"/>
      <c r="BJ19" s="289"/>
    </row>
    <row r="20" spans="2:62" ht="18.75" thickBot="1" x14ac:dyDescent="0.3">
      <c r="B20" s="75"/>
      <c r="C20" s="43">
        <f>+C19+1</f>
        <v>8</v>
      </c>
      <c r="D20" s="218" t="s">
        <v>194</v>
      </c>
      <c r="E20" s="5">
        <v>600</v>
      </c>
      <c r="F20" s="5">
        <v>0</v>
      </c>
      <c r="G20" s="5">
        <v>0</v>
      </c>
      <c r="H20" s="5">
        <v>0</v>
      </c>
      <c r="I20" s="5">
        <v>0</v>
      </c>
      <c r="J20" s="5">
        <f>SUM(E20:I20)</f>
        <v>600</v>
      </c>
      <c r="K20" s="50">
        <f>J20/J23</f>
        <v>6.9767441860465115E-2</v>
      </c>
      <c r="L20" s="51"/>
      <c r="M20" s="216" t="s">
        <v>216</v>
      </c>
      <c r="N20" s="5">
        <v>0</v>
      </c>
      <c r="O20" s="5">
        <v>0</v>
      </c>
      <c r="P20" s="5">
        <v>0</v>
      </c>
      <c r="Q20" s="5">
        <v>0</v>
      </c>
      <c r="R20" s="5">
        <v>0</v>
      </c>
      <c r="S20" s="5">
        <f>SUM(N20:R20)</f>
        <v>0</v>
      </c>
      <c r="T20" s="50" t="e">
        <f>+S20/S24</f>
        <v>#DIV/0!</v>
      </c>
      <c r="U20" s="44"/>
      <c r="V20" s="57" t="s">
        <v>17</v>
      </c>
      <c r="W20" s="58">
        <v>100</v>
      </c>
      <c r="X20" s="59">
        <f>+W20/20</f>
        <v>5</v>
      </c>
      <c r="Y20" s="44"/>
      <c r="Z20" s="44"/>
      <c r="AA20" s="44"/>
      <c r="AB20" s="44"/>
      <c r="AC20" s="44"/>
      <c r="AD20" s="76"/>
      <c r="AH20" s="132"/>
      <c r="AI20" s="43">
        <f>+AI19+1</f>
        <v>6</v>
      </c>
      <c r="AJ20" s="49" t="s">
        <v>15</v>
      </c>
      <c r="AK20" s="5"/>
      <c r="AL20" s="5">
        <v>1200</v>
      </c>
      <c r="AM20" s="5">
        <f>+AL20</f>
        <v>1200</v>
      </c>
      <c r="AN20" s="5">
        <f>+AM20</f>
        <v>1200</v>
      </c>
      <c r="AO20" s="5">
        <f>+AN20</f>
        <v>1200</v>
      </c>
      <c r="AP20" s="5">
        <f>SUM(AK20:AO20)</f>
        <v>4800</v>
      </c>
      <c r="AQ20" s="50">
        <f>+AP20/$AP$21</f>
        <v>0.375</v>
      </c>
      <c r="AR20" s="291"/>
      <c r="AS20" s="44"/>
      <c r="AT20" s="44"/>
      <c r="AU20" s="44"/>
      <c r="AV20" s="51"/>
      <c r="AW20" s="51"/>
      <c r="AX20" s="51"/>
      <c r="AY20" s="51"/>
      <c r="AZ20" s="51"/>
      <c r="BA20" s="44"/>
      <c r="BB20" s="57" t="s">
        <v>17</v>
      </c>
      <c r="BC20" s="58">
        <v>500</v>
      </c>
      <c r="BD20" s="59">
        <f>+BC20/20</f>
        <v>25</v>
      </c>
      <c r="BE20" s="288"/>
      <c r="BF20" s="288"/>
      <c r="BG20" s="288"/>
      <c r="BH20" s="288"/>
      <c r="BI20" s="288"/>
      <c r="BJ20" s="289"/>
    </row>
    <row r="21" spans="2:62" ht="18.75" thickBot="1" x14ac:dyDescent="0.3">
      <c r="B21" s="75"/>
      <c r="C21" s="43">
        <f>+C20+1</f>
        <v>9</v>
      </c>
      <c r="D21" s="218" t="s">
        <v>230</v>
      </c>
      <c r="E21" s="6">
        <v>8000</v>
      </c>
      <c r="F21" s="6">
        <v>0</v>
      </c>
      <c r="G21" s="6">
        <v>0</v>
      </c>
      <c r="H21" s="6">
        <v>0</v>
      </c>
      <c r="I21" s="6"/>
      <c r="J21" s="5">
        <f>SUM(E21:I21)</f>
        <v>8000</v>
      </c>
      <c r="K21" s="50">
        <f>J21/J23</f>
        <v>0.93023255813953487</v>
      </c>
      <c r="L21" s="51"/>
      <c r="M21" s="216"/>
      <c r="N21" s="5"/>
      <c r="O21" s="5"/>
      <c r="P21" s="5"/>
      <c r="Q21" s="5"/>
      <c r="R21" s="5"/>
      <c r="S21" s="5">
        <f>SUM(N21:R21)</f>
        <v>0</v>
      </c>
      <c r="T21" s="50">
        <f t="shared" ref="T21" si="14">+S21/$S$14</f>
        <v>0</v>
      </c>
      <c r="U21" s="44"/>
      <c r="V21" s="57" t="s">
        <v>215</v>
      </c>
      <c r="W21" s="58">
        <v>0</v>
      </c>
      <c r="X21" s="59">
        <f>W21/20</f>
        <v>0</v>
      </c>
      <c r="Y21" s="44"/>
      <c r="Z21" s="44"/>
      <c r="AA21" s="44"/>
      <c r="AB21" s="44"/>
      <c r="AC21" s="44"/>
      <c r="AD21" s="76"/>
      <c r="AH21" s="132"/>
      <c r="AI21" s="43"/>
      <c r="AJ21" s="46" t="s">
        <v>25</v>
      </c>
      <c r="AK21" s="7">
        <f t="shared" ref="AK21:AQ21" si="15">SUM(AK19:AK20)</f>
        <v>0</v>
      </c>
      <c r="AL21" s="8">
        <f t="shared" si="15"/>
        <v>9200</v>
      </c>
      <c r="AM21" s="8">
        <f t="shared" si="15"/>
        <v>1200</v>
      </c>
      <c r="AN21" s="8">
        <f t="shared" si="15"/>
        <v>1200</v>
      </c>
      <c r="AO21" s="8">
        <f t="shared" si="15"/>
        <v>1200</v>
      </c>
      <c r="AP21" s="9">
        <f t="shared" si="15"/>
        <v>12800</v>
      </c>
      <c r="AQ21" s="113">
        <f t="shared" si="15"/>
        <v>1</v>
      </c>
      <c r="AR21" s="112"/>
      <c r="AS21" s="44"/>
      <c r="AT21" s="44"/>
      <c r="AU21" s="44"/>
      <c r="AV21" s="51"/>
      <c r="AW21" s="51"/>
      <c r="AX21" s="51"/>
      <c r="AY21" s="51"/>
      <c r="AZ21" s="51"/>
      <c r="BA21" s="44"/>
      <c r="BB21" s="57"/>
      <c r="BC21" s="58"/>
      <c r="BD21" s="59"/>
      <c r="BE21" s="288"/>
      <c r="BF21" s="288"/>
      <c r="BG21" s="288"/>
      <c r="BH21" s="288"/>
      <c r="BI21" s="288"/>
      <c r="BJ21" s="289"/>
    </row>
    <row r="22" spans="2:62" ht="16.5" thickBot="1" x14ac:dyDescent="0.3">
      <c r="B22" s="75"/>
      <c r="C22" s="43">
        <f>+C21+1</f>
        <v>10</v>
      </c>
      <c r="D22" s="218" t="s">
        <v>222</v>
      </c>
      <c r="E22" s="6">
        <f>X21*N18+X23*N19+N20*X22</f>
        <v>0</v>
      </c>
      <c r="F22" s="6">
        <f>E22</f>
        <v>0</v>
      </c>
      <c r="G22" s="6">
        <f>E22</f>
        <v>0</v>
      </c>
      <c r="H22" s="6">
        <f>E22</f>
        <v>0</v>
      </c>
      <c r="I22" s="6">
        <f>E22</f>
        <v>0</v>
      </c>
      <c r="J22" s="5">
        <f>SUM(E22:I22)</f>
        <v>0</v>
      </c>
      <c r="K22" s="50">
        <f>J22/J23</f>
        <v>0</v>
      </c>
      <c r="L22" s="51"/>
      <c r="M22" s="216"/>
      <c r="N22" s="6"/>
      <c r="O22" s="6"/>
      <c r="P22" s="6"/>
      <c r="Q22" s="6"/>
      <c r="R22" s="6"/>
      <c r="S22" s="5">
        <f>SUM(N22:R22)</f>
        <v>0</v>
      </c>
      <c r="T22" s="50">
        <f>+S22/$S$14</f>
        <v>0</v>
      </c>
      <c r="U22" s="44"/>
      <c r="V22" s="57" t="s">
        <v>216</v>
      </c>
      <c r="W22" s="58">
        <v>0</v>
      </c>
      <c r="X22" s="59">
        <f>W22/20</f>
        <v>0</v>
      </c>
      <c r="Y22" s="44"/>
      <c r="Z22" s="44"/>
      <c r="AA22" s="44"/>
      <c r="AB22" s="44"/>
      <c r="AC22" s="44"/>
      <c r="AD22" s="76"/>
      <c r="AH22" s="132"/>
      <c r="AI22" s="43"/>
      <c r="AJ22" s="44"/>
      <c r="AK22" s="55">
        <f>+AK21/$AP$21</f>
        <v>0</v>
      </c>
      <c r="AL22" s="106">
        <f>+AL21/$AP$21</f>
        <v>0.71875</v>
      </c>
      <c r="AM22" s="55">
        <f>+AM21/$AP$21</f>
        <v>9.375E-2</v>
      </c>
      <c r="AN22" s="55">
        <f>+AN21/$AP$21</f>
        <v>9.375E-2</v>
      </c>
      <c r="AO22" s="55">
        <f>+AO21/$AP$21</f>
        <v>9.375E-2</v>
      </c>
      <c r="AP22" s="114">
        <f>SUM(AK22:AO22)</f>
        <v>1</v>
      </c>
      <c r="AQ22" s="112" t="s">
        <v>78</v>
      </c>
      <c r="AR22" s="51"/>
      <c r="AS22" s="44"/>
      <c r="AT22" s="44"/>
      <c r="AU22" s="44"/>
      <c r="AV22" s="51"/>
      <c r="AW22" s="51"/>
      <c r="AX22" s="51"/>
      <c r="AY22" s="51"/>
      <c r="AZ22" s="51"/>
      <c r="BA22" s="44"/>
      <c r="BB22" s="57"/>
      <c r="BC22" s="58"/>
      <c r="BD22" s="59"/>
      <c r="BE22" s="288"/>
      <c r="BF22" s="288"/>
      <c r="BG22" s="288"/>
      <c r="BH22" s="288"/>
      <c r="BI22" s="288"/>
      <c r="BJ22" s="289"/>
    </row>
    <row r="23" spans="2:62" ht="18.75" thickBot="1" x14ac:dyDescent="0.3">
      <c r="B23" s="75"/>
      <c r="C23" s="43"/>
      <c r="D23" s="46" t="s">
        <v>25</v>
      </c>
      <c r="E23" s="7">
        <f t="shared" ref="E23:J23" si="16">SUM(E19:E22)</f>
        <v>8600</v>
      </c>
      <c r="F23" s="8">
        <f t="shared" si="16"/>
        <v>0</v>
      </c>
      <c r="G23" s="8">
        <f t="shared" si="16"/>
        <v>0</v>
      </c>
      <c r="H23" s="8">
        <f t="shared" si="16"/>
        <v>0</v>
      </c>
      <c r="I23" s="8">
        <f t="shared" si="16"/>
        <v>0</v>
      </c>
      <c r="J23" s="9">
        <f t="shared" si="16"/>
        <v>8600</v>
      </c>
      <c r="K23" s="53"/>
      <c r="L23" s="51"/>
      <c r="M23" s="216"/>
      <c r="N23" s="6"/>
      <c r="O23" s="6"/>
      <c r="P23" s="6"/>
      <c r="Q23" s="6"/>
      <c r="R23" s="6"/>
      <c r="S23" s="5">
        <f t="shared" ref="S23" si="17">SUM(N23:R23)</f>
        <v>0</v>
      </c>
      <c r="T23" s="50">
        <f t="shared" ref="T23" si="18">+S23/$S$14</f>
        <v>0</v>
      </c>
      <c r="U23" s="44"/>
      <c r="V23" s="226" t="s">
        <v>217</v>
      </c>
      <c r="W23" s="227">
        <v>0</v>
      </c>
      <c r="X23" s="44">
        <f>W23/20</f>
        <v>0</v>
      </c>
      <c r="Y23" s="44"/>
      <c r="Z23" s="44"/>
      <c r="AA23" s="44"/>
      <c r="AB23" s="44"/>
      <c r="AC23" s="44"/>
      <c r="AD23" s="76"/>
      <c r="AH23" s="132"/>
      <c r="AI23" s="43"/>
      <c r="AS23" s="51"/>
      <c r="AT23" s="51"/>
      <c r="AU23" s="51"/>
      <c r="AV23" s="51"/>
      <c r="AW23" s="51"/>
      <c r="AX23" s="51"/>
      <c r="AY23" s="51"/>
      <c r="AZ23" s="51"/>
      <c r="BA23" s="44"/>
      <c r="BB23" s="44"/>
      <c r="BC23" s="44"/>
      <c r="BD23" s="44"/>
      <c r="BE23" s="44"/>
      <c r="BF23" s="44"/>
      <c r="BG23" s="44"/>
      <c r="BH23" s="44"/>
      <c r="BI23" s="44"/>
      <c r="BJ23" s="133"/>
    </row>
    <row r="24" spans="2:62" ht="16.5" thickBot="1" x14ac:dyDescent="0.3">
      <c r="B24" s="75"/>
      <c r="C24" s="43"/>
      <c r="D24" s="44"/>
      <c r="E24" s="55">
        <f>E23/J23</f>
        <v>1</v>
      </c>
      <c r="F24" s="55">
        <f>F23/J23</f>
        <v>0</v>
      </c>
      <c r="G24" s="55">
        <f>G23/J23</f>
        <v>0</v>
      </c>
      <c r="H24" s="55">
        <f>H23/J23</f>
        <v>0</v>
      </c>
      <c r="I24" s="55">
        <f>I23/J23</f>
        <v>0</v>
      </c>
      <c r="J24" s="55">
        <f>SUM(E24:I24)</f>
        <v>1</v>
      </c>
      <c r="K24" s="51"/>
      <c r="L24" s="51"/>
      <c r="M24" s="54" t="s">
        <v>27</v>
      </c>
      <c r="N24" s="7">
        <f>SUM(N18:N23)</f>
        <v>0</v>
      </c>
      <c r="O24" s="8">
        <f t="shared" ref="O24:T24" si="19">SUM(O18:O23)</f>
        <v>0</v>
      </c>
      <c r="P24" s="8">
        <f t="shared" si="19"/>
        <v>0</v>
      </c>
      <c r="Q24" s="8">
        <f t="shared" si="19"/>
        <v>0</v>
      </c>
      <c r="R24" s="8">
        <f t="shared" si="19"/>
        <v>0</v>
      </c>
      <c r="S24" s="9">
        <f t="shared" si="19"/>
        <v>0</v>
      </c>
      <c r="T24" s="55" t="e">
        <f t="shared" si="19"/>
        <v>#DIV/0!</v>
      </c>
      <c r="U24" s="44"/>
      <c r="V24" s="44"/>
      <c r="W24" s="44"/>
      <c r="X24" s="44"/>
      <c r="Y24" s="44"/>
      <c r="Z24" s="44"/>
      <c r="AA24" s="44"/>
      <c r="AB24" s="44"/>
      <c r="AC24" s="44"/>
      <c r="AD24" s="76"/>
      <c r="AH24" s="132"/>
      <c r="AI24" s="43"/>
      <c r="AS24" s="51"/>
      <c r="AT24" s="51"/>
      <c r="AU24" s="51"/>
      <c r="AV24" s="51"/>
      <c r="AW24" s="51"/>
      <c r="AX24" s="51"/>
      <c r="AY24" s="51"/>
      <c r="AZ24" s="51"/>
      <c r="BA24" s="44"/>
      <c r="BB24" s="44"/>
      <c r="BC24" s="44"/>
      <c r="BD24" s="44"/>
      <c r="BE24" s="44"/>
      <c r="BF24" s="44"/>
      <c r="BG24" s="44"/>
      <c r="BH24" s="44"/>
      <c r="BI24" s="44"/>
      <c r="BJ24" s="133"/>
    </row>
    <row r="25" spans="2:62" x14ac:dyDescent="0.25">
      <c r="B25" s="75"/>
      <c r="C25" s="43"/>
      <c r="D25" s="44"/>
      <c r="E25" s="44"/>
      <c r="F25" s="44"/>
      <c r="G25" s="44"/>
      <c r="H25" s="44"/>
      <c r="I25" s="44"/>
      <c r="J25" s="44"/>
      <c r="K25" s="44"/>
      <c r="L25" s="44"/>
      <c r="M25" s="51"/>
      <c r="N25" s="55" t="e">
        <f>+N24/S24</f>
        <v>#DIV/0!</v>
      </c>
      <c r="O25" s="55" t="e">
        <f>+O24/S24</f>
        <v>#DIV/0!</v>
      </c>
      <c r="P25" s="55" t="e">
        <f>+P24/S24</f>
        <v>#DIV/0!</v>
      </c>
      <c r="Q25" s="55" t="e">
        <f>+Q24/S24</f>
        <v>#DIV/0!</v>
      </c>
      <c r="R25" s="55" t="e">
        <f>+R24/S24</f>
        <v>#DIV/0!</v>
      </c>
      <c r="S25" s="228" t="e">
        <f>SUM(N25:R25)</f>
        <v>#DIV/0!</v>
      </c>
      <c r="T25" s="44"/>
      <c r="U25" s="44"/>
      <c r="V25" s="44"/>
      <c r="W25" s="44"/>
      <c r="X25" s="44"/>
      <c r="Y25" s="44"/>
      <c r="Z25" s="44"/>
      <c r="AA25" s="44"/>
      <c r="AB25" s="44"/>
      <c r="AC25" s="44"/>
      <c r="AD25" s="76"/>
      <c r="AH25" s="132"/>
      <c r="AI25" s="43"/>
      <c r="AJ25" s="44"/>
      <c r="AK25" s="44"/>
      <c r="AL25" s="111" t="s">
        <v>75</v>
      </c>
      <c r="AM25" s="44"/>
      <c r="AN25" s="44"/>
      <c r="AO25" s="44"/>
      <c r="AP25" s="44"/>
      <c r="AQ25" s="44"/>
      <c r="AR25" s="44"/>
      <c r="AS25" s="122" t="s">
        <v>93</v>
      </c>
      <c r="AT25" s="44"/>
      <c r="AU25" s="44"/>
      <c r="AV25" s="44"/>
      <c r="AW25" s="44"/>
      <c r="AX25" s="44"/>
      <c r="AY25" s="44"/>
      <c r="AZ25" s="44"/>
      <c r="BA25" s="44"/>
      <c r="BB25" s="126" t="s">
        <v>100</v>
      </c>
      <c r="BC25" s="262" t="s">
        <v>84</v>
      </c>
      <c r="BD25" s="275"/>
      <c r="BE25" s="275"/>
      <c r="BF25" s="275"/>
      <c r="BG25" s="275"/>
      <c r="BH25" s="275"/>
      <c r="BI25" s="275"/>
      <c r="BJ25" s="279"/>
    </row>
    <row r="26" spans="2:62" ht="20.25" x14ac:dyDescent="0.3">
      <c r="B26" s="75"/>
      <c r="C26" s="122" t="s">
        <v>147</v>
      </c>
      <c r="D26" s="60" t="s">
        <v>10</v>
      </c>
      <c r="E26" s="44"/>
      <c r="F26" s="44"/>
      <c r="G26" s="44"/>
      <c r="H26" s="44"/>
      <c r="I26" s="44"/>
      <c r="J26" s="44"/>
      <c r="K26" s="44"/>
      <c r="L26" s="122" t="s">
        <v>149</v>
      </c>
      <c r="M26" s="46" t="s">
        <v>171</v>
      </c>
      <c r="N26" s="44"/>
      <c r="O26" s="44"/>
      <c r="P26" s="44"/>
      <c r="Q26" s="44"/>
      <c r="R26" s="44"/>
      <c r="S26" s="44"/>
      <c r="T26" s="44"/>
      <c r="U26" s="122" t="s">
        <v>148</v>
      </c>
      <c r="V26" s="46" t="s">
        <v>172</v>
      </c>
      <c r="W26" s="44"/>
      <c r="X26" s="44"/>
      <c r="Y26" s="44"/>
      <c r="Z26" s="44"/>
      <c r="AA26" s="44"/>
      <c r="AB26" s="44"/>
      <c r="AC26" s="44"/>
      <c r="AD26" s="76"/>
      <c r="AH26" s="134" t="s">
        <v>92</v>
      </c>
      <c r="AI26" s="43"/>
      <c r="AJ26" s="110" t="s">
        <v>10</v>
      </c>
      <c r="AK26" s="111" t="s">
        <v>73</v>
      </c>
      <c r="AL26" s="44"/>
      <c r="AM26" s="44"/>
      <c r="AN26" s="44"/>
      <c r="AO26" s="44"/>
      <c r="AP26" s="44"/>
      <c r="AQ26" s="44"/>
      <c r="AR26" s="44"/>
      <c r="AS26" s="103" t="s">
        <v>31</v>
      </c>
      <c r="AT26" s="111" t="s">
        <v>80</v>
      </c>
      <c r="AU26" s="44"/>
      <c r="AV26" s="44"/>
      <c r="AW26" s="44"/>
      <c r="AX26" s="44"/>
      <c r="AY26" s="44"/>
      <c r="AZ26" s="44"/>
      <c r="BA26" s="44"/>
      <c r="BB26" s="103" t="s">
        <v>32</v>
      </c>
      <c r="BC26" s="275"/>
      <c r="BD26" s="275"/>
      <c r="BE26" s="275"/>
      <c r="BF26" s="275"/>
      <c r="BG26" s="275"/>
      <c r="BH26" s="275"/>
      <c r="BI26" s="275"/>
      <c r="BJ26" s="279"/>
    </row>
    <row r="27" spans="2:62" ht="18.75" thickBot="1" x14ac:dyDescent="0.3">
      <c r="B27" s="75"/>
      <c r="C27" s="43"/>
      <c r="D27" s="47"/>
      <c r="E27" s="48" t="s">
        <v>1</v>
      </c>
      <c r="F27" s="48" t="s">
        <v>2</v>
      </c>
      <c r="G27" s="48" t="s">
        <v>3</v>
      </c>
      <c r="H27" s="48" t="s">
        <v>4</v>
      </c>
      <c r="I27" s="48" t="s">
        <v>21</v>
      </c>
      <c r="J27" s="48" t="s">
        <v>5</v>
      </c>
      <c r="K27" s="46"/>
      <c r="L27" s="46"/>
      <c r="M27" s="47"/>
      <c r="N27" s="48" t="s">
        <v>1</v>
      </c>
      <c r="O27" s="48" t="s">
        <v>2</v>
      </c>
      <c r="P27" s="48" t="s">
        <v>3</v>
      </c>
      <c r="Q27" s="48" t="s">
        <v>4</v>
      </c>
      <c r="R27" s="48" t="s">
        <v>21</v>
      </c>
      <c r="S27" s="48" t="s">
        <v>5</v>
      </c>
      <c r="T27" s="48"/>
      <c r="U27" s="44"/>
      <c r="V27" s="47"/>
      <c r="W27" s="48" t="s">
        <v>1</v>
      </c>
      <c r="X27" s="48" t="s">
        <v>2</v>
      </c>
      <c r="Y27" s="48" t="s">
        <v>3</v>
      </c>
      <c r="Z27" s="48" t="s">
        <v>4</v>
      </c>
      <c r="AA27" s="48" t="s">
        <v>21</v>
      </c>
      <c r="AB27" s="48"/>
      <c r="AC27" s="44"/>
      <c r="AD27" s="76"/>
      <c r="AH27" s="132"/>
      <c r="AI27" s="43"/>
      <c r="AJ27" s="47"/>
      <c r="AK27" s="48" t="s">
        <v>1</v>
      </c>
      <c r="AL27" s="48" t="s">
        <v>2</v>
      </c>
      <c r="AM27" s="48" t="s">
        <v>3</v>
      </c>
      <c r="AN27" s="48" t="s">
        <v>4</v>
      </c>
      <c r="AO27" s="48" t="s">
        <v>21</v>
      </c>
      <c r="AP27" s="48" t="s">
        <v>5</v>
      </c>
      <c r="AQ27" s="46"/>
      <c r="AR27" s="46"/>
      <c r="AS27" s="47"/>
      <c r="AT27" s="48" t="s">
        <v>1</v>
      </c>
      <c r="AU27" s="48" t="s">
        <v>2</v>
      </c>
      <c r="AV27" s="48" t="s">
        <v>3</v>
      </c>
      <c r="AW27" s="48" t="s">
        <v>4</v>
      </c>
      <c r="AX27" s="48" t="s">
        <v>21</v>
      </c>
      <c r="AY27" s="48" t="s">
        <v>5</v>
      </c>
      <c r="AZ27" s="48"/>
      <c r="BA27" s="44"/>
      <c r="BB27" s="47"/>
      <c r="BC27" s="48" t="s">
        <v>1</v>
      </c>
      <c r="BD27" s="48" t="s">
        <v>2</v>
      </c>
      <c r="BE27" s="48" t="s">
        <v>3</v>
      </c>
      <c r="BF27" s="48" t="s">
        <v>4</v>
      </c>
      <c r="BG27" s="48" t="s">
        <v>21</v>
      </c>
      <c r="BH27" s="48" t="s">
        <v>5</v>
      </c>
      <c r="BI27" s="44"/>
      <c r="BJ27" s="133"/>
    </row>
    <row r="28" spans="2:62" ht="18.75" thickBot="1" x14ac:dyDescent="0.3">
      <c r="B28" s="75"/>
      <c r="C28" s="61">
        <f t="shared" ref="C28:I33" si="20">+C8</f>
        <v>1</v>
      </c>
      <c r="D28" s="164" t="str">
        <f t="shared" si="20"/>
        <v>Análisis Factibilidad, Planes</v>
      </c>
      <c r="E28" s="5">
        <f t="shared" si="20"/>
        <v>150</v>
      </c>
      <c r="F28" s="5">
        <f t="shared" si="20"/>
        <v>50</v>
      </c>
      <c r="G28" s="5">
        <f t="shared" si="20"/>
        <v>0</v>
      </c>
      <c r="H28" s="5">
        <f t="shared" si="20"/>
        <v>0</v>
      </c>
      <c r="I28" s="5">
        <f t="shared" si="20"/>
        <v>0</v>
      </c>
      <c r="J28" s="5">
        <f t="shared" ref="J28:J36" si="21">SUM(E28:I28)</f>
        <v>200</v>
      </c>
      <c r="K28" s="50">
        <f>J28/J38</f>
        <v>1.9801980198019802E-2</v>
      </c>
      <c r="L28" s="62"/>
      <c r="M28" s="52" t="str">
        <f t="shared" ref="M28:M38" si="22">+D28</f>
        <v>Análisis Factibilidad, Planes</v>
      </c>
      <c r="N28" s="10">
        <f>(N8+W8)/($S8+$AB8)</f>
        <v>0.75</v>
      </c>
      <c r="O28" s="10">
        <f t="shared" ref="O28:R28" si="23">(O8+X8)/($S8+$AB8)</f>
        <v>0.25</v>
      </c>
      <c r="P28" s="10">
        <f t="shared" si="23"/>
        <v>0</v>
      </c>
      <c r="Q28" s="10">
        <f t="shared" si="23"/>
        <v>0</v>
      </c>
      <c r="R28" s="10">
        <f t="shared" si="23"/>
        <v>0</v>
      </c>
      <c r="S28" s="10">
        <f>+J28/$J$38</f>
        <v>1.9801980198019802E-2</v>
      </c>
      <c r="T28" s="64"/>
      <c r="U28" s="44"/>
      <c r="V28" s="63" t="str">
        <f>+M28</f>
        <v>Análisis Factibilidad, Planes</v>
      </c>
      <c r="W28" s="14">
        <f>E28/($J$38)</f>
        <v>1.4851485148514851E-2</v>
      </c>
      <c r="X28" s="14">
        <f t="shared" ref="X28:AA37" si="24">F28/($J$38)</f>
        <v>4.9504950495049506E-3</v>
      </c>
      <c r="Y28" s="14">
        <f t="shared" si="24"/>
        <v>0</v>
      </c>
      <c r="Z28" s="14">
        <f t="shared" si="24"/>
        <v>0</v>
      </c>
      <c r="AA28" s="14">
        <f t="shared" si="24"/>
        <v>0</v>
      </c>
      <c r="AB28" s="65">
        <f>SUM(W28:AA28)</f>
        <v>1.9801980198019802E-2</v>
      </c>
      <c r="AC28" s="51"/>
      <c r="AD28" s="76"/>
      <c r="AH28" s="132"/>
      <c r="AI28" s="61">
        <f t="shared" ref="AI28:AK31" si="25">+AI8</f>
        <v>1</v>
      </c>
      <c r="AJ28" s="47" t="str">
        <f t="shared" si="25"/>
        <v>Análisis Factibilidad, Planes y Req</v>
      </c>
      <c r="AK28" s="5">
        <f t="shared" si="25"/>
        <v>20000</v>
      </c>
      <c r="AL28" s="5"/>
      <c r="AM28" s="5">
        <f t="shared" ref="AM28:AO31" si="26">+AM8</f>
        <v>0</v>
      </c>
      <c r="AN28" s="5">
        <f t="shared" si="26"/>
        <v>0</v>
      </c>
      <c r="AO28" s="5">
        <f t="shared" si="26"/>
        <v>0</v>
      </c>
      <c r="AP28" s="5">
        <f>SUM(AK28:AO28)</f>
        <v>20000</v>
      </c>
      <c r="AQ28" s="101">
        <f>+AP28/$AP$34</f>
        <v>8.0064051240992792E-2</v>
      </c>
      <c r="AR28" s="290" t="s">
        <v>77</v>
      </c>
      <c r="AS28" s="63" t="str">
        <f>+AJ28</f>
        <v>Análisis Factibilidad, Planes y Req</v>
      </c>
      <c r="AT28" s="117">
        <f>+AK28/$AP$34</f>
        <v>8.0064051240992792E-2</v>
      </c>
      <c r="AU28" s="292" t="s">
        <v>82</v>
      </c>
      <c r="AV28" s="293"/>
      <c r="AW28" s="293"/>
      <c r="AX28" s="294"/>
      <c r="AY28" s="10">
        <f>+AP28/$AP$34</f>
        <v>8.0064051240992792E-2</v>
      </c>
      <c r="AZ28" s="64"/>
      <c r="BA28" s="44"/>
      <c r="BB28" s="63" t="str">
        <f>+AS28</f>
        <v>Análisis Factibilidad, Planes y Req</v>
      </c>
      <c r="BC28" s="128">
        <f>+AK28/AP28</f>
        <v>1</v>
      </c>
      <c r="BD28" s="298" t="s">
        <v>102</v>
      </c>
      <c r="BE28" s="299"/>
      <c r="BF28" s="299"/>
      <c r="BG28" s="300"/>
      <c r="BH28" s="121">
        <f>SUM(BC28:BG28)</f>
        <v>1</v>
      </c>
      <c r="BI28" s="290" t="s">
        <v>85</v>
      </c>
      <c r="BJ28" s="302"/>
    </row>
    <row r="29" spans="2:62" ht="18.75" thickBot="1" x14ac:dyDescent="0.3">
      <c r="B29" s="75"/>
      <c r="C29" s="61">
        <f t="shared" si="20"/>
        <v>2</v>
      </c>
      <c r="D29" s="164" t="str">
        <f t="shared" si="20"/>
        <v>Diseño del producto</v>
      </c>
      <c r="E29" s="5">
        <f t="shared" si="20"/>
        <v>75</v>
      </c>
      <c r="F29" s="5">
        <f t="shared" si="20"/>
        <v>50</v>
      </c>
      <c r="G29" s="5">
        <f t="shared" si="20"/>
        <v>0</v>
      </c>
      <c r="H29" s="5">
        <f t="shared" si="20"/>
        <v>0</v>
      </c>
      <c r="I29" s="5">
        <f t="shared" si="20"/>
        <v>0</v>
      </c>
      <c r="J29" s="5">
        <f t="shared" si="21"/>
        <v>125</v>
      </c>
      <c r="K29" s="50">
        <f>J29/J38</f>
        <v>1.2376237623762377E-2</v>
      </c>
      <c r="L29" s="62"/>
      <c r="M29" s="52" t="str">
        <f t="shared" si="22"/>
        <v>Diseño del producto</v>
      </c>
      <c r="N29" s="10">
        <f>(N9+W9)/($S9+$AB9)</f>
        <v>0.6</v>
      </c>
      <c r="O29" s="10">
        <f t="shared" ref="O29:R33" si="27">(O9+X9)/($S9+$AB9)</f>
        <v>0.4</v>
      </c>
      <c r="P29" s="10">
        <f t="shared" si="27"/>
        <v>0</v>
      </c>
      <c r="Q29" s="10">
        <f t="shared" si="27"/>
        <v>0</v>
      </c>
      <c r="R29" s="10">
        <f t="shared" si="27"/>
        <v>0</v>
      </c>
      <c r="S29" s="10">
        <f>+J29/$J$38</f>
        <v>1.2376237623762377E-2</v>
      </c>
      <c r="T29" s="64"/>
      <c r="U29" s="44"/>
      <c r="V29" s="63" t="str">
        <f t="shared" ref="V29:V37" si="28">+M29</f>
        <v>Diseño del producto</v>
      </c>
      <c r="W29" s="14">
        <f t="shared" ref="W29:W37" si="29">E29/($J$38)</f>
        <v>7.4257425742574254E-3</v>
      </c>
      <c r="X29" s="14">
        <f t="shared" si="24"/>
        <v>4.9504950495049506E-3</v>
      </c>
      <c r="Y29" s="14">
        <f t="shared" si="24"/>
        <v>0</v>
      </c>
      <c r="Z29" s="14">
        <f t="shared" si="24"/>
        <v>0</v>
      </c>
      <c r="AA29" s="14">
        <f t="shared" si="24"/>
        <v>0</v>
      </c>
      <c r="AB29" s="65">
        <f t="shared" ref="AB29:AB38" si="30">SUM(W29:AA29)</f>
        <v>1.2376237623762377E-2</v>
      </c>
      <c r="AC29" s="51"/>
      <c r="AD29" s="76"/>
      <c r="AH29" s="132"/>
      <c r="AI29" s="61">
        <f t="shared" si="25"/>
        <v>2</v>
      </c>
      <c r="AJ29" s="47" t="str">
        <f t="shared" si="25"/>
        <v>Diseño del producto</v>
      </c>
      <c r="AK29" s="5">
        <f t="shared" si="25"/>
        <v>40000</v>
      </c>
      <c r="AL29" s="5">
        <f>+AL9</f>
        <v>0</v>
      </c>
      <c r="AM29" s="5">
        <f t="shared" si="26"/>
        <v>0</v>
      </c>
      <c r="AN29" s="5">
        <f t="shared" si="26"/>
        <v>0</v>
      </c>
      <c r="AO29" s="5">
        <f t="shared" si="26"/>
        <v>0</v>
      </c>
      <c r="AP29" s="5">
        <f t="shared" ref="AP29:AP31" si="31">SUM(AK29:AO29)</f>
        <v>40000</v>
      </c>
      <c r="AQ29" s="50">
        <f>+AP29/$AP$34</f>
        <v>0.16012810248198558</v>
      </c>
      <c r="AR29" s="291"/>
      <c r="AS29" s="63" t="str">
        <f t="shared" ref="AS29:AS33" si="32">+AJ29</f>
        <v>Diseño del producto</v>
      </c>
      <c r="AT29" s="10">
        <f>+AK29/$AP$34</f>
        <v>0.16012810248198558</v>
      </c>
      <c r="AU29" s="295"/>
      <c r="AV29" s="296"/>
      <c r="AW29" s="296"/>
      <c r="AX29" s="297"/>
      <c r="AY29" s="10">
        <f>+AP29/$AP$34</f>
        <v>0.16012810248198558</v>
      </c>
      <c r="AZ29" s="64"/>
      <c r="BA29" s="44"/>
      <c r="BB29" s="63" t="str">
        <f t="shared" ref="BB29:BB33" si="33">+AS29</f>
        <v>Diseño del producto</v>
      </c>
      <c r="BC29" s="17">
        <f>+AK29/AP29</f>
        <v>1</v>
      </c>
      <c r="BD29" s="276"/>
      <c r="BE29" s="277"/>
      <c r="BF29" s="277"/>
      <c r="BG29" s="301"/>
      <c r="BH29" s="65">
        <f t="shared" ref="BH29:BH30" si="34">SUM(BC29:BG29)</f>
        <v>1</v>
      </c>
      <c r="BI29" s="252"/>
      <c r="BJ29" s="302"/>
    </row>
    <row r="30" spans="2:62" ht="18.75" thickBot="1" x14ac:dyDescent="0.3">
      <c r="B30" s="75"/>
      <c r="C30" s="61">
        <f t="shared" si="20"/>
        <v>3</v>
      </c>
      <c r="D30" s="164" t="str">
        <f t="shared" si="20"/>
        <v>Programación</v>
      </c>
      <c r="E30" s="5">
        <f t="shared" si="20"/>
        <v>70</v>
      </c>
      <c r="F30" s="5">
        <f t="shared" si="20"/>
        <v>75</v>
      </c>
      <c r="G30" s="5">
        <f t="shared" si="20"/>
        <v>200</v>
      </c>
      <c r="H30" s="5">
        <f t="shared" si="20"/>
        <v>150</v>
      </c>
      <c r="I30" s="5">
        <f t="shared" si="20"/>
        <v>100</v>
      </c>
      <c r="J30" s="5">
        <f t="shared" si="21"/>
        <v>595</v>
      </c>
      <c r="K30" s="50">
        <f>J30/J38</f>
        <v>5.8910891089108908E-2</v>
      </c>
      <c r="L30" s="62"/>
      <c r="M30" s="52" t="str">
        <f t="shared" si="22"/>
        <v>Programación</v>
      </c>
      <c r="N30" s="10">
        <f t="shared" ref="N30:N33" si="35">(N10+W10)/($S10+$AB10)</f>
        <v>0.11764705882352941</v>
      </c>
      <c r="O30" s="10">
        <f t="shared" si="27"/>
        <v>0.12605042016806722</v>
      </c>
      <c r="P30" s="10">
        <f t="shared" si="27"/>
        <v>0.33613445378151263</v>
      </c>
      <c r="Q30" s="10">
        <f t="shared" si="27"/>
        <v>0.25210084033613445</v>
      </c>
      <c r="R30" s="10">
        <f t="shared" si="27"/>
        <v>0.16806722689075632</v>
      </c>
      <c r="S30" s="10">
        <f>+J30/$J$38</f>
        <v>5.8910891089108908E-2</v>
      </c>
      <c r="T30" s="64"/>
      <c r="U30" s="44"/>
      <c r="V30" s="63" t="str">
        <f t="shared" si="28"/>
        <v>Programación</v>
      </c>
      <c r="W30" s="14">
        <f t="shared" si="29"/>
        <v>6.9306930693069308E-3</v>
      </c>
      <c r="X30" s="14">
        <f t="shared" si="24"/>
        <v>7.4257425742574254E-3</v>
      </c>
      <c r="Y30" s="14">
        <f t="shared" si="24"/>
        <v>1.9801980198019802E-2</v>
      </c>
      <c r="Z30" s="14">
        <f t="shared" si="24"/>
        <v>1.4851485148514851E-2</v>
      </c>
      <c r="AA30" s="14">
        <f t="shared" si="24"/>
        <v>9.9009900990099011E-3</v>
      </c>
      <c r="AB30" s="65">
        <f t="shared" si="30"/>
        <v>5.8910891089108915E-2</v>
      </c>
      <c r="AC30" s="51"/>
      <c r="AD30" s="76"/>
      <c r="AH30" s="132"/>
      <c r="AI30" s="61">
        <f t="shared" si="25"/>
        <v>3</v>
      </c>
      <c r="AJ30" s="47" t="str">
        <f t="shared" si="25"/>
        <v>Programación</v>
      </c>
      <c r="AK30" s="5">
        <f t="shared" si="25"/>
        <v>0</v>
      </c>
      <c r="AL30" s="5">
        <f>+AL10</f>
        <v>46000</v>
      </c>
      <c r="AM30" s="5">
        <f t="shared" si="26"/>
        <v>46000</v>
      </c>
      <c r="AN30" s="5">
        <f t="shared" si="26"/>
        <v>51000</v>
      </c>
      <c r="AO30" s="5">
        <f t="shared" si="26"/>
        <v>0</v>
      </c>
      <c r="AP30" s="5">
        <f t="shared" si="31"/>
        <v>143000</v>
      </c>
      <c r="AQ30" s="50" t="s">
        <v>198</v>
      </c>
      <c r="AR30" s="291"/>
      <c r="AS30" s="63" t="str">
        <f t="shared" si="32"/>
        <v>Programación</v>
      </c>
      <c r="AT30" s="10">
        <f>+AK30/$AP$34</f>
        <v>0</v>
      </c>
      <c r="AU30" s="10">
        <f>+AL30/$AP$34</f>
        <v>0.18414731785428343</v>
      </c>
      <c r="AV30" s="10">
        <f>+AM30/$AP$34</f>
        <v>0.18414731785428343</v>
      </c>
      <c r="AW30" s="10">
        <f>+AN30/$AP$34</f>
        <v>0.20416333066453163</v>
      </c>
      <c r="AX30" s="10"/>
      <c r="AY30" s="117">
        <f>+AP30/$AP$34</f>
        <v>0.57245796637309843</v>
      </c>
      <c r="AZ30" s="303" t="s">
        <v>83</v>
      </c>
      <c r="BA30" s="304"/>
      <c r="BB30" s="63" t="str">
        <f t="shared" si="33"/>
        <v>Programación</v>
      </c>
      <c r="BC30" s="17"/>
      <c r="BD30" s="10">
        <f>+AL30/$AP$30</f>
        <v>0.32167832167832167</v>
      </c>
      <c r="BE30" s="10">
        <f>+AM30/$AP$30</f>
        <v>0.32167832167832167</v>
      </c>
      <c r="BF30" s="10">
        <f>+AN30/$AP$30</f>
        <v>0.35664335664335667</v>
      </c>
      <c r="BG30" s="18"/>
      <c r="BH30" s="65">
        <f t="shared" si="34"/>
        <v>1</v>
      </c>
      <c r="BI30" s="51"/>
      <c r="BJ30" s="133"/>
    </row>
    <row r="31" spans="2:62" ht="18.75" thickBot="1" x14ac:dyDescent="0.3">
      <c r="B31" s="75"/>
      <c r="C31" s="61">
        <f t="shared" si="20"/>
        <v>4</v>
      </c>
      <c r="D31" s="164" t="str">
        <f t="shared" si="20"/>
        <v>Pruebas (Testging)</v>
      </c>
      <c r="E31" s="5">
        <f t="shared" si="20"/>
        <v>15</v>
      </c>
      <c r="F31" s="5">
        <f t="shared" si="20"/>
        <v>15</v>
      </c>
      <c r="G31" s="5">
        <f t="shared" si="20"/>
        <v>50</v>
      </c>
      <c r="H31" s="5">
        <f t="shared" si="20"/>
        <v>75</v>
      </c>
      <c r="I31" s="5">
        <f t="shared" si="20"/>
        <v>50</v>
      </c>
      <c r="J31" s="5">
        <f t="shared" si="21"/>
        <v>205</v>
      </c>
      <c r="K31" s="50">
        <f>J31/J38</f>
        <v>2.0297029702970298E-2</v>
      </c>
      <c r="L31" s="62"/>
      <c r="M31" s="52" t="str">
        <f t="shared" si="22"/>
        <v>Pruebas (Testging)</v>
      </c>
      <c r="N31" s="10">
        <f t="shared" si="35"/>
        <v>7.3170731707317069E-2</v>
      </c>
      <c r="O31" s="10">
        <f t="shared" si="27"/>
        <v>7.3170731707317069E-2</v>
      </c>
      <c r="P31" s="10">
        <f t="shared" si="27"/>
        <v>0.24390243902439024</v>
      </c>
      <c r="Q31" s="10">
        <f t="shared" si="27"/>
        <v>0.36585365853658536</v>
      </c>
      <c r="R31" s="10">
        <f t="shared" si="27"/>
        <v>0.24390243902439024</v>
      </c>
      <c r="S31" s="10">
        <f>+J31/$J$38</f>
        <v>2.0297029702970298E-2</v>
      </c>
      <c r="T31" s="64"/>
      <c r="U31" s="44"/>
      <c r="V31" s="63" t="str">
        <f t="shared" si="28"/>
        <v>Pruebas (Testging)</v>
      </c>
      <c r="W31" s="14">
        <f t="shared" si="29"/>
        <v>1.4851485148514852E-3</v>
      </c>
      <c r="X31" s="14">
        <f t="shared" si="24"/>
        <v>1.4851485148514852E-3</v>
      </c>
      <c r="Y31" s="14">
        <f t="shared" si="24"/>
        <v>4.9504950495049506E-3</v>
      </c>
      <c r="Z31" s="14">
        <f t="shared" si="24"/>
        <v>7.4257425742574254E-3</v>
      </c>
      <c r="AA31" s="14">
        <f t="shared" si="24"/>
        <v>4.9504950495049506E-3</v>
      </c>
      <c r="AB31" s="65">
        <f t="shared" si="30"/>
        <v>2.0297029702970298E-2</v>
      </c>
      <c r="AC31" s="51"/>
      <c r="AD31" s="76"/>
      <c r="AH31" s="132"/>
      <c r="AI31" s="61">
        <f t="shared" si="25"/>
        <v>4</v>
      </c>
      <c r="AJ31" s="47" t="str">
        <f t="shared" si="25"/>
        <v>Integración y pruebas</v>
      </c>
      <c r="AK31" s="5">
        <f t="shared" si="25"/>
        <v>0</v>
      </c>
      <c r="AL31" s="5">
        <f>+AL11</f>
        <v>0</v>
      </c>
      <c r="AM31" s="5">
        <f t="shared" si="26"/>
        <v>0</v>
      </c>
      <c r="AN31" s="5">
        <f t="shared" si="26"/>
        <v>0</v>
      </c>
      <c r="AO31" s="5">
        <f t="shared" si="26"/>
        <v>34000</v>
      </c>
      <c r="AP31" s="5">
        <f t="shared" si="31"/>
        <v>34000</v>
      </c>
      <c r="AQ31" s="50"/>
      <c r="AR31" s="62"/>
      <c r="AS31" s="63" t="str">
        <f t="shared" si="32"/>
        <v>Integración y pruebas</v>
      </c>
      <c r="AT31" s="10"/>
      <c r="AU31" s="10"/>
      <c r="AV31" s="10"/>
      <c r="AW31" s="10"/>
      <c r="AX31" s="10">
        <f>+AO31/$AP$34</f>
        <v>0.13610888710968774</v>
      </c>
      <c r="AY31" s="10" t="s">
        <v>198</v>
      </c>
      <c r="AZ31" s="305"/>
      <c r="BA31" s="304"/>
      <c r="BB31" s="63" t="str">
        <f t="shared" si="33"/>
        <v>Integración y pruebas</v>
      </c>
      <c r="BC31" s="17"/>
      <c r="BD31" s="10"/>
      <c r="BE31" s="10"/>
      <c r="BF31" s="10"/>
      <c r="BG31" s="18">
        <f>+AO31/AP31</f>
        <v>1</v>
      </c>
      <c r="BH31" s="65" t="s">
        <v>198</v>
      </c>
      <c r="BI31" s="51"/>
      <c r="BJ31" s="133"/>
    </row>
    <row r="32" spans="2:62" ht="18.75" thickBot="1" x14ac:dyDescent="0.3">
      <c r="B32" s="75"/>
      <c r="C32" s="61">
        <f t="shared" si="20"/>
        <v>5</v>
      </c>
      <c r="D32" s="164" t="str">
        <f t="shared" si="20"/>
        <v>Corrección de Errores</v>
      </c>
      <c r="E32" s="5">
        <f t="shared" si="20"/>
        <v>25</v>
      </c>
      <c r="F32" s="5">
        <f t="shared" si="20"/>
        <v>25</v>
      </c>
      <c r="G32" s="5">
        <f t="shared" si="20"/>
        <v>50</v>
      </c>
      <c r="H32" s="5">
        <f t="shared" si="20"/>
        <v>125</v>
      </c>
      <c r="I32" s="5">
        <f t="shared" si="20"/>
        <v>100</v>
      </c>
      <c r="J32" s="5">
        <f t="shared" si="21"/>
        <v>325</v>
      </c>
      <c r="K32" s="50">
        <f>J32/J38</f>
        <v>3.2178217821782179E-2</v>
      </c>
      <c r="L32" s="62"/>
      <c r="M32" s="52" t="str">
        <f t="shared" si="22"/>
        <v>Corrección de Errores</v>
      </c>
      <c r="N32" s="10">
        <f t="shared" si="35"/>
        <v>7.6923076923076927E-2</v>
      </c>
      <c r="O32" s="10">
        <f t="shared" si="27"/>
        <v>7.6923076923076927E-2</v>
      </c>
      <c r="P32" s="10">
        <f t="shared" si="27"/>
        <v>0.15384615384615385</v>
      </c>
      <c r="Q32" s="10">
        <f t="shared" si="27"/>
        <v>0.38461538461538464</v>
      </c>
      <c r="R32" s="10">
        <f t="shared" si="27"/>
        <v>0.30769230769230771</v>
      </c>
      <c r="S32" s="10">
        <f t="shared" ref="S32:S37" si="36">+J32/$J$38</f>
        <v>3.2178217821782179E-2</v>
      </c>
      <c r="T32" s="64"/>
      <c r="U32" s="44"/>
      <c r="V32" s="63" t="str">
        <f t="shared" si="28"/>
        <v>Corrección de Errores</v>
      </c>
      <c r="W32" s="14">
        <f t="shared" si="29"/>
        <v>2.4752475247524753E-3</v>
      </c>
      <c r="X32" s="14">
        <f t="shared" si="24"/>
        <v>2.4752475247524753E-3</v>
      </c>
      <c r="Y32" s="14">
        <f t="shared" si="24"/>
        <v>4.9504950495049506E-3</v>
      </c>
      <c r="Z32" s="14">
        <f t="shared" si="24"/>
        <v>1.2376237623762377E-2</v>
      </c>
      <c r="AA32" s="14">
        <f t="shared" si="24"/>
        <v>9.9009900990099011E-3</v>
      </c>
      <c r="AB32" s="65">
        <f t="shared" si="30"/>
        <v>3.2178217821782179E-2</v>
      </c>
      <c r="AC32" s="51"/>
      <c r="AD32" s="76"/>
      <c r="AH32" s="132"/>
      <c r="AI32" s="61">
        <f>+AI19</f>
        <v>5</v>
      </c>
      <c r="AJ32" s="47" t="str">
        <f>+AJ19</f>
        <v>Infraestructura (SW)</v>
      </c>
      <c r="AK32" s="5">
        <f>+AK19</f>
        <v>0</v>
      </c>
      <c r="AL32" s="5">
        <f t="shared" ref="AL32:AP32" si="37">+AL19</f>
        <v>8000</v>
      </c>
      <c r="AM32" s="5">
        <f t="shared" si="37"/>
        <v>0</v>
      </c>
      <c r="AN32" s="5">
        <f t="shared" si="37"/>
        <v>0</v>
      </c>
      <c r="AO32" s="5">
        <f t="shared" si="37"/>
        <v>0</v>
      </c>
      <c r="AP32" s="5">
        <f t="shared" si="37"/>
        <v>8000</v>
      </c>
      <c r="AQ32" s="50"/>
      <c r="AR32" s="62"/>
      <c r="AS32" s="63" t="str">
        <f t="shared" si="32"/>
        <v>Infraestructura (SW)</v>
      </c>
      <c r="AT32" s="10"/>
      <c r="AU32" s="10"/>
      <c r="AV32" s="10"/>
      <c r="AW32" s="10"/>
      <c r="AX32" s="10"/>
      <c r="AY32" s="10" t="s">
        <v>199</v>
      </c>
      <c r="AZ32" s="305"/>
      <c r="BA32" s="304"/>
      <c r="BB32" s="63" t="str">
        <f t="shared" si="33"/>
        <v>Infraestructura (SW)</v>
      </c>
      <c r="BC32" s="17"/>
      <c r="BD32" s="10"/>
      <c r="BE32" s="10"/>
      <c r="BF32" s="10"/>
      <c r="BG32" s="18"/>
      <c r="BH32" s="65"/>
      <c r="BI32" s="51"/>
      <c r="BJ32" s="133"/>
    </row>
    <row r="33" spans="2:62" ht="18.75" thickBot="1" x14ac:dyDescent="0.3">
      <c r="B33" s="75"/>
      <c r="C33" s="61">
        <f t="shared" si="20"/>
        <v>6</v>
      </c>
      <c r="D33" s="164" t="str">
        <f t="shared" si="20"/>
        <v>Lanzamiento a Productivo</v>
      </c>
      <c r="E33" s="5">
        <f t="shared" si="20"/>
        <v>0</v>
      </c>
      <c r="F33" s="5">
        <f t="shared" si="20"/>
        <v>0</v>
      </c>
      <c r="G33" s="5">
        <f t="shared" si="20"/>
        <v>0</v>
      </c>
      <c r="H33" s="5">
        <f t="shared" si="20"/>
        <v>0</v>
      </c>
      <c r="I33" s="5">
        <f t="shared" si="20"/>
        <v>50</v>
      </c>
      <c r="J33" s="5">
        <f t="shared" si="21"/>
        <v>50</v>
      </c>
      <c r="K33" s="50">
        <f>J33/J38</f>
        <v>4.9504950495049506E-3</v>
      </c>
      <c r="L33" s="62"/>
      <c r="M33" s="52" t="str">
        <f t="shared" si="22"/>
        <v>Lanzamiento a Productivo</v>
      </c>
      <c r="N33" s="10">
        <f t="shared" si="35"/>
        <v>0</v>
      </c>
      <c r="O33" s="10">
        <f t="shared" si="27"/>
        <v>0</v>
      </c>
      <c r="P33" s="10">
        <f t="shared" si="27"/>
        <v>0</v>
      </c>
      <c r="Q33" s="10">
        <f t="shared" si="27"/>
        <v>0</v>
      </c>
      <c r="R33" s="10">
        <f t="shared" si="27"/>
        <v>1</v>
      </c>
      <c r="S33" s="10">
        <f t="shared" si="36"/>
        <v>4.9504950495049506E-3</v>
      </c>
      <c r="T33" s="64"/>
      <c r="U33" s="44"/>
      <c r="V33" s="63" t="str">
        <f t="shared" si="28"/>
        <v>Lanzamiento a Productivo</v>
      </c>
      <c r="W33" s="14">
        <f t="shared" si="29"/>
        <v>0</v>
      </c>
      <c r="X33" s="14">
        <f t="shared" si="24"/>
        <v>0</v>
      </c>
      <c r="Y33" s="14">
        <f t="shared" si="24"/>
        <v>0</v>
      </c>
      <c r="Z33" s="14">
        <f t="shared" si="24"/>
        <v>0</v>
      </c>
      <c r="AA33" s="14">
        <f t="shared" si="24"/>
        <v>4.9504950495049506E-3</v>
      </c>
      <c r="AB33" s="65">
        <f t="shared" si="30"/>
        <v>4.9504950495049506E-3</v>
      </c>
      <c r="AC33" s="51"/>
      <c r="AD33" s="76"/>
      <c r="AH33" s="132"/>
      <c r="AI33" s="61">
        <f>+AI20</f>
        <v>6</v>
      </c>
      <c r="AJ33" s="47" t="str">
        <f>+AJ20</f>
        <v>Costos Fijos (Luz, Agua, servicios)</v>
      </c>
      <c r="AK33" s="5">
        <f t="shared" ref="AK33:AO33" si="38">+AK20</f>
        <v>0</v>
      </c>
      <c r="AL33" s="5">
        <f t="shared" si="38"/>
        <v>1200</v>
      </c>
      <c r="AM33" s="5">
        <f t="shared" si="38"/>
        <v>1200</v>
      </c>
      <c r="AN33" s="5">
        <f t="shared" si="38"/>
        <v>1200</v>
      </c>
      <c r="AO33" s="5">
        <f t="shared" si="38"/>
        <v>1200</v>
      </c>
      <c r="AP33" s="5">
        <f>+AP20</f>
        <v>4800</v>
      </c>
      <c r="AQ33" s="50"/>
      <c r="AR33" s="62"/>
      <c r="AS33" s="63" t="str">
        <f t="shared" si="32"/>
        <v>Costos Fijos (Luz, Agua, servicios)</v>
      </c>
      <c r="AT33" s="10"/>
      <c r="AU33" s="10"/>
      <c r="AV33" s="10"/>
      <c r="AW33" s="10"/>
      <c r="AX33" s="10"/>
      <c r="AY33" s="10" t="s">
        <v>199</v>
      </c>
      <c r="AZ33" s="305"/>
      <c r="BA33" s="304"/>
      <c r="BB33" s="63" t="str">
        <f t="shared" si="33"/>
        <v>Costos Fijos (Luz, Agua, servicios)</v>
      </c>
      <c r="BC33" s="19"/>
      <c r="BD33" s="20"/>
      <c r="BE33" s="20"/>
      <c r="BF33" s="20"/>
      <c r="BG33" s="21"/>
      <c r="BH33" s="65"/>
      <c r="BI33" s="51"/>
      <c r="BJ33" s="133"/>
    </row>
    <row r="34" spans="2:62" ht="18.75" thickBot="1" x14ac:dyDescent="0.3">
      <c r="B34" s="75"/>
      <c r="C34" s="61">
        <f>+C19</f>
        <v>7</v>
      </c>
      <c r="D34" s="164" t="str">
        <f>+D19</f>
        <v>Ejemplo: Infraestructura (SW o HW)</v>
      </c>
      <c r="E34" s="5">
        <f>+E19</f>
        <v>0</v>
      </c>
      <c r="F34" s="5">
        <f t="shared" ref="F34:I34" si="39">+F19</f>
        <v>0</v>
      </c>
      <c r="G34" s="5">
        <f t="shared" si="39"/>
        <v>0</v>
      </c>
      <c r="H34" s="5">
        <f t="shared" si="39"/>
        <v>0</v>
      </c>
      <c r="I34" s="5">
        <f t="shared" si="39"/>
        <v>0</v>
      </c>
      <c r="J34" s="5">
        <f t="shared" si="21"/>
        <v>0</v>
      </c>
      <c r="K34" s="50">
        <f>J34/J38</f>
        <v>0</v>
      </c>
      <c r="L34" s="62"/>
      <c r="M34" s="52" t="str">
        <f t="shared" si="22"/>
        <v>Ejemplo: Infraestructura (SW o HW)</v>
      </c>
      <c r="N34" s="10" t="e">
        <f>E34/$J34</f>
        <v>#DIV/0!</v>
      </c>
      <c r="O34" s="10" t="e">
        <f t="shared" ref="O34:R37" si="40">F34/$J34</f>
        <v>#DIV/0!</v>
      </c>
      <c r="P34" s="10" t="e">
        <f t="shared" si="40"/>
        <v>#DIV/0!</v>
      </c>
      <c r="Q34" s="10" t="e">
        <f t="shared" si="40"/>
        <v>#DIV/0!</v>
      </c>
      <c r="R34" s="10" t="e">
        <f t="shared" si="40"/>
        <v>#DIV/0!</v>
      </c>
      <c r="S34" s="10">
        <f t="shared" si="36"/>
        <v>0</v>
      </c>
      <c r="T34" s="64"/>
      <c r="U34" s="44"/>
      <c r="V34" s="63" t="str">
        <f t="shared" si="28"/>
        <v>Ejemplo: Infraestructura (SW o HW)</v>
      </c>
      <c r="W34" s="14">
        <f t="shared" si="29"/>
        <v>0</v>
      </c>
      <c r="X34" s="14">
        <f t="shared" si="24"/>
        <v>0</v>
      </c>
      <c r="Y34" s="14">
        <f t="shared" si="24"/>
        <v>0</v>
      </c>
      <c r="Z34" s="14">
        <f t="shared" si="24"/>
        <v>0</v>
      </c>
      <c r="AA34" s="14">
        <f t="shared" si="24"/>
        <v>0</v>
      </c>
      <c r="AB34" s="65">
        <f t="shared" si="30"/>
        <v>0</v>
      </c>
      <c r="AC34" s="51"/>
      <c r="AD34" s="76"/>
      <c r="AH34" s="132"/>
      <c r="AI34" s="61"/>
      <c r="AJ34" s="46" t="s">
        <v>26</v>
      </c>
      <c r="AK34" s="39">
        <f t="shared" ref="AK34:AP34" si="41">SUM(AK28:AK33)</f>
        <v>60000</v>
      </c>
      <c r="AL34" s="40">
        <f t="shared" si="41"/>
        <v>55200</v>
      </c>
      <c r="AM34" s="40">
        <f t="shared" si="41"/>
        <v>47200</v>
      </c>
      <c r="AN34" s="40">
        <f t="shared" si="41"/>
        <v>52200</v>
      </c>
      <c r="AO34" s="40">
        <f t="shared" si="41"/>
        <v>35200</v>
      </c>
      <c r="AP34" s="41">
        <f t="shared" si="41"/>
        <v>249800</v>
      </c>
      <c r="AQ34" s="114">
        <v>1</v>
      </c>
      <c r="AR34" s="62"/>
      <c r="AS34" s="63" t="str">
        <f>+AJ34</f>
        <v>Total Presupuesto</v>
      </c>
      <c r="AT34" s="115">
        <f>SUM(AT28:AT33)</f>
        <v>0.24019215372297836</v>
      </c>
      <c r="AU34" s="12">
        <f>SUM(AU28:AU33)</f>
        <v>0.18414731785428343</v>
      </c>
      <c r="AV34" s="12">
        <f t="shared" ref="AV34:AX34" si="42">SUM(AV28:AV33)</f>
        <v>0.18414731785428343</v>
      </c>
      <c r="AW34" s="12">
        <f t="shared" si="42"/>
        <v>0.20416333066453163</v>
      </c>
      <c r="AX34" s="12">
        <f t="shared" si="42"/>
        <v>0.13610888710968774</v>
      </c>
      <c r="AY34" s="13">
        <v>1</v>
      </c>
      <c r="AZ34" s="305"/>
      <c r="BA34" s="304"/>
      <c r="BB34" s="63"/>
      <c r="BC34" s="44"/>
      <c r="BD34" s="44"/>
      <c r="BE34" s="44"/>
      <c r="BF34" s="44"/>
      <c r="BG34" s="44"/>
      <c r="BH34" s="44"/>
      <c r="BI34" s="51"/>
      <c r="BJ34" s="133"/>
    </row>
    <row r="35" spans="2:62" ht="18.75" thickBot="1" x14ac:dyDescent="0.3">
      <c r="B35" s="75"/>
      <c r="C35" s="61">
        <f t="shared" ref="C35:I35" si="43">+C20</f>
        <v>8</v>
      </c>
      <c r="D35" s="164" t="str">
        <f t="shared" si="43"/>
        <v>Ejemplo: Costos Fijos (Luz, Agua, servicios)</v>
      </c>
      <c r="E35" s="5">
        <f t="shared" si="43"/>
        <v>600</v>
      </c>
      <c r="F35" s="5">
        <f t="shared" si="43"/>
        <v>0</v>
      </c>
      <c r="G35" s="5">
        <f t="shared" si="43"/>
        <v>0</v>
      </c>
      <c r="H35" s="5">
        <f t="shared" si="43"/>
        <v>0</v>
      </c>
      <c r="I35" s="5">
        <f t="shared" si="43"/>
        <v>0</v>
      </c>
      <c r="J35" s="5">
        <f t="shared" si="21"/>
        <v>600</v>
      </c>
      <c r="K35" s="50">
        <f>J35/J38</f>
        <v>5.9405940594059403E-2</v>
      </c>
      <c r="L35" s="62"/>
      <c r="M35" s="52" t="str">
        <f t="shared" si="22"/>
        <v>Ejemplo: Costos Fijos (Luz, Agua, servicios)</v>
      </c>
      <c r="N35" s="10">
        <v>0</v>
      </c>
      <c r="O35" s="10">
        <v>0</v>
      </c>
      <c r="P35" s="10">
        <v>0</v>
      </c>
      <c r="Q35" s="10">
        <v>0</v>
      </c>
      <c r="R35" s="10">
        <v>0</v>
      </c>
      <c r="S35" s="10">
        <f>+J35/$J$38</f>
        <v>5.9405940594059403E-2</v>
      </c>
      <c r="T35" s="64"/>
      <c r="U35" s="44"/>
      <c r="V35" s="63" t="str">
        <f t="shared" si="28"/>
        <v>Ejemplo: Costos Fijos (Luz, Agua, servicios)</v>
      </c>
      <c r="W35" s="14">
        <f t="shared" si="29"/>
        <v>5.9405940594059403E-2</v>
      </c>
      <c r="X35" s="14">
        <f t="shared" si="24"/>
        <v>0</v>
      </c>
      <c r="Y35" s="14">
        <f t="shared" si="24"/>
        <v>0</v>
      </c>
      <c r="Z35" s="14">
        <f t="shared" si="24"/>
        <v>0</v>
      </c>
      <c r="AA35" s="14">
        <f t="shared" si="24"/>
        <v>0</v>
      </c>
      <c r="AB35" s="65">
        <f t="shared" si="30"/>
        <v>5.9405940594059403E-2</v>
      </c>
      <c r="AC35" s="51"/>
      <c r="AD35" s="76"/>
      <c r="AH35" s="132"/>
      <c r="AI35" s="61"/>
      <c r="AJ35" s="46"/>
      <c r="AK35" s="106">
        <f t="shared" ref="AK35:AP35" si="44">+AK34/$AP$34</f>
        <v>0.24019215372297839</v>
      </c>
      <c r="AL35" s="55">
        <f t="shared" si="44"/>
        <v>0.2209767814251401</v>
      </c>
      <c r="AM35" s="55">
        <f t="shared" si="44"/>
        <v>0.18895116092874301</v>
      </c>
      <c r="AN35" s="55">
        <f t="shared" si="44"/>
        <v>0.20896717373899118</v>
      </c>
      <c r="AO35" s="55">
        <f t="shared" si="44"/>
        <v>0.14091273018414732</v>
      </c>
      <c r="AP35" s="106">
        <f t="shared" si="44"/>
        <v>1</v>
      </c>
      <c r="AQ35" s="112" t="s">
        <v>78</v>
      </c>
      <c r="AR35" s="62"/>
      <c r="AS35" s="63"/>
      <c r="AT35" s="221"/>
      <c r="AU35" s="221"/>
      <c r="AV35" s="221"/>
      <c r="AW35" s="221"/>
      <c r="AX35" s="221"/>
      <c r="AY35" s="222" t="s">
        <v>197</v>
      </c>
      <c r="AZ35" s="304"/>
      <c r="BA35" s="304"/>
      <c r="BB35" s="63"/>
      <c r="BC35" s="120" t="s">
        <v>86</v>
      </c>
      <c r="BD35" s="65"/>
      <c r="BE35" s="65"/>
      <c r="BF35" s="65"/>
      <c r="BG35" s="65"/>
      <c r="BH35" s="65"/>
      <c r="BI35" s="51"/>
      <c r="BJ35" s="133"/>
    </row>
    <row r="36" spans="2:62" ht="16.5" thickBot="1" x14ac:dyDescent="0.3">
      <c r="B36" s="75"/>
      <c r="C36" s="61">
        <f t="shared" ref="C36:I36" si="45">+C21</f>
        <v>9</v>
      </c>
      <c r="D36" s="164" t="str">
        <f t="shared" si="45"/>
        <v>Renta/Improvistos</v>
      </c>
      <c r="E36" s="5">
        <f t="shared" si="45"/>
        <v>8000</v>
      </c>
      <c r="F36" s="5">
        <f t="shared" si="45"/>
        <v>0</v>
      </c>
      <c r="G36" s="5">
        <f t="shared" si="45"/>
        <v>0</v>
      </c>
      <c r="H36" s="5">
        <f t="shared" si="45"/>
        <v>0</v>
      </c>
      <c r="I36" s="5">
        <f t="shared" si="45"/>
        <v>0</v>
      </c>
      <c r="J36" s="5">
        <f t="shared" si="21"/>
        <v>8000</v>
      </c>
      <c r="K36" s="50">
        <f>J36/J38</f>
        <v>0.79207920792079212</v>
      </c>
      <c r="L36" s="62"/>
      <c r="M36" s="52" t="str">
        <f t="shared" si="22"/>
        <v>Renta/Improvistos</v>
      </c>
      <c r="N36" s="10">
        <f>E36/$J36</f>
        <v>1</v>
      </c>
      <c r="O36" s="10">
        <f t="shared" si="40"/>
        <v>0</v>
      </c>
      <c r="P36" s="10">
        <f t="shared" si="40"/>
        <v>0</v>
      </c>
      <c r="Q36" s="10">
        <f t="shared" si="40"/>
        <v>0</v>
      </c>
      <c r="R36" s="10">
        <f t="shared" si="40"/>
        <v>0</v>
      </c>
      <c r="S36" s="10">
        <f t="shared" si="36"/>
        <v>0.79207920792079212</v>
      </c>
      <c r="T36" s="64"/>
      <c r="U36" s="44"/>
      <c r="V36" s="63" t="str">
        <f t="shared" si="28"/>
        <v>Renta/Improvistos</v>
      </c>
      <c r="W36" s="14">
        <f t="shared" si="29"/>
        <v>0.79207920792079212</v>
      </c>
      <c r="X36" s="14">
        <f t="shared" si="24"/>
        <v>0</v>
      </c>
      <c r="Y36" s="14">
        <f t="shared" si="24"/>
        <v>0</v>
      </c>
      <c r="Z36" s="14">
        <f t="shared" si="24"/>
        <v>0</v>
      </c>
      <c r="AA36" s="14">
        <f t="shared" si="24"/>
        <v>0</v>
      </c>
      <c r="AB36" s="65">
        <f t="shared" si="30"/>
        <v>0.79207920792079212</v>
      </c>
      <c r="AC36" s="51"/>
      <c r="AD36" s="76"/>
      <c r="AH36" s="132"/>
      <c r="AI36" s="61"/>
      <c r="AK36" s="223" t="s">
        <v>74</v>
      </c>
      <c r="AS36" s="63"/>
      <c r="AT36" s="112" t="s">
        <v>81</v>
      </c>
      <c r="AU36" s="65"/>
      <c r="AV36" s="65"/>
      <c r="AW36" s="65"/>
      <c r="AX36" s="65"/>
      <c r="AY36" s="65"/>
      <c r="AZ36" s="304"/>
      <c r="BA36" s="304"/>
      <c r="BB36" s="63"/>
      <c r="BC36" s="65"/>
      <c r="BD36" s="65"/>
      <c r="BE36" s="65"/>
      <c r="BF36" s="65"/>
      <c r="BG36" s="65"/>
      <c r="BH36" s="65"/>
      <c r="BI36" s="51"/>
      <c r="BJ36" s="133"/>
    </row>
    <row r="37" spans="2:62" ht="18.75" thickBot="1" x14ac:dyDescent="0.3">
      <c r="B37" s="75"/>
      <c r="C37" s="61">
        <f t="shared" ref="C37:I37" si="46">+C22</f>
        <v>10</v>
      </c>
      <c r="D37" s="164" t="str">
        <f t="shared" si="46"/>
        <v>Salarios</v>
      </c>
      <c r="E37" s="5">
        <f t="shared" si="46"/>
        <v>0</v>
      </c>
      <c r="F37" s="5">
        <f t="shared" si="46"/>
        <v>0</v>
      </c>
      <c r="G37" s="5">
        <f t="shared" si="46"/>
        <v>0</v>
      </c>
      <c r="H37" s="5">
        <f t="shared" si="46"/>
        <v>0</v>
      </c>
      <c r="I37" s="5">
        <f t="shared" si="46"/>
        <v>0</v>
      </c>
      <c r="J37" s="5">
        <f>SUM(E37:I37)</f>
        <v>0</v>
      </c>
      <c r="K37" s="50">
        <f>J37/J38</f>
        <v>0</v>
      </c>
      <c r="L37" s="62"/>
      <c r="M37" s="52" t="str">
        <f t="shared" si="22"/>
        <v>Salarios</v>
      </c>
      <c r="N37" s="10" t="e">
        <f>E37/$J37</f>
        <v>#DIV/0!</v>
      </c>
      <c r="O37" s="10" t="e">
        <f t="shared" si="40"/>
        <v>#DIV/0!</v>
      </c>
      <c r="P37" s="10" t="e">
        <f t="shared" si="40"/>
        <v>#DIV/0!</v>
      </c>
      <c r="Q37" s="10" t="e">
        <f t="shared" si="40"/>
        <v>#DIV/0!</v>
      </c>
      <c r="R37" s="10" t="e">
        <f t="shared" si="40"/>
        <v>#DIV/0!</v>
      </c>
      <c r="S37" s="10">
        <f t="shared" si="36"/>
        <v>0</v>
      </c>
      <c r="T37" s="64"/>
      <c r="U37" s="44"/>
      <c r="V37" s="63" t="str">
        <f t="shared" si="28"/>
        <v>Salarios</v>
      </c>
      <c r="W37" s="14">
        <f t="shared" si="29"/>
        <v>0</v>
      </c>
      <c r="X37" s="14">
        <f t="shared" si="24"/>
        <v>0</v>
      </c>
      <c r="Y37" s="14">
        <f t="shared" si="24"/>
        <v>0</v>
      </c>
      <c r="Z37" s="14">
        <f t="shared" si="24"/>
        <v>0</v>
      </c>
      <c r="AA37" s="14">
        <f t="shared" si="24"/>
        <v>0</v>
      </c>
      <c r="AB37" s="65">
        <f t="shared" si="30"/>
        <v>0</v>
      </c>
      <c r="AC37" s="51"/>
      <c r="AD37" s="76"/>
      <c r="AH37" s="132"/>
      <c r="AI37" s="61"/>
      <c r="AJ37" s="47"/>
      <c r="AL37" s="66"/>
      <c r="AM37" s="66"/>
      <c r="AN37" s="66"/>
      <c r="AO37" s="66"/>
      <c r="AP37" s="66"/>
      <c r="AQ37" s="50"/>
      <c r="AR37" s="62"/>
      <c r="AS37" s="63"/>
      <c r="AT37" s="65"/>
      <c r="AU37" s="65"/>
      <c r="AV37" s="65"/>
      <c r="AW37" s="65"/>
      <c r="AX37" s="65"/>
      <c r="AY37" s="65"/>
      <c r="AZ37" s="304"/>
      <c r="BA37" s="304"/>
      <c r="BB37" s="63"/>
      <c r="BC37" s="65"/>
      <c r="BD37" s="65"/>
      <c r="BE37" s="65"/>
      <c r="BF37" s="65"/>
      <c r="BG37" s="65"/>
      <c r="BH37" s="65"/>
      <c r="BI37" s="51"/>
      <c r="BJ37" s="133"/>
    </row>
    <row r="38" spans="2:62" ht="18.75" thickBot="1" x14ac:dyDescent="0.3">
      <c r="B38" s="75"/>
      <c r="C38" s="43"/>
      <c r="D38" s="46" t="s">
        <v>26</v>
      </c>
      <c r="E38" s="39">
        <f t="shared" ref="E38:J38" si="47">SUM(E28:E37)</f>
        <v>8935</v>
      </c>
      <c r="F38" s="40">
        <f t="shared" si="47"/>
        <v>215</v>
      </c>
      <c r="G38" s="40">
        <f t="shared" si="47"/>
        <v>300</v>
      </c>
      <c r="H38" s="40">
        <f t="shared" si="47"/>
        <v>350</v>
      </c>
      <c r="I38" s="40">
        <f t="shared" si="47"/>
        <v>300</v>
      </c>
      <c r="J38" s="41">
        <f t="shared" si="47"/>
        <v>10100</v>
      </c>
      <c r="K38" s="53"/>
      <c r="L38" s="66"/>
      <c r="M38" s="54" t="str">
        <f t="shared" si="22"/>
        <v>Total Presupuesto</v>
      </c>
      <c r="N38" s="11" t="e">
        <f t="shared" ref="N38:S38" si="48">SUM(N28:N37)</f>
        <v>#DIV/0!</v>
      </c>
      <c r="O38" s="12" t="e">
        <f t="shared" si="48"/>
        <v>#DIV/0!</v>
      </c>
      <c r="P38" s="12" t="e">
        <f t="shared" si="48"/>
        <v>#DIV/0!</v>
      </c>
      <c r="Q38" s="12" t="e">
        <f t="shared" si="48"/>
        <v>#DIV/0!</v>
      </c>
      <c r="R38" s="12" t="e">
        <f t="shared" si="48"/>
        <v>#DIV/0!</v>
      </c>
      <c r="S38" s="13">
        <f t="shared" si="48"/>
        <v>1</v>
      </c>
      <c r="T38" s="67"/>
      <c r="U38" s="44"/>
      <c r="V38" s="63"/>
      <c r="W38" s="67">
        <f>SUM(W28:W37)</f>
        <v>0.88465346534653466</v>
      </c>
      <c r="X38" s="67">
        <f t="shared" ref="X38:AA38" si="49">SUM(X28:X37)</f>
        <v>2.1287128712871289E-2</v>
      </c>
      <c r="Y38" s="67">
        <f t="shared" si="49"/>
        <v>2.9702970297029705E-2</v>
      </c>
      <c r="Z38" s="67">
        <f t="shared" si="49"/>
        <v>3.4653465346534656E-2</v>
      </c>
      <c r="AA38" s="67">
        <f t="shared" si="49"/>
        <v>2.9702970297029705E-2</v>
      </c>
      <c r="AB38" s="65">
        <f t="shared" si="30"/>
        <v>1</v>
      </c>
      <c r="AC38" s="51"/>
      <c r="AD38" s="76"/>
      <c r="AH38" s="132"/>
      <c r="AI38" s="43"/>
      <c r="AR38" s="66"/>
      <c r="AZ38" s="119"/>
      <c r="BA38" s="44"/>
      <c r="BB38" s="63"/>
      <c r="BD38" s="67"/>
      <c r="BE38" s="67"/>
      <c r="BF38" s="67"/>
      <c r="BG38" s="67"/>
      <c r="BH38" s="67"/>
      <c r="BI38" s="51"/>
      <c r="BJ38" s="133"/>
    </row>
    <row r="39" spans="2:62" ht="18" x14ac:dyDescent="0.25">
      <c r="B39" s="75"/>
      <c r="C39" s="43"/>
      <c r="D39" s="46"/>
      <c r="E39" s="55">
        <f>E38/J38</f>
        <v>0.88465346534653466</v>
      </c>
      <c r="F39" s="55">
        <f>F38/J38</f>
        <v>2.1287128712871289E-2</v>
      </c>
      <c r="G39" s="55">
        <f>G38/J38</f>
        <v>2.9702970297029702E-2</v>
      </c>
      <c r="H39" s="55">
        <f>H38/J38</f>
        <v>3.4653465346534656E-2</v>
      </c>
      <c r="I39" s="55">
        <f>I38/J38</f>
        <v>2.9702970297029702E-2</v>
      </c>
      <c r="J39" s="55">
        <f>E39+F39+G39+H39+I39</f>
        <v>1</v>
      </c>
      <c r="K39" s="51"/>
      <c r="L39" s="66"/>
      <c r="M39" s="51"/>
      <c r="N39" s="51"/>
      <c r="O39" s="51"/>
      <c r="P39" s="51"/>
      <c r="Q39" s="51"/>
      <c r="R39" s="51"/>
      <c r="S39" s="51"/>
      <c r="T39" s="51"/>
      <c r="U39" s="44"/>
      <c r="V39" s="44"/>
      <c r="W39" s="44"/>
      <c r="X39" s="44"/>
      <c r="Y39" s="44"/>
      <c r="Z39" s="44"/>
      <c r="AA39" s="44"/>
      <c r="AB39" s="44"/>
      <c r="AC39" s="44"/>
      <c r="AD39" s="76"/>
      <c r="AH39" s="132"/>
      <c r="AI39" s="43"/>
      <c r="AR39" s="66"/>
      <c r="AS39" s="51"/>
      <c r="AU39" s="51"/>
      <c r="AV39" s="51"/>
      <c r="AW39" s="51"/>
      <c r="AX39" s="51"/>
      <c r="AY39" s="51"/>
      <c r="AZ39" s="51"/>
      <c r="BA39" s="44"/>
      <c r="BB39" s="44"/>
      <c r="BC39" s="44"/>
      <c r="BD39" s="44"/>
      <c r="BE39" s="44"/>
      <c r="BF39" s="44"/>
      <c r="BG39" s="44"/>
      <c r="BH39" s="44"/>
      <c r="BI39" s="44"/>
      <c r="BJ39" s="133"/>
    </row>
    <row r="40" spans="2:62" ht="18.75" thickBot="1" x14ac:dyDescent="0.3">
      <c r="B40" s="77"/>
      <c r="C40" s="78"/>
      <c r="D40" s="79"/>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1"/>
      <c r="AH40" s="136"/>
      <c r="AI40" s="137"/>
      <c r="AJ40" s="138"/>
      <c r="AK40" s="139"/>
      <c r="AL40" s="139"/>
      <c r="AM40" s="139"/>
      <c r="AN40" s="139"/>
      <c r="AO40" s="139"/>
      <c r="AP40" s="139"/>
      <c r="AQ40" s="139"/>
      <c r="AR40" s="139"/>
      <c r="AS40" s="139"/>
      <c r="AT40" s="139"/>
      <c r="AU40" s="139"/>
      <c r="AV40" s="139"/>
      <c r="AW40" s="139"/>
      <c r="AX40" s="139"/>
      <c r="AY40" s="139"/>
      <c r="AZ40" s="139"/>
      <c r="BA40" s="139"/>
      <c r="BB40" s="139"/>
      <c r="BC40" s="139"/>
      <c r="BD40" s="139"/>
      <c r="BE40" s="139"/>
      <c r="BF40" s="139"/>
      <c r="BG40" s="139"/>
      <c r="BH40" s="139"/>
      <c r="BI40" s="139"/>
      <c r="BJ40" s="140"/>
    </row>
    <row r="41" spans="2:62" ht="19.5" thickTop="1" thickBot="1" x14ac:dyDescent="0.3">
      <c r="D41" s="1"/>
      <c r="AJ41" s="1"/>
    </row>
    <row r="42" spans="2:62" ht="18.75" thickTop="1" x14ac:dyDescent="0.25">
      <c r="B42" s="71"/>
      <c r="C42" s="82"/>
      <c r="D42" s="8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4"/>
      <c r="AH42" s="129"/>
      <c r="AI42" s="141"/>
      <c r="AJ42" s="142"/>
      <c r="AK42" s="130"/>
      <c r="AL42" s="130"/>
      <c r="AM42" s="130"/>
      <c r="AN42" s="130"/>
      <c r="AO42" s="130"/>
      <c r="AP42" s="130"/>
      <c r="AQ42" s="130"/>
      <c r="AR42" s="130"/>
      <c r="AS42" s="130"/>
      <c r="AT42" s="130"/>
      <c r="AU42" s="130"/>
      <c r="AV42" s="130"/>
      <c r="AW42" s="130"/>
      <c r="AX42" s="130"/>
      <c r="AY42" s="130"/>
      <c r="AZ42" s="130"/>
      <c r="BA42" s="130"/>
      <c r="BB42" s="130"/>
      <c r="BC42" s="130"/>
      <c r="BD42" s="130"/>
      <c r="BE42" s="270" t="s">
        <v>94</v>
      </c>
      <c r="BF42" s="270"/>
      <c r="BG42" s="270"/>
      <c r="BH42" s="270"/>
      <c r="BI42" s="270"/>
      <c r="BJ42" s="271"/>
    </row>
    <row r="43" spans="2:62" ht="23.25" x14ac:dyDescent="0.35">
      <c r="B43" s="75"/>
      <c r="C43" s="84" t="s">
        <v>34</v>
      </c>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76"/>
      <c r="AH43" s="132"/>
      <c r="AI43" s="84" t="s">
        <v>34</v>
      </c>
      <c r="AJ43" s="44"/>
      <c r="AK43" s="44"/>
      <c r="AL43" s="44"/>
      <c r="AM43" s="44"/>
      <c r="AN43" s="44"/>
      <c r="AO43" s="44"/>
      <c r="AP43" s="44"/>
      <c r="AQ43" s="44"/>
      <c r="AR43" s="44"/>
      <c r="AS43" s="122" t="s">
        <v>104</v>
      </c>
      <c r="AT43" s="44"/>
      <c r="AU43" s="44"/>
      <c r="AV43" s="44"/>
      <c r="AW43" s="44"/>
      <c r="AX43" s="44"/>
      <c r="AY43" s="44"/>
      <c r="AZ43" s="44"/>
      <c r="BA43" s="44"/>
      <c r="BB43" s="122" t="s">
        <v>103</v>
      </c>
      <c r="BC43" s="44"/>
      <c r="BD43" s="44"/>
      <c r="BE43" s="262"/>
      <c r="BF43" s="262"/>
      <c r="BG43" s="262"/>
      <c r="BH43" s="262"/>
      <c r="BI43" s="262"/>
      <c r="BJ43" s="272"/>
    </row>
    <row r="44" spans="2:62" ht="18" x14ac:dyDescent="0.25">
      <c r="B44" s="75"/>
      <c r="C44" s="43"/>
      <c r="D44" s="44"/>
      <c r="E44" s="44"/>
      <c r="F44" s="44"/>
      <c r="G44" s="44"/>
      <c r="H44" s="44"/>
      <c r="I44" s="44"/>
      <c r="J44" s="44"/>
      <c r="K44" s="44"/>
      <c r="L44" s="122" t="s">
        <v>151</v>
      </c>
      <c r="M44" s="46" t="s">
        <v>30</v>
      </c>
      <c r="N44" s="44"/>
      <c r="O44" s="44"/>
      <c r="P44" s="44"/>
      <c r="Q44" s="44"/>
      <c r="R44" s="44"/>
      <c r="S44" s="44"/>
      <c r="T44" s="44"/>
      <c r="U44" s="122" t="s">
        <v>150</v>
      </c>
      <c r="V44" s="46" t="s">
        <v>95</v>
      </c>
      <c r="W44" s="44"/>
      <c r="X44" s="44"/>
      <c r="Y44" s="44"/>
      <c r="Z44" s="44"/>
      <c r="AA44" s="44"/>
      <c r="AB44" s="44"/>
      <c r="AC44" s="44"/>
      <c r="AD44" s="76"/>
      <c r="AH44" s="132"/>
      <c r="AI44" s="43"/>
      <c r="AJ44" s="273" t="s">
        <v>87</v>
      </c>
      <c r="AK44" s="273"/>
      <c r="AL44" s="273"/>
      <c r="AM44" s="273"/>
      <c r="AN44" s="273"/>
      <c r="AO44" s="273"/>
      <c r="AP44" s="273"/>
      <c r="AQ44" s="273"/>
      <c r="AR44" s="44"/>
      <c r="AS44" s="103" t="s">
        <v>30</v>
      </c>
      <c r="AT44" s="98" t="s">
        <v>101</v>
      </c>
      <c r="AU44" s="44"/>
      <c r="AV44" s="44"/>
      <c r="AW44" s="44"/>
      <c r="AX44" s="44"/>
      <c r="AY44" s="44"/>
      <c r="AZ44" s="44"/>
      <c r="BA44" s="44"/>
      <c r="BB44" s="103" t="s">
        <v>95</v>
      </c>
      <c r="BC44" s="104"/>
      <c r="BD44" s="44"/>
      <c r="BE44" s="262"/>
      <c r="BF44" s="262"/>
      <c r="BG44" s="262"/>
      <c r="BH44" s="262"/>
      <c r="BI44" s="262"/>
      <c r="BJ44" s="272"/>
    </row>
    <row r="45" spans="2:62" ht="18.75" thickBot="1" x14ac:dyDescent="0.3">
      <c r="B45" s="75"/>
      <c r="C45" s="43"/>
      <c r="D45" s="44"/>
      <c r="E45" s="44"/>
      <c r="F45" s="44"/>
      <c r="G45" s="44"/>
      <c r="H45" s="44"/>
      <c r="I45" s="44"/>
      <c r="J45" s="44"/>
      <c r="K45" s="44"/>
      <c r="L45" s="44"/>
      <c r="M45" s="47"/>
      <c r="N45" s="44"/>
      <c r="O45" s="44"/>
      <c r="P45" s="44"/>
      <c r="Q45" s="44"/>
      <c r="R45" s="44"/>
      <c r="S45" s="44"/>
      <c r="T45" s="44"/>
      <c r="U45" s="44"/>
      <c r="V45" s="47"/>
      <c r="W45" s="48"/>
      <c r="X45" s="48"/>
      <c r="Y45" s="48"/>
      <c r="Z45" s="48"/>
      <c r="AA45" s="48"/>
      <c r="AB45" s="44"/>
      <c r="AC45" s="44"/>
      <c r="AD45" s="76"/>
      <c r="AH45" s="132"/>
      <c r="AI45" s="43"/>
      <c r="AJ45" s="273"/>
      <c r="AK45" s="273"/>
      <c r="AL45" s="273"/>
      <c r="AM45" s="273"/>
      <c r="AN45" s="273"/>
      <c r="AO45" s="273"/>
      <c r="AP45" s="273"/>
      <c r="AQ45" s="273"/>
      <c r="AR45" s="44"/>
      <c r="AS45" s="47"/>
      <c r="AT45" s="44"/>
      <c r="AU45" s="274" t="s">
        <v>195</v>
      </c>
      <c r="AV45" s="275"/>
      <c r="AW45" s="275"/>
      <c r="AX45" s="275"/>
      <c r="AY45" s="44"/>
      <c r="AZ45" s="44"/>
      <c r="BA45" s="44"/>
      <c r="BB45" s="47"/>
      <c r="BC45" s="48"/>
      <c r="BD45" s="48"/>
      <c r="BE45" s="48"/>
      <c r="BF45" s="48"/>
      <c r="BG45" s="48"/>
      <c r="BH45" s="48" t="s">
        <v>33</v>
      </c>
      <c r="BI45" s="44"/>
      <c r="BJ45" s="133"/>
    </row>
    <row r="46" spans="2:62" x14ac:dyDescent="0.25">
      <c r="B46" s="75"/>
      <c r="C46" s="43"/>
      <c r="D46" s="44"/>
      <c r="E46" s="44"/>
      <c r="F46" s="44"/>
      <c r="G46" s="44"/>
      <c r="H46" s="44"/>
      <c r="I46" s="44"/>
      <c r="J46" s="44"/>
      <c r="K46" s="44"/>
      <c r="L46" s="44"/>
      <c r="M46" s="219" t="str">
        <f t="shared" ref="M46:M56" si="50">+D28</f>
        <v>Análisis Factibilidad, Planes</v>
      </c>
      <c r="N46" s="10">
        <f>+W46*$AB$28</f>
        <v>1.9801980198019802E-2</v>
      </c>
      <c r="O46" s="10">
        <f t="shared" ref="O46:S46" si="51">+X46*$AB$28</f>
        <v>0</v>
      </c>
      <c r="P46" s="10">
        <f t="shared" si="51"/>
        <v>0</v>
      </c>
      <c r="Q46" s="10">
        <f t="shared" si="51"/>
        <v>0</v>
      </c>
      <c r="R46" s="10">
        <f t="shared" si="51"/>
        <v>0</v>
      </c>
      <c r="S46" s="10">
        <f t="shared" si="51"/>
        <v>1.9801980198019802E-2</v>
      </c>
      <c r="T46" s="86"/>
      <c r="U46" s="44"/>
      <c r="V46" s="116" t="str">
        <f>+M46</f>
        <v>Análisis Factibilidad, Planes</v>
      </c>
      <c r="W46" s="236">
        <v>1</v>
      </c>
      <c r="X46" s="15"/>
      <c r="Y46" s="15"/>
      <c r="Z46" s="15"/>
      <c r="AA46" s="16"/>
      <c r="AB46" s="65">
        <f t="shared" ref="AB46:AB55" si="52">SUM(W46:AA46)</f>
        <v>1</v>
      </c>
      <c r="AC46" s="44"/>
      <c r="AD46" s="76"/>
      <c r="AH46" s="132"/>
      <c r="AI46" s="43"/>
      <c r="AJ46" s="273"/>
      <c r="AK46" s="273"/>
      <c r="AL46" s="273"/>
      <c r="AM46" s="273"/>
      <c r="AN46" s="273"/>
      <c r="AO46" s="273"/>
      <c r="AP46" s="273"/>
      <c r="AQ46" s="273"/>
      <c r="AR46" s="44"/>
      <c r="AS46" s="85" t="str">
        <f>+AJ28</f>
        <v>Análisis Factibilidad, Planes y Req</v>
      </c>
      <c r="AT46" s="117">
        <f>+BC46*AY28</f>
        <v>8.0064051240992792E-2</v>
      </c>
      <c r="AU46" s="276"/>
      <c r="AV46" s="277"/>
      <c r="AW46" s="277"/>
      <c r="AX46" s="277"/>
      <c r="AY46" s="10">
        <f t="shared" ref="AY46:AY48" si="53">SUM(AT46:AX46)</f>
        <v>8.0064051240992792E-2</v>
      </c>
      <c r="AZ46" s="86"/>
      <c r="BA46" s="44"/>
      <c r="BB46" s="85" t="str">
        <f>+AS28</f>
        <v>Análisis Factibilidad, Planes y Req</v>
      </c>
      <c r="BC46" s="33">
        <v>1</v>
      </c>
      <c r="BD46" s="123" t="s">
        <v>96</v>
      </c>
      <c r="BE46" s="25"/>
      <c r="BF46" s="25"/>
      <c r="BG46" s="26"/>
      <c r="BH46" s="65">
        <f t="shared" ref="BH46:BH49" si="54">SUM(BC46:BG46)</f>
        <v>1</v>
      </c>
      <c r="BI46" s="44"/>
      <c r="BJ46" s="133"/>
    </row>
    <row r="47" spans="2:62" x14ac:dyDescent="0.25">
      <c r="B47" s="75"/>
      <c r="C47" s="43"/>
      <c r="D47" s="44"/>
      <c r="E47" s="44"/>
      <c r="F47" s="44"/>
      <c r="G47" s="44"/>
      <c r="H47" s="44"/>
      <c r="I47" s="44"/>
      <c r="J47" s="44"/>
      <c r="K47" s="44"/>
      <c r="L47" s="44"/>
      <c r="M47" s="219" t="str">
        <f t="shared" si="50"/>
        <v>Diseño del producto</v>
      </c>
      <c r="N47" s="10">
        <f>+W47*$AB$29</f>
        <v>0</v>
      </c>
      <c r="O47" s="10">
        <f t="shared" ref="O47:S47" si="55">+X47*$AB$29</f>
        <v>6.1881188118811884E-3</v>
      </c>
      <c r="P47" s="10">
        <f t="shared" si="55"/>
        <v>6.1881188118811884E-3</v>
      </c>
      <c r="Q47" s="10">
        <f t="shared" si="55"/>
        <v>0</v>
      </c>
      <c r="R47" s="10">
        <f t="shared" si="55"/>
        <v>0</v>
      </c>
      <c r="S47" s="10">
        <f t="shared" si="55"/>
        <v>1.2376237623762377E-2</v>
      </c>
      <c r="T47" s="86"/>
      <c r="U47" s="44"/>
      <c r="V47" s="116" t="str">
        <f t="shared" ref="V47:V55" si="56">+M47</f>
        <v>Diseño del producto</v>
      </c>
      <c r="W47" s="17"/>
      <c r="X47" s="237">
        <v>0.5</v>
      </c>
      <c r="Y47" s="237">
        <v>0.5</v>
      </c>
      <c r="Z47" s="10"/>
      <c r="AA47" s="18"/>
      <c r="AB47" s="65">
        <f t="shared" si="52"/>
        <v>1</v>
      </c>
      <c r="AC47" s="44"/>
      <c r="AD47" s="76"/>
      <c r="AH47" s="132"/>
      <c r="AI47" s="43"/>
      <c r="AJ47" s="273"/>
      <c r="AK47" s="273"/>
      <c r="AL47" s="273"/>
      <c r="AM47" s="273"/>
      <c r="AN47" s="273"/>
      <c r="AO47" s="273"/>
      <c r="AP47" s="273"/>
      <c r="AQ47" s="273"/>
      <c r="AR47" s="44"/>
      <c r="AS47" s="85" t="str">
        <f>+AJ29</f>
        <v>Diseño del producto</v>
      </c>
      <c r="AT47" s="10">
        <f>+BC47*$AY$29</f>
        <v>8.0064051240992792E-2</v>
      </c>
      <c r="AU47" s="10"/>
      <c r="AV47" s="10"/>
      <c r="AW47" s="10"/>
      <c r="AX47" s="10"/>
      <c r="AY47" s="10"/>
      <c r="AZ47" s="86"/>
      <c r="BA47" s="44"/>
      <c r="BB47" s="85" t="str">
        <f>+AS29</f>
        <v>Diseño del producto</v>
      </c>
      <c r="BC47" s="27">
        <v>0.5</v>
      </c>
      <c r="BD47" s="23">
        <v>0.5</v>
      </c>
      <c r="BE47" s="124" t="s">
        <v>97</v>
      </c>
      <c r="BF47" s="22"/>
      <c r="BG47" s="28"/>
      <c r="BH47" s="65"/>
      <c r="BI47" s="44"/>
      <c r="BJ47" s="133"/>
    </row>
    <row r="48" spans="2:62" x14ac:dyDescent="0.25">
      <c r="B48" s="75"/>
      <c r="C48" s="43"/>
      <c r="D48" s="44"/>
      <c r="E48" s="44"/>
      <c r="F48" s="44"/>
      <c r="G48" s="44"/>
      <c r="H48" s="44"/>
      <c r="I48" s="44"/>
      <c r="J48" s="44"/>
      <c r="K48" s="44"/>
      <c r="L48" s="44"/>
      <c r="M48" s="219" t="str">
        <f t="shared" si="50"/>
        <v>Programación</v>
      </c>
      <c r="N48" s="10">
        <f>+W48*$AB$30</f>
        <v>0</v>
      </c>
      <c r="O48" s="10">
        <f t="shared" ref="O48:S48" si="57">+X48*$AB$30</f>
        <v>3.534653465346535E-2</v>
      </c>
      <c r="P48" s="10">
        <f t="shared" si="57"/>
        <v>2.3564356435643568E-2</v>
      </c>
      <c r="Q48" s="10">
        <f t="shared" si="57"/>
        <v>0</v>
      </c>
      <c r="R48" s="10">
        <f t="shared" si="57"/>
        <v>0</v>
      </c>
      <c r="S48" s="10">
        <f t="shared" si="57"/>
        <v>5.8910891089108915E-2</v>
      </c>
      <c r="T48" s="86"/>
      <c r="U48" s="44"/>
      <c r="V48" s="116" t="str">
        <f t="shared" si="56"/>
        <v>Programación</v>
      </c>
      <c r="W48" s="17"/>
      <c r="X48" s="239">
        <v>0.6</v>
      </c>
      <c r="Y48" s="239">
        <v>0.4</v>
      </c>
      <c r="Z48" s="10"/>
      <c r="AA48" s="18"/>
      <c r="AB48" s="65">
        <f t="shared" si="52"/>
        <v>1</v>
      </c>
      <c r="AC48" s="44"/>
      <c r="AD48" s="76"/>
      <c r="AH48" s="132"/>
      <c r="AI48" s="43"/>
      <c r="AJ48" s="273"/>
      <c r="AK48" s="273"/>
      <c r="AL48" s="273"/>
      <c r="AM48" s="273"/>
      <c r="AN48" s="273"/>
      <c r="AO48" s="273"/>
      <c r="AP48" s="273"/>
      <c r="AQ48" s="273"/>
      <c r="AR48" s="44"/>
      <c r="AS48" s="85" t="str">
        <f>+AJ30</f>
        <v>Programación</v>
      </c>
      <c r="AT48" s="10">
        <f>+BC48*$AY$30</f>
        <v>0</v>
      </c>
      <c r="AU48" s="10">
        <f>+BD48*$AY$30</f>
        <v>2.8622898318654923E-2</v>
      </c>
      <c r="AV48" s="10">
        <f>+BE48*$AY$30</f>
        <v>0.18318654923939151</v>
      </c>
      <c r="AW48" s="10">
        <f>+BF48*$AY$30</f>
        <v>0.28622898318654921</v>
      </c>
      <c r="AX48" s="10">
        <f>+BG48*$AY$30</f>
        <v>7.44195356285028E-2</v>
      </c>
      <c r="AY48" s="10">
        <f t="shared" si="53"/>
        <v>0.57245796637309843</v>
      </c>
      <c r="AZ48" s="86"/>
      <c r="BA48" s="44"/>
      <c r="BB48" s="85" t="str">
        <f>+AS30</f>
        <v>Programación</v>
      </c>
      <c r="BC48" s="29"/>
      <c r="BD48" s="30">
        <v>0.05</v>
      </c>
      <c r="BE48" s="30">
        <v>0.32</v>
      </c>
      <c r="BF48" s="31">
        <v>0.5</v>
      </c>
      <c r="BG48" s="32">
        <v>0.13</v>
      </c>
      <c r="BH48" s="65">
        <f t="shared" si="54"/>
        <v>1</v>
      </c>
      <c r="BI48" s="44"/>
      <c r="BJ48" s="133"/>
    </row>
    <row r="49" spans="2:62" x14ac:dyDescent="0.25">
      <c r="B49" s="75"/>
      <c r="C49" s="43"/>
      <c r="D49" s="44"/>
      <c r="E49" s="44"/>
      <c r="F49" s="44"/>
      <c r="G49" s="44"/>
      <c r="H49" s="44"/>
      <c r="I49" s="44"/>
      <c r="J49" s="44"/>
      <c r="K49" s="44"/>
      <c r="L49" s="44"/>
      <c r="M49" s="219" t="str">
        <f t="shared" si="50"/>
        <v>Pruebas (Testging)</v>
      </c>
      <c r="N49" s="10">
        <f>+W49*$AB$31</f>
        <v>0</v>
      </c>
      <c r="O49" s="10">
        <f t="shared" ref="O49:S49" si="58">+X49*$AB$31</f>
        <v>0</v>
      </c>
      <c r="P49" s="10">
        <f t="shared" si="58"/>
        <v>1.4207920792079207E-2</v>
      </c>
      <c r="Q49" s="10">
        <f t="shared" si="58"/>
        <v>4.4653465346534658E-3</v>
      </c>
      <c r="R49" s="10">
        <f t="shared" si="58"/>
        <v>1.6237623762376239E-3</v>
      </c>
      <c r="S49" s="10">
        <f t="shared" si="58"/>
        <v>2.0297029702970294E-2</v>
      </c>
      <c r="T49" s="86"/>
      <c r="U49" s="44"/>
      <c r="V49" s="116" t="str">
        <f t="shared" si="56"/>
        <v>Pruebas (Testging)</v>
      </c>
      <c r="W49" s="17"/>
      <c r="X49" s="10"/>
      <c r="Y49" s="239">
        <v>0.7</v>
      </c>
      <c r="Z49" s="237">
        <v>0.22</v>
      </c>
      <c r="AA49" s="238">
        <v>0.08</v>
      </c>
      <c r="AB49" s="65">
        <f t="shared" si="52"/>
        <v>0.99999999999999989</v>
      </c>
      <c r="AC49" s="44"/>
      <c r="AD49" s="76"/>
      <c r="AH49" s="132"/>
      <c r="AI49" s="43"/>
      <c r="AJ49" s="273"/>
      <c r="AK49" s="273"/>
      <c r="AL49" s="273"/>
      <c r="AM49" s="273"/>
      <c r="AN49" s="273"/>
      <c r="AO49" s="273"/>
      <c r="AP49" s="273"/>
      <c r="AQ49" s="273"/>
      <c r="AR49" s="44"/>
      <c r="AS49" s="85" t="str">
        <f>+AJ31</f>
        <v>Integración y pruebas</v>
      </c>
      <c r="AT49" s="10"/>
      <c r="AU49" s="10"/>
      <c r="AV49" s="10"/>
      <c r="AW49" s="10"/>
      <c r="AX49" s="10"/>
      <c r="AY49" s="10"/>
      <c r="AZ49" s="86"/>
      <c r="BA49" s="44"/>
      <c r="BB49" s="85" t="str">
        <f>+AS31</f>
        <v>Integración y pruebas</v>
      </c>
      <c r="BC49" s="29"/>
      <c r="BD49" s="22"/>
      <c r="BE49" s="22"/>
      <c r="BF49" s="22"/>
      <c r="BG49" s="32">
        <v>1</v>
      </c>
      <c r="BH49" s="121">
        <f t="shared" si="54"/>
        <v>1</v>
      </c>
      <c r="BI49" s="278" t="s">
        <v>98</v>
      </c>
      <c r="BJ49" s="279"/>
    </row>
    <row r="50" spans="2:62" x14ac:dyDescent="0.25">
      <c r="B50" s="75"/>
      <c r="C50" s="43"/>
      <c r="D50" s="44"/>
      <c r="E50" s="44"/>
      <c r="F50" s="44"/>
      <c r="G50" s="44"/>
      <c r="H50" s="44"/>
      <c r="I50" s="44"/>
      <c r="J50" s="44"/>
      <c r="K50" s="44"/>
      <c r="L50" s="44"/>
      <c r="M50" s="219" t="str">
        <f t="shared" si="50"/>
        <v>Corrección de Errores</v>
      </c>
      <c r="N50" s="10">
        <f>+W50*$AB$32</f>
        <v>0</v>
      </c>
      <c r="O50" s="10">
        <f t="shared" ref="O50:S50" si="59">+X50*$AB$32</f>
        <v>0</v>
      </c>
      <c r="P50" s="10">
        <f t="shared" si="59"/>
        <v>2.2524752475247524E-2</v>
      </c>
      <c r="Q50" s="10">
        <f t="shared" si="59"/>
        <v>8.0445544554455448E-3</v>
      </c>
      <c r="R50" s="10">
        <f t="shared" si="59"/>
        <v>1.608910891089109E-3</v>
      </c>
      <c r="S50" s="10">
        <f t="shared" si="59"/>
        <v>3.2178217821782179E-2</v>
      </c>
      <c r="T50" s="86"/>
      <c r="U50" s="44"/>
      <c r="V50" s="116" t="str">
        <f t="shared" si="56"/>
        <v>Corrección de Errores</v>
      </c>
      <c r="W50" s="17"/>
      <c r="X50" s="10"/>
      <c r="Y50" s="239">
        <v>0.7</v>
      </c>
      <c r="Z50" s="237">
        <v>0.25</v>
      </c>
      <c r="AA50" s="238">
        <v>0.05</v>
      </c>
      <c r="AB50" s="65">
        <f t="shared" si="52"/>
        <v>1</v>
      </c>
      <c r="AC50" s="44"/>
      <c r="AD50" s="76"/>
      <c r="AH50" s="132"/>
      <c r="AI50" s="43"/>
      <c r="AJ50" s="273"/>
      <c r="AK50" s="273"/>
      <c r="AL50" s="273"/>
      <c r="AM50" s="273"/>
      <c r="AN50" s="273"/>
      <c r="AO50" s="273"/>
      <c r="AP50" s="273"/>
      <c r="AQ50" s="273"/>
      <c r="AR50" s="44"/>
      <c r="AS50" s="85"/>
      <c r="AT50" s="10"/>
      <c r="AU50" s="10"/>
      <c r="AV50" s="10"/>
      <c r="AW50" s="10"/>
      <c r="AX50" s="10"/>
      <c r="AY50" s="10"/>
      <c r="AZ50" s="86"/>
      <c r="BA50" s="44"/>
      <c r="BB50" s="85"/>
      <c r="BC50" s="29"/>
      <c r="BD50" s="22"/>
      <c r="BE50" s="22"/>
      <c r="BF50" s="22"/>
      <c r="BG50" s="32"/>
      <c r="BH50" s="121"/>
      <c r="BI50" s="278"/>
      <c r="BJ50" s="279"/>
    </row>
    <row r="51" spans="2:62" x14ac:dyDescent="0.25">
      <c r="B51" s="75"/>
      <c r="C51" s="43"/>
      <c r="D51" s="44"/>
      <c r="E51" s="44"/>
      <c r="F51" s="44"/>
      <c r="G51" s="44"/>
      <c r="H51" s="44"/>
      <c r="I51" s="44"/>
      <c r="J51" s="44"/>
      <c r="K51" s="44"/>
      <c r="L51" s="44"/>
      <c r="M51" s="219" t="str">
        <f t="shared" si="50"/>
        <v>Lanzamiento a Productivo</v>
      </c>
      <c r="N51" s="10">
        <f>+W51*$AB$33</f>
        <v>0</v>
      </c>
      <c r="O51" s="10">
        <f t="shared" ref="O51:S51" si="60">+X51*$AB$33</f>
        <v>0</v>
      </c>
      <c r="P51" s="10">
        <f t="shared" si="60"/>
        <v>3.9603960396039604E-3</v>
      </c>
      <c r="Q51" s="10">
        <f t="shared" si="60"/>
        <v>4.9504950495049506E-4</v>
      </c>
      <c r="R51" s="10">
        <f t="shared" si="60"/>
        <v>4.9504950495049506E-4</v>
      </c>
      <c r="S51" s="10">
        <f t="shared" si="60"/>
        <v>4.9504950495049506E-3</v>
      </c>
      <c r="T51" s="86"/>
      <c r="U51" s="44"/>
      <c r="V51" s="116" t="str">
        <f t="shared" si="56"/>
        <v>Lanzamiento a Productivo</v>
      </c>
      <c r="W51" s="17"/>
      <c r="X51" s="10"/>
      <c r="Y51" s="239">
        <v>0.8</v>
      </c>
      <c r="Z51" s="237">
        <v>0.1</v>
      </c>
      <c r="AA51" s="238">
        <v>0.1</v>
      </c>
      <c r="AB51" s="65">
        <f t="shared" si="52"/>
        <v>1</v>
      </c>
      <c r="AC51" s="44"/>
      <c r="AD51" s="76"/>
      <c r="AH51" s="132"/>
      <c r="AI51" s="43"/>
      <c r="AJ51" s="273"/>
      <c r="AK51" s="273"/>
      <c r="AL51" s="273"/>
      <c r="AM51" s="273"/>
      <c r="AN51" s="273"/>
      <c r="AO51" s="273"/>
      <c r="AP51" s="273"/>
      <c r="AQ51" s="273"/>
      <c r="AR51" s="44"/>
      <c r="AS51" s="85"/>
      <c r="AT51" s="10"/>
      <c r="AU51" s="10"/>
      <c r="AV51" s="10"/>
      <c r="AW51" s="10"/>
      <c r="AX51" s="10"/>
      <c r="AY51" s="10"/>
      <c r="AZ51" s="86"/>
      <c r="BA51" s="44"/>
      <c r="BB51" s="85"/>
      <c r="BC51" s="29"/>
      <c r="BD51" s="22"/>
      <c r="BE51" s="22"/>
      <c r="BF51" s="22"/>
      <c r="BG51" s="32"/>
      <c r="BH51" s="121"/>
      <c r="BI51" s="278"/>
      <c r="BJ51" s="279"/>
    </row>
    <row r="52" spans="2:62" x14ac:dyDescent="0.25">
      <c r="B52" s="75"/>
      <c r="C52" s="43"/>
      <c r="D52" s="44"/>
      <c r="E52" s="44"/>
      <c r="F52" s="44"/>
      <c r="G52" s="44"/>
      <c r="H52" s="44"/>
      <c r="I52" s="44"/>
      <c r="J52" s="44"/>
      <c r="K52" s="44"/>
      <c r="L52" s="44"/>
      <c r="M52" s="219" t="str">
        <f t="shared" si="50"/>
        <v>Ejemplo: Infraestructura (SW o HW)</v>
      </c>
      <c r="N52" s="10">
        <f>+W34*$W$52</f>
        <v>0</v>
      </c>
      <c r="O52" s="10">
        <f t="shared" ref="O52:S52" si="61">+X34*$W$52</f>
        <v>0</v>
      </c>
      <c r="P52" s="10">
        <f t="shared" si="61"/>
        <v>0</v>
      </c>
      <c r="Q52" s="10">
        <f t="shared" si="61"/>
        <v>0</v>
      </c>
      <c r="R52" s="10">
        <f t="shared" si="61"/>
        <v>0</v>
      </c>
      <c r="S52" s="10">
        <f t="shared" si="61"/>
        <v>0</v>
      </c>
      <c r="T52" s="86"/>
      <c r="U52" s="44"/>
      <c r="V52" s="116" t="str">
        <f t="shared" si="56"/>
        <v>Ejemplo: Infraestructura (SW o HW)</v>
      </c>
      <c r="W52" s="240">
        <v>1</v>
      </c>
      <c r="X52" s="10"/>
      <c r="Y52" s="10"/>
      <c r="Z52" s="10"/>
      <c r="AA52" s="18"/>
      <c r="AB52" s="65">
        <f t="shared" si="52"/>
        <v>1</v>
      </c>
      <c r="AC52" s="44"/>
      <c r="AD52" s="76"/>
      <c r="AH52" s="132"/>
      <c r="AI52" s="43"/>
      <c r="AJ52" s="273"/>
      <c r="AK52" s="273"/>
      <c r="AL52" s="273"/>
      <c r="AM52" s="273"/>
      <c r="AN52" s="273"/>
      <c r="AO52" s="273"/>
      <c r="AP52" s="273"/>
      <c r="AQ52" s="273"/>
      <c r="AR52" s="44"/>
      <c r="AS52" s="85"/>
      <c r="AT52" s="10"/>
      <c r="AU52" s="10"/>
      <c r="AV52" s="10"/>
      <c r="AW52" s="10"/>
      <c r="AX52" s="10"/>
      <c r="AY52" s="10"/>
      <c r="AZ52" s="86"/>
      <c r="BA52" s="44"/>
      <c r="BB52" s="85"/>
      <c r="BC52" s="29"/>
      <c r="BD52" s="22"/>
      <c r="BE52" s="22"/>
      <c r="BF52" s="22"/>
      <c r="BG52" s="32"/>
      <c r="BH52" s="121"/>
      <c r="BI52" s="278"/>
      <c r="BJ52" s="279"/>
    </row>
    <row r="53" spans="2:62" x14ac:dyDescent="0.25">
      <c r="B53" s="75"/>
      <c r="C53" s="43"/>
      <c r="D53" s="44"/>
      <c r="E53" s="44"/>
      <c r="F53" s="44"/>
      <c r="G53" s="44"/>
      <c r="H53" s="44"/>
      <c r="I53" s="44"/>
      <c r="J53" s="44"/>
      <c r="K53" s="44"/>
      <c r="L53" s="44"/>
      <c r="M53" s="219" t="str">
        <f t="shared" si="50"/>
        <v>Ejemplo: Costos Fijos (Luz, Agua, servicios)</v>
      </c>
      <c r="N53" s="10">
        <f>+W53*$AB$35</f>
        <v>0</v>
      </c>
      <c r="O53" s="10">
        <f t="shared" ref="O53:S53" si="62">+X53*$AB$35</f>
        <v>0</v>
      </c>
      <c r="P53" s="10">
        <f t="shared" si="62"/>
        <v>0</v>
      </c>
      <c r="Q53" s="10">
        <f t="shared" si="62"/>
        <v>0</v>
      </c>
      <c r="R53" s="10">
        <f t="shared" si="62"/>
        <v>0</v>
      </c>
      <c r="S53" s="10">
        <f t="shared" si="62"/>
        <v>0</v>
      </c>
      <c r="T53" s="86"/>
      <c r="U53" s="44"/>
      <c r="V53" s="116" t="str">
        <f t="shared" si="56"/>
        <v>Ejemplo: Costos Fijos (Luz, Agua, servicios)</v>
      </c>
      <c r="W53" s="17">
        <v>0</v>
      </c>
      <c r="X53" s="10">
        <v>0</v>
      </c>
      <c r="Y53" s="10">
        <v>0</v>
      </c>
      <c r="Z53" s="10">
        <v>0</v>
      </c>
      <c r="AA53" s="18">
        <v>0</v>
      </c>
      <c r="AB53" s="65">
        <f t="shared" si="52"/>
        <v>0</v>
      </c>
      <c r="AC53" s="44"/>
      <c r="AD53" s="76"/>
      <c r="AH53" s="132"/>
      <c r="AI53" s="43"/>
      <c r="AJ53" s="273"/>
      <c r="AK53" s="273"/>
      <c r="AL53" s="273"/>
      <c r="AM53" s="273"/>
      <c r="AN53" s="273"/>
      <c r="AO53" s="273"/>
      <c r="AP53" s="273"/>
      <c r="AQ53" s="273"/>
      <c r="AR53" s="44"/>
      <c r="AS53" s="85"/>
      <c r="AT53" s="10"/>
      <c r="AU53" s="10"/>
      <c r="AV53" s="10"/>
      <c r="AW53" s="10"/>
      <c r="AX53" s="10"/>
      <c r="AY53" s="10"/>
      <c r="AZ53" s="86"/>
      <c r="BA53" s="44"/>
      <c r="BB53" s="85"/>
      <c r="BC53" s="29"/>
      <c r="BD53" s="22"/>
      <c r="BE53" s="22"/>
      <c r="BF53" s="22"/>
      <c r="BG53" s="32"/>
      <c r="BH53" s="121"/>
      <c r="BI53" s="278"/>
      <c r="BJ53" s="279"/>
    </row>
    <row r="54" spans="2:62" x14ac:dyDescent="0.25">
      <c r="B54" s="75"/>
      <c r="C54" s="43"/>
      <c r="D54" s="44"/>
      <c r="E54" s="44"/>
      <c r="F54" s="44"/>
      <c r="G54" s="44"/>
      <c r="H54" s="44"/>
      <c r="I54" s="44"/>
      <c r="J54" s="44"/>
      <c r="K54" s="44"/>
      <c r="L54" s="44"/>
      <c r="M54" s="219" t="str">
        <f t="shared" si="50"/>
        <v>Renta/Improvistos</v>
      </c>
      <c r="N54" s="10">
        <f>+W54*$AB$36</f>
        <v>0.79207920792079212</v>
      </c>
      <c r="O54" s="10">
        <f t="shared" ref="O54:S54" si="63">+X54*$AB$36</f>
        <v>0</v>
      </c>
      <c r="P54" s="10">
        <f t="shared" si="63"/>
        <v>0</v>
      </c>
      <c r="Q54" s="10">
        <f t="shared" si="63"/>
        <v>0</v>
      </c>
      <c r="R54" s="10">
        <f t="shared" si="63"/>
        <v>0</v>
      </c>
      <c r="S54" s="10">
        <f t="shared" si="63"/>
        <v>0.79207920792079212</v>
      </c>
      <c r="T54" s="86"/>
      <c r="U54" s="44"/>
      <c r="V54" s="116" t="str">
        <f t="shared" si="56"/>
        <v>Renta/Improvistos</v>
      </c>
      <c r="W54" s="240">
        <v>1</v>
      </c>
      <c r="X54" s="10"/>
      <c r="Y54" s="10"/>
      <c r="Z54" s="10"/>
      <c r="AA54" s="243"/>
      <c r="AB54" s="65">
        <f t="shared" si="52"/>
        <v>1</v>
      </c>
      <c r="AC54" s="44"/>
      <c r="AD54" s="76"/>
      <c r="AH54" s="132"/>
      <c r="AI54" s="43"/>
      <c r="AJ54" s="273"/>
      <c r="AK54" s="273"/>
      <c r="AL54" s="273"/>
      <c r="AM54" s="273"/>
      <c r="AN54" s="273"/>
      <c r="AO54" s="273"/>
      <c r="AP54" s="273"/>
      <c r="AQ54" s="273"/>
      <c r="AR54" s="44"/>
      <c r="AS54" s="85"/>
      <c r="AT54" s="10"/>
      <c r="AU54" s="10"/>
      <c r="AV54" s="10"/>
      <c r="AW54" s="10"/>
      <c r="AX54" s="10"/>
      <c r="AY54" s="10"/>
      <c r="AZ54" s="86"/>
      <c r="BA54" s="44"/>
      <c r="BB54" s="85"/>
      <c r="BC54" s="29"/>
      <c r="BD54" s="22"/>
      <c r="BE54" s="22"/>
      <c r="BF54" s="22"/>
      <c r="BG54" s="32"/>
      <c r="BH54" s="121"/>
      <c r="BI54" s="278"/>
      <c r="BJ54" s="279"/>
    </row>
    <row r="55" spans="2:62" ht="16.5" thickBot="1" x14ac:dyDescent="0.3">
      <c r="B55" s="75"/>
      <c r="C55" s="43"/>
      <c r="D55" s="44"/>
      <c r="E55" s="44"/>
      <c r="F55" s="44"/>
      <c r="G55" s="44"/>
      <c r="H55" s="44"/>
      <c r="I55" s="44"/>
      <c r="J55" s="44"/>
      <c r="K55" s="44"/>
      <c r="L55" s="44"/>
      <c r="M55" s="219" t="str">
        <f t="shared" si="50"/>
        <v>Salarios</v>
      </c>
      <c r="N55" s="10">
        <f>+W55*$AB$37</f>
        <v>0</v>
      </c>
      <c r="O55" s="10">
        <f t="shared" ref="O55:S55" si="64">+X55*$AB$37</f>
        <v>0</v>
      </c>
      <c r="P55" s="10">
        <f t="shared" si="64"/>
        <v>0</v>
      </c>
      <c r="Q55" s="10">
        <f t="shared" si="64"/>
        <v>0</v>
      </c>
      <c r="R55" s="10">
        <f t="shared" si="64"/>
        <v>0</v>
      </c>
      <c r="S55" s="10">
        <f t="shared" si="64"/>
        <v>0</v>
      </c>
      <c r="T55" s="86"/>
      <c r="U55" s="44"/>
      <c r="V55" s="116" t="str">
        <f t="shared" si="56"/>
        <v>Salarios</v>
      </c>
      <c r="W55" s="241">
        <v>0.6</v>
      </c>
      <c r="X55" s="20"/>
      <c r="Y55" s="20"/>
      <c r="Z55" s="20"/>
      <c r="AA55" s="242">
        <v>0.4</v>
      </c>
      <c r="AB55" s="65">
        <f t="shared" si="52"/>
        <v>1</v>
      </c>
      <c r="AC55" s="44"/>
      <c r="AD55" s="76"/>
      <c r="AH55" s="132"/>
      <c r="AI55" s="43"/>
      <c r="AJ55" s="273"/>
      <c r="AK55" s="273"/>
      <c r="AL55" s="273"/>
      <c r="AM55" s="273"/>
      <c r="AN55" s="273"/>
      <c r="AO55" s="273"/>
      <c r="AP55" s="273"/>
      <c r="AQ55" s="273"/>
      <c r="AR55" s="44"/>
      <c r="AS55" s="85"/>
      <c r="AT55" s="10"/>
      <c r="AU55" s="10"/>
      <c r="AV55" s="10"/>
      <c r="AW55" s="10"/>
      <c r="AX55" s="10"/>
      <c r="AY55" s="10"/>
      <c r="AZ55" s="86"/>
      <c r="BA55" s="44"/>
      <c r="BB55" s="85"/>
      <c r="BC55" s="29"/>
      <c r="BD55" s="22"/>
      <c r="BE55" s="22"/>
      <c r="BF55" s="22"/>
      <c r="BG55" s="32"/>
      <c r="BH55" s="121"/>
      <c r="BI55" s="278"/>
      <c r="BJ55" s="279"/>
    </row>
    <row r="56" spans="2:62" ht="16.5" thickBot="1" x14ac:dyDescent="0.3">
      <c r="B56" s="75"/>
      <c r="C56" s="43"/>
      <c r="D56" s="44"/>
      <c r="E56" s="44"/>
      <c r="F56" s="44"/>
      <c r="G56" s="44"/>
      <c r="H56" s="44"/>
      <c r="I56" s="44"/>
      <c r="J56" s="44"/>
      <c r="K56" s="44"/>
      <c r="L56" s="44"/>
      <c r="M56" s="166" t="str">
        <f t="shared" si="50"/>
        <v>Total Presupuesto</v>
      </c>
      <c r="N56" s="11">
        <f t="shared" ref="N56:S56" si="65">SUM(N46:N55)</f>
        <v>0.81188118811881194</v>
      </c>
      <c r="O56" s="12">
        <f t="shared" si="65"/>
        <v>4.1534653465346537E-2</v>
      </c>
      <c r="P56" s="12">
        <f t="shared" si="65"/>
        <v>7.0445544554455453E-2</v>
      </c>
      <c r="Q56" s="12">
        <f t="shared" si="65"/>
        <v>1.3004950495049506E-2</v>
      </c>
      <c r="R56" s="12">
        <f t="shared" si="65"/>
        <v>3.727722772277228E-3</v>
      </c>
      <c r="S56" s="13">
        <f t="shared" si="65"/>
        <v>0.94059405940594065</v>
      </c>
      <c r="T56" s="86"/>
      <c r="U56" s="44"/>
      <c r="V56" s="85"/>
      <c r="W56" s="44"/>
      <c r="X56" s="87"/>
      <c r="Y56" s="87"/>
      <c r="Z56" s="87"/>
      <c r="AA56" s="87"/>
      <c r="AB56" s="87"/>
      <c r="AC56" s="44"/>
      <c r="AD56" s="76"/>
      <c r="AH56" s="132"/>
      <c r="AI56" s="43"/>
      <c r="AJ56" s="44"/>
      <c r="AK56" s="44"/>
      <c r="AL56" s="44"/>
      <c r="AM56" s="44"/>
      <c r="AN56" s="44"/>
      <c r="AO56" s="44"/>
      <c r="AP56" s="44"/>
      <c r="AQ56" s="44"/>
      <c r="AR56" s="44"/>
      <c r="AS56" s="85" t="str">
        <f>+AJ34</f>
        <v>Total Presupuesto</v>
      </c>
      <c r="AT56" s="11">
        <f>SUM(AT46:AT55)</f>
        <v>0.16012810248198558</v>
      </c>
      <c r="AU56" s="12">
        <f>SUM(AU45:AU55)</f>
        <v>2.8622898318654923E-2</v>
      </c>
      <c r="AV56" s="12">
        <f>SUM(AV46:AV55)</f>
        <v>0.18318654923939151</v>
      </c>
      <c r="AW56" s="12">
        <f>SUM(AW46:AW55)</f>
        <v>0.28622898318654921</v>
      </c>
      <c r="AX56" s="12">
        <f>SUM(AX46:AX55)</f>
        <v>7.44195356285028E-2</v>
      </c>
      <c r="AY56" s="13">
        <f>SUM(AY46:AY55)</f>
        <v>0.65252201761409123</v>
      </c>
      <c r="AZ56" s="86"/>
      <c r="BA56" s="44"/>
      <c r="BB56" s="85"/>
      <c r="BC56" s="44"/>
      <c r="BD56" s="87"/>
      <c r="BE56" s="87"/>
      <c r="BF56" s="87"/>
      <c r="BG56" s="87"/>
      <c r="BH56" s="87"/>
      <c r="BI56" s="44"/>
      <c r="BJ56" s="133"/>
    </row>
    <row r="57" spans="2:62" ht="18" x14ac:dyDescent="0.25">
      <c r="B57" s="75"/>
      <c r="C57" s="43"/>
      <c r="D57" s="44"/>
      <c r="E57" s="44"/>
      <c r="F57" s="44"/>
      <c r="G57" s="44"/>
      <c r="H57" s="44"/>
      <c r="I57" s="44"/>
      <c r="J57" s="44"/>
      <c r="K57" s="44"/>
      <c r="L57" s="44"/>
      <c r="M57" s="47"/>
      <c r="N57" s="44"/>
      <c r="O57" s="44"/>
      <c r="P57" s="44"/>
      <c r="Q57" s="44"/>
      <c r="R57" s="44"/>
      <c r="S57" s="44"/>
      <c r="T57" s="44"/>
      <c r="U57" s="44"/>
      <c r="V57" s="85"/>
      <c r="W57" s="44"/>
      <c r="X57" s="87"/>
      <c r="Y57" s="87"/>
      <c r="Z57" s="87"/>
      <c r="AA57" s="87"/>
      <c r="AB57" s="87"/>
      <c r="AC57" s="44"/>
      <c r="AD57" s="76"/>
      <c r="AH57" s="132"/>
      <c r="AI57" s="43"/>
      <c r="AJ57" s="44"/>
      <c r="AK57" s="44"/>
      <c r="AL57" s="44"/>
      <c r="AM57" s="44"/>
      <c r="AN57" s="44"/>
      <c r="AO57" s="44"/>
      <c r="AP57" s="44"/>
      <c r="AQ57" s="44"/>
      <c r="AR57" s="44"/>
      <c r="AS57" s="47"/>
      <c r="AT57" s="44"/>
      <c r="AU57" s="44"/>
      <c r="AV57" s="44"/>
      <c r="AW57" s="44"/>
      <c r="AX57" s="44"/>
      <c r="AY57" s="44"/>
      <c r="AZ57" s="44"/>
      <c r="BA57" s="44"/>
      <c r="BB57" s="85"/>
      <c r="BC57" s="280" t="s">
        <v>99</v>
      </c>
      <c r="BD57" s="280"/>
      <c r="BE57" s="280"/>
      <c r="BF57" s="280"/>
      <c r="BG57" s="280"/>
      <c r="BH57" s="280"/>
      <c r="BI57" s="280"/>
      <c r="BJ57" s="281"/>
    </row>
    <row r="58" spans="2:62" ht="18" x14ac:dyDescent="0.25">
      <c r="B58" s="75"/>
      <c r="C58" s="43"/>
      <c r="D58" s="47"/>
      <c r="E58" s="44"/>
      <c r="F58" s="44"/>
      <c r="G58" s="44"/>
      <c r="H58" s="44"/>
      <c r="I58" s="44"/>
      <c r="J58" s="44"/>
      <c r="K58" s="44"/>
      <c r="L58" s="44"/>
      <c r="M58" s="44"/>
      <c r="N58" s="44"/>
      <c r="O58" s="44"/>
      <c r="P58" s="44"/>
      <c r="Q58" s="44"/>
      <c r="R58" s="44"/>
      <c r="S58" s="44"/>
      <c r="T58" s="44"/>
      <c r="U58" s="44"/>
      <c r="V58" s="44"/>
      <c r="W58" s="44"/>
      <c r="X58" s="87"/>
      <c r="Y58" s="44"/>
      <c r="Z58" s="44"/>
      <c r="AA58" s="44"/>
      <c r="AB58" s="44"/>
      <c r="AC58" s="44"/>
      <c r="AD58" s="76"/>
      <c r="AH58" s="132"/>
      <c r="AI58" s="43"/>
      <c r="AJ58" s="47"/>
      <c r="AK58" s="44"/>
      <c r="AL58" s="44"/>
      <c r="AM58" s="44"/>
      <c r="AN58" s="44"/>
      <c r="AO58" s="44"/>
      <c r="AP58" s="44"/>
      <c r="AQ58" s="44"/>
      <c r="AR58" s="44"/>
      <c r="AS58" s="44"/>
      <c r="AT58" s="44"/>
      <c r="AU58" s="44"/>
      <c r="AV58" s="44"/>
      <c r="AW58" s="44"/>
      <c r="AX58" s="44"/>
      <c r="AY58" s="44"/>
      <c r="AZ58" s="44"/>
      <c r="BA58" s="44"/>
      <c r="BB58" s="44"/>
      <c r="BC58" s="280"/>
      <c r="BD58" s="280"/>
      <c r="BE58" s="280"/>
      <c r="BF58" s="280"/>
      <c r="BG58" s="280"/>
      <c r="BH58" s="280"/>
      <c r="BI58" s="280"/>
      <c r="BJ58" s="281"/>
    </row>
    <row r="59" spans="2:62" ht="18" x14ac:dyDescent="0.25">
      <c r="B59" s="75"/>
      <c r="C59" s="43"/>
      <c r="D59" s="47"/>
      <c r="E59" s="44"/>
      <c r="F59" s="44"/>
      <c r="G59" s="44"/>
      <c r="H59" s="44"/>
      <c r="I59" s="44"/>
      <c r="J59" s="44"/>
      <c r="K59" s="44"/>
      <c r="L59" s="44"/>
      <c r="M59" s="44"/>
      <c r="N59" s="44"/>
      <c r="O59" s="44"/>
      <c r="P59" s="44"/>
      <c r="Q59" s="44"/>
      <c r="R59" s="44"/>
      <c r="S59" s="44"/>
      <c r="T59" s="44"/>
      <c r="U59" s="44"/>
      <c r="V59" s="44"/>
      <c r="W59" s="44"/>
      <c r="X59" s="87"/>
      <c r="Y59" s="44"/>
      <c r="Z59" s="44"/>
      <c r="AA59" s="44"/>
      <c r="AB59" s="44"/>
      <c r="AC59" s="44"/>
      <c r="AD59" s="76"/>
      <c r="AH59" s="132"/>
      <c r="AI59" s="43"/>
      <c r="AJ59" s="47"/>
      <c r="AK59" s="44"/>
      <c r="AL59" s="44"/>
      <c r="AM59" s="44"/>
      <c r="AN59" s="44"/>
      <c r="AO59" s="44"/>
      <c r="AP59" s="44"/>
      <c r="AQ59" s="44"/>
      <c r="AR59" s="44"/>
      <c r="AS59" s="44"/>
      <c r="AT59" s="44"/>
      <c r="AU59" s="44"/>
      <c r="AV59" s="44"/>
      <c r="AW59" s="44"/>
      <c r="AX59" s="44"/>
      <c r="AY59" s="44"/>
      <c r="AZ59" s="44"/>
      <c r="BA59" s="44"/>
      <c r="BB59" s="44"/>
      <c r="BC59" s="280"/>
      <c r="BD59" s="280"/>
      <c r="BE59" s="280"/>
      <c r="BF59" s="280"/>
      <c r="BG59" s="280"/>
      <c r="BH59" s="280"/>
      <c r="BI59" s="280"/>
      <c r="BJ59" s="281"/>
    </row>
    <row r="60" spans="2:62" ht="18" x14ac:dyDescent="0.25">
      <c r="B60" s="75"/>
      <c r="C60" s="43"/>
      <c r="D60" s="47"/>
      <c r="E60" s="44"/>
      <c r="F60" s="44"/>
      <c r="G60" s="44"/>
      <c r="H60" s="44"/>
      <c r="I60" s="44"/>
      <c r="J60" s="44"/>
      <c r="K60" s="44"/>
      <c r="L60" s="44"/>
      <c r="M60" s="44"/>
      <c r="N60" s="44"/>
      <c r="O60" s="44"/>
      <c r="P60" s="44"/>
      <c r="Q60" s="44"/>
      <c r="R60" s="44"/>
      <c r="S60" s="44"/>
      <c r="T60" s="44"/>
      <c r="U60" s="44"/>
      <c r="V60" s="44"/>
      <c r="W60" s="44"/>
      <c r="X60" s="87"/>
      <c r="Y60" s="44"/>
      <c r="Z60" s="44"/>
      <c r="AA60" s="44"/>
      <c r="AB60" s="44"/>
      <c r="AC60" s="44"/>
      <c r="AD60" s="76"/>
      <c r="AH60" s="132"/>
      <c r="AI60" s="43"/>
      <c r="AJ60" s="47"/>
      <c r="AK60" s="44"/>
      <c r="AL60" s="44"/>
      <c r="AM60" s="44"/>
      <c r="AN60" s="44"/>
      <c r="AO60" s="44"/>
      <c r="AP60" s="44"/>
      <c r="AQ60" s="44"/>
      <c r="AR60" s="44"/>
      <c r="AS60" s="44"/>
      <c r="AT60" s="44"/>
      <c r="AU60" s="44"/>
      <c r="AV60" s="44"/>
      <c r="AW60" s="44"/>
      <c r="AX60" s="44"/>
      <c r="AY60" s="44"/>
      <c r="AZ60" s="44"/>
      <c r="BA60" s="44"/>
      <c r="BB60" s="44"/>
      <c r="BC60" s="280"/>
      <c r="BD60" s="280"/>
      <c r="BE60" s="280"/>
      <c r="BF60" s="280"/>
      <c r="BG60" s="280"/>
      <c r="BH60" s="280"/>
      <c r="BI60" s="280"/>
      <c r="BJ60" s="281"/>
    </row>
    <row r="61" spans="2:62" ht="18" x14ac:dyDescent="0.25">
      <c r="B61" s="75"/>
      <c r="C61" s="43"/>
      <c r="D61" s="46" t="s">
        <v>6</v>
      </c>
      <c r="E61" s="44"/>
      <c r="F61" s="44"/>
      <c r="G61" s="44"/>
      <c r="H61" s="44"/>
      <c r="I61" s="44"/>
      <c r="J61" s="44"/>
      <c r="K61" s="44"/>
      <c r="L61" s="44"/>
      <c r="M61" s="46"/>
      <c r="N61" s="44"/>
      <c r="O61" s="44"/>
      <c r="P61" s="44"/>
      <c r="Q61" s="44"/>
      <c r="R61" s="44"/>
      <c r="S61" s="44"/>
      <c r="T61" s="44"/>
      <c r="U61" s="44"/>
      <c r="V61" s="44"/>
      <c r="W61" s="44"/>
      <c r="X61" s="44"/>
      <c r="Y61" s="44"/>
      <c r="Z61" s="44"/>
      <c r="AA61" s="44"/>
      <c r="AB61" s="44"/>
      <c r="AC61" s="44"/>
      <c r="AD61" s="76"/>
      <c r="AH61" s="132"/>
      <c r="AI61" s="43"/>
      <c r="AJ61" s="46" t="s">
        <v>6</v>
      </c>
      <c r="AK61" s="44"/>
      <c r="AL61" s="44"/>
      <c r="AM61" s="44"/>
      <c r="AN61" s="44"/>
      <c r="AO61" s="44"/>
      <c r="AP61" s="44"/>
      <c r="AQ61" s="44"/>
      <c r="AR61" s="44"/>
      <c r="AS61" s="46"/>
      <c r="AT61" s="44"/>
      <c r="AU61" s="44"/>
      <c r="AV61" s="44"/>
      <c r="AW61" s="44"/>
      <c r="AX61" s="44"/>
      <c r="AY61" s="44"/>
      <c r="AZ61" s="44"/>
      <c r="BA61" s="44"/>
      <c r="BB61" s="44"/>
      <c r="BC61" s="44"/>
      <c r="BD61" s="44"/>
      <c r="BE61" s="44"/>
      <c r="BF61" s="44"/>
      <c r="BG61" s="44"/>
      <c r="BH61" s="44"/>
      <c r="BI61" s="44"/>
      <c r="BJ61" s="133"/>
    </row>
    <row r="62" spans="2:62" ht="16.5" x14ac:dyDescent="0.25">
      <c r="B62" s="75"/>
      <c r="C62" s="43"/>
      <c r="D62" s="88"/>
      <c r="E62" s="44"/>
      <c r="F62" s="44"/>
      <c r="G62" s="44"/>
      <c r="H62" s="44"/>
      <c r="I62" s="44"/>
      <c r="J62" s="44"/>
      <c r="K62" s="44"/>
      <c r="L62" s="44"/>
      <c r="M62" s="44"/>
      <c r="N62" s="44"/>
      <c r="O62" s="44"/>
      <c r="P62" s="44"/>
      <c r="Q62" s="44"/>
      <c r="R62" s="44"/>
      <c r="S62" s="44"/>
      <c r="T62" s="44"/>
      <c r="U62" s="44"/>
      <c r="V62" s="44"/>
      <c r="W62" s="89"/>
      <c r="X62" s="87"/>
      <c r="Y62" s="44"/>
      <c r="Z62" s="44"/>
      <c r="AA62" s="44"/>
      <c r="AB62" s="44"/>
      <c r="AC62" s="44"/>
      <c r="AD62" s="76"/>
      <c r="AH62" s="132"/>
      <c r="AI62" s="43"/>
      <c r="AJ62" s="145" t="s">
        <v>107</v>
      </c>
      <c r="AK62" s="44"/>
      <c r="AL62" s="44"/>
      <c r="AM62" s="44"/>
      <c r="AN62" s="44"/>
      <c r="AO62" s="44"/>
      <c r="AP62" s="44"/>
      <c r="AQ62" s="44"/>
      <c r="AR62" s="44"/>
      <c r="AS62" s="44"/>
      <c r="AT62" s="122" t="s">
        <v>106</v>
      </c>
      <c r="AU62" s="98" t="s">
        <v>110</v>
      </c>
      <c r="AV62" s="44"/>
      <c r="AW62" s="44"/>
      <c r="AX62" s="44"/>
      <c r="AY62" s="44"/>
      <c r="AZ62" s="44"/>
      <c r="BA62" s="44"/>
      <c r="BB62" s="122" t="s">
        <v>105</v>
      </c>
      <c r="BC62" s="98" t="s">
        <v>110</v>
      </c>
      <c r="BD62" s="87"/>
      <c r="BE62" s="44"/>
      <c r="BF62" s="44"/>
      <c r="BG62" s="44"/>
      <c r="BH62" s="44"/>
      <c r="BI62" s="44"/>
      <c r="BJ62" s="133"/>
    </row>
    <row r="63" spans="2:62" ht="18" x14ac:dyDescent="0.25">
      <c r="B63" s="75"/>
      <c r="C63" s="122" t="s">
        <v>154</v>
      </c>
      <c r="D63" s="46" t="s">
        <v>35</v>
      </c>
      <c r="E63" s="44"/>
      <c r="F63" s="44"/>
      <c r="G63" s="44"/>
      <c r="H63" s="44"/>
      <c r="I63" s="44"/>
      <c r="J63" s="44"/>
      <c r="K63" s="44"/>
      <c r="L63" s="122" t="s">
        <v>153</v>
      </c>
      <c r="M63" s="46" t="s">
        <v>36</v>
      </c>
      <c r="N63" s="44"/>
      <c r="O63" s="44"/>
      <c r="P63" s="44"/>
      <c r="Q63" s="44"/>
      <c r="R63" s="44"/>
      <c r="S63" s="44"/>
      <c r="T63" s="44"/>
      <c r="U63" s="122" t="s">
        <v>152</v>
      </c>
      <c r="V63" s="46" t="s">
        <v>37</v>
      </c>
      <c r="W63" s="44"/>
      <c r="X63" s="44"/>
      <c r="Y63" s="44"/>
      <c r="Z63" s="44"/>
      <c r="AA63" s="44"/>
      <c r="AB63" s="44"/>
      <c r="AC63" s="44"/>
      <c r="AD63" s="76"/>
      <c r="AH63" s="132"/>
      <c r="AI63" s="43"/>
      <c r="AJ63" s="103" t="s">
        <v>35</v>
      </c>
      <c r="AK63" s="104"/>
      <c r="AL63" s="98" t="s">
        <v>109</v>
      </c>
      <c r="AM63" s="44"/>
      <c r="AN63" s="44"/>
      <c r="AO63" s="44"/>
      <c r="AP63" s="44"/>
      <c r="AQ63" s="44"/>
      <c r="AR63" s="44"/>
      <c r="AS63" s="103" t="s">
        <v>36</v>
      </c>
      <c r="AT63" s="104"/>
      <c r="AU63" s="104"/>
      <c r="AV63" s="44"/>
      <c r="AW63" s="44"/>
      <c r="AX63" s="44"/>
      <c r="AY63" s="44"/>
      <c r="AZ63" s="44"/>
      <c r="BA63" s="44"/>
      <c r="BB63" s="103" t="s">
        <v>37</v>
      </c>
      <c r="BC63" s="104"/>
      <c r="BD63" s="104"/>
      <c r="BE63" s="104"/>
      <c r="BF63" s="44"/>
      <c r="BG63" s="44"/>
      <c r="BH63" s="44"/>
      <c r="BI63" s="44"/>
      <c r="BJ63" s="133"/>
    </row>
    <row r="64" spans="2:62" ht="18" x14ac:dyDescent="0.25">
      <c r="B64" s="75"/>
      <c r="C64" s="43"/>
      <c r="D64" s="47"/>
      <c r="E64" s="48" t="s">
        <v>1</v>
      </c>
      <c r="F64" s="48" t="s">
        <v>2</v>
      </c>
      <c r="G64" s="48" t="s">
        <v>3</v>
      </c>
      <c r="H64" s="48" t="s">
        <v>4</v>
      </c>
      <c r="I64" s="48" t="s">
        <v>21</v>
      </c>
      <c r="J64" s="48" t="s">
        <v>5</v>
      </c>
      <c r="K64" s="46"/>
      <c r="L64" s="44"/>
      <c r="M64" s="47"/>
      <c r="N64" s="48" t="s">
        <v>1</v>
      </c>
      <c r="O64" s="48" t="s">
        <v>2</v>
      </c>
      <c r="P64" s="48" t="s">
        <v>3</v>
      </c>
      <c r="Q64" s="48" t="s">
        <v>4</v>
      </c>
      <c r="R64" s="48" t="s">
        <v>21</v>
      </c>
      <c r="S64" s="46" t="s">
        <v>5</v>
      </c>
      <c r="T64" s="46"/>
      <c r="U64" s="44"/>
      <c r="V64" s="47"/>
      <c r="W64" s="48" t="s">
        <v>1</v>
      </c>
      <c r="X64" s="48" t="s">
        <v>2</v>
      </c>
      <c r="Y64" s="48" t="s">
        <v>3</v>
      </c>
      <c r="Z64" s="48" t="s">
        <v>4</v>
      </c>
      <c r="AA64" s="48" t="s">
        <v>21</v>
      </c>
      <c r="AB64" s="46" t="s">
        <v>5</v>
      </c>
      <c r="AC64" s="46"/>
      <c r="AD64" s="76"/>
      <c r="AH64" s="132"/>
      <c r="AI64" s="43"/>
      <c r="AJ64" s="47"/>
      <c r="AK64" s="48" t="s">
        <v>1</v>
      </c>
      <c r="AL64" s="48" t="s">
        <v>2</v>
      </c>
      <c r="AM64" s="48" t="s">
        <v>3</v>
      </c>
      <c r="AN64" s="48" t="s">
        <v>4</v>
      </c>
      <c r="AO64" s="48" t="s">
        <v>21</v>
      </c>
      <c r="AP64" s="48" t="s">
        <v>5</v>
      </c>
      <c r="AQ64" s="46"/>
      <c r="AR64" s="44"/>
      <c r="AS64" s="47"/>
      <c r="AT64" s="48" t="s">
        <v>1</v>
      </c>
      <c r="AU64" s="48" t="s">
        <v>2</v>
      </c>
      <c r="AV64" s="48" t="s">
        <v>3</v>
      </c>
      <c r="AW64" s="48" t="s">
        <v>4</v>
      </c>
      <c r="AX64" s="48" t="s">
        <v>21</v>
      </c>
      <c r="AY64" s="46" t="s">
        <v>5</v>
      </c>
      <c r="AZ64" s="46"/>
      <c r="BA64" s="44"/>
      <c r="BB64" s="47"/>
      <c r="BC64" s="48" t="s">
        <v>1</v>
      </c>
      <c r="BD64" s="48" t="s">
        <v>2</v>
      </c>
      <c r="BE64" s="48" t="s">
        <v>3</v>
      </c>
      <c r="BF64" s="48" t="s">
        <v>4</v>
      </c>
      <c r="BG64" s="48" t="s">
        <v>21</v>
      </c>
      <c r="BH64" s="46" t="s">
        <v>5</v>
      </c>
      <c r="BI64" s="46"/>
      <c r="BJ64" s="133"/>
    </row>
    <row r="65" spans="2:62" ht="18" x14ac:dyDescent="0.25">
      <c r="B65" s="75"/>
      <c r="C65" s="43">
        <f>+C8</f>
        <v>1</v>
      </c>
      <c r="D65" s="218" t="str">
        <f>+D8</f>
        <v>Análisis Factibilidad, Planes</v>
      </c>
      <c r="E65" s="5">
        <f>(+N65*$W$20)+(W65*$W$19)+(N75*$W$21)+(N76*$W$23)+(N77*$W$22)</f>
        <v>3100</v>
      </c>
      <c r="F65" s="5">
        <f t="shared" ref="F65:J65" si="66">(+O65*$W$20)+(X65*$W$19)+(O75*$W$21)+(O76*$W$23)+(O77*$W$22)</f>
        <v>1000</v>
      </c>
      <c r="G65" s="5">
        <f t="shared" si="66"/>
        <v>0</v>
      </c>
      <c r="H65" s="5">
        <f t="shared" si="66"/>
        <v>0</v>
      </c>
      <c r="I65" s="5">
        <f t="shared" si="66"/>
        <v>0</v>
      </c>
      <c r="J65" s="5">
        <f t="shared" si="66"/>
        <v>4100</v>
      </c>
      <c r="K65" s="50">
        <f>+J65/($J$14*19)</f>
        <v>0.14385964912280702</v>
      </c>
      <c r="L65" s="43">
        <f>+C65</f>
        <v>1</v>
      </c>
      <c r="M65" s="216" t="str">
        <f>+D65</f>
        <v>Análisis Factibilidad, Planes</v>
      </c>
      <c r="N65" s="5">
        <v>31</v>
      </c>
      <c r="O65" s="5">
        <v>10</v>
      </c>
      <c r="P65" s="5">
        <v>0</v>
      </c>
      <c r="Q65" s="5">
        <v>0</v>
      </c>
      <c r="R65" s="5">
        <v>0</v>
      </c>
      <c r="S65" s="5">
        <f t="shared" ref="S65:S70" si="67">SUM(N65:R65)</f>
        <v>41</v>
      </c>
      <c r="T65" s="50"/>
      <c r="U65" s="43">
        <f>+L65</f>
        <v>1</v>
      </c>
      <c r="V65" s="216" t="str">
        <f>+M65</f>
        <v>Análisis Factibilidad, Planes</v>
      </c>
      <c r="W65" s="5">
        <v>0</v>
      </c>
      <c r="X65" s="5">
        <v>0</v>
      </c>
      <c r="Y65" s="5">
        <v>0</v>
      </c>
      <c r="Z65" s="5">
        <v>0</v>
      </c>
      <c r="AA65" s="5">
        <v>0</v>
      </c>
      <c r="AB65" s="5">
        <f t="shared" ref="AB65:AB70" si="68">SUM(W65:AA65)</f>
        <v>0</v>
      </c>
      <c r="AC65" s="50"/>
      <c r="AD65" s="76"/>
      <c r="AH65" s="132"/>
      <c r="AI65" s="43">
        <v>1</v>
      </c>
      <c r="AJ65" s="49" t="s">
        <v>29</v>
      </c>
      <c r="AK65" s="5">
        <f>(+AT65*$BC$20)+(BC65*$BC$19)</f>
        <v>30000</v>
      </c>
      <c r="AL65" s="5">
        <f t="shared" ref="AL65:AL67" si="69">(+AU65*$BC$20)+(BD65*$BC$19)</f>
        <v>0</v>
      </c>
      <c r="AM65" s="5">
        <f t="shared" ref="AM65:AM67" si="70">(+AV65*$BC$20)+(BE65*$BC$19)</f>
        <v>0</v>
      </c>
      <c r="AN65" s="5">
        <f t="shared" ref="AN65:AN67" si="71">(+AW65*$BC$20)+(BF65*$BC$19)</f>
        <v>0</v>
      </c>
      <c r="AO65" s="5">
        <f t="shared" ref="AO65:AO67" si="72">(+AX65*$BC$20)+(BG65*$BC$19)</f>
        <v>0</v>
      </c>
      <c r="AP65" s="5">
        <f t="shared" ref="AP65:AP67" si="73">(+AY65*$BC$20)+(BH65*$BC$19)</f>
        <v>30000</v>
      </c>
      <c r="AQ65" s="101">
        <f>+AP65/$AP$12</f>
        <v>0.12658227848101267</v>
      </c>
      <c r="AR65" s="252" t="s">
        <v>116</v>
      </c>
      <c r="AS65" s="52">
        <f>+AI65</f>
        <v>1</v>
      </c>
      <c r="AT65" s="5">
        <f>8*5*1.5</f>
        <v>60</v>
      </c>
      <c r="AU65" s="5"/>
      <c r="AV65" s="5"/>
      <c r="AW65" s="5"/>
      <c r="AX65" s="5"/>
      <c r="AY65" s="5">
        <f>SUM(AT65:AX65)</f>
        <v>60</v>
      </c>
      <c r="AZ65" s="101">
        <f>+AY65/$AY$12</f>
        <v>0.2857142857142857</v>
      </c>
      <c r="BA65" s="252" t="s">
        <v>202</v>
      </c>
      <c r="BB65" s="52">
        <f>+AS65</f>
        <v>1</v>
      </c>
      <c r="BC65" s="5"/>
      <c r="BD65" s="5"/>
      <c r="BE65" s="5"/>
      <c r="BF65" s="5"/>
      <c r="BG65" s="5"/>
      <c r="BH65" s="5">
        <f>SUM(BC65:BG65)</f>
        <v>0</v>
      </c>
      <c r="BI65" s="50">
        <f>+BH65/$BH$12</f>
        <v>0</v>
      </c>
      <c r="BJ65" s="133"/>
    </row>
    <row r="66" spans="2:62" ht="18" x14ac:dyDescent="0.25">
      <c r="B66" s="75"/>
      <c r="C66" s="43">
        <f t="shared" ref="C66:C70" si="74">+C9</f>
        <v>2</v>
      </c>
      <c r="D66" s="218" t="str">
        <f t="shared" ref="D66:D70" si="75">+D9</f>
        <v>Diseño del producto</v>
      </c>
      <c r="E66" s="5">
        <f t="shared" ref="E66:E70" si="76">(+N66*$W$20)+(W66*$W$19)+(N76*$W$21)+(N77*$W$23)+(N78*$W$22)</f>
        <v>2100</v>
      </c>
      <c r="F66" s="5">
        <f t="shared" ref="F66:F70" si="77">(+O66*$W$20)+(X66*$W$19)+(O76*$W$21)+(O77*$W$23)+(O78*$W$22)</f>
        <v>3200</v>
      </c>
      <c r="G66" s="5">
        <f t="shared" ref="G66:G70" si="78">(+P66*$W$20)+(Y66*$W$19)+(P76*$W$21)+(P77*$W$23)+(P78*$W$22)</f>
        <v>0</v>
      </c>
      <c r="H66" s="5">
        <f t="shared" ref="H66:H70" si="79">(+Q66*$W$20)+(Z66*$W$19)+(Q76*$W$21)+(Q77*$W$23)+(Q78*$W$22)</f>
        <v>0</v>
      </c>
      <c r="I66" s="5">
        <f t="shared" ref="I66:I70" si="80">(+R66*$W$20)+(AA66*$W$19)+(R76*$W$21)+(R77*$W$23)+(R78*$W$22)</f>
        <v>0</v>
      </c>
      <c r="J66" s="5">
        <f t="shared" ref="J66:J70" si="81">(+S66*$W$20)+(AB66*$W$19)+(S76*$W$21)+(S77*$W$23)+(S78*$W$22)</f>
        <v>5300</v>
      </c>
      <c r="K66" s="50">
        <f t="shared" ref="K66:K71" si="82">+J66/($J$14*19)</f>
        <v>0.18596491228070175</v>
      </c>
      <c r="L66" s="43">
        <f t="shared" ref="L66:L70" si="83">+C66</f>
        <v>2</v>
      </c>
      <c r="M66" s="216" t="str">
        <f t="shared" ref="M66:M70" si="84">+D66</f>
        <v>Diseño del producto</v>
      </c>
      <c r="N66" s="5">
        <v>21</v>
      </c>
      <c r="O66" s="5">
        <v>32</v>
      </c>
      <c r="P66" s="5">
        <v>0</v>
      </c>
      <c r="Q66" s="5">
        <v>0</v>
      </c>
      <c r="R66" s="5">
        <v>0</v>
      </c>
      <c r="S66" s="5">
        <f t="shared" si="67"/>
        <v>53</v>
      </c>
      <c r="T66" s="50"/>
      <c r="U66" s="43">
        <f t="shared" ref="U66:U70" si="85">+L66</f>
        <v>2</v>
      </c>
      <c r="V66" s="216" t="str">
        <f t="shared" ref="V66:V70" si="86">+M66</f>
        <v>Diseño del producto</v>
      </c>
      <c r="W66" s="5">
        <v>0</v>
      </c>
      <c r="X66" s="5">
        <v>0</v>
      </c>
      <c r="Y66" s="5">
        <v>0</v>
      </c>
      <c r="Z66" s="5">
        <v>0</v>
      </c>
      <c r="AA66" s="5">
        <v>0</v>
      </c>
      <c r="AB66" s="5">
        <f t="shared" si="68"/>
        <v>0</v>
      </c>
      <c r="AC66" s="50"/>
      <c r="AD66" s="76"/>
      <c r="AH66" s="132"/>
      <c r="AI66" s="43">
        <f>+AI65+1</f>
        <v>2</v>
      </c>
      <c r="AJ66" s="49" t="s">
        <v>11</v>
      </c>
      <c r="AK66" s="5">
        <f t="shared" ref="AK66:AK67" si="87">(+AT66*$BC$20)+(BC66*$BC$19)</f>
        <v>24000</v>
      </c>
      <c r="AL66" s="5">
        <f>(+AU66*$BC$20)+(BD66*$BC$19)</f>
        <v>24000</v>
      </c>
      <c r="AM66" s="5">
        <f t="shared" si="70"/>
        <v>0</v>
      </c>
      <c r="AN66" s="5">
        <f t="shared" si="71"/>
        <v>0</v>
      </c>
      <c r="AO66" s="5">
        <f t="shared" si="72"/>
        <v>0</v>
      </c>
      <c r="AP66" s="5">
        <f t="shared" si="73"/>
        <v>48000</v>
      </c>
      <c r="AQ66" s="50">
        <f>+AP66/$AP$12</f>
        <v>0.20253164556962025</v>
      </c>
      <c r="AR66" s="253"/>
      <c r="AS66" s="52">
        <f>+AI66</f>
        <v>2</v>
      </c>
      <c r="AT66" s="5">
        <f>8*3*2</f>
        <v>48</v>
      </c>
      <c r="AU66" s="5">
        <f>8*3*2</f>
        <v>48</v>
      </c>
      <c r="AV66" s="5"/>
      <c r="AW66" s="5"/>
      <c r="AX66" s="5"/>
      <c r="AY66" s="5">
        <f>SUM(AT66:AX66)</f>
        <v>96</v>
      </c>
      <c r="AZ66" s="50">
        <f>+AY66/$AY$12</f>
        <v>0.45714285714285713</v>
      </c>
      <c r="BA66" s="282"/>
      <c r="BB66" s="52">
        <f>+AS66</f>
        <v>2</v>
      </c>
      <c r="BC66" s="5"/>
      <c r="BD66" s="5"/>
      <c r="BE66" s="5"/>
      <c r="BF66" s="5"/>
      <c r="BG66" s="5"/>
      <c r="BH66" s="5">
        <f>SUM(BC66:BG66)</f>
        <v>0</v>
      </c>
      <c r="BI66" s="50">
        <f>+BH66/$BH$12</f>
        <v>0</v>
      </c>
      <c r="BJ66" s="133"/>
    </row>
    <row r="67" spans="2:62" ht="18" x14ac:dyDescent="0.25">
      <c r="B67" s="75"/>
      <c r="C67" s="43">
        <f t="shared" si="74"/>
        <v>3</v>
      </c>
      <c r="D67" s="218" t="str">
        <f t="shared" si="75"/>
        <v>Programación</v>
      </c>
      <c r="E67" s="5">
        <f t="shared" si="76"/>
        <v>0</v>
      </c>
      <c r="F67" s="5">
        <f t="shared" si="77"/>
        <v>1000</v>
      </c>
      <c r="G67" s="5">
        <f t="shared" si="78"/>
        <v>4200</v>
      </c>
      <c r="H67" s="5">
        <f t="shared" si="79"/>
        <v>1100</v>
      </c>
      <c r="I67" s="5">
        <f t="shared" si="80"/>
        <v>0</v>
      </c>
      <c r="J67" s="5">
        <f t="shared" si="81"/>
        <v>6300</v>
      </c>
      <c r="K67" s="50">
        <f t="shared" si="82"/>
        <v>0.22105263157894736</v>
      </c>
      <c r="L67" s="43">
        <f t="shared" si="83"/>
        <v>3</v>
      </c>
      <c r="M67" s="216" t="str">
        <f t="shared" si="84"/>
        <v>Programación</v>
      </c>
      <c r="N67" s="5">
        <v>0</v>
      </c>
      <c r="O67" s="5">
        <v>10</v>
      </c>
      <c r="P67" s="5">
        <v>42</v>
      </c>
      <c r="Q67" s="5">
        <v>11</v>
      </c>
      <c r="R67" s="5">
        <v>0</v>
      </c>
      <c r="S67" s="5">
        <f t="shared" si="67"/>
        <v>63</v>
      </c>
      <c r="T67" s="50"/>
      <c r="U67" s="43">
        <f t="shared" si="85"/>
        <v>3</v>
      </c>
      <c r="V67" s="216" t="str">
        <f t="shared" si="86"/>
        <v>Programación</v>
      </c>
      <c r="W67" s="5">
        <v>0</v>
      </c>
      <c r="X67" s="5">
        <v>42</v>
      </c>
      <c r="Y67" s="5">
        <v>32</v>
      </c>
      <c r="Z67" s="5">
        <v>0</v>
      </c>
      <c r="AA67" s="5">
        <v>0</v>
      </c>
      <c r="AB67" s="5">
        <f t="shared" si="68"/>
        <v>74</v>
      </c>
      <c r="AC67" s="50"/>
      <c r="AD67" s="76"/>
      <c r="AH67" s="132"/>
      <c r="AI67" s="43">
        <f>+AI66+1</f>
        <v>3</v>
      </c>
      <c r="AJ67" s="49" t="s">
        <v>12</v>
      </c>
      <c r="AK67" s="5">
        <f t="shared" si="87"/>
        <v>0</v>
      </c>
      <c r="AL67" s="5">
        <f t="shared" si="69"/>
        <v>19400</v>
      </c>
      <c r="AM67" s="5">
        <f t="shared" si="70"/>
        <v>46000</v>
      </c>
      <c r="AN67" s="5">
        <f t="shared" si="71"/>
        <v>66000</v>
      </c>
      <c r="AO67" s="5">
        <f t="shared" si="72"/>
        <v>21200</v>
      </c>
      <c r="AP67" s="5">
        <f t="shared" si="73"/>
        <v>152600</v>
      </c>
      <c r="AQ67" s="50">
        <f>+AP67/$AP$12</f>
        <v>0.64388185654008434</v>
      </c>
      <c r="AR67" s="148"/>
      <c r="AS67" s="52">
        <f>+AI67</f>
        <v>3</v>
      </c>
      <c r="AT67" s="5"/>
      <c r="AU67" s="5">
        <f>5*2</f>
        <v>10</v>
      </c>
      <c r="AV67" s="5">
        <f>4*5</f>
        <v>20</v>
      </c>
      <c r="AW67" s="5">
        <f>4*9</f>
        <v>36</v>
      </c>
      <c r="AX67" s="5">
        <f>5*2</f>
        <v>10</v>
      </c>
      <c r="AY67" s="5">
        <f>SUM(AT67:AX67)</f>
        <v>76</v>
      </c>
      <c r="AZ67" s="50">
        <f>+AY67/$AY$12</f>
        <v>0.3619047619047619</v>
      </c>
      <c r="BA67" s="282"/>
      <c r="BB67" s="52">
        <f>+AS67</f>
        <v>3</v>
      </c>
      <c r="BC67" s="5"/>
      <c r="BD67" s="5">
        <f>3*8*2</f>
        <v>48</v>
      </c>
      <c r="BE67" s="5">
        <f>3*8*5</f>
        <v>120</v>
      </c>
      <c r="BF67" s="5">
        <f>4*8*5</f>
        <v>160</v>
      </c>
      <c r="BG67" s="5">
        <f>3*9*2</f>
        <v>54</v>
      </c>
      <c r="BH67" s="5">
        <f>SUM(BC67:BG67)</f>
        <v>382</v>
      </c>
      <c r="BI67" s="50">
        <f>+BH67/$BH$12</f>
        <v>0.86818181818181817</v>
      </c>
      <c r="BJ67" s="133"/>
    </row>
    <row r="68" spans="2:62" ht="18.75" thickBot="1" x14ac:dyDescent="0.3">
      <c r="B68" s="75"/>
      <c r="C68" s="43">
        <f t="shared" si="74"/>
        <v>4</v>
      </c>
      <c r="D68" s="218" t="str">
        <f t="shared" si="75"/>
        <v>Pruebas (Testging)</v>
      </c>
      <c r="E68" s="5">
        <f t="shared" si="76"/>
        <v>0</v>
      </c>
      <c r="F68" s="5">
        <f t="shared" si="77"/>
        <v>0</v>
      </c>
      <c r="G68" s="5">
        <f t="shared" si="78"/>
        <v>1000</v>
      </c>
      <c r="H68" s="5">
        <f t="shared" si="79"/>
        <v>1600</v>
      </c>
      <c r="I68" s="5">
        <f t="shared" si="80"/>
        <v>1100</v>
      </c>
      <c r="J68" s="5">
        <f t="shared" si="81"/>
        <v>3700</v>
      </c>
      <c r="K68" s="50">
        <f t="shared" si="82"/>
        <v>0.12982456140350876</v>
      </c>
      <c r="L68" s="43">
        <f t="shared" si="83"/>
        <v>4</v>
      </c>
      <c r="M68" s="216" t="str">
        <f t="shared" si="84"/>
        <v>Pruebas (Testging)</v>
      </c>
      <c r="N68" s="5">
        <v>0</v>
      </c>
      <c r="O68" s="5">
        <v>0</v>
      </c>
      <c r="P68" s="5">
        <v>10</v>
      </c>
      <c r="Q68" s="5">
        <v>16</v>
      </c>
      <c r="R68" s="5">
        <v>11</v>
      </c>
      <c r="S68" s="5">
        <f t="shared" si="67"/>
        <v>37</v>
      </c>
      <c r="T68" s="50"/>
      <c r="U68" s="43">
        <f t="shared" si="85"/>
        <v>4</v>
      </c>
      <c r="V68" s="216" t="str">
        <f t="shared" si="86"/>
        <v>Pruebas (Testging)</v>
      </c>
      <c r="W68" s="5">
        <v>0</v>
      </c>
      <c r="X68" s="5">
        <v>0</v>
      </c>
      <c r="Y68" s="5">
        <v>11</v>
      </c>
      <c r="Z68" s="5">
        <v>16</v>
      </c>
      <c r="AA68" s="5">
        <v>16</v>
      </c>
      <c r="AB68" s="5">
        <f t="shared" si="68"/>
        <v>43</v>
      </c>
      <c r="AC68" s="50"/>
      <c r="AD68" s="76"/>
      <c r="AH68" s="132"/>
      <c r="AI68" s="43">
        <f>+AI67+1</f>
        <v>4</v>
      </c>
      <c r="AJ68" s="49" t="s">
        <v>13</v>
      </c>
      <c r="AK68" s="5">
        <f t="shared" ref="AK68:AP68" si="88">(+AT68*$BC$20)+(BC68*$BC$19)</f>
        <v>0</v>
      </c>
      <c r="AL68" s="5">
        <f t="shared" si="88"/>
        <v>0</v>
      </c>
      <c r="AM68" s="5">
        <f t="shared" si="88"/>
        <v>0</v>
      </c>
      <c r="AN68" s="5">
        <f t="shared" si="88"/>
        <v>0</v>
      </c>
      <c r="AO68" s="5">
        <f t="shared" si="88"/>
        <v>34000</v>
      </c>
      <c r="AP68" s="5">
        <f t="shared" si="88"/>
        <v>34000</v>
      </c>
      <c r="AQ68" s="50">
        <f>+AP68/$AP$12</f>
        <v>0.14345991561181434</v>
      </c>
      <c r="AR68" s="212"/>
      <c r="AS68" s="52">
        <f>+AI68</f>
        <v>4</v>
      </c>
      <c r="AT68" s="5"/>
      <c r="AU68" s="5"/>
      <c r="AV68" s="5"/>
      <c r="AW68" s="5"/>
      <c r="AX68" s="5">
        <f>5*4</f>
        <v>20</v>
      </c>
      <c r="AY68" s="5">
        <f>SUM(AT68:AX68)</f>
        <v>20</v>
      </c>
      <c r="AZ68" s="50"/>
      <c r="BA68" s="282"/>
      <c r="BB68" s="52">
        <f>+AS68</f>
        <v>4</v>
      </c>
      <c r="BC68" s="5"/>
      <c r="BD68" s="5"/>
      <c r="BE68" s="5"/>
      <c r="BF68" s="5"/>
      <c r="BG68" s="5">
        <f>2*8*5</f>
        <v>80</v>
      </c>
      <c r="BH68" s="5">
        <f>SUM(BC68:BG68)</f>
        <v>80</v>
      </c>
      <c r="BI68" s="50">
        <f>+BH68/$BH$12</f>
        <v>0.18181818181818182</v>
      </c>
      <c r="BJ68" s="133"/>
    </row>
    <row r="69" spans="2:62" ht="18.75" thickBot="1" x14ac:dyDescent="0.3">
      <c r="B69" s="75"/>
      <c r="C69" s="43">
        <f t="shared" si="74"/>
        <v>5</v>
      </c>
      <c r="D69" s="218" t="str">
        <f t="shared" si="75"/>
        <v>Corrección de Errores</v>
      </c>
      <c r="E69" s="5">
        <f t="shared" si="76"/>
        <v>0</v>
      </c>
      <c r="F69" s="5">
        <f t="shared" si="77"/>
        <v>0</v>
      </c>
      <c r="G69" s="5">
        <f t="shared" si="78"/>
        <v>0</v>
      </c>
      <c r="H69" s="5">
        <f t="shared" si="79"/>
        <v>2600</v>
      </c>
      <c r="I69" s="5">
        <f t="shared" si="80"/>
        <v>2100</v>
      </c>
      <c r="J69" s="5">
        <f t="shared" si="81"/>
        <v>4700</v>
      </c>
      <c r="K69" s="50">
        <f t="shared" si="82"/>
        <v>0.1649122807017544</v>
      </c>
      <c r="L69" s="43">
        <f t="shared" si="83"/>
        <v>5</v>
      </c>
      <c r="M69" s="216" t="str">
        <f t="shared" si="84"/>
        <v>Corrección de Errores</v>
      </c>
      <c r="N69" s="5">
        <v>0</v>
      </c>
      <c r="O69" s="5">
        <v>0</v>
      </c>
      <c r="P69" s="5">
        <v>0</v>
      </c>
      <c r="Q69" s="5">
        <v>26</v>
      </c>
      <c r="R69" s="5">
        <v>21</v>
      </c>
      <c r="S69" s="5">
        <f t="shared" si="67"/>
        <v>47</v>
      </c>
      <c r="T69" s="50"/>
      <c r="U69" s="43">
        <f t="shared" si="85"/>
        <v>5</v>
      </c>
      <c r="V69" s="216" t="str">
        <f t="shared" si="86"/>
        <v>Corrección de Errores</v>
      </c>
      <c r="W69" s="5">
        <v>0</v>
      </c>
      <c r="X69" s="5">
        <v>0</v>
      </c>
      <c r="Y69" s="5">
        <v>0</v>
      </c>
      <c r="Z69" s="5">
        <v>26</v>
      </c>
      <c r="AA69" s="5">
        <v>16</v>
      </c>
      <c r="AB69" s="5">
        <f t="shared" si="68"/>
        <v>42</v>
      </c>
      <c r="AC69" s="50"/>
      <c r="AD69" s="76"/>
      <c r="AH69" s="132"/>
      <c r="AI69" s="43"/>
      <c r="AJ69" s="46" t="s">
        <v>24</v>
      </c>
      <c r="AK69" s="7">
        <f t="shared" ref="AK69:AP69" si="89">SUM(AK65:AK68)</f>
        <v>54000</v>
      </c>
      <c r="AL69" s="8">
        <f t="shared" si="89"/>
        <v>43400</v>
      </c>
      <c r="AM69" s="8">
        <f t="shared" si="89"/>
        <v>46000</v>
      </c>
      <c r="AN69" s="8">
        <f t="shared" si="89"/>
        <v>66000</v>
      </c>
      <c r="AO69" s="8">
        <f t="shared" si="89"/>
        <v>55200</v>
      </c>
      <c r="AP69" s="9">
        <f t="shared" si="89"/>
        <v>264600</v>
      </c>
      <c r="AQ69" s="53">
        <f>+AP69/$AP$12</f>
        <v>1.1164556962025316</v>
      </c>
      <c r="AR69" s="212"/>
      <c r="AS69" s="54" t="s">
        <v>27</v>
      </c>
      <c r="AT69" s="7">
        <f t="shared" ref="AT69:AY69" si="90">SUM(AT65:AT68)</f>
        <v>108</v>
      </c>
      <c r="AU69" s="8">
        <f t="shared" si="90"/>
        <v>58</v>
      </c>
      <c r="AV69" s="8">
        <f t="shared" si="90"/>
        <v>20</v>
      </c>
      <c r="AW69" s="8">
        <f t="shared" si="90"/>
        <v>36</v>
      </c>
      <c r="AX69" s="8">
        <f t="shared" si="90"/>
        <v>30</v>
      </c>
      <c r="AY69" s="9">
        <f t="shared" si="90"/>
        <v>252</v>
      </c>
      <c r="AZ69" s="50" t="e">
        <f>+#REF!/$AY$12</f>
        <v>#REF!</v>
      </c>
      <c r="BA69" s="282"/>
      <c r="BB69" s="54" t="s">
        <v>28</v>
      </c>
      <c r="BC69" s="7">
        <f t="shared" ref="BC69:BH69" si="91">SUM(BC65:BC68)</f>
        <v>0</v>
      </c>
      <c r="BD69" s="8">
        <f t="shared" si="91"/>
        <v>48</v>
      </c>
      <c r="BE69" s="8">
        <f t="shared" si="91"/>
        <v>120</v>
      </c>
      <c r="BF69" s="8">
        <f t="shared" si="91"/>
        <v>160</v>
      </c>
      <c r="BG69" s="8">
        <f t="shared" si="91"/>
        <v>134</v>
      </c>
      <c r="BH69" s="9">
        <f t="shared" si="91"/>
        <v>462</v>
      </c>
      <c r="BI69" s="50">
        <f>+BH69/$BH$12</f>
        <v>1.05</v>
      </c>
      <c r="BJ69" s="133"/>
    </row>
    <row r="70" spans="2:62" ht="16.899999999999999" customHeight="1" thickBot="1" x14ac:dyDescent="0.3">
      <c r="B70" s="75"/>
      <c r="C70" s="43">
        <f t="shared" si="74"/>
        <v>6</v>
      </c>
      <c r="D70" s="218" t="str">
        <f t="shared" si="75"/>
        <v>Lanzamiento a Productivo</v>
      </c>
      <c r="E70" s="5">
        <f t="shared" si="76"/>
        <v>0</v>
      </c>
      <c r="F70" s="5">
        <f t="shared" si="77"/>
        <v>0</v>
      </c>
      <c r="G70" s="5">
        <f t="shared" si="78"/>
        <v>0</v>
      </c>
      <c r="H70" s="5">
        <f t="shared" si="79"/>
        <v>0</v>
      </c>
      <c r="I70" s="5">
        <f t="shared" si="80"/>
        <v>2100</v>
      </c>
      <c r="J70" s="5">
        <f t="shared" si="81"/>
        <v>2100</v>
      </c>
      <c r="K70" s="50">
        <f t="shared" si="82"/>
        <v>7.3684210526315783E-2</v>
      </c>
      <c r="L70" s="43">
        <f t="shared" si="83"/>
        <v>6</v>
      </c>
      <c r="M70" s="216" t="str">
        <f t="shared" si="84"/>
        <v>Lanzamiento a Productivo</v>
      </c>
      <c r="N70" s="5">
        <v>0</v>
      </c>
      <c r="O70" s="5">
        <v>0</v>
      </c>
      <c r="P70" s="5">
        <v>0</v>
      </c>
      <c r="Q70" s="5">
        <v>0</v>
      </c>
      <c r="R70" s="5">
        <v>21</v>
      </c>
      <c r="S70" s="6">
        <f t="shared" si="67"/>
        <v>21</v>
      </c>
      <c r="T70" s="50"/>
      <c r="U70" s="43">
        <f t="shared" si="85"/>
        <v>6</v>
      </c>
      <c r="V70" s="216" t="str">
        <f t="shared" si="86"/>
        <v>Lanzamiento a Productivo</v>
      </c>
      <c r="W70" s="5">
        <v>0</v>
      </c>
      <c r="X70" s="5">
        <v>0</v>
      </c>
      <c r="Y70" s="5">
        <v>0</v>
      </c>
      <c r="Z70" s="5">
        <v>0</v>
      </c>
      <c r="AA70" s="5">
        <v>16</v>
      </c>
      <c r="AB70" s="6">
        <f t="shared" si="68"/>
        <v>16</v>
      </c>
      <c r="AC70" s="50"/>
      <c r="AD70" s="76"/>
      <c r="AH70" s="132"/>
      <c r="AI70" s="43"/>
      <c r="AJ70" s="44"/>
      <c r="AK70" s="106">
        <f t="shared" ref="AK70:AP70" si="92">+AK69/$AP$12</f>
        <v>0.22784810126582278</v>
      </c>
      <c r="AL70" s="55">
        <f t="shared" si="92"/>
        <v>0.18312236286919831</v>
      </c>
      <c r="AM70" s="55">
        <f t="shared" si="92"/>
        <v>0.1940928270042194</v>
      </c>
      <c r="AN70" s="55">
        <f t="shared" si="92"/>
        <v>0.27848101265822783</v>
      </c>
      <c r="AO70" s="55">
        <f t="shared" si="92"/>
        <v>0.23291139240506328</v>
      </c>
      <c r="AP70" s="55">
        <f t="shared" si="92"/>
        <v>1.1164556962025316</v>
      </c>
      <c r="AQ70" s="51"/>
      <c r="AR70" s="214" t="s">
        <v>115</v>
      </c>
      <c r="AS70" s="51"/>
      <c r="AT70" s="106">
        <f>+AT69/$AY$12</f>
        <v>0.51428571428571423</v>
      </c>
      <c r="AU70" s="55">
        <f t="shared" ref="AU70:AX70" si="93">+AU69/$AY$12</f>
        <v>0.27619047619047621</v>
      </c>
      <c r="AV70" s="55">
        <f t="shared" si="93"/>
        <v>9.5238095238095233E-2</v>
      </c>
      <c r="AW70" s="55">
        <f t="shared" si="93"/>
        <v>0.17142857142857143</v>
      </c>
      <c r="AX70" s="55">
        <f t="shared" si="93"/>
        <v>0.14285714285714285</v>
      </c>
      <c r="AY70" s="106">
        <f>SUM(AT70:AX70)</f>
        <v>1.2</v>
      </c>
      <c r="AZ70" s="50">
        <f>+AY69/$AY$12</f>
        <v>1.2</v>
      </c>
      <c r="BA70" s="282"/>
      <c r="BC70" s="55">
        <f>+BC69/$BH$12</f>
        <v>0</v>
      </c>
      <c r="BD70" s="55">
        <f t="shared" ref="BD70:BG70" si="94">+BD69/$BH$12</f>
        <v>0.10909090909090909</v>
      </c>
      <c r="BE70" s="55">
        <f t="shared" si="94"/>
        <v>0.27272727272727271</v>
      </c>
      <c r="BF70" s="55">
        <f t="shared" si="94"/>
        <v>0.36363636363636365</v>
      </c>
      <c r="BG70" s="55">
        <f t="shared" si="94"/>
        <v>0.30454545454545456</v>
      </c>
      <c r="BH70" s="106">
        <f>SUM(BC70:BG70)</f>
        <v>1.0499999999999998</v>
      </c>
      <c r="BJ70" s="133"/>
    </row>
    <row r="71" spans="2:62" ht="19.149999999999999" customHeight="1" thickBot="1" x14ac:dyDescent="0.3">
      <c r="B71" s="75"/>
      <c r="C71" s="43"/>
      <c r="D71" s="46" t="s">
        <v>24</v>
      </c>
      <c r="E71" s="7">
        <f t="shared" ref="E71:J71" si="95">SUM(E65:E70)</f>
        <v>5200</v>
      </c>
      <c r="F71" s="8">
        <f t="shared" si="95"/>
        <v>5200</v>
      </c>
      <c r="G71" s="8">
        <f t="shared" si="95"/>
        <v>5200</v>
      </c>
      <c r="H71" s="8">
        <f t="shared" si="95"/>
        <v>5300</v>
      </c>
      <c r="I71" s="8">
        <f t="shared" si="95"/>
        <v>5300</v>
      </c>
      <c r="J71" s="9">
        <f t="shared" si="95"/>
        <v>26200</v>
      </c>
      <c r="K71" s="50">
        <f t="shared" si="82"/>
        <v>0.91929824561403506</v>
      </c>
      <c r="L71" s="51"/>
      <c r="M71" s="54" t="s">
        <v>27</v>
      </c>
      <c r="N71" s="7">
        <f t="shared" ref="N71:S71" si="96">SUM(N65:N70)</f>
        <v>52</v>
      </c>
      <c r="O71" s="8">
        <f t="shared" si="96"/>
        <v>52</v>
      </c>
      <c r="P71" s="8">
        <f t="shared" si="96"/>
        <v>52</v>
      </c>
      <c r="Q71" s="8">
        <f t="shared" si="96"/>
        <v>53</v>
      </c>
      <c r="R71" s="8">
        <f t="shared" si="96"/>
        <v>53</v>
      </c>
      <c r="S71" s="9">
        <f t="shared" si="96"/>
        <v>262</v>
      </c>
      <c r="T71" s="55"/>
      <c r="U71" s="44"/>
      <c r="V71" s="54" t="s">
        <v>28</v>
      </c>
      <c r="W71" s="7">
        <f t="shared" ref="W71:AB71" si="97">SUM(W65:W70)</f>
        <v>0</v>
      </c>
      <c r="X71" s="8">
        <f t="shared" si="97"/>
        <v>42</v>
      </c>
      <c r="Y71" s="8">
        <f t="shared" si="97"/>
        <v>43</v>
      </c>
      <c r="Z71" s="8">
        <f t="shared" si="97"/>
        <v>42</v>
      </c>
      <c r="AA71" s="8">
        <f t="shared" si="97"/>
        <v>48</v>
      </c>
      <c r="AB71" s="9">
        <f t="shared" si="97"/>
        <v>175</v>
      </c>
      <c r="AC71" s="55"/>
      <c r="AD71" s="76"/>
      <c r="AH71" s="132"/>
      <c r="AI71" s="43"/>
      <c r="AK71" s="147" t="s">
        <v>113</v>
      </c>
      <c r="AR71" s="214"/>
      <c r="BA71" s="44"/>
      <c r="BJ71" s="133"/>
    </row>
    <row r="72" spans="2:62" x14ac:dyDescent="0.25">
      <c r="B72" s="75"/>
      <c r="C72" s="43"/>
      <c r="D72" s="44"/>
      <c r="E72" s="55">
        <f>+E71/($J$14*19)</f>
        <v>0.18245614035087721</v>
      </c>
      <c r="F72" s="55">
        <f t="shared" ref="F72:J72" si="98">+F71/($J$14*19)</f>
        <v>0.18245614035087721</v>
      </c>
      <c r="G72" s="55">
        <f t="shared" si="98"/>
        <v>0.18245614035087721</v>
      </c>
      <c r="H72" s="55">
        <f t="shared" si="98"/>
        <v>0.18596491228070175</v>
      </c>
      <c r="I72" s="55">
        <f t="shared" si="98"/>
        <v>0.18596491228070175</v>
      </c>
      <c r="J72" s="55">
        <f t="shared" si="98"/>
        <v>0.91929824561403506</v>
      </c>
      <c r="K72" s="51"/>
      <c r="L72" s="51"/>
      <c r="M72" s="51"/>
      <c r="N72" s="55"/>
      <c r="O72" s="55"/>
      <c r="P72" s="55"/>
      <c r="Q72" s="55"/>
      <c r="R72" s="55"/>
      <c r="S72" s="51"/>
      <c r="T72" s="44"/>
      <c r="U72" s="44"/>
      <c r="V72" s="51"/>
      <c r="W72" s="55"/>
      <c r="X72" s="55"/>
      <c r="Y72" s="55"/>
      <c r="Z72" s="55"/>
      <c r="AA72" s="55"/>
      <c r="AB72" s="51"/>
      <c r="AC72" s="44"/>
      <c r="AD72" s="76"/>
      <c r="AH72" s="132"/>
      <c r="AI72" s="43"/>
      <c r="AJ72" s="44"/>
      <c r="AL72" s="44"/>
      <c r="AM72" s="44"/>
      <c r="AN72" s="44"/>
      <c r="AO72" s="44"/>
      <c r="AP72" s="44"/>
      <c r="AQ72" s="44"/>
      <c r="AR72" s="44"/>
      <c r="AZ72" s="283" t="s">
        <v>111</v>
      </c>
      <c r="BA72" s="284"/>
      <c r="BB72" s="284"/>
      <c r="BD72" s="98" t="s">
        <v>112</v>
      </c>
      <c r="BH72" s="51"/>
      <c r="BI72" s="44"/>
      <c r="BJ72" s="133"/>
    </row>
    <row r="73" spans="2:62" ht="18" x14ac:dyDescent="0.25">
      <c r="B73" s="75"/>
      <c r="C73" s="122"/>
      <c r="D73" s="44"/>
      <c r="E73" s="44"/>
      <c r="F73" s="44"/>
      <c r="G73" s="44"/>
      <c r="H73" s="44"/>
      <c r="I73" s="44"/>
      <c r="J73" s="44"/>
      <c r="K73" s="44"/>
      <c r="L73" s="244"/>
      <c r="M73" s="46" t="s">
        <v>218</v>
      </c>
      <c r="N73" s="44"/>
      <c r="O73" s="44"/>
      <c r="P73" s="44"/>
      <c r="Q73" s="44"/>
      <c r="R73" s="44"/>
      <c r="S73" s="44"/>
      <c r="T73" s="44"/>
      <c r="U73" s="44"/>
      <c r="V73" s="44"/>
      <c r="W73" s="44"/>
      <c r="X73" s="44"/>
      <c r="Y73" s="44"/>
      <c r="Z73" s="44"/>
      <c r="AA73" s="44"/>
      <c r="AB73" s="44"/>
      <c r="AC73" s="44"/>
      <c r="AD73" s="76"/>
      <c r="AH73" s="132"/>
      <c r="AS73" s="44"/>
      <c r="AT73" s="252" t="s">
        <v>201</v>
      </c>
      <c r="AU73" s="253"/>
      <c r="AV73" s="253"/>
      <c r="AW73" s="253"/>
      <c r="AX73" s="253"/>
      <c r="AY73" s="253"/>
      <c r="AZ73" s="284"/>
      <c r="BA73" s="284"/>
      <c r="BB73" s="284"/>
      <c r="BC73" s="44"/>
      <c r="BE73" s="44"/>
      <c r="BF73" s="44"/>
      <c r="BG73" s="44"/>
      <c r="BH73" s="44"/>
      <c r="BI73" s="44"/>
      <c r="BJ73" s="133"/>
    </row>
    <row r="74" spans="2:62" ht="18" x14ac:dyDescent="0.25">
      <c r="B74" s="75"/>
      <c r="C74" s="122" t="s">
        <v>155</v>
      </c>
      <c r="D74" s="46" t="s">
        <v>38</v>
      </c>
      <c r="E74" s="44"/>
      <c r="F74" s="44"/>
      <c r="G74" s="44"/>
      <c r="H74" s="44"/>
      <c r="I74" s="44"/>
      <c r="J74" s="44"/>
      <c r="K74" s="44"/>
      <c r="L74" s="44"/>
      <c r="M74" s="47"/>
      <c r="N74" s="48" t="s">
        <v>1</v>
      </c>
      <c r="O74" s="48" t="s">
        <v>2</v>
      </c>
      <c r="P74" s="48" t="s">
        <v>3</v>
      </c>
      <c r="Q74" s="48" t="s">
        <v>4</v>
      </c>
      <c r="R74" s="48" t="s">
        <v>21</v>
      </c>
      <c r="S74" s="46" t="s">
        <v>5</v>
      </c>
      <c r="T74" s="44"/>
      <c r="U74" s="44"/>
      <c r="V74" s="44" t="s">
        <v>209</v>
      </c>
      <c r="W74" s="44"/>
      <c r="X74" s="44"/>
      <c r="Y74" s="44"/>
      <c r="Z74" s="44"/>
      <c r="AA74" s="44"/>
      <c r="AB74" s="44"/>
      <c r="AC74" s="44"/>
      <c r="AD74" s="76"/>
      <c r="AH74" s="132"/>
      <c r="AI74" s="43"/>
      <c r="AJ74" s="46" t="s">
        <v>38</v>
      </c>
      <c r="AK74" s="44"/>
      <c r="AL74" s="44"/>
      <c r="AM74" s="44"/>
      <c r="AN74" s="44"/>
      <c r="AO74" s="44"/>
      <c r="AP74" s="44"/>
      <c r="AQ74" s="44"/>
      <c r="AR74" s="44"/>
      <c r="AS74" s="44"/>
      <c r="AT74" s="253"/>
      <c r="AU74" s="253"/>
      <c r="AV74" s="253"/>
      <c r="AW74" s="253"/>
      <c r="AX74" s="253"/>
      <c r="AY74" s="253"/>
      <c r="AZ74" s="284"/>
      <c r="BA74" s="284"/>
      <c r="BB74" s="284"/>
      <c r="BC74" s="44"/>
      <c r="BD74" s="44"/>
      <c r="BE74" s="44"/>
      <c r="BF74" s="44"/>
      <c r="BG74" s="44"/>
      <c r="BH74" s="44"/>
      <c r="BI74" s="44"/>
      <c r="BJ74" s="133"/>
    </row>
    <row r="75" spans="2:62" ht="18" x14ac:dyDescent="0.25">
      <c r="B75" s="75"/>
      <c r="C75" s="43"/>
      <c r="D75" s="47"/>
      <c r="E75" s="48" t="s">
        <v>1</v>
      </c>
      <c r="F75" s="48" t="s">
        <v>2</v>
      </c>
      <c r="G75" s="48" t="s">
        <v>3</v>
      </c>
      <c r="H75" s="48" t="s">
        <v>4</v>
      </c>
      <c r="I75" s="48" t="s">
        <v>21</v>
      </c>
      <c r="J75" s="48" t="s">
        <v>5</v>
      </c>
      <c r="K75" s="46"/>
      <c r="L75" s="44"/>
      <c r="M75" s="216" t="s">
        <v>215</v>
      </c>
      <c r="N75" s="5">
        <v>40</v>
      </c>
      <c r="O75" s="5">
        <v>40</v>
      </c>
      <c r="P75" s="5">
        <v>40</v>
      </c>
      <c r="Q75" s="5">
        <v>40</v>
      </c>
      <c r="R75" s="5">
        <v>40</v>
      </c>
      <c r="S75" s="5">
        <f>SUM(N75:R75)</f>
        <v>200</v>
      </c>
      <c r="T75" s="44"/>
      <c r="U75" s="44"/>
      <c r="V75" s="44"/>
      <c r="W75" s="56" t="s">
        <v>18</v>
      </c>
      <c r="X75" s="56" t="s">
        <v>19</v>
      </c>
      <c r="Y75" s="44"/>
      <c r="Z75" s="44"/>
      <c r="AA75" s="44"/>
      <c r="AB75" s="44"/>
      <c r="AC75" s="44"/>
      <c r="AD75" s="76"/>
      <c r="AH75" s="132"/>
      <c r="AI75" s="43"/>
      <c r="AJ75" s="145" t="s">
        <v>117</v>
      </c>
      <c r="AK75" s="48" t="s">
        <v>1</v>
      </c>
      <c r="AL75" s="48" t="s">
        <v>2</v>
      </c>
      <c r="AM75" s="48" t="s">
        <v>3</v>
      </c>
      <c r="AN75" s="48" t="s">
        <v>4</v>
      </c>
      <c r="AO75" s="48" t="s">
        <v>21</v>
      </c>
      <c r="AP75" s="48" t="s">
        <v>5</v>
      </c>
      <c r="AQ75" s="46"/>
      <c r="AR75" s="44"/>
      <c r="AS75" s="44"/>
      <c r="AT75" s="253"/>
      <c r="AU75" s="253"/>
      <c r="AV75" s="253"/>
      <c r="AW75" s="253"/>
      <c r="AX75" s="253"/>
      <c r="AY75" s="253"/>
      <c r="AZ75" s="44"/>
      <c r="BA75" s="44"/>
      <c r="BB75" s="44"/>
      <c r="BC75" s="56" t="s">
        <v>18</v>
      </c>
      <c r="BD75" s="56" t="s">
        <v>19</v>
      </c>
      <c r="BE75" s="44"/>
      <c r="BF75" s="44"/>
      <c r="BG75" s="44"/>
      <c r="BH75" s="44"/>
      <c r="BI75" s="44"/>
      <c r="BJ75" s="133"/>
    </row>
    <row r="76" spans="2:62" ht="18" x14ac:dyDescent="0.25">
      <c r="B76" s="75"/>
      <c r="C76" s="43">
        <f t="shared" ref="C76:C79" si="99">+C19</f>
        <v>7</v>
      </c>
      <c r="D76" s="218" t="str">
        <f>+D19</f>
        <v>Ejemplo: Infraestructura (SW o HW)</v>
      </c>
      <c r="E76" s="5">
        <v>3000</v>
      </c>
      <c r="F76" s="5">
        <v>30</v>
      </c>
      <c r="G76" s="5">
        <v>30</v>
      </c>
      <c r="H76" s="5">
        <v>30</v>
      </c>
      <c r="I76" s="5">
        <v>30</v>
      </c>
      <c r="J76" s="5">
        <f>SUM(E76:I76)</f>
        <v>3120</v>
      </c>
      <c r="K76" s="50">
        <f>+J76/$J$23</f>
        <v>0.36279069767441863</v>
      </c>
      <c r="L76" s="51"/>
      <c r="M76" s="216" t="s">
        <v>219</v>
      </c>
      <c r="N76" s="5">
        <v>40</v>
      </c>
      <c r="O76" s="5">
        <v>40</v>
      </c>
      <c r="P76" s="5">
        <v>40</v>
      </c>
      <c r="Q76" s="5">
        <v>40</v>
      </c>
      <c r="R76" s="5">
        <v>40</v>
      </c>
      <c r="S76" s="5">
        <f>SUM(N76:R76)</f>
        <v>200</v>
      </c>
      <c r="T76" s="51"/>
      <c r="U76" s="44"/>
      <c r="V76" s="57" t="s">
        <v>16</v>
      </c>
      <c r="W76" s="58">
        <v>300</v>
      </c>
      <c r="X76" s="59">
        <f>+W76/19</f>
        <v>15.789473684210526</v>
      </c>
      <c r="Y76" s="44" t="s">
        <v>210</v>
      </c>
      <c r="Z76" s="44"/>
      <c r="AA76" s="44"/>
      <c r="AB76" s="44"/>
      <c r="AC76" s="44"/>
      <c r="AD76" s="76"/>
      <c r="AH76" s="132"/>
      <c r="AI76" s="43">
        <f>+AI69+1</f>
        <v>1</v>
      </c>
      <c r="AJ76" s="49" t="s">
        <v>14</v>
      </c>
      <c r="AK76" s="5"/>
      <c r="AL76" s="5">
        <v>8000</v>
      </c>
      <c r="AM76" s="5"/>
      <c r="AN76" s="5"/>
      <c r="AO76" s="5"/>
      <c r="AP76" s="5">
        <f>SUM(AK76:AO76)</f>
        <v>8000</v>
      </c>
      <c r="AQ76" s="101">
        <f>+AP76/$AP$21</f>
        <v>0.625</v>
      </c>
      <c r="AR76" s="252" t="s">
        <v>116</v>
      </c>
      <c r="AS76" s="44"/>
      <c r="AT76" s="255"/>
      <c r="AU76" s="255"/>
      <c r="AV76" s="255"/>
      <c r="AW76" s="255"/>
      <c r="AX76" s="255"/>
      <c r="AY76" s="255"/>
      <c r="AZ76" s="51"/>
      <c r="BA76" s="44"/>
      <c r="BB76" s="57" t="s">
        <v>16</v>
      </c>
      <c r="BC76" s="58">
        <v>300</v>
      </c>
      <c r="BD76" s="59">
        <f>+BC76/20</f>
        <v>15</v>
      </c>
      <c r="BE76" s="44"/>
      <c r="BF76" s="44"/>
      <c r="BG76" s="44"/>
      <c r="BH76" s="44"/>
      <c r="BI76" s="44"/>
      <c r="BJ76" s="133"/>
    </row>
    <row r="77" spans="2:62" ht="18.75" thickBot="1" x14ac:dyDescent="0.3">
      <c r="B77" s="75"/>
      <c r="C77" s="43">
        <f t="shared" si="99"/>
        <v>8</v>
      </c>
      <c r="D77" s="218" t="str">
        <f t="shared" ref="D77:D79" si="100">+D20</f>
        <v>Ejemplo: Costos Fijos (Luz, Agua, servicios)</v>
      </c>
      <c r="E77" s="5">
        <v>0</v>
      </c>
      <c r="F77" s="5">
        <v>0</v>
      </c>
      <c r="G77" s="5">
        <v>0</v>
      </c>
      <c r="H77" s="5">
        <v>0</v>
      </c>
      <c r="I77" s="5">
        <v>0</v>
      </c>
      <c r="J77" s="5">
        <f t="shared" ref="J77:J79" si="101">SUM(E77:I77)</f>
        <v>0</v>
      </c>
      <c r="K77" s="50">
        <f t="shared" ref="K77:K80" si="102">+J77/$J$23</f>
        <v>0</v>
      </c>
      <c r="L77" s="51"/>
      <c r="M77" s="216" t="s">
        <v>216</v>
      </c>
      <c r="N77" s="5">
        <v>20</v>
      </c>
      <c r="O77" s="5">
        <v>20</v>
      </c>
      <c r="P77" s="5">
        <v>20</v>
      </c>
      <c r="Q77" s="5">
        <v>20</v>
      </c>
      <c r="R77" s="5">
        <v>20</v>
      </c>
      <c r="S77" s="5">
        <f>SUM(N77:R77)</f>
        <v>100</v>
      </c>
      <c r="T77" s="51"/>
      <c r="U77" s="44"/>
      <c r="V77" s="57" t="s">
        <v>17</v>
      </c>
      <c r="W77" s="58">
        <v>500</v>
      </c>
      <c r="X77" s="59">
        <f>+W77/19</f>
        <v>26.315789473684209</v>
      </c>
      <c r="Y77" s="44"/>
      <c r="Z77" s="44"/>
      <c r="AA77" s="44"/>
      <c r="AB77" s="44"/>
      <c r="AC77" s="44"/>
      <c r="AD77" s="76"/>
      <c r="AH77" s="132"/>
      <c r="AI77" s="43">
        <f>+AI76+1</f>
        <v>2</v>
      </c>
      <c r="AJ77" s="49" t="s">
        <v>15</v>
      </c>
      <c r="AK77" s="5"/>
      <c r="AL77" s="5">
        <v>1200</v>
      </c>
      <c r="AM77" s="5">
        <f>+AL77</f>
        <v>1200</v>
      </c>
      <c r="AN77" s="5">
        <f>+AM77</f>
        <v>1200</v>
      </c>
      <c r="AO77" s="5">
        <f>+AN77</f>
        <v>1200</v>
      </c>
      <c r="AP77" s="5">
        <f>SUM(AK77:AO77)</f>
        <v>4800</v>
      </c>
      <c r="AQ77" s="50">
        <f>+AP77/$AP$21</f>
        <v>0.375</v>
      </c>
      <c r="AR77" s="252"/>
      <c r="AS77" s="44"/>
      <c r="AT77" s="213"/>
      <c r="AU77" s="213"/>
      <c r="AV77" s="213"/>
      <c r="AW77" s="213"/>
      <c r="AX77" s="213"/>
      <c r="AY77" s="213"/>
      <c r="AZ77" s="51"/>
      <c r="BA77" s="44"/>
      <c r="BB77" s="57" t="s">
        <v>17</v>
      </c>
      <c r="BC77" s="58">
        <v>500</v>
      </c>
      <c r="BD77" s="59">
        <f>+BC77/20</f>
        <v>25</v>
      </c>
      <c r="BE77" s="44"/>
      <c r="BF77" s="44"/>
      <c r="BG77" s="44"/>
      <c r="BH77" s="44"/>
      <c r="BI77" s="44"/>
      <c r="BJ77" s="133"/>
    </row>
    <row r="78" spans="2:62" ht="18.75" thickBot="1" x14ac:dyDescent="0.3">
      <c r="B78" s="75"/>
      <c r="C78" s="43">
        <f t="shared" si="99"/>
        <v>9</v>
      </c>
      <c r="D78" s="218" t="str">
        <f t="shared" si="100"/>
        <v>Renta/Improvistos</v>
      </c>
      <c r="E78" s="5">
        <v>100</v>
      </c>
      <c r="F78" s="5">
        <v>0</v>
      </c>
      <c r="G78" s="5">
        <v>0</v>
      </c>
      <c r="H78" s="5">
        <v>0</v>
      </c>
      <c r="I78" s="5">
        <v>100</v>
      </c>
      <c r="J78" s="5">
        <f t="shared" si="101"/>
        <v>200</v>
      </c>
      <c r="K78" s="50">
        <f t="shared" si="102"/>
        <v>2.3255813953488372E-2</v>
      </c>
      <c r="L78" s="51"/>
      <c r="M78" s="216"/>
      <c r="N78" s="5">
        <v>0</v>
      </c>
      <c r="O78" s="5">
        <v>0</v>
      </c>
      <c r="P78" s="5">
        <v>0</v>
      </c>
      <c r="Q78" s="5">
        <v>0</v>
      </c>
      <c r="R78" s="5">
        <v>0</v>
      </c>
      <c r="S78" s="5">
        <f>SUM(N78:R78)</f>
        <v>0</v>
      </c>
      <c r="T78" s="51"/>
      <c r="U78" s="44"/>
      <c r="V78" s="57" t="s">
        <v>215</v>
      </c>
      <c r="W78" s="58">
        <v>300</v>
      </c>
      <c r="X78" s="59">
        <f>W78/20</f>
        <v>15</v>
      </c>
      <c r="Y78" s="44"/>
      <c r="Z78" s="44"/>
      <c r="AA78" s="44"/>
      <c r="AB78" s="44"/>
      <c r="AC78" s="44"/>
      <c r="AD78" s="76"/>
      <c r="AH78" s="132"/>
      <c r="AI78" s="43"/>
      <c r="AJ78" s="46" t="s">
        <v>25</v>
      </c>
      <c r="AK78" s="7">
        <f t="shared" ref="AK78:AP78" si="103">SUM(AK76:AK77)</f>
        <v>0</v>
      </c>
      <c r="AL78" s="8">
        <f t="shared" si="103"/>
        <v>9200</v>
      </c>
      <c r="AM78" s="8">
        <f t="shared" si="103"/>
        <v>1200</v>
      </c>
      <c r="AN78" s="8">
        <f t="shared" si="103"/>
        <v>1200</v>
      </c>
      <c r="AO78" s="8">
        <f t="shared" si="103"/>
        <v>1200</v>
      </c>
      <c r="AP78" s="9">
        <f t="shared" si="103"/>
        <v>12800</v>
      </c>
      <c r="AQ78" s="53">
        <f>+AP78/$AP$21</f>
        <v>1</v>
      </c>
      <c r="AR78" s="252"/>
      <c r="AS78" s="44"/>
      <c r="AT78" s="213"/>
      <c r="AU78" s="213"/>
      <c r="AV78" s="213"/>
      <c r="AW78" s="213"/>
      <c r="AX78" s="213"/>
      <c r="AY78" s="213"/>
      <c r="AZ78" s="51"/>
      <c r="BA78" s="44"/>
      <c r="BB78" s="57"/>
      <c r="BC78" s="58"/>
      <c r="BD78" s="59"/>
      <c r="BE78" s="44"/>
      <c r="BF78" s="44"/>
      <c r="BG78" s="44"/>
      <c r="BH78" s="44"/>
      <c r="BI78" s="44"/>
      <c r="BJ78" s="133"/>
    </row>
    <row r="79" spans="2:62" ht="16.5" thickBot="1" x14ac:dyDescent="0.3">
      <c r="B79" s="75"/>
      <c r="C79" s="43">
        <f t="shared" si="99"/>
        <v>10</v>
      </c>
      <c r="D79" s="218" t="str">
        <f t="shared" si="100"/>
        <v>Salarios</v>
      </c>
      <c r="E79" s="5">
        <v>1500</v>
      </c>
      <c r="F79" s="5">
        <v>1500</v>
      </c>
      <c r="G79" s="5">
        <v>1500</v>
      </c>
      <c r="H79" s="5">
        <v>1500</v>
      </c>
      <c r="I79" s="5">
        <v>1500</v>
      </c>
      <c r="J79" s="5">
        <f t="shared" si="101"/>
        <v>7500</v>
      </c>
      <c r="K79" s="50">
        <f t="shared" si="102"/>
        <v>0.87209302325581395</v>
      </c>
      <c r="L79" s="51"/>
      <c r="M79" s="216"/>
      <c r="N79" s="5">
        <v>0</v>
      </c>
      <c r="O79" s="5">
        <v>0</v>
      </c>
      <c r="P79" s="5">
        <v>0</v>
      </c>
      <c r="Q79" s="5">
        <v>0</v>
      </c>
      <c r="R79" s="5">
        <v>0</v>
      </c>
      <c r="S79" s="5">
        <f>SUM(N79:R79)</f>
        <v>0</v>
      </c>
      <c r="T79" s="51"/>
      <c r="U79" s="44"/>
      <c r="V79" s="57" t="s">
        <v>216</v>
      </c>
      <c r="W79" s="58">
        <v>300</v>
      </c>
      <c r="X79" s="59">
        <f>W79/20</f>
        <v>15</v>
      </c>
      <c r="Y79" s="44"/>
      <c r="Z79" s="44"/>
      <c r="AA79" s="44"/>
      <c r="AB79" s="44"/>
      <c r="AC79" s="44"/>
      <c r="AD79" s="76"/>
      <c r="AH79" s="132"/>
      <c r="AJ79" s="44"/>
      <c r="AK79" s="106">
        <f t="shared" ref="AK79:AP79" si="104">+AK78/$AP$21</f>
        <v>0</v>
      </c>
      <c r="AL79" s="55">
        <f t="shared" si="104"/>
        <v>0.71875</v>
      </c>
      <c r="AM79" s="55">
        <f t="shared" si="104"/>
        <v>9.375E-2</v>
      </c>
      <c r="AN79" s="55">
        <f t="shared" si="104"/>
        <v>9.375E-2</v>
      </c>
      <c r="AO79" s="55">
        <f t="shared" si="104"/>
        <v>9.375E-2</v>
      </c>
      <c r="AP79" s="55">
        <f t="shared" si="104"/>
        <v>1</v>
      </c>
      <c r="AQ79" s="254" t="s">
        <v>115</v>
      </c>
      <c r="AR79" s="253"/>
      <c r="AS79" s="44"/>
      <c r="AT79" s="44"/>
      <c r="AU79" s="44"/>
      <c r="AV79" s="51"/>
      <c r="AW79" s="51"/>
      <c r="AX79" s="51"/>
      <c r="AY79" s="51"/>
      <c r="AZ79" s="51"/>
      <c r="BA79" s="44"/>
      <c r="BC79" s="58"/>
      <c r="BD79" s="59"/>
      <c r="BE79" s="44"/>
      <c r="BF79" s="44"/>
      <c r="BG79" s="44"/>
      <c r="BH79" s="44"/>
      <c r="BI79" s="44"/>
      <c r="BJ79" s="133"/>
    </row>
    <row r="80" spans="2:62" ht="18.75" thickBot="1" x14ac:dyDescent="0.3">
      <c r="B80" s="75"/>
      <c r="C80" s="43"/>
      <c r="D80" s="46" t="s">
        <v>25</v>
      </c>
      <c r="E80" s="7">
        <f t="shared" ref="E80:J80" si="105">SUM(E76:E79)</f>
        <v>4600</v>
      </c>
      <c r="F80" s="8">
        <f t="shared" si="105"/>
        <v>1530</v>
      </c>
      <c r="G80" s="8">
        <f t="shared" si="105"/>
        <v>1530</v>
      </c>
      <c r="H80" s="8">
        <f t="shared" si="105"/>
        <v>1530</v>
      </c>
      <c r="I80" s="8">
        <f t="shared" si="105"/>
        <v>1630</v>
      </c>
      <c r="J80" s="9">
        <f t="shared" si="105"/>
        <v>10820</v>
      </c>
      <c r="K80" s="50">
        <f t="shared" si="102"/>
        <v>1.258139534883721</v>
      </c>
      <c r="L80" s="51"/>
      <c r="M80" s="216"/>
      <c r="N80" s="5">
        <v>0</v>
      </c>
      <c r="O80" s="5">
        <v>0</v>
      </c>
      <c r="P80" s="5">
        <v>0</v>
      </c>
      <c r="Q80" s="5">
        <v>0</v>
      </c>
      <c r="R80" s="5">
        <v>0</v>
      </c>
      <c r="S80" s="5">
        <f t="shared" ref="S80" si="106">SUM(N80:R80)</f>
        <v>0</v>
      </c>
      <c r="T80" s="51"/>
      <c r="U80" s="44"/>
      <c r="V80" s="226" t="s">
        <v>217</v>
      </c>
      <c r="W80" s="227">
        <v>300</v>
      </c>
      <c r="X80" s="44">
        <f>W80/20</f>
        <v>15</v>
      </c>
      <c r="Y80" s="44"/>
      <c r="Z80" s="44"/>
      <c r="AA80" s="44"/>
      <c r="AB80" s="44"/>
      <c r="AC80" s="44"/>
      <c r="AD80" s="76"/>
      <c r="AH80" s="132"/>
      <c r="AI80" s="43"/>
      <c r="AJ80" s="44"/>
      <c r="AK80" s="147" t="s">
        <v>114</v>
      </c>
      <c r="AL80" s="44"/>
      <c r="AM80" s="44"/>
      <c r="AN80" s="44"/>
      <c r="AO80" s="44"/>
      <c r="AP80" s="44"/>
      <c r="AQ80" s="255"/>
      <c r="AR80" s="214"/>
      <c r="AS80" s="51"/>
      <c r="AT80" s="51"/>
      <c r="AU80" s="51"/>
      <c r="AV80" s="51"/>
      <c r="AW80" s="51"/>
      <c r="AX80" s="51"/>
      <c r="AY80" s="51"/>
      <c r="AZ80" s="51"/>
      <c r="BA80" s="44"/>
      <c r="BB80" s="44"/>
      <c r="BC80" s="44"/>
      <c r="BD80" s="44"/>
      <c r="BE80" s="44"/>
      <c r="BF80" s="44"/>
      <c r="BG80" s="44"/>
      <c r="BH80" s="44"/>
      <c r="BI80" s="44"/>
      <c r="BJ80" s="133"/>
    </row>
    <row r="81" spans="2:62" ht="16.5" thickBot="1" x14ac:dyDescent="0.3">
      <c r="B81" s="75"/>
      <c r="C81" s="43"/>
      <c r="D81" s="44"/>
      <c r="E81" s="55">
        <f>+E80/$J$23</f>
        <v>0.53488372093023251</v>
      </c>
      <c r="F81" s="55">
        <f t="shared" ref="F81:J81" si="107">+F80/$J$23</f>
        <v>0.17790697674418604</v>
      </c>
      <c r="G81" s="55">
        <f t="shared" si="107"/>
        <v>0.17790697674418604</v>
      </c>
      <c r="H81" s="55">
        <f t="shared" si="107"/>
        <v>0.17790697674418604</v>
      </c>
      <c r="I81" s="55">
        <f t="shared" si="107"/>
        <v>0.18953488372093022</v>
      </c>
      <c r="J81" s="55">
        <f t="shared" si="107"/>
        <v>1.258139534883721</v>
      </c>
      <c r="K81" s="51"/>
      <c r="L81" s="51"/>
      <c r="M81" s="54" t="s">
        <v>27</v>
      </c>
      <c r="N81" s="7">
        <f t="shared" ref="N81:S81" si="108">SUM(N75:N80)</f>
        <v>100</v>
      </c>
      <c r="O81" s="8">
        <f t="shared" si="108"/>
        <v>100</v>
      </c>
      <c r="P81" s="8">
        <f t="shared" si="108"/>
        <v>100</v>
      </c>
      <c r="Q81" s="8">
        <f t="shared" si="108"/>
        <v>100</v>
      </c>
      <c r="R81" s="8">
        <f t="shared" si="108"/>
        <v>100</v>
      </c>
      <c r="S81" s="9">
        <f t="shared" si="108"/>
        <v>500</v>
      </c>
      <c r="T81" s="51"/>
      <c r="U81" s="44"/>
      <c r="V81" s="44"/>
      <c r="W81" s="44"/>
      <c r="X81" s="44"/>
      <c r="Y81" s="44"/>
      <c r="Z81" s="44"/>
      <c r="AA81" s="44"/>
      <c r="AB81" s="44"/>
      <c r="AC81" s="44"/>
      <c r="AD81" s="76"/>
      <c r="AH81" s="132"/>
      <c r="AI81" s="43"/>
      <c r="AQ81" s="255"/>
      <c r="AR81" s="213"/>
      <c r="AS81" s="102" t="s">
        <v>119</v>
      </c>
      <c r="AT81" s="51"/>
      <c r="AU81" s="51"/>
      <c r="AV81" s="51"/>
      <c r="AW81" s="51"/>
      <c r="AX81" s="51"/>
      <c r="AY81" s="51"/>
      <c r="AZ81" s="51"/>
      <c r="BA81" s="44"/>
      <c r="BB81" s="126" t="s">
        <v>127</v>
      </c>
      <c r="BC81" s="44"/>
      <c r="BD81" s="44"/>
      <c r="BE81" s="44"/>
      <c r="BF81" s="44"/>
      <c r="BG81" s="44"/>
      <c r="BH81" s="44"/>
      <c r="BI81" s="44"/>
      <c r="BJ81" s="133"/>
    </row>
    <row r="82" spans="2:62" x14ac:dyDescent="0.25">
      <c r="B82" s="75"/>
      <c r="C82" s="43"/>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76"/>
      <c r="AH82" s="132"/>
      <c r="AI82" s="43"/>
      <c r="AQ82" s="255"/>
      <c r="AR82" s="44"/>
      <c r="AS82" s="122" t="s">
        <v>126</v>
      </c>
      <c r="AT82" s="44"/>
      <c r="AU82" s="262" t="s">
        <v>118</v>
      </c>
      <c r="AV82" s="285"/>
      <c r="AW82" s="285"/>
      <c r="AX82" s="285"/>
      <c r="AY82" s="285"/>
      <c r="AZ82" s="285"/>
      <c r="BA82" s="44"/>
      <c r="BB82" s="102" t="s">
        <v>123</v>
      </c>
      <c r="BC82" s="44"/>
      <c r="BD82" s="44"/>
      <c r="BE82" s="44"/>
      <c r="BF82" s="44"/>
      <c r="BG82" s="44"/>
      <c r="BH82" s="44"/>
      <c r="BI82" s="44"/>
      <c r="BJ82" s="133"/>
    </row>
    <row r="83" spans="2:62" ht="18" x14ac:dyDescent="0.25">
      <c r="B83" s="75"/>
      <c r="C83" s="122" t="s">
        <v>156</v>
      </c>
      <c r="D83" s="46" t="s">
        <v>39</v>
      </c>
      <c r="E83" s="44"/>
      <c r="F83" s="44"/>
      <c r="G83" s="44"/>
      <c r="H83" s="44"/>
      <c r="I83" s="44"/>
      <c r="J83" s="44"/>
      <c r="K83" s="44"/>
      <c r="L83" s="122" t="s">
        <v>157</v>
      </c>
      <c r="M83" s="46" t="s">
        <v>43</v>
      </c>
      <c r="N83" s="44"/>
      <c r="O83" s="44"/>
      <c r="P83" s="44"/>
      <c r="Q83" s="44"/>
      <c r="R83" s="44"/>
      <c r="S83" s="44"/>
      <c r="T83" s="44"/>
      <c r="U83" s="122" t="s">
        <v>158</v>
      </c>
      <c r="V83" s="46" t="s">
        <v>173</v>
      </c>
      <c r="W83" s="44"/>
      <c r="X83" s="44"/>
      <c r="Y83" s="44"/>
      <c r="Z83" s="44"/>
      <c r="AA83" s="44"/>
      <c r="AB83" s="44"/>
      <c r="AC83" s="44"/>
      <c r="AD83" s="76"/>
      <c r="AH83" s="132"/>
      <c r="AI83" s="43"/>
      <c r="AJ83" s="46" t="s">
        <v>39</v>
      </c>
      <c r="AK83" s="44"/>
      <c r="AL83" s="44"/>
      <c r="AM83" s="44"/>
      <c r="AN83" s="44"/>
      <c r="AO83" s="44"/>
      <c r="AP83" s="44"/>
      <c r="AQ83" s="255"/>
      <c r="AR83" s="44"/>
      <c r="AS83" s="103" t="s">
        <v>43</v>
      </c>
      <c r="AT83" s="44"/>
      <c r="AU83" s="285"/>
      <c r="AV83" s="285"/>
      <c r="AW83" s="285"/>
      <c r="AX83" s="285"/>
      <c r="AY83" s="285"/>
      <c r="AZ83" s="285"/>
      <c r="BA83" s="44"/>
      <c r="BB83" s="103" t="s">
        <v>32</v>
      </c>
      <c r="BC83" s="44"/>
      <c r="BD83" s="44"/>
      <c r="BE83" s="44"/>
      <c r="BF83" s="44"/>
      <c r="BG83" s="44"/>
      <c r="BH83" s="44"/>
      <c r="BI83" s="44"/>
      <c r="BJ83" s="133"/>
    </row>
    <row r="84" spans="2:62" ht="18.75" thickBot="1" x14ac:dyDescent="0.3">
      <c r="B84" s="75"/>
      <c r="C84" s="43"/>
      <c r="D84" s="47"/>
      <c r="E84" s="48" t="s">
        <v>1</v>
      </c>
      <c r="F84" s="48" t="s">
        <v>2</v>
      </c>
      <c r="G84" s="48" t="s">
        <v>3</v>
      </c>
      <c r="H84" s="48" t="s">
        <v>4</v>
      </c>
      <c r="I84" s="48" t="s">
        <v>21</v>
      </c>
      <c r="J84" s="48" t="s">
        <v>5</v>
      </c>
      <c r="K84" s="46"/>
      <c r="L84" s="46"/>
      <c r="M84" s="47"/>
      <c r="N84" s="48" t="s">
        <v>1</v>
      </c>
      <c r="O84" s="48" t="s">
        <v>2</v>
      </c>
      <c r="P84" s="48" t="s">
        <v>3</v>
      </c>
      <c r="Q84" s="48" t="s">
        <v>4</v>
      </c>
      <c r="R84" s="48" t="s">
        <v>21</v>
      </c>
      <c r="S84" s="48" t="s">
        <v>5</v>
      </c>
      <c r="T84" s="48"/>
      <c r="U84" s="44"/>
      <c r="V84" s="47"/>
      <c r="W84" s="48" t="s">
        <v>1</v>
      </c>
      <c r="X84" s="48" t="s">
        <v>2</v>
      </c>
      <c r="Y84" s="48" t="s">
        <v>3</v>
      </c>
      <c r="Z84" s="48" t="s">
        <v>4</v>
      </c>
      <c r="AA84" s="48" t="s">
        <v>21</v>
      </c>
      <c r="AB84" s="48" t="s">
        <v>5</v>
      </c>
      <c r="AC84" s="44"/>
      <c r="AD84" s="76"/>
      <c r="AH84" s="132"/>
      <c r="AI84" s="43"/>
      <c r="AJ84" s="145" t="s">
        <v>122</v>
      </c>
      <c r="AK84" s="48" t="s">
        <v>1</v>
      </c>
      <c r="AL84" s="48" t="s">
        <v>2</v>
      </c>
      <c r="AM84" s="48" t="s">
        <v>3</v>
      </c>
      <c r="AN84" s="48" t="s">
        <v>4</v>
      </c>
      <c r="AO84" s="48" t="s">
        <v>21</v>
      </c>
      <c r="AP84" s="48" t="s">
        <v>5</v>
      </c>
      <c r="AQ84" s="46"/>
      <c r="AR84" s="46"/>
      <c r="AS84" s="47"/>
      <c r="AT84" s="48" t="s">
        <v>1</v>
      </c>
      <c r="AU84" s="48" t="s">
        <v>2</v>
      </c>
      <c r="AV84" s="48" t="s">
        <v>3</v>
      </c>
      <c r="AW84" s="48" t="s">
        <v>4</v>
      </c>
      <c r="AX84" s="48" t="s">
        <v>21</v>
      </c>
      <c r="AY84" s="48" t="s">
        <v>5</v>
      </c>
      <c r="AZ84" s="48"/>
      <c r="BA84" s="44"/>
      <c r="BB84" s="47"/>
      <c r="BC84" s="48" t="s">
        <v>1</v>
      </c>
      <c r="BD84" s="48" t="s">
        <v>2</v>
      </c>
      <c r="BE84" s="48" t="s">
        <v>3</v>
      </c>
      <c r="BF84" s="48" t="s">
        <v>4</v>
      </c>
      <c r="BG84" s="48" t="s">
        <v>21</v>
      </c>
      <c r="BH84" s="48" t="s">
        <v>5</v>
      </c>
      <c r="BI84" s="44"/>
      <c r="BJ84" s="133"/>
    </row>
    <row r="85" spans="2:62" ht="18" x14ac:dyDescent="0.25">
      <c r="B85" s="75"/>
      <c r="C85" s="61">
        <f t="shared" ref="C85:D85" si="109">+C65</f>
        <v>1</v>
      </c>
      <c r="D85" s="164" t="str">
        <f t="shared" si="109"/>
        <v>Análisis Factibilidad, Planes</v>
      </c>
      <c r="E85" s="5">
        <f>+E65</f>
        <v>3100</v>
      </c>
      <c r="F85" s="5">
        <f t="shared" ref="F85:I85" si="110">+F65</f>
        <v>1000</v>
      </c>
      <c r="G85" s="5">
        <f t="shared" si="110"/>
        <v>0</v>
      </c>
      <c r="H85" s="5">
        <f t="shared" si="110"/>
        <v>0</v>
      </c>
      <c r="I85" s="5">
        <f t="shared" si="110"/>
        <v>0</v>
      </c>
      <c r="J85" s="5">
        <f>SUM(E85:I85)</f>
        <v>4100</v>
      </c>
      <c r="K85" s="50">
        <f>+J85/($J$38*20)</f>
        <v>2.0297029702970298E-2</v>
      </c>
      <c r="L85" s="62"/>
      <c r="M85" s="215" t="str">
        <f t="shared" ref="M85:M95" si="111">+D85</f>
        <v>Análisis Factibilidad, Planes</v>
      </c>
      <c r="N85" s="10">
        <f>+E85/($J$38*20)</f>
        <v>1.5346534653465346E-2</v>
      </c>
      <c r="O85" s="10">
        <f t="shared" ref="O85:R94" si="112">+F85/($J$38*20)</f>
        <v>4.9504950495049506E-3</v>
      </c>
      <c r="P85" s="10">
        <f t="shared" si="112"/>
        <v>0</v>
      </c>
      <c r="Q85" s="10">
        <f t="shared" si="112"/>
        <v>0</v>
      </c>
      <c r="R85" s="10">
        <f t="shared" si="112"/>
        <v>0</v>
      </c>
      <c r="S85" s="10">
        <f>+J85/($J$38*20)</f>
        <v>2.0297029702970298E-2</v>
      </c>
      <c r="T85" s="64"/>
      <c r="U85" s="44"/>
      <c r="V85" s="165" t="str">
        <f>+M85</f>
        <v>Análisis Factibilidad, Planes</v>
      </c>
      <c r="W85" s="10">
        <f>+E85/($J$28*20)</f>
        <v>0.77500000000000002</v>
      </c>
      <c r="X85" s="10">
        <f t="shared" ref="X85:AA94" si="113">+F85/($J$28*20)</f>
        <v>0.25</v>
      </c>
      <c r="Y85" s="10">
        <f t="shared" si="113"/>
        <v>0</v>
      </c>
      <c r="Z85" s="10">
        <f t="shared" si="113"/>
        <v>0</v>
      </c>
      <c r="AA85" s="10">
        <f t="shared" si="113"/>
        <v>0</v>
      </c>
      <c r="AB85" s="10">
        <f>SUM(W85:AA85)</f>
        <v>1.0249999999999999</v>
      </c>
      <c r="AC85" s="51"/>
      <c r="AD85" s="76"/>
      <c r="AH85" s="132"/>
      <c r="AI85" s="61">
        <f t="shared" ref="AI85:AO88" si="114">+AI65</f>
        <v>1</v>
      </c>
      <c r="AJ85" s="47" t="str">
        <f t="shared" si="114"/>
        <v>Análisis Factibilidad, Planes y Req</v>
      </c>
      <c r="AK85" s="5">
        <f t="shared" si="114"/>
        <v>30000</v>
      </c>
      <c r="AL85" s="5">
        <f t="shared" si="114"/>
        <v>0</v>
      </c>
      <c r="AM85" s="5">
        <f t="shared" si="114"/>
        <v>0</v>
      </c>
      <c r="AN85" s="5">
        <f t="shared" si="114"/>
        <v>0</v>
      </c>
      <c r="AO85" s="5">
        <f t="shared" si="114"/>
        <v>0</v>
      </c>
      <c r="AP85" s="5">
        <f>SUM(AK85:AO85)</f>
        <v>30000</v>
      </c>
      <c r="AQ85" s="101">
        <f>+AP85/$AP$34</f>
        <v>0.1200960768614892</v>
      </c>
      <c r="AR85" s="252" t="s">
        <v>116</v>
      </c>
      <c r="AS85" s="63" t="str">
        <f>+AJ85</f>
        <v>Análisis Factibilidad, Planes y Req</v>
      </c>
      <c r="AT85" s="117">
        <f>+AK85/$AP$34</f>
        <v>0.1200960768614892</v>
      </c>
      <c r="AU85" s="118"/>
      <c r="AV85" s="10"/>
      <c r="AW85" s="10"/>
      <c r="AX85" s="10"/>
      <c r="AY85" s="10">
        <f>+AP85/$AP$34</f>
        <v>0.1200960768614892</v>
      </c>
      <c r="AZ85" s="64"/>
      <c r="BA85" s="44"/>
      <c r="BB85" s="63" t="str">
        <f>+AS85</f>
        <v>Análisis Factibilidad, Planes y Req</v>
      </c>
      <c r="BC85" s="128">
        <f>+AK85/$AP28</f>
        <v>1.5</v>
      </c>
      <c r="BD85" s="127" t="s">
        <v>124</v>
      </c>
      <c r="BE85" s="15"/>
      <c r="BF85" s="15"/>
      <c r="BG85" s="15"/>
      <c r="BH85" s="152">
        <f>SUM(BC85:BG85)</f>
        <v>1.5</v>
      </c>
      <c r="BI85" s="286" t="s">
        <v>125</v>
      </c>
      <c r="BJ85" s="272"/>
    </row>
    <row r="86" spans="2:62" ht="18" x14ac:dyDescent="0.25">
      <c r="B86" s="75"/>
      <c r="C86" s="61">
        <f t="shared" ref="C86:I86" si="115">+C66</f>
        <v>2</v>
      </c>
      <c r="D86" s="164" t="str">
        <f t="shared" si="115"/>
        <v>Diseño del producto</v>
      </c>
      <c r="E86" s="5">
        <f t="shared" si="115"/>
        <v>2100</v>
      </c>
      <c r="F86" s="5">
        <f t="shared" si="115"/>
        <v>3200</v>
      </c>
      <c r="G86" s="5">
        <f t="shared" si="115"/>
        <v>0</v>
      </c>
      <c r="H86" s="5">
        <f t="shared" si="115"/>
        <v>0</v>
      </c>
      <c r="I86" s="5">
        <f t="shared" si="115"/>
        <v>0</v>
      </c>
      <c r="J86" s="5">
        <f t="shared" ref="J86:J95" si="116">SUM(E86:I86)</f>
        <v>5300</v>
      </c>
      <c r="K86" s="50">
        <f t="shared" ref="K86:K95" si="117">+J86/($J$38*20)</f>
        <v>2.6237623762376237E-2</v>
      </c>
      <c r="L86" s="62"/>
      <c r="M86" s="215" t="str">
        <f t="shared" si="111"/>
        <v>Diseño del producto</v>
      </c>
      <c r="N86" s="10">
        <f t="shared" ref="N86:N94" si="118">+E86/($J$38*20)</f>
        <v>1.0396039603960397E-2</v>
      </c>
      <c r="O86" s="10">
        <f t="shared" si="112"/>
        <v>1.5841584158415842E-2</v>
      </c>
      <c r="P86" s="10">
        <f t="shared" si="112"/>
        <v>0</v>
      </c>
      <c r="Q86" s="10">
        <f t="shared" si="112"/>
        <v>0</v>
      </c>
      <c r="R86" s="10">
        <f t="shared" si="112"/>
        <v>0</v>
      </c>
      <c r="S86" s="10">
        <f t="shared" ref="S86:S94" si="119">+J86/($J$38*20)</f>
        <v>2.6237623762376237E-2</v>
      </c>
      <c r="T86" s="64"/>
      <c r="U86" s="44"/>
      <c r="V86" s="165" t="str">
        <f t="shared" ref="V86:V94" si="120">+M86</f>
        <v>Diseño del producto</v>
      </c>
      <c r="W86" s="10">
        <f t="shared" ref="W86:W94" si="121">+E86/($J$28*20)</f>
        <v>0.52500000000000002</v>
      </c>
      <c r="X86" s="10">
        <f t="shared" si="113"/>
        <v>0.8</v>
      </c>
      <c r="Y86" s="10">
        <f t="shared" si="113"/>
        <v>0</v>
      </c>
      <c r="Z86" s="10">
        <f t="shared" si="113"/>
        <v>0</v>
      </c>
      <c r="AA86" s="10">
        <f t="shared" si="113"/>
        <v>0</v>
      </c>
      <c r="AB86" s="10">
        <f t="shared" ref="AB86:AB94" si="122">SUM(W86:AA86)</f>
        <v>1.3250000000000002</v>
      </c>
      <c r="AC86" s="51"/>
      <c r="AD86" s="76"/>
      <c r="AH86" s="132"/>
      <c r="AI86" s="61">
        <f t="shared" si="114"/>
        <v>2</v>
      </c>
      <c r="AJ86" s="47" t="str">
        <f t="shared" si="114"/>
        <v>Diseño del producto</v>
      </c>
      <c r="AK86" s="5">
        <f t="shared" si="114"/>
        <v>24000</v>
      </c>
      <c r="AL86" s="5">
        <f t="shared" si="114"/>
        <v>24000</v>
      </c>
      <c r="AM86" s="5">
        <f t="shared" si="114"/>
        <v>0</v>
      </c>
      <c r="AN86" s="5">
        <f t="shared" si="114"/>
        <v>0</v>
      </c>
      <c r="AO86" s="5">
        <f t="shared" si="114"/>
        <v>0</v>
      </c>
      <c r="AP86" s="5">
        <f t="shared" ref="AP86:AP88" si="123">SUM(AK86:AO86)</f>
        <v>48000</v>
      </c>
      <c r="AQ86" s="50" t="s">
        <v>199</v>
      </c>
      <c r="AR86" s="253"/>
      <c r="AS86" s="63" t="str">
        <f t="shared" ref="AS86:AS88" si="124">+AJ86</f>
        <v>Diseño del producto</v>
      </c>
      <c r="AT86" s="10">
        <f>+AK86/$AP$34</f>
        <v>9.6076861489191354E-2</v>
      </c>
      <c r="AU86" s="10">
        <f>+AL86/$AP$34</f>
        <v>9.6076861489191354E-2</v>
      </c>
      <c r="AV86" s="10"/>
      <c r="AW86" s="10"/>
      <c r="AX86" s="10"/>
      <c r="AY86" s="10">
        <f t="shared" ref="AY86:AY88" si="125">+AP86/$AP$34</f>
        <v>0.19215372297838271</v>
      </c>
      <c r="AZ86" s="64"/>
      <c r="BA86" s="44"/>
      <c r="BB86" s="63" t="str">
        <f t="shared" ref="BB86:BB88" si="126">+AS86</f>
        <v>Diseño del producto</v>
      </c>
      <c r="BC86" s="17">
        <f>+AK86/$AP$29</f>
        <v>0.6</v>
      </c>
      <c r="BD86" s="10">
        <f>+AL86/$AP$29</f>
        <v>0.6</v>
      </c>
      <c r="BE86" s="10"/>
      <c r="BF86" s="10"/>
      <c r="BG86" s="10"/>
      <c r="BH86" s="18">
        <f t="shared" ref="BH86:BH88" si="127">SUM(BC86:BG86)</f>
        <v>1.2</v>
      </c>
      <c r="BI86" s="287"/>
      <c r="BJ86" s="272"/>
    </row>
    <row r="87" spans="2:62" ht="18" x14ac:dyDescent="0.25">
      <c r="B87" s="75"/>
      <c r="C87" s="61">
        <f t="shared" ref="C87:I87" si="128">+C67</f>
        <v>3</v>
      </c>
      <c r="D87" s="164" t="str">
        <f t="shared" si="128"/>
        <v>Programación</v>
      </c>
      <c r="E87" s="5">
        <f t="shared" si="128"/>
        <v>0</v>
      </c>
      <c r="F87" s="5">
        <f t="shared" si="128"/>
        <v>1000</v>
      </c>
      <c r="G87" s="5">
        <f t="shared" si="128"/>
        <v>4200</v>
      </c>
      <c r="H87" s="5">
        <f t="shared" si="128"/>
        <v>1100</v>
      </c>
      <c r="I87" s="5">
        <f t="shared" si="128"/>
        <v>0</v>
      </c>
      <c r="J87" s="5">
        <f t="shared" si="116"/>
        <v>6300</v>
      </c>
      <c r="K87" s="50">
        <f t="shared" si="117"/>
        <v>3.1188118811881188E-2</v>
      </c>
      <c r="L87" s="62"/>
      <c r="M87" s="215" t="str">
        <f t="shared" si="111"/>
        <v>Programación</v>
      </c>
      <c r="N87" s="10">
        <f t="shared" si="118"/>
        <v>0</v>
      </c>
      <c r="O87" s="10">
        <f t="shared" si="112"/>
        <v>4.9504950495049506E-3</v>
      </c>
      <c r="P87" s="10">
        <f t="shared" si="112"/>
        <v>2.0792079207920793E-2</v>
      </c>
      <c r="Q87" s="10">
        <f t="shared" si="112"/>
        <v>5.4455445544554452E-3</v>
      </c>
      <c r="R87" s="10">
        <f t="shared" si="112"/>
        <v>0</v>
      </c>
      <c r="S87" s="10">
        <f t="shared" si="119"/>
        <v>3.1188118811881188E-2</v>
      </c>
      <c r="T87" s="64"/>
      <c r="U87" s="44"/>
      <c r="V87" s="165" t="str">
        <f t="shared" si="120"/>
        <v>Programación</v>
      </c>
      <c r="W87" s="10">
        <f t="shared" si="121"/>
        <v>0</v>
      </c>
      <c r="X87" s="10">
        <f t="shared" si="113"/>
        <v>0.25</v>
      </c>
      <c r="Y87" s="10">
        <f t="shared" si="113"/>
        <v>1.05</v>
      </c>
      <c r="Z87" s="10">
        <f t="shared" si="113"/>
        <v>0.27500000000000002</v>
      </c>
      <c r="AA87" s="10">
        <f t="shared" si="113"/>
        <v>0</v>
      </c>
      <c r="AB87" s="10">
        <f t="shared" si="122"/>
        <v>1.5750000000000002</v>
      </c>
      <c r="AC87" s="51"/>
      <c r="AD87" s="76"/>
      <c r="AH87" s="132"/>
      <c r="AI87" s="61">
        <f t="shared" si="114"/>
        <v>3</v>
      </c>
      <c r="AJ87" s="47" t="str">
        <f t="shared" si="114"/>
        <v>Programación</v>
      </c>
      <c r="AK87" s="5">
        <f t="shared" si="114"/>
        <v>0</v>
      </c>
      <c r="AL87" s="5">
        <f t="shared" si="114"/>
        <v>19400</v>
      </c>
      <c r="AM87" s="5">
        <f t="shared" si="114"/>
        <v>46000</v>
      </c>
      <c r="AN87" s="5">
        <f t="shared" si="114"/>
        <v>66000</v>
      </c>
      <c r="AO87" s="5">
        <f t="shared" si="114"/>
        <v>21200</v>
      </c>
      <c r="AP87" s="5">
        <f t="shared" si="123"/>
        <v>152600</v>
      </c>
      <c r="AQ87" s="50" t="s">
        <v>200</v>
      </c>
      <c r="AR87" s="62"/>
      <c r="AS87" s="63" t="str">
        <f t="shared" si="124"/>
        <v>Programación</v>
      </c>
      <c r="AT87" s="10"/>
      <c r="AU87" s="10">
        <f>+AL87/$AP$34</f>
        <v>7.7662129703763016E-2</v>
      </c>
      <c r="AV87" s="10">
        <f>+AM87/$AP$34</f>
        <v>0.18414731785428343</v>
      </c>
      <c r="AW87" s="10">
        <f>+AN87/$AP$34</f>
        <v>0.26421136909527621</v>
      </c>
      <c r="AX87" s="10">
        <f>+AO87/$AP$34</f>
        <v>8.4867894315452358E-2</v>
      </c>
      <c r="AY87" s="10">
        <f t="shared" si="125"/>
        <v>0.61088871096877506</v>
      </c>
      <c r="AZ87" s="64"/>
      <c r="BA87" s="44"/>
      <c r="BB87" s="63" t="str">
        <f t="shared" si="126"/>
        <v>Programación</v>
      </c>
      <c r="BC87" s="17"/>
      <c r="BD87" s="10">
        <f>+AL87/$AP$30</f>
        <v>0.13566433566433567</v>
      </c>
      <c r="BE87" s="10">
        <f>+AM87/$AP$30</f>
        <v>0.32167832167832167</v>
      </c>
      <c r="BF87" s="10">
        <f>+AN87/$AP$30</f>
        <v>0.46153846153846156</v>
      </c>
      <c r="BG87" s="10">
        <f>+AO87/$AP$30</f>
        <v>0.14825174825174825</v>
      </c>
      <c r="BH87" s="18">
        <f t="shared" si="127"/>
        <v>1.0671328671328673</v>
      </c>
      <c r="BI87" s="287"/>
      <c r="BJ87" s="272"/>
    </row>
    <row r="88" spans="2:62" ht="18" x14ac:dyDescent="0.25">
      <c r="B88" s="75"/>
      <c r="C88" s="61">
        <f t="shared" ref="C88:I88" si="129">+C68</f>
        <v>4</v>
      </c>
      <c r="D88" s="164" t="str">
        <f t="shared" si="129"/>
        <v>Pruebas (Testging)</v>
      </c>
      <c r="E88" s="5">
        <f t="shared" si="129"/>
        <v>0</v>
      </c>
      <c r="F88" s="5">
        <f t="shared" si="129"/>
        <v>0</v>
      </c>
      <c r="G88" s="5">
        <f t="shared" si="129"/>
        <v>1000</v>
      </c>
      <c r="H88" s="5">
        <f t="shared" si="129"/>
        <v>1600</v>
      </c>
      <c r="I88" s="5">
        <f t="shared" si="129"/>
        <v>1100</v>
      </c>
      <c r="J88" s="5">
        <f t="shared" si="116"/>
        <v>3700</v>
      </c>
      <c r="K88" s="50">
        <f t="shared" si="117"/>
        <v>1.8316831683168316E-2</v>
      </c>
      <c r="L88" s="62"/>
      <c r="M88" s="215" t="str">
        <f t="shared" si="111"/>
        <v>Pruebas (Testging)</v>
      </c>
      <c r="N88" s="10">
        <f t="shared" si="118"/>
        <v>0</v>
      </c>
      <c r="O88" s="10">
        <f t="shared" si="112"/>
        <v>0</v>
      </c>
      <c r="P88" s="10">
        <f t="shared" si="112"/>
        <v>4.9504950495049506E-3</v>
      </c>
      <c r="Q88" s="10">
        <f t="shared" si="112"/>
        <v>7.9207920792079209E-3</v>
      </c>
      <c r="R88" s="10">
        <f t="shared" si="112"/>
        <v>5.4455445544554452E-3</v>
      </c>
      <c r="S88" s="10">
        <f t="shared" si="119"/>
        <v>1.8316831683168316E-2</v>
      </c>
      <c r="T88" s="64"/>
      <c r="U88" s="44"/>
      <c r="V88" s="165" t="str">
        <f t="shared" si="120"/>
        <v>Pruebas (Testging)</v>
      </c>
      <c r="W88" s="10">
        <f t="shared" si="121"/>
        <v>0</v>
      </c>
      <c r="X88" s="10">
        <f t="shared" si="113"/>
        <v>0</v>
      </c>
      <c r="Y88" s="10">
        <f t="shared" si="113"/>
        <v>0.25</v>
      </c>
      <c r="Z88" s="10">
        <f t="shared" si="113"/>
        <v>0.4</v>
      </c>
      <c r="AA88" s="10">
        <f t="shared" si="113"/>
        <v>0.27500000000000002</v>
      </c>
      <c r="AB88" s="10">
        <f t="shared" si="122"/>
        <v>0.92500000000000004</v>
      </c>
      <c r="AC88" s="51"/>
      <c r="AD88" s="76"/>
      <c r="AH88" s="132"/>
      <c r="AI88" s="61">
        <f t="shared" si="114"/>
        <v>4</v>
      </c>
      <c r="AJ88" s="47" t="str">
        <f t="shared" si="114"/>
        <v>Integración y pruebas</v>
      </c>
      <c r="AK88" s="5">
        <f t="shared" si="114"/>
        <v>0</v>
      </c>
      <c r="AL88" s="5">
        <f t="shared" si="114"/>
        <v>0</v>
      </c>
      <c r="AM88" s="5">
        <f t="shared" si="114"/>
        <v>0</v>
      </c>
      <c r="AN88" s="5">
        <f t="shared" si="114"/>
        <v>0</v>
      </c>
      <c r="AO88" s="5">
        <f t="shared" si="114"/>
        <v>34000</v>
      </c>
      <c r="AP88" s="5">
        <f t="shared" si="123"/>
        <v>34000</v>
      </c>
      <c r="AQ88" s="50" t="s">
        <v>200</v>
      </c>
      <c r="AR88" s="62"/>
      <c r="AS88" s="63" t="str">
        <f t="shared" si="124"/>
        <v>Integración y pruebas</v>
      </c>
      <c r="AT88" s="10"/>
      <c r="AU88" s="10"/>
      <c r="AV88" s="10"/>
      <c r="AW88" s="10"/>
      <c r="AX88" s="10">
        <f>+AO88/$AP$34</f>
        <v>0.13610888710968774</v>
      </c>
      <c r="AY88" s="10">
        <f t="shared" si="125"/>
        <v>0.13610888710968774</v>
      </c>
      <c r="AZ88" s="64"/>
      <c r="BA88" s="44"/>
      <c r="BB88" s="63" t="str">
        <f t="shared" si="126"/>
        <v>Integración y pruebas</v>
      </c>
      <c r="BC88" s="17"/>
      <c r="BD88" s="10"/>
      <c r="BE88" s="10"/>
      <c r="BF88" s="10"/>
      <c r="BG88" s="10">
        <f>+AO88/$AP$31</f>
        <v>1</v>
      </c>
      <c r="BH88" s="18">
        <f t="shared" si="127"/>
        <v>1</v>
      </c>
      <c r="BI88" s="287"/>
      <c r="BJ88" s="272"/>
    </row>
    <row r="89" spans="2:62" ht="18" x14ac:dyDescent="0.25">
      <c r="B89" s="75"/>
      <c r="C89" s="61">
        <f t="shared" ref="C89:I90" si="130">+C69</f>
        <v>5</v>
      </c>
      <c r="D89" s="164" t="str">
        <f t="shared" si="130"/>
        <v>Corrección de Errores</v>
      </c>
      <c r="E89" s="5">
        <f t="shared" si="130"/>
        <v>0</v>
      </c>
      <c r="F89" s="5">
        <f t="shared" si="130"/>
        <v>0</v>
      </c>
      <c r="G89" s="5">
        <f t="shared" si="130"/>
        <v>0</v>
      </c>
      <c r="H89" s="5">
        <f t="shared" si="130"/>
        <v>2600</v>
      </c>
      <c r="I89" s="5">
        <f t="shared" si="130"/>
        <v>2100</v>
      </c>
      <c r="J89" s="5">
        <f t="shared" si="116"/>
        <v>4700</v>
      </c>
      <c r="K89" s="50">
        <f t="shared" si="117"/>
        <v>2.3267326732673267E-2</v>
      </c>
      <c r="L89" s="62"/>
      <c r="M89" s="215" t="str">
        <f t="shared" si="111"/>
        <v>Corrección de Errores</v>
      </c>
      <c r="N89" s="10">
        <f t="shared" si="118"/>
        <v>0</v>
      </c>
      <c r="O89" s="10">
        <f t="shared" si="112"/>
        <v>0</v>
      </c>
      <c r="P89" s="10">
        <f t="shared" si="112"/>
        <v>0</v>
      </c>
      <c r="Q89" s="10">
        <f t="shared" si="112"/>
        <v>1.2871287128712871E-2</v>
      </c>
      <c r="R89" s="10">
        <f t="shared" si="112"/>
        <v>1.0396039603960397E-2</v>
      </c>
      <c r="S89" s="10">
        <f t="shared" si="119"/>
        <v>2.3267326732673267E-2</v>
      </c>
      <c r="T89" s="64"/>
      <c r="U89" s="44"/>
      <c r="V89" s="165" t="str">
        <f t="shared" si="120"/>
        <v>Corrección de Errores</v>
      </c>
      <c r="W89" s="10">
        <f t="shared" si="121"/>
        <v>0</v>
      </c>
      <c r="X89" s="10">
        <f t="shared" si="113"/>
        <v>0</v>
      </c>
      <c r="Y89" s="10">
        <f t="shared" si="113"/>
        <v>0</v>
      </c>
      <c r="Z89" s="10">
        <f t="shared" si="113"/>
        <v>0.65</v>
      </c>
      <c r="AA89" s="10">
        <f t="shared" si="113"/>
        <v>0.52500000000000002</v>
      </c>
      <c r="AB89" s="10">
        <f t="shared" si="122"/>
        <v>1.175</v>
      </c>
      <c r="AC89" s="51"/>
      <c r="AD89" s="76"/>
      <c r="AH89" s="132"/>
      <c r="AI89" s="61">
        <f>+AI88+1</f>
        <v>5</v>
      </c>
      <c r="AJ89" s="47" t="str">
        <f t="shared" ref="AJ89:AO90" si="131">+AJ76</f>
        <v>Infraestructura (SW)</v>
      </c>
      <c r="AK89" s="5">
        <f t="shared" si="131"/>
        <v>0</v>
      </c>
      <c r="AL89" s="5">
        <f t="shared" si="131"/>
        <v>8000</v>
      </c>
      <c r="AM89" s="5">
        <f t="shared" si="131"/>
        <v>0</v>
      </c>
      <c r="AN89" s="5">
        <f t="shared" si="131"/>
        <v>0</v>
      </c>
      <c r="AO89" s="5">
        <f t="shared" si="131"/>
        <v>0</v>
      </c>
      <c r="AP89" s="5">
        <f>SUM(AK89:AO89)</f>
        <v>8000</v>
      </c>
      <c r="AQ89" s="50" t="s">
        <v>200</v>
      </c>
      <c r="AR89" s="62"/>
      <c r="AS89" s="63" t="str">
        <f>+AJ89</f>
        <v>Infraestructura (SW)</v>
      </c>
      <c r="AT89" s="10"/>
      <c r="AU89" s="10">
        <f>+AL89/$AP$34</f>
        <v>3.2025620496397116E-2</v>
      </c>
      <c r="AV89" s="10"/>
      <c r="AW89" s="10"/>
      <c r="AX89" s="10"/>
      <c r="AY89" s="10">
        <f>+AP89/$AP$34</f>
        <v>3.2025620496397116E-2</v>
      </c>
      <c r="AZ89" s="64"/>
      <c r="BA89" s="44"/>
      <c r="BB89" s="63" t="str">
        <f>+AS89</f>
        <v>Infraestructura (SW)</v>
      </c>
      <c r="BC89" s="17"/>
      <c r="BD89" s="10">
        <f>+AL89/$AP$30</f>
        <v>5.5944055944055944E-2</v>
      </c>
      <c r="BE89" s="10"/>
      <c r="BF89" s="10"/>
      <c r="BG89" s="10"/>
      <c r="BH89" s="18">
        <f>SUM(BC89:BG89)</f>
        <v>5.5944055944055944E-2</v>
      </c>
      <c r="BI89" s="287"/>
      <c r="BJ89" s="272"/>
    </row>
    <row r="90" spans="2:62" ht="18.75" thickBot="1" x14ac:dyDescent="0.3">
      <c r="B90" s="75"/>
      <c r="C90" s="61">
        <f t="shared" si="130"/>
        <v>6</v>
      </c>
      <c r="D90" s="164" t="str">
        <f t="shared" si="130"/>
        <v>Lanzamiento a Productivo</v>
      </c>
      <c r="E90" s="5">
        <f t="shared" si="130"/>
        <v>0</v>
      </c>
      <c r="F90" s="5">
        <f t="shared" si="130"/>
        <v>0</v>
      </c>
      <c r="G90" s="5">
        <f t="shared" si="130"/>
        <v>0</v>
      </c>
      <c r="H90" s="5">
        <f t="shared" si="130"/>
        <v>0</v>
      </c>
      <c r="I90" s="5">
        <f t="shared" si="130"/>
        <v>2100</v>
      </c>
      <c r="J90" s="5">
        <f t="shared" si="116"/>
        <v>2100</v>
      </c>
      <c r="K90" s="50">
        <f t="shared" si="117"/>
        <v>1.0396039603960397E-2</v>
      </c>
      <c r="L90" s="62"/>
      <c r="M90" s="215" t="str">
        <f t="shared" si="111"/>
        <v>Lanzamiento a Productivo</v>
      </c>
      <c r="N90" s="10">
        <f t="shared" si="118"/>
        <v>0</v>
      </c>
      <c r="O90" s="10">
        <f t="shared" si="112"/>
        <v>0</v>
      </c>
      <c r="P90" s="10">
        <f t="shared" si="112"/>
        <v>0</v>
      </c>
      <c r="Q90" s="10">
        <f t="shared" si="112"/>
        <v>0</v>
      </c>
      <c r="R90" s="10">
        <f t="shared" si="112"/>
        <v>1.0396039603960397E-2</v>
      </c>
      <c r="S90" s="10">
        <f t="shared" si="119"/>
        <v>1.0396039603960397E-2</v>
      </c>
      <c r="T90" s="64"/>
      <c r="U90" s="44"/>
      <c r="V90" s="165" t="str">
        <f t="shared" si="120"/>
        <v>Lanzamiento a Productivo</v>
      </c>
      <c r="W90" s="10">
        <f t="shared" si="121"/>
        <v>0</v>
      </c>
      <c r="X90" s="10">
        <f t="shared" si="113"/>
        <v>0</v>
      </c>
      <c r="Y90" s="10">
        <f t="shared" si="113"/>
        <v>0</v>
      </c>
      <c r="Z90" s="10">
        <f t="shared" si="113"/>
        <v>0</v>
      </c>
      <c r="AA90" s="10">
        <f t="shared" si="113"/>
        <v>0.52500000000000002</v>
      </c>
      <c r="AB90" s="10">
        <f t="shared" si="122"/>
        <v>0.52500000000000002</v>
      </c>
      <c r="AC90" s="51"/>
      <c r="AD90" s="76"/>
      <c r="AH90" s="132"/>
      <c r="AI90" s="61">
        <f>+AI89+1</f>
        <v>6</v>
      </c>
      <c r="AJ90" s="47" t="str">
        <f t="shared" si="131"/>
        <v>Costos Fijos (Luz, Agua, servicios)</v>
      </c>
      <c r="AK90" s="5">
        <f t="shared" si="131"/>
        <v>0</v>
      </c>
      <c r="AL90" s="5">
        <f t="shared" si="131"/>
        <v>1200</v>
      </c>
      <c r="AM90" s="5">
        <f t="shared" si="131"/>
        <v>1200</v>
      </c>
      <c r="AN90" s="5">
        <f t="shared" si="131"/>
        <v>1200</v>
      </c>
      <c r="AO90" s="5">
        <f t="shared" si="131"/>
        <v>1200</v>
      </c>
      <c r="AP90" s="5">
        <f>SUM(AK90:AO90)</f>
        <v>4800</v>
      </c>
      <c r="AQ90" s="50" t="s">
        <v>200</v>
      </c>
      <c r="AR90" s="62"/>
      <c r="AS90" s="63" t="str">
        <f>+AJ90</f>
        <v>Costos Fijos (Luz, Agua, servicios)</v>
      </c>
      <c r="AT90" s="10"/>
      <c r="AU90" s="10">
        <f>+AL90/$AP$34</f>
        <v>4.8038430744595673E-3</v>
      </c>
      <c r="AV90" s="10">
        <f>+AM90/$AP$34</f>
        <v>4.8038430744595673E-3</v>
      </c>
      <c r="AW90" s="10">
        <f>+AN90/$AP$34</f>
        <v>4.8038430744595673E-3</v>
      </c>
      <c r="AX90" s="10">
        <f>+AO90/$AP$34</f>
        <v>4.8038430744595673E-3</v>
      </c>
      <c r="AY90" s="10">
        <f>+AP90/$AP$34</f>
        <v>1.9215372297838269E-2</v>
      </c>
      <c r="AZ90" s="64"/>
      <c r="BA90" s="44"/>
      <c r="BB90" s="63" t="str">
        <f>+AS90</f>
        <v>Costos Fijos (Luz, Agua, servicios)</v>
      </c>
      <c r="BC90" s="17"/>
      <c r="BD90" s="10">
        <f>+AL90/$AP$30</f>
        <v>8.3916083916083916E-3</v>
      </c>
      <c r="BE90" s="10">
        <f>+AM90/$AP$30</f>
        <v>8.3916083916083916E-3</v>
      </c>
      <c r="BF90" s="10">
        <f>+AN90/$AP$30</f>
        <v>8.3916083916083916E-3</v>
      </c>
      <c r="BG90" s="10">
        <f>+AO90/$AP$30</f>
        <v>8.3916083916083916E-3</v>
      </c>
      <c r="BH90" s="18">
        <f>SUM(BC90:BG90)</f>
        <v>3.3566433566433566E-2</v>
      </c>
      <c r="BI90" s="287"/>
      <c r="BJ90" s="272"/>
    </row>
    <row r="91" spans="2:62" ht="18.75" thickBot="1" x14ac:dyDescent="0.3">
      <c r="B91" s="75"/>
      <c r="C91" s="61">
        <f>+C76</f>
        <v>7</v>
      </c>
      <c r="D91" s="164" t="str">
        <f>+D76</f>
        <v>Ejemplo: Infraestructura (SW o HW)</v>
      </c>
      <c r="E91" s="5">
        <f>+E76</f>
        <v>3000</v>
      </c>
      <c r="F91" s="5">
        <f t="shared" ref="F91:I91" si="132">+F76</f>
        <v>30</v>
      </c>
      <c r="G91" s="5">
        <f t="shared" si="132"/>
        <v>30</v>
      </c>
      <c r="H91" s="5">
        <f t="shared" si="132"/>
        <v>30</v>
      </c>
      <c r="I91" s="5">
        <f t="shared" si="132"/>
        <v>30</v>
      </c>
      <c r="J91" s="5">
        <f t="shared" si="116"/>
        <v>3120</v>
      </c>
      <c r="K91" s="50">
        <f t="shared" si="117"/>
        <v>1.5445544554455445E-2</v>
      </c>
      <c r="L91" s="62"/>
      <c r="M91" s="215" t="str">
        <f t="shared" si="111"/>
        <v>Ejemplo: Infraestructura (SW o HW)</v>
      </c>
      <c r="N91" s="10">
        <f t="shared" si="118"/>
        <v>1.4851485148514851E-2</v>
      </c>
      <c r="O91" s="10">
        <f t="shared" si="112"/>
        <v>1.4851485148514851E-4</v>
      </c>
      <c r="P91" s="10">
        <f t="shared" si="112"/>
        <v>1.4851485148514851E-4</v>
      </c>
      <c r="Q91" s="10">
        <f t="shared" si="112"/>
        <v>1.4851485148514851E-4</v>
      </c>
      <c r="R91" s="10">
        <f t="shared" si="112"/>
        <v>1.4851485148514851E-4</v>
      </c>
      <c r="S91" s="10">
        <f t="shared" si="119"/>
        <v>1.5445544554455445E-2</v>
      </c>
      <c r="T91" s="64"/>
      <c r="U91" s="44"/>
      <c r="V91" s="165" t="str">
        <f t="shared" si="120"/>
        <v>Ejemplo: Infraestructura (SW o HW)</v>
      </c>
      <c r="W91" s="10">
        <f t="shared" si="121"/>
        <v>0.75</v>
      </c>
      <c r="X91" s="10">
        <f t="shared" si="113"/>
        <v>7.4999999999999997E-3</v>
      </c>
      <c r="Y91" s="10">
        <f t="shared" si="113"/>
        <v>7.4999999999999997E-3</v>
      </c>
      <c r="Z91" s="10">
        <f t="shared" si="113"/>
        <v>7.4999999999999997E-3</v>
      </c>
      <c r="AA91" s="10">
        <f t="shared" si="113"/>
        <v>7.4999999999999997E-3</v>
      </c>
      <c r="AB91" s="10">
        <f t="shared" si="122"/>
        <v>0.7799999999999998</v>
      </c>
      <c r="AC91" s="51"/>
      <c r="AD91" s="76"/>
      <c r="AH91" s="132"/>
      <c r="AI91" s="43"/>
      <c r="AJ91" s="46" t="s">
        <v>40</v>
      </c>
      <c r="AK91" s="7">
        <f t="shared" ref="AK91:AP91" si="133">SUM(AK85:AK90)</f>
        <v>54000</v>
      </c>
      <c r="AL91" s="7">
        <f t="shared" si="133"/>
        <v>52600</v>
      </c>
      <c r="AM91" s="7">
        <f t="shared" si="133"/>
        <v>47200</v>
      </c>
      <c r="AN91" s="7">
        <f t="shared" si="133"/>
        <v>67200</v>
      </c>
      <c r="AO91" s="7">
        <f t="shared" si="133"/>
        <v>56400</v>
      </c>
      <c r="AP91" s="9">
        <f t="shared" si="133"/>
        <v>277400</v>
      </c>
      <c r="AQ91" s="146" t="s">
        <v>200</v>
      </c>
      <c r="AR91" s="254" t="s">
        <v>115</v>
      </c>
      <c r="AS91" s="63" t="str">
        <f>+AJ91</f>
        <v>Total Gastos Semana 3</v>
      </c>
      <c r="AT91" s="12">
        <f t="shared" ref="AT91:AY91" si="134">SUM(AT85:AT90)</f>
        <v>0.21617293835068055</v>
      </c>
      <c r="AU91" s="12">
        <f t="shared" si="134"/>
        <v>0.21056845476381109</v>
      </c>
      <c r="AV91" s="12">
        <f t="shared" si="134"/>
        <v>0.18895116092874301</v>
      </c>
      <c r="AW91" s="12">
        <f t="shared" si="134"/>
        <v>0.26901521216973578</v>
      </c>
      <c r="AX91" s="12">
        <f t="shared" si="134"/>
        <v>0.22578062449959968</v>
      </c>
      <c r="AY91" s="149">
        <f t="shared" si="134"/>
        <v>1.1104883907125702</v>
      </c>
      <c r="AZ91" s="256" t="s">
        <v>115</v>
      </c>
      <c r="BA91" s="257"/>
      <c r="BB91" s="63"/>
      <c r="BC91" s="224" t="s">
        <v>86</v>
      </c>
      <c r="BD91" s="225"/>
      <c r="BE91" s="225"/>
      <c r="BF91" s="225"/>
      <c r="BG91" s="225"/>
      <c r="BH91" s="225"/>
      <c r="BI91" s="287"/>
      <c r="BJ91" s="272"/>
    </row>
    <row r="92" spans="2:62" ht="18" x14ac:dyDescent="0.25">
      <c r="B92" s="75"/>
      <c r="C92" s="61">
        <f t="shared" ref="C92:I92" si="135">+C77</f>
        <v>8</v>
      </c>
      <c r="D92" s="164" t="str">
        <f t="shared" si="135"/>
        <v>Ejemplo: Costos Fijos (Luz, Agua, servicios)</v>
      </c>
      <c r="E92" s="5">
        <f t="shared" si="135"/>
        <v>0</v>
      </c>
      <c r="F92" s="5">
        <f t="shared" si="135"/>
        <v>0</v>
      </c>
      <c r="G92" s="5">
        <f t="shared" si="135"/>
        <v>0</v>
      </c>
      <c r="H92" s="5">
        <f t="shared" si="135"/>
        <v>0</v>
      </c>
      <c r="I92" s="5">
        <f t="shared" si="135"/>
        <v>0</v>
      </c>
      <c r="J92" s="5">
        <f t="shared" si="116"/>
        <v>0</v>
      </c>
      <c r="K92" s="50">
        <f t="shared" si="117"/>
        <v>0</v>
      </c>
      <c r="L92" s="62"/>
      <c r="M92" s="215" t="str">
        <f t="shared" si="111"/>
        <v>Ejemplo: Costos Fijos (Luz, Agua, servicios)</v>
      </c>
      <c r="N92" s="10">
        <f t="shared" si="118"/>
        <v>0</v>
      </c>
      <c r="O92" s="10">
        <f t="shared" si="112"/>
        <v>0</v>
      </c>
      <c r="P92" s="10">
        <f t="shared" si="112"/>
        <v>0</v>
      </c>
      <c r="Q92" s="10">
        <f t="shared" si="112"/>
        <v>0</v>
      </c>
      <c r="R92" s="10">
        <f t="shared" si="112"/>
        <v>0</v>
      </c>
      <c r="S92" s="10">
        <f t="shared" si="119"/>
        <v>0</v>
      </c>
      <c r="T92" s="64"/>
      <c r="U92" s="44"/>
      <c r="V92" s="165" t="str">
        <f t="shared" si="120"/>
        <v>Ejemplo: Costos Fijos (Luz, Agua, servicios)</v>
      </c>
      <c r="W92" s="10">
        <f t="shared" si="121"/>
        <v>0</v>
      </c>
      <c r="X92" s="10">
        <f t="shared" si="113"/>
        <v>0</v>
      </c>
      <c r="Y92" s="10">
        <f t="shared" si="113"/>
        <v>0</v>
      </c>
      <c r="Z92" s="10">
        <f t="shared" si="113"/>
        <v>0</v>
      </c>
      <c r="AA92" s="10">
        <f t="shared" si="113"/>
        <v>0</v>
      </c>
      <c r="AB92" s="10">
        <f t="shared" si="122"/>
        <v>0</v>
      </c>
      <c r="AC92" s="51"/>
      <c r="AD92" s="76"/>
      <c r="AH92" s="132"/>
      <c r="AI92" s="43"/>
      <c r="AJ92" s="46"/>
      <c r="AK92" s="106">
        <f>+AK91/$AP$34</f>
        <v>0.21617293835068055</v>
      </c>
      <c r="AL92" s="55">
        <f>+AL91/$AP$34</f>
        <v>0.21056845476381106</v>
      </c>
      <c r="AM92" s="55">
        <f>+AM91/$AP$34</f>
        <v>0.18895116092874301</v>
      </c>
      <c r="AN92" s="55">
        <f>+AN91/$AP$34</f>
        <v>0.26901521216973578</v>
      </c>
      <c r="AO92" s="55">
        <f>+AO91/$AP$34</f>
        <v>0.22578062449959968</v>
      </c>
      <c r="AP92" s="55">
        <f>SUM(AK92:AO92)</f>
        <v>1.11048839071257</v>
      </c>
      <c r="AQ92" s="53">
        <f>+AP91/$AP$34</f>
        <v>1.11048839071257</v>
      </c>
      <c r="AR92" s="255"/>
      <c r="AZ92" s="257"/>
      <c r="BA92" s="257"/>
      <c r="BI92" s="262"/>
      <c r="BJ92" s="272"/>
    </row>
    <row r="93" spans="2:62" x14ac:dyDescent="0.25">
      <c r="B93" s="75"/>
      <c r="C93" s="61">
        <f t="shared" ref="C93:I93" si="136">+C78</f>
        <v>9</v>
      </c>
      <c r="D93" s="164" t="str">
        <f t="shared" si="136"/>
        <v>Renta/Improvistos</v>
      </c>
      <c r="E93" s="5">
        <f t="shared" si="136"/>
        <v>100</v>
      </c>
      <c r="F93" s="5">
        <f t="shared" si="136"/>
        <v>0</v>
      </c>
      <c r="G93" s="5">
        <f t="shared" si="136"/>
        <v>0</v>
      </c>
      <c r="H93" s="5">
        <f t="shared" si="136"/>
        <v>0</v>
      </c>
      <c r="I93" s="5">
        <f t="shared" si="136"/>
        <v>100</v>
      </c>
      <c r="J93" s="5">
        <f t="shared" si="116"/>
        <v>200</v>
      </c>
      <c r="K93" s="50">
        <f t="shared" si="117"/>
        <v>9.9009900990099011E-4</v>
      </c>
      <c r="L93" s="62"/>
      <c r="M93" s="215" t="str">
        <f t="shared" si="111"/>
        <v>Renta/Improvistos</v>
      </c>
      <c r="N93" s="10">
        <f t="shared" si="118"/>
        <v>4.9504950495049506E-4</v>
      </c>
      <c r="O93" s="10">
        <f t="shared" si="112"/>
        <v>0</v>
      </c>
      <c r="P93" s="10">
        <f t="shared" si="112"/>
        <v>0</v>
      </c>
      <c r="Q93" s="10">
        <f t="shared" si="112"/>
        <v>0</v>
      </c>
      <c r="R93" s="10">
        <f t="shared" si="112"/>
        <v>4.9504950495049506E-4</v>
      </c>
      <c r="S93" s="10">
        <f t="shared" si="119"/>
        <v>9.9009900990099011E-4</v>
      </c>
      <c r="T93" s="64"/>
      <c r="U93" s="44"/>
      <c r="V93" s="165" t="str">
        <f t="shared" si="120"/>
        <v>Renta/Improvistos</v>
      </c>
      <c r="W93" s="10">
        <f t="shared" si="121"/>
        <v>2.5000000000000001E-2</v>
      </c>
      <c r="X93" s="10">
        <f t="shared" si="113"/>
        <v>0</v>
      </c>
      <c r="Y93" s="10">
        <f t="shared" si="113"/>
        <v>0</v>
      </c>
      <c r="Z93" s="10">
        <f t="shared" si="113"/>
        <v>0</v>
      </c>
      <c r="AA93" s="10">
        <f t="shared" si="113"/>
        <v>2.5000000000000001E-2</v>
      </c>
      <c r="AB93" s="10">
        <f t="shared" si="122"/>
        <v>0.05</v>
      </c>
      <c r="AC93" s="51"/>
      <c r="AD93" s="76"/>
      <c r="AH93" s="132"/>
      <c r="AQ93" s="44"/>
      <c r="AR93" s="44"/>
      <c r="BC93" s="44"/>
      <c r="BD93" s="44"/>
      <c r="BE93" s="44"/>
      <c r="BF93" s="44"/>
      <c r="BG93" s="44"/>
      <c r="BH93" s="44"/>
      <c r="BI93" s="262"/>
      <c r="BJ93" s="272"/>
    </row>
    <row r="94" spans="2:62" ht="18.75" thickBot="1" x14ac:dyDescent="0.3">
      <c r="B94" s="75"/>
      <c r="C94" s="61">
        <f t="shared" ref="C94:I94" si="137">+C79</f>
        <v>10</v>
      </c>
      <c r="D94" s="164" t="str">
        <f t="shared" si="137"/>
        <v>Salarios</v>
      </c>
      <c r="E94" s="5">
        <f t="shared" si="137"/>
        <v>1500</v>
      </c>
      <c r="F94" s="5">
        <f t="shared" si="137"/>
        <v>1500</v>
      </c>
      <c r="G94" s="5">
        <f t="shared" si="137"/>
        <v>1500</v>
      </c>
      <c r="H94" s="5">
        <f t="shared" si="137"/>
        <v>1500</v>
      </c>
      <c r="I94" s="5">
        <f t="shared" si="137"/>
        <v>1500</v>
      </c>
      <c r="J94" s="5">
        <f t="shared" si="116"/>
        <v>7500</v>
      </c>
      <c r="K94" s="50">
        <f t="shared" si="117"/>
        <v>3.7128712871287127E-2</v>
      </c>
      <c r="L94" s="62"/>
      <c r="M94" s="215" t="str">
        <f t="shared" si="111"/>
        <v>Salarios</v>
      </c>
      <c r="N94" s="10">
        <f t="shared" si="118"/>
        <v>7.4257425742574254E-3</v>
      </c>
      <c r="O94" s="10">
        <f t="shared" si="112"/>
        <v>7.4257425742574254E-3</v>
      </c>
      <c r="P94" s="10">
        <f t="shared" si="112"/>
        <v>7.4257425742574254E-3</v>
      </c>
      <c r="Q94" s="10">
        <f t="shared" si="112"/>
        <v>7.4257425742574254E-3</v>
      </c>
      <c r="R94" s="10">
        <f t="shared" si="112"/>
        <v>7.4257425742574254E-3</v>
      </c>
      <c r="S94" s="10">
        <f t="shared" si="119"/>
        <v>3.7128712871287127E-2</v>
      </c>
      <c r="T94" s="64"/>
      <c r="U94" s="44"/>
      <c r="V94" s="165" t="str">
        <f t="shared" si="120"/>
        <v>Salarios</v>
      </c>
      <c r="W94" s="10">
        <f t="shared" si="121"/>
        <v>0.375</v>
      </c>
      <c r="X94" s="10">
        <f t="shared" si="113"/>
        <v>0.375</v>
      </c>
      <c r="Y94" s="10">
        <f t="shared" si="113"/>
        <v>0.375</v>
      </c>
      <c r="Z94" s="10">
        <f t="shared" si="113"/>
        <v>0.375</v>
      </c>
      <c r="AA94" s="10">
        <f t="shared" si="113"/>
        <v>0.375</v>
      </c>
      <c r="AB94" s="10">
        <f t="shared" si="122"/>
        <v>1.875</v>
      </c>
      <c r="AC94" s="51"/>
      <c r="AD94" s="76"/>
      <c r="AH94" s="132"/>
      <c r="AJ94" s="47"/>
      <c r="AK94" s="147" t="s">
        <v>114</v>
      </c>
      <c r="AL94" s="44"/>
      <c r="AM94" s="44"/>
      <c r="AN94" s="44"/>
      <c r="AO94" s="44"/>
      <c r="AP94" s="44"/>
      <c r="BC94" s="44"/>
      <c r="BD94" s="44"/>
      <c r="BE94" s="44"/>
      <c r="BF94" s="44"/>
      <c r="BG94" s="44"/>
      <c r="BH94" s="44"/>
      <c r="BI94" s="262"/>
      <c r="BJ94" s="272"/>
    </row>
    <row r="95" spans="2:62" ht="18.75" thickBot="1" x14ac:dyDescent="0.3">
      <c r="B95" s="75"/>
      <c r="C95" s="43"/>
      <c r="D95" s="46" t="s">
        <v>196</v>
      </c>
      <c r="E95" s="7">
        <f>SUM(E85:E94)</f>
        <v>9800</v>
      </c>
      <c r="F95" s="7">
        <f t="shared" ref="F95:I95" si="138">SUM(F85:F94)</f>
        <v>6730</v>
      </c>
      <c r="G95" s="7">
        <f t="shared" si="138"/>
        <v>6730</v>
      </c>
      <c r="H95" s="7">
        <f t="shared" si="138"/>
        <v>6830</v>
      </c>
      <c r="I95" s="7">
        <f t="shared" si="138"/>
        <v>6930</v>
      </c>
      <c r="J95" s="5">
        <f t="shared" si="116"/>
        <v>37020</v>
      </c>
      <c r="K95" s="50">
        <f t="shared" si="117"/>
        <v>0.18326732673267326</v>
      </c>
      <c r="L95" s="66"/>
      <c r="M95" s="220" t="str">
        <f t="shared" si="111"/>
        <v>Total Gastos</v>
      </c>
      <c r="N95" s="11">
        <f>SUM(N85:N94)</f>
        <v>4.8514851485148516E-2</v>
      </c>
      <c r="O95" s="11">
        <f t="shared" ref="O95:R95" si="139">SUM(O85:O94)</f>
        <v>3.3316831683168319E-2</v>
      </c>
      <c r="P95" s="11">
        <f t="shared" si="139"/>
        <v>3.3316831683168319E-2</v>
      </c>
      <c r="Q95" s="11">
        <f t="shared" si="139"/>
        <v>3.3811881188118814E-2</v>
      </c>
      <c r="R95" s="11">
        <f t="shared" si="139"/>
        <v>3.430693069306931E-2</v>
      </c>
      <c r="S95" s="13">
        <f>SUM(S85:S94)</f>
        <v>0.18326732673267329</v>
      </c>
      <c r="T95" s="67"/>
      <c r="U95" s="44"/>
      <c r="V95" s="63"/>
      <c r="W95" s="44"/>
      <c r="X95" s="44"/>
      <c r="Y95" s="44"/>
      <c r="Z95" s="44"/>
      <c r="AA95" s="44"/>
      <c r="AB95" s="44"/>
      <c r="AC95" s="51"/>
      <c r="AD95" s="76"/>
      <c r="AH95" s="132"/>
      <c r="BC95" s="44"/>
      <c r="BD95" s="44"/>
      <c r="BE95" s="44"/>
      <c r="BF95" s="44"/>
      <c r="BG95" s="44"/>
      <c r="BH95" s="44"/>
      <c r="BI95" s="51"/>
      <c r="BJ95" s="133"/>
    </row>
    <row r="96" spans="2:62" ht="18" x14ac:dyDescent="0.25">
      <c r="B96" s="75"/>
      <c r="C96" s="43"/>
      <c r="D96" s="46"/>
      <c r="E96" s="55">
        <f>+E95/($J$38*20)</f>
        <v>4.8514851485148516E-2</v>
      </c>
      <c r="F96" s="55">
        <f t="shared" ref="F96:J96" si="140">+F95/($J$38*20)</f>
        <v>3.3316831683168319E-2</v>
      </c>
      <c r="G96" s="55">
        <f t="shared" si="140"/>
        <v>3.3316831683168319E-2</v>
      </c>
      <c r="H96" s="55">
        <f t="shared" si="140"/>
        <v>3.3811881188118814E-2</v>
      </c>
      <c r="I96" s="55">
        <f t="shared" si="140"/>
        <v>3.430693069306931E-2</v>
      </c>
      <c r="J96" s="55">
        <f t="shared" si="140"/>
        <v>0.18326732673267326</v>
      </c>
      <c r="K96" s="51"/>
      <c r="L96" s="66"/>
      <c r="M96" s="51"/>
      <c r="N96" s="51"/>
      <c r="O96" s="51"/>
      <c r="P96" s="51"/>
      <c r="Q96" s="51"/>
      <c r="R96" s="51"/>
      <c r="S96" s="51"/>
      <c r="T96" s="51"/>
      <c r="U96" s="44"/>
      <c r="V96" s="44"/>
      <c r="W96" s="44"/>
      <c r="X96" s="44"/>
      <c r="Y96" s="44"/>
      <c r="Z96" s="44"/>
      <c r="AA96" s="44"/>
      <c r="AB96" s="44"/>
      <c r="AC96" s="44"/>
      <c r="AD96" s="76"/>
      <c r="AH96" s="132"/>
      <c r="BB96" s="44"/>
      <c r="BC96" s="44"/>
      <c r="BD96" s="44"/>
      <c r="BE96" s="44"/>
      <c r="BF96" s="44"/>
      <c r="BG96" s="44"/>
      <c r="BH96" s="44"/>
      <c r="BI96" s="44"/>
      <c r="BJ96" s="133"/>
    </row>
    <row r="97" spans="2:62" ht="18" x14ac:dyDescent="0.25">
      <c r="B97" s="75"/>
      <c r="C97" s="43"/>
      <c r="D97" s="47"/>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76"/>
      <c r="AH97" s="132"/>
      <c r="AS97" s="44"/>
      <c r="AT97" s="44"/>
      <c r="AU97" s="44"/>
      <c r="AV97" s="44"/>
      <c r="AW97" s="44"/>
      <c r="AX97" s="44"/>
      <c r="AY97" s="44"/>
      <c r="AZ97" s="44"/>
      <c r="BA97" s="44"/>
      <c r="BB97" s="44"/>
      <c r="BC97" s="44"/>
      <c r="BD97" s="44"/>
      <c r="BE97" s="44"/>
      <c r="BF97" s="44"/>
      <c r="BG97" s="44"/>
      <c r="BH97" s="44"/>
      <c r="BI97" s="44"/>
      <c r="BJ97" s="133"/>
    </row>
    <row r="98" spans="2:62" ht="18" x14ac:dyDescent="0.25">
      <c r="B98" s="75"/>
      <c r="C98" s="43"/>
      <c r="D98" s="47"/>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76"/>
      <c r="AH98" s="132"/>
      <c r="AI98" s="153" t="s">
        <v>128</v>
      </c>
      <c r="AJ98" s="47"/>
      <c r="AK98" s="147"/>
      <c r="AL98" s="44"/>
      <c r="AM98" s="44"/>
      <c r="AN98" s="44"/>
      <c r="AO98" s="44"/>
      <c r="AP98" s="44"/>
      <c r="AQ98" s="44"/>
      <c r="AR98" s="44"/>
      <c r="AS98" s="122" t="s">
        <v>131</v>
      </c>
      <c r="AT98" s="44"/>
      <c r="AU98" s="44"/>
      <c r="AV98" s="44"/>
      <c r="AW98" s="44"/>
      <c r="AX98" s="44"/>
      <c r="AY98" s="44"/>
      <c r="AZ98" s="44"/>
      <c r="BA98" s="44"/>
      <c r="BB98" s="122" t="s">
        <v>133</v>
      </c>
      <c r="BC98" s="44"/>
      <c r="BD98" s="44"/>
      <c r="BE98" s="44"/>
      <c r="BF98" s="44"/>
      <c r="BG98" s="44"/>
      <c r="BH98" s="44"/>
      <c r="BI98" s="44"/>
      <c r="BJ98" s="133"/>
    </row>
    <row r="99" spans="2:62" ht="23.25" x14ac:dyDescent="0.35">
      <c r="B99" s="75"/>
      <c r="C99" s="84" t="s">
        <v>41</v>
      </c>
      <c r="E99" s="44"/>
      <c r="F99" s="44"/>
      <c r="G99" s="44"/>
      <c r="H99" s="44"/>
      <c r="I99" s="44"/>
      <c r="J99" s="44"/>
      <c r="K99" s="44"/>
      <c r="L99" s="122" t="s">
        <v>160</v>
      </c>
      <c r="M99" s="46" t="s">
        <v>174</v>
      </c>
      <c r="N99" s="44"/>
      <c r="O99" s="44"/>
      <c r="P99" s="44"/>
      <c r="Q99" s="44"/>
      <c r="R99" s="44"/>
      <c r="S99" s="44"/>
      <c r="T99" s="44"/>
      <c r="U99" s="122" t="s">
        <v>161</v>
      </c>
      <c r="V99" s="46" t="s">
        <v>175</v>
      </c>
      <c r="W99" s="44"/>
      <c r="X99" s="44"/>
      <c r="Y99" s="44"/>
      <c r="Z99" s="44"/>
      <c r="AA99" s="44"/>
      <c r="AB99" s="44"/>
      <c r="AC99" s="44"/>
      <c r="AD99" s="76"/>
      <c r="AH99" s="132"/>
      <c r="AI99" s="150" t="s">
        <v>41</v>
      </c>
      <c r="AJ99" s="151"/>
      <c r="AK99" s="111" t="s">
        <v>205</v>
      </c>
      <c r="AL99" s="44"/>
      <c r="AM99" s="44"/>
      <c r="AN99" s="44"/>
      <c r="AO99" s="44"/>
      <c r="AP99" s="44"/>
      <c r="AQ99" s="44"/>
      <c r="AR99" s="44"/>
      <c r="AS99" s="103" t="s">
        <v>42</v>
      </c>
      <c r="AT99" s="111" t="s">
        <v>206</v>
      </c>
      <c r="AU99" s="44"/>
      <c r="AV99" s="44"/>
      <c r="AW99" s="44"/>
      <c r="AX99" s="44"/>
      <c r="AY99" s="44"/>
      <c r="AZ99" s="44"/>
      <c r="BA99" s="44"/>
      <c r="BB99" s="103" t="s">
        <v>32</v>
      </c>
      <c r="BC99" s="44"/>
      <c r="BD99" s="44"/>
      <c r="BE99" s="44"/>
      <c r="BF99" s="44"/>
      <c r="BG99" s="44"/>
      <c r="BH99" s="44"/>
      <c r="BI99" s="44"/>
      <c r="BJ99" s="133"/>
    </row>
    <row r="100" spans="2:62" ht="18.75" thickBot="1" x14ac:dyDescent="0.3">
      <c r="B100" s="75"/>
      <c r="C100" s="122" t="s">
        <v>159</v>
      </c>
      <c r="D100" s="47"/>
      <c r="E100" s="48" t="s">
        <v>1</v>
      </c>
      <c r="F100" s="48" t="s">
        <v>2</v>
      </c>
      <c r="G100" s="48" t="s">
        <v>3</v>
      </c>
      <c r="H100" s="48" t="s">
        <v>4</v>
      </c>
      <c r="I100" s="48" t="s">
        <v>21</v>
      </c>
      <c r="J100" s="48" t="s">
        <v>5</v>
      </c>
      <c r="K100" s="46"/>
      <c r="L100" s="46"/>
      <c r="M100" s="47"/>
      <c r="N100" s="48" t="s">
        <v>1</v>
      </c>
      <c r="O100" s="48" t="s">
        <v>2</v>
      </c>
      <c r="P100" s="48" t="s">
        <v>3</v>
      </c>
      <c r="Q100" s="48" t="s">
        <v>4</v>
      </c>
      <c r="R100" s="48" t="s">
        <v>21</v>
      </c>
      <c r="S100" s="48" t="s">
        <v>5</v>
      </c>
      <c r="T100" s="48"/>
      <c r="U100" s="44"/>
      <c r="V100" s="47"/>
      <c r="W100" s="48" t="s">
        <v>1</v>
      </c>
      <c r="X100" s="48" t="s">
        <v>2</v>
      </c>
      <c r="Y100" s="48" t="s">
        <v>3</v>
      </c>
      <c r="Z100" s="48" t="s">
        <v>4</v>
      </c>
      <c r="AA100" s="48" t="s">
        <v>21</v>
      </c>
      <c r="AB100" s="48" t="s">
        <v>5</v>
      </c>
      <c r="AC100" s="44"/>
      <c r="AD100" s="76"/>
      <c r="AH100" s="132"/>
      <c r="AI100" s="43"/>
      <c r="AJ100" s="47"/>
      <c r="AK100" s="48" t="s">
        <v>1</v>
      </c>
      <c r="AL100" s="48" t="s">
        <v>2</v>
      </c>
      <c r="AM100" s="48" t="s">
        <v>3</v>
      </c>
      <c r="AN100" s="48" t="s">
        <v>4</v>
      </c>
      <c r="AO100" s="48" t="s">
        <v>21</v>
      </c>
      <c r="AP100" s="48" t="s">
        <v>5</v>
      </c>
      <c r="AQ100" s="46"/>
      <c r="AR100" s="46"/>
      <c r="AS100" s="47"/>
      <c r="AT100" s="48" t="s">
        <v>1</v>
      </c>
      <c r="AU100" s="48" t="s">
        <v>2</v>
      </c>
      <c r="AV100" s="48" t="s">
        <v>3</v>
      </c>
      <c r="AW100" s="48" t="s">
        <v>4</v>
      </c>
      <c r="AX100" s="48" t="s">
        <v>21</v>
      </c>
      <c r="AY100" s="48" t="s">
        <v>5</v>
      </c>
      <c r="AZ100" s="48"/>
      <c r="BA100" s="44"/>
      <c r="BB100" s="47"/>
      <c r="BC100" s="48" t="s">
        <v>1</v>
      </c>
      <c r="BD100" s="48" t="s">
        <v>2</v>
      </c>
      <c r="BE100" s="48" t="s">
        <v>3</v>
      </c>
      <c r="BF100" s="48" t="s">
        <v>4</v>
      </c>
      <c r="BG100" s="48" t="s">
        <v>21</v>
      </c>
      <c r="BH100" s="48" t="s">
        <v>5</v>
      </c>
      <c r="BI100" s="44"/>
      <c r="BJ100" s="133"/>
    </row>
    <row r="101" spans="2:62" x14ac:dyDescent="0.25">
      <c r="B101" s="75"/>
      <c r="C101" s="61">
        <f>+C85</f>
        <v>1</v>
      </c>
      <c r="D101" s="218" t="str">
        <f>+D85</f>
        <v>Análisis Factibilidad, Planes</v>
      </c>
      <c r="E101" s="5">
        <f>+E28-E85</f>
        <v>-2950</v>
      </c>
      <c r="F101" s="5">
        <f>+F28-F85</f>
        <v>-950</v>
      </c>
      <c r="G101" s="5">
        <f t="shared" ref="G101:I101" si="141">+G28-G85</f>
        <v>0</v>
      </c>
      <c r="H101" s="5">
        <f t="shared" si="141"/>
        <v>0</v>
      </c>
      <c r="I101" s="5">
        <f t="shared" si="141"/>
        <v>0</v>
      </c>
      <c r="J101" s="5">
        <f>SUM(E101:I101)</f>
        <v>-3900</v>
      </c>
      <c r="K101" s="50"/>
      <c r="L101" s="62"/>
      <c r="M101" s="52" t="str">
        <f>+D101</f>
        <v>Análisis Factibilidad, Planes</v>
      </c>
      <c r="N101" s="10">
        <f>+W28-N85</f>
        <v>-4.9504950495049549E-4</v>
      </c>
      <c r="O101" s="10">
        <f t="shared" ref="O101:O110" si="142">+X28-O85</f>
        <v>0</v>
      </c>
      <c r="P101" s="10">
        <f t="shared" ref="P101:P110" si="143">+Y28-P85</f>
        <v>0</v>
      </c>
      <c r="Q101" s="10">
        <f t="shared" ref="Q101:Q110" si="144">+Z28-Q85</f>
        <v>0</v>
      </c>
      <c r="R101" s="10">
        <f t="shared" ref="R101:R110" si="145">+AA28-R85</f>
        <v>0</v>
      </c>
      <c r="S101" s="10">
        <f>SUM(N101:R101)</f>
        <v>-4.9504950495049549E-4</v>
      </c>
      <c r="T101" s="64"/>
      <c r="U101" s="44"/>
      <c r="V101" s="165" t="str">
        <f>+M101</f>
        <v>Análisis Factibilidad, Planes</v>
      </c>
      <c r="W101" s="10">
        <f>+E101/($J$28*20)</f>
        <v>-0.73750000000000004</v>
      </c>
      <c r="X101" s="10">
        <f t="shared" ref="X101:AA101" si="146">+F101/($J$28*20)</f>
        <v>-0.23749999999999999</v>
      </c>
      <c r="Y101" s="10">
        <f t="shared" si="146"/>
        <v>0</v>
      </c>
      <c r="Z101" s="10">
        <f t="shared" si="146"/>
        <v>0</v>
      </c>
      <c r="AA101" s="10">
        <f t="shared" si="146"/>
        <v>0</v>
      </c>
      <c r="AB101" s="10">
        <f>SUM(W101:AA101)</f>
        <v>-0.97500000000000009</v>
      </c>
      <c r="AC101" s="51"/>
      <c r="AD101" s="76"/>
      <c r="AH101" s="132"/>
      <c r="AI101" s="61">
        <f t="shared" ref="AI101:AJ106" si="147">+AI85</f>
        <v>1</v>
      </c>
      <c r="AJ101" s="61" t="str">
        <f t="shared" si="147"/>
        <v>Análisis Factibilidad, Planes y Req</v>
      </c>
      <c r="AK101" s="5">
        <f>+AK28-AK85</f>
        <v>-10000</v>
      </c>
      <c r="AL101" s="5">
        <f t="shared" ref="AL101:AO101" si="148">+AL28-AL85</f>
        <v>0</v>
      </c>
      <c r="AM101" s="5">
        <f t="shared" si="148"/>
        <v>0</v>
      </c>
      <c r="AN101" s="5">
        <f t="shared" si="148"/>
        <v>0</v>
      </c>
      <c r="AO101" s="5">
        <f t="shared" si="148"/>
        <v>0</v>
      </c>
      <c r="AP101" s="5">
        <f t="shared" ref="AP101:AP106" si="149">SUM(AK101:AO101)</f>
        <v>-10000</v>
      </c>
      <c r="AQ101" s="50">
        <f>+AP101/$AP$34</f>
        <v>-4.0032025620496396E-2</v>
      </c>
      <c r="AR101" s="62"/>
      <c r="AS101" s="63" t="str">
        <f>+AJ101</f>
        <v>Análisis Factibilidad, Planes y Req</v>
      </c>
      <c r="AT101" s="10">
        <f>+AT28-AT85</f>
        <v>-4.0032025620496403E-2</v>
      </c>
      <c r="AU101" s="10" t="s">
        <v>198</v>
      </c>
      <c r="AV101" s="10"/>
      <c r="AW101" s="10"/>
      <c r="AX101" s="10">
        <f t="shared" ref="AX101" si="150">+AX28-AX85</f>
        <v>0</v>
      </c>
      <c r="AY101" s="10">
        <f>SUM(AT101:AX101)</f>
        <v>-4.0032025620496403E-2</v>
      </c>
      <c r="AZ101" s="64"/>
      <c r="BA101" s="44"/>
      <c r="BB101" s="63" t="str">
        <f>+AS101</f>
        <v>Análisis Factibilidad, Planes y Req</v>
      </c>
      <c r="BC101" s="14">
        <f>+AK101/$AP$28</f>
        <v>-0.5</v>
      </c>
      <c r="BD101" s="15">
        <f t="shared" ref="BD101:BD106" si="151">+AL101/$AP$28</f>
        <v>0</v>
      </c>
      <c r="BE101" s="15">
        <f t="shared" ref="BE101:BE106" si="152">+AM101/$AP$28</f>
        <v>0</v>
      </c>
      <c r="BF101" s="15">
        <f t="shared" ref="BF101:BF106" si="153">+AN101/$AP$28</f>
        <v>0</v>
      </c>
      <c r="BG101" s="15">
        <f t="shared" ref="BG101:BG106" si="154">+AO101/$AP$28</f>
        <v>0</v>
      </c>
      <c r="BH101" s="16">
        <f>SUM(BC101:BG101)</f>
        <v>-0.5</v>
      </c>
      <c r="BI101" s="258" t="s">
        <v>129</v>
      </c>
      <c r="BJ101" s="259"/>
    </row>
    <row r="102" spans="2:62" x14ac:dyDescent="0.25">
      <c r="B102" s="75"/>
      <c r="C102" s="61">
        <f t="shared" ref="C102:D102" si="155">+C86</f>
        <v>2</v>
      </c>
      <c r="D102" s="218" t="str">
        <f t="shared" si="155"/>
        <v>Diseño del producto</v>
      </c>
      <c r="E102" s="5">
        <f t="shared" ref="E102:I110" si="156">+E29-E86</f>
        <v>-2025</v>
      </c>
      <c r="F102" s="5">
        <f t="shared" si="156"/>
        <v>-3150</v>
      </c>
      <c r="G102" s="5">
        <f t="shared" si="156"/>
        <v>0</v>
      </c>
      <c r="H102" s="5">
        <f t="shared" si="156"/>
        <v>0</v>
      </c>
      <c r="I102" s="5">
        <f t="shared" si="156"/>
        <v>0</v>
      </c>
      <c r="J102" s="5">
        <f t="shared" ref="J102:J111" si="157">SUM(E102:I102)</f>
        <v>-5175</v>
      </c>
      <c r="K102" s="50"/>
      <c r="L102" s="62"/>
      <c r="M102" s="52" t="str">
        <f t="shared" ref="M102:M110" si="158">+D102</f>
        <v>Diseño del producto</v>
      </c>
      <c r="N102" s="10">
        <f t="shared" ref="N102:N110" si="159">+W29-N86</f>
        <v>-2.9702970297029712E-3</v>
      </c>
      <c r="O102" s="10">
        <f t="shared" si="142"/>
        <v>-1.089108910891089E-2</v>
      </c>
      <c r="P102" s="10">
        <f t="shared" si="143"/>
        <v>0</v>
      </c>
      <c r="Q102" s="10">
        <f t="shared" si="144"/>
        <v>0</v>
      </c>
      <c r="R102" s="10">
        <f t="shared" si="145"/>
        <v>0</v>
      </c>
      <c r="S102" s="10">
        <f t="shared" ref="S102:S110" si="160">SUM(N102:R102)</f>
        <v>-1.3861386138613862E-2</v>
      </c>
      <c r="T102" s="64"/>
      <c r="U102" s="44"/>
      <c r="V102" s="165" t="str">
        <f t="shared" ref="V102:V110" si="161">+M102</f>
        <v>Diseño del producto</v>
      </c>
      <c r="W102" s="10">
        <f>+E102/($J$29*20)</f>
        <v>-0.81</v>
      </c>
      <c r="X102" s="10">
        <f t="shared" ref="X102:AA102" si="162">+F102/($J$29*20)</f>
        <v>-1.26</v>
      </c>
      <c r="Y102" s="10">
        <f t="shared" si="162"/>
        <v>0</v>
      </c>
      <c r="Z102" s="10">
        <f t="shared" si="162"/>
        <v>0</v>
      </c>
      <c r="AA102" s="10">
        <f t="shared" si="162"/>
        <v>0</v>
      </c>
      <c r="AB102" s="10">
        <f t="shared" ref="AB102:AB110" si="163">SUM(W102:AA102)</f>
        <v>-2.0700000000000003</v>
      </c>
      <c r="AC102" s="51"/>
      <c r="AD102" s="76"/>
      <c r="AH102" s="132"/>
      <c r="AI102" s="61">
        <f t="shared" si="147"/>
        <v>2</v>
      </c>
      <c r="AJ102" s="61" t="str">
        <f t="shared" si="147"/>
        <v>Diseño del producto</v>
      </c>
      <c r="AK102" s="5">
        <f t="shared" ref="AK102:AO102" si="164">+AK29-AK86</f>
        <v>16000</v>
      </c>
      <c r="AL102" s="5">
        <f t="shared" si="164"/>
        <v>-24000</v>
      </c>
      <c r="AM102" s="5">
        <f t="shared" si="164"/>
        <v>0</v>
      </c>
      <c r="AN102" s="5">
        <f t="shared" si="164"/>
        <v>0</v>
      </c>
      <c r="AO102" s="5">
        <f t="shared" si="164"/>
        <v>0</v>
      </c>
      <c r="AP102" s="5">
        <f t="shared" si="149"/>
        <v>-8000</v>
      </c>
      <c r="AQ102" s="50">
        <f t="shared" ref="AQ102:AQ104" si="165">+AP102/$AP$34</f>
        <v>-3.2025620496397116E-2</v>
      </c>
      <c r="AR102" s="62"/>
      <c r="AS102" s="63" t="str">
        <f t="shared" ref="AS102:AS106" si="166">+AJ102</f>
        <v>Diseño del producto</v>
      </c>
      <c r="AT102" s="10">
        <f>+AT29-AT86</f>
        <v>6.4051240992794231E-2</v>
      </c>
      <c r="AU102" s="10">
        <f t="shared" ref="AU102:AX102" si="167">+AU29-AU86</f>
        <v>-9.6076861489191354E-2</v>
      </c>
      <c r="AV102" s="10">
        <f t="shared" si="167"/>
        <v>0</v>
      </c>
      <c r="AW102" s="10">
        <f t="shared" si="167"/>
        <v>0</v>
      </c>
      <c r="AX102" s="10">
        <f t="shared" si="167"/>
        <v>0</v>
      </c>
      <c r="AY102" s="10">
        <f t="shared" ref="AY102:AY106" si="168">SUM(AT102:AX102)</f>
        <v>-3.2025620496397122E-2</v>
      </c>
      <c r="AZ102" s="64"/>
      <c r="BA102" s="44"/>
      <c r="BB102" s="63" t="str">
        <f t="shared" ref="BB102:BB106" si="169">+AS102</f>
        <v>Diseño del producto</v>
      </c>
      <c r="BC102" s="17">
        <f t="shared" ref="BC102:BC106" si="170">+AK102/$AP$28</f>
        <v>0.8</v>
      </c>
      <c r="BD102" s="10">
        <f t="shared" si="151"/>
        <v>-1.2</v>
      </c>
      <c r="BE102" s="10">
        <f t="shared" si="152"/>
        <v>0</v>
      </c>
      <c r="BF102" s="10">
        <f t="shared" si="153"/>
        <v>0</v>
      </c>
      <c r="BG102" s="10">
        <f t="shared" si="154"/>
        <v>0</v>
      </c>
      <c r="BH102" s="18">
        <f t="shared" ref="BH102:BH106" si="171">SUM(BC102:BG102)</f>
        <v>-0.39999999999999991</v>
      </c>
      <c r="BI102" s="260"/>
      <c r="BJ102" s="259"/>
    </row>
    <row r="103" spans="2:62" x14ac:dyDescent="0.25">
      <c r="B103" s="75"/>
      <c r="C103" s="61">
        <f t="shared" ref="C103:D103" si="172">+C87</f>
        <v>3</v>
      </c>
      <c r="D103" s="218" t="str">
        <f t="shared" si="172"/>
        <v>Programación</v>
      </c>
      <c r="E103" s="5">
        <f t="shared" si="156"/>
        <v>70</v>
      </c>
      <c r="F103" s="5">
        <f t="shared" si="156"/>
        <v>-925</v>
      </c>
      <c r="G103" s="5">
        <f t="shared" si="156"/>
        <v>-4000</v>
      </c>
      <c r="H103" s="5">
        <f t="shared" si="156"/>
        <v>-950</v>
      </c>
      <c r="I103" s="5">
        <f t="shared" si="156"/>
        <v>100</v>
      </c>
      <c r="J103" s="5">
        <f t="shared" si="157"/>
        <v>-5705</v>
      </c>
      <c r="K103" s="50"/>
      <c r="L103" s="62"/>
      <c r="M103" s="52" t="str">
        <f t="shared" si="158"/>
        <v>Programación</v>
      </c>
      <c r="N103" s="10">
        <f t="shared" si="159"/>
        <v>6.9306930693069308E-3</v>
      </c>
      <c r="O103" s="10">
        <f t="shared" si="142"/>
        <v>2.4752475247524748E-3</v>
      </c>
      <c r="P103" s="10">
        <f t="shared" si="143"/>
        <v>-9.9009900990099098E-4</v>
      </c>
      <c r="Q103" s="10">
        <f t="shared" si="144"/>
        <v>9.4059405940594056E-3</v>
      </c>
      <c r="R103" s="10">
        <f t="shared" si="145"/>
        <v>9.9009900990099011E-3</v>
      </c>
      <c r="S103" s="10">
        <f t="shared" si="160"/>
        <v>2.772277227722772E-2</v>
      </c>
      <c r="T103" s="64"/>
      <c r="U103" s="44"/>
      <c r="V103" s="165" t="str">
        <f t="shared" si="161"/>
        <v>Programación</v>
      </c>
      <c r="W103" s="10">
        <f>+E103/($J$30*20)</f>
        <v>5.8823529411764705E-3</v>
      </c>
      <c r="X103" s="10">
        <f t="shared" ref="X103:AA103" si="173">+F103/($J$30*20)</f>
        <v>-7.7731092436974791E-2</v>
      </c>
      <c r="Y103" s="10">
        <f t="shared" si="173"/>
        <v>-0.33613445378151263</v>
      </c>
      <c r="Z103" s="10">
        <f t="shared" si="173"/>
        <v>-7.9831932773109238E-2</v>
      </c>
      <c r="AA103" s="10">
        <f t="shared" si="173"/>
        <v>8.4033613445378148E-3</v>
      </c>
      <c r="AB103" s="10">
        <f t="shared" si="163"/>
        <v>-0.47941176470588232</v>
      </c>
      <c r="AC103" s="51"/>
      <c r="AD103" s="76"/>
      <c r="AH103" s="132"/>
      <c r="AI103" s="61">
        <f t="shared" si="147"/>
        <v>3</v>
      </c>
      <c r="AJ103" s="61" t="str">
        <f t="shared" si="147"/>
        <v>Programación</v>
      </c>
      <c r="AK103" s="5">
        <f t="shared" ref="AK103:AO103" si="174">+AK30-AK87</f>
        <v>0</v>
      </c>
      <c r="AL103" s="5">
        <f t="shared" si="174"/>
        <v>26600</v>
      </c>
      <c r="AM103" s="5">
        <f t="shared" si="174"/>
        <v>0</v>
      </c>
      <c r="AN103" s="5">
        <f t="shared" si="174"/>
        <v>-15000</v>
      </c>
      <c r="AO103" s="5">
        <f t="shared" si="174"/>
        <v>-21200</v>
      </c>
      <c r="AP103" s="5">
        <f t="shared" si="149"/>
        <v>-9600</v>
      </c>
      <c r="AQ103" s="50">
        <f t="shared" si="165"/>
        <v>-3.8430744595676539E-2</v>
      </c>
      <c r="AR103" s="62"/>
      <c r="AS103" s="63" t="str">
        <f t="shared" si="166"/>
        <v>Programación</v>
      </c>
      <c r="AT103" s="10">
        <f t="shared" ref="AT103:AX103" si="175">+AT30-AT87</f>
        <v>0</v>
      </c>
      <c r="AU103" s="10">
        <f t="shared" si="175"/>
        <v>0.10648518815052041</v>
      </c>
      <c r="AV103" s="10">
        <f t="shared" si="175"/>
        <v>0</v>
      </c>
      <c r="AW103" s="10">
        <f t="shared" si="175"/>
        <v>-6.0048038430744577E-2</v>
      </c>
      <c r="AX103" s="10">
        <f t="shared" si="175"/>
        <v>-8.4867894315452358E-2</v>
      </c>
      <c r="AY103" s="10">
        <f t="shared" si="168"/>
        <v>-3.8430744595676525E-2</v>
      </c>
      <c r="AZ103" s="64"/>
      <c r="BA103" s="44"/>
      <c r="BB103" s="63" t="str">
        <f t="shared" si="169"/>
        <v>Programación</v>
      </c>
      <c r="BC103" s="17">
        <f t="shared" si="170"/>
        <v>0</v>
      </c>
      <c r="BD103" s="10">
        <f t="shared" si="151"/>
        <v>1.33</v>
      </c>
      <c r="BE103" s="10">
        <f t="shared" si="152"/>
        <v>0</v>
      </c>
      <c r="BF103" s="10">
        <f t="shared" si="153"/>
        <v>-0.75</v>
      </c>
      <c r="BG103" s="10">
        <f t="shared" si="154"/>
        <v>-1.06</v>
      </c>
      <c r="BH103" s="18">
        <f t="shared" si="171"/>
        <v>-0.48</v>
      </c>
      <c r="BI103" s="260"/>
      <c r="BJ103" s="259"/>
    </row>
    <row r="104" spans="2:62" x14ac:dyDescent="0.25">
      <c r="B104" s="75"/>
      <c r="C104" s="61">
        <f t="shared" ref="C104:D104" si="176">+C88</f>
        <v>4</v>
      </c>
      <c r="D104" s="218" t="str">
        <f t="shared" si="176"/>
        <v>Pruebas (Testging)</v>
      </c>
      <c r="E104" s="5">
        <f t="shared" si="156"/>
        <v>15</v>
      </c>
      <c r="F104" s="5">
        <f t="shared" si="156"/>
        <v>15</v>
      </c>
      <c r="G104" s="5">
        <f t="shared" si="156"/>
        <v>-950</v>
      </c>
      <c r="H104" s="5">
        <f t="shared" si="156"/>
        <v>-1525</v>
      </c>
      <c r="I104" s="5">
        <f t="shared" si="156"/>
        <v>-1050</v>
      </c>
      <c r="J104" s="5">
        <f t="shared" si="157"/>
        <v>-3495</v>
      </c>
      <c r="K104" s="50"/>
      <c r="L104" s="62"/>
      <c r="M104" s="52" t="str">
        <f t="shared" si="158"/>
        <v>Pruebas (Testging)</v>
      </c>
      <c r="N104" s="10">
        <f t="shared" si="159"/>
        <v>1.4851485148514852E-3</v>
      </c>
      <c r="O104" s="10">
        <f t="shared" si="142"/>
        <v>1.4851485148514852E-3</v>
      </c>
      <c r="P104" s="10">
        <f t="shared" si="143"/>
        <v>0</v>
      </c>
      <c r="Q104" s="10">
        <f t="shared" si="144"/>
        <v>-4.9504950495049549E-4</v>
      </c>
      <c r="R104" s="10">
        <f t="shared" si="145"/>
        <v>-4.9504950495049462E-4</v>
      </c>
      <c r="S104" s="10">
        <f t="shared" si="160"/>
        <v>1.9801980198019802E-3</v>
      </c>
      <c r="T104" s="64"/>
      <c r="U104" s="44"/>
      <c r="V104" s="165" t="str">
        <f t="shared" si="161"/>
        <v>Pruebas (Testging)</v>
      </c>
      <c r="W104" s="10">
        <f>+E104/($J$31*20)</f>
        <v>3.6585365853658539E-3</v>
      </c>
      <c r="X104" s="10">
        <f t="shared" ref="X104:AA104" si="177">+F104/($J$31*20)</f>
        <v>3.6585365853658539E-3</v>
      </c>
      <c r="Y104" s="10">
        <f t="shared" si="177"/>
        <v>-0.23170731707317074</v>
      </c>
      <c r="Z104" s="10">
        <f t="shared" si="177"/>
        <v>-0.37195121951219512</v>
      </c>
      <c r="AA104" s="10">
        <f t="shared" si="177"/>
        <v>-0.25609756097560976</v>
      </c>
      <c r="AB104" s="10">
        <f t="shared" si="163"/>
        <v>-0.85243902439024388</v>
      </c>
      <c r="AC104" s="51"/>
      <c r="AD104" s="76"/>
      <c r="AH104" s="132"/>
      <c r="AI104" s="61">
        <f t="shared" si="147"/>
        <v>4</v>
      </c>
      <c r="AJ104" s="61" t="str">
        <f t="shared" si="147"/>
        <v>Integración y pruebas</v>
      </c>
      <c r="AK104" s="5">
        <f t="shared" ref="AK104:AO104" si="178">+AK31-AK88</f>
        <v>0</v>
      </c>
      <c r="AL104" s="5">
        <f t="shared" si="178"/>
        <v>0</v>
      </c>
      <c r="AM104" s="5">
        <f t="shared" si="178"/>
        <v>0</v>
      </c>
      <c r="AN104" s="5">
        <f t="shared" si="178"/>
        <v>0</v>
      </c>
      <c r="AO104" s="5">
        <f t="shared" si="178"/>
        <v>0</v>
      </c>
      <c r="AP104" s="5">
        <f t="shared" si="149"/>
        <v>0</v>
      </c>
      <c r="AQ104" s="50">
        <f t="shared" si="165"/>
        <v>0</v>
      </c>
      <c r="AR104" s="62"/>
      <c r="AS104" s="63" t="str">
        <f t="shared" si="166"/>
        <v>Integración y pruebas</v>
      </c>
      <c r="AT104" s="10">
        <f t="shared" ref="AT104:AX104" si="179">+AT31-AT88</f>
        <v>0</v>
      </c>
      <c r="AU104" s="10">
        <f t="shared" si="179"/>
        <v>0</v>
      </c>
      <c r="AV104" s="10">
        <f t="shared" si="179"/>
        <v>0</v>
      </c>
      <c r="AW104" s="10">
        <f t="shared" si="179"/>
        <v>0</v>
      </c>
      <c r="AX104" s="10">
        <f t="shared" si="179"/>
        <v>0</v>
      </c>
      <c r="AY104" s="10">
        <f t="shared" si="168"/>
        <v>0</v>
      </c>
      <c r="AZ104" s="64"/>
      <c r="BA104" s="44"/>
      <c r="BB104" s="63" t="str">
        <f t="shared" si="169"/>
        <v>Integración y pruebas</v>
      </c>
      <c r="BC104" s="17">
        <f t="shared" si="170"/>
        <v>0</v>
      </c>
      <c r="BD104" s="10">
        <f t="shared" si="151"/>
        <v>0</v>
      </c>
      <c r="BE104" s="10">
        <f t="shared" si="152"/>
        <v>0</v>
      </c>
      <c r="BF104" s="10">
        <f t="shared" si="153"/>
        <v>0</v>
      </c>
      <c r="BG104" s="10">
        <f t="shared" si="154"/>
        <v>0</v>
      </c>
      <c r="BH104" s="18">
        <f t="shared" si="171"/>
        <v>0</v>
      </c>
      <c r="BI104" s="260"/>
      <c r="BJ104" s="259"/>
    </row>
    <row r="105" spans="2:62" x14ac:dyDescent="0.25">
      <c r="B105" s="75"/>
      <c r="C105" s="61">
        <f t="shared" ref="C105:D105" si="180">+C89</f>
        <v>5</v>
      </c>
      <c r="D105" s="218" t="str">
        <f t="shared" si="180"/>
        <v>Corrección de Errores</v>
      </c>
      <c r="E105" s="5">
        <f t="shared" si="156"/>
        <v>25</v>
      </c>
      <c r="F105" s="5">
        <f t="shared" si="156"/>
        <v>25</v>
      </c>
      <c r="G105" s="5">
        <f t="shared" si="156"/>
        <v>50</v>
      </c>
      <c r="H105" s="5">
        <f t="shared" si="156"/>
        <v>-2475</v>
      </c>
      <c r="I105" s="5">
        <f t="shared" si="156"/>
        <v>-2000</v>
      </c>
      <c r="J105" s="5">
        <f t="shared" si="157"/>
        <v>-4375</v>
      </c>
      <c r="K105" s="50"/>
      <c r="L105" s="62"/>
      <c r="M105" s="52" t="str">
        <f t="shared" si="158"/>
        <v>Corrección de Errores</v>
      </c>
      <c r="N105" s="10">
        <f t="shared" si="159"/>
        <v>2.4752475247524753E-3</v>
      </c>
      <c r="O105" s="10">
        <f t="shared" si="142"/>
        <v>2.4752475247524753E-3</v>
      </c>
      <c r="P105" s="10">
        <f t="shared" si="143"/>
        <v>4.9504950495049506E-3</v>
      </c>
      <c r="Q105" s="10">
        <f t="shared" si="144"/>
        <v>-4.9504950495049375E-4</v>
      </c>
      <c r="R105" s="10">
        <f t="shared" si="145"/>
        <v>-4.9504950495049549E-4</v>
      </c>
      <c r="S105" s="10">
        <f t="shared" si="160"/>
        <v>8.9108910891089119E-3</v>
      </c>
      <c r="T105" s="64"/>
      <c r="U105" s="44"/>
      <c r="V105" s="165" t="str">
        <f t="shared" si="161"/>
        <v>Corrección de Errores</v>
      </c>
      <c r="W105" s="10">
        <f>+E105/($J$32*20)</f>
        <v>3.8461538461538464E-3</v>
      </c>
      <c r="X105" s="10">
        <f t="shared" ref="X105:AA105" si="181">+F105/($J$32*20)</f>
        <v>3.8461538461538464E-3</v>
      </c>
      <c r="Y105" s="10">
        <f t="shared" si="181"/>
        <v>7.6923076923076927E-3</v>
      </c>
      <c r="Z105" s="10">
        <f t="shared" si="181"/>
        <v>-0.38076923076923075</v>
      </c>
      <c r="AA105" s="10">
        <f t="shared" si="181"/>
        <v>-0.30769230769230771</v>
      </c>
      <c r="AB105" s="10">
        <f t="shared" si="163"/>
        <v>-0.67307692307692313</v>
      </c>
      <c r="AC105" s="51"/>
      <c r="AD105" s="76"/>
      <c r="AH105" s="132"/>
      <c r="AI105" s="61">
        <f t="shared" si="147"/>
        <v>5</v>
      </c>
      <c r="AJ105" s="61" t="str">
        <f t="shared" si="147"/>
        <v>Infraestructura (SW)</v>
      </c>
      <c r="AK105" s="5">
        <f t="shared" ref="AK105:AO105" si="182">+AK32-AK89</f>
        <v>0</v>
      </c>
      <c r="AL105" s="5">
        <f t="shared" si="182"/>
        <v>0</v>
      </c>
      <c r="AM105" s="5">
        <f t="shared" si="182"/>
        <v>0</v>
      </c>
      <c r="AN105" s="5">
        <f t="shared" si="182"/>
        <v>0</v>
      </c>
      <c r="AO105" s="5">
        <f t="shared" si="182"/>
        <v>0</v>
      </c>
      <c r="AP105" s="5">
        <f t="shared" si="149"/>
        <v>0</v>
      </c>
      <c r="AQ105" s="50">
        <f>+AP105/$AP$34</f>
        <v>0</v>
      </c>
      <c r="AR105" s="62"/>
      <c r="AS105" s="63" t="str">
        <f t="shared" si="166"/>
        <v>Infraestructura (SW)</v>
      </c>
      <c r="AT105" s="10">
        <f t="shared" ref="AT105:AX105" si="183">+AT32-AT89</f>
        <v>0</v>
      </c>
      <c r="AU105" s="10">
        <f t="shared" si="183"/>
        <v>-3.2025620496397116E-2</v>
      </c>
      <c r="AV105" s="10">
        <f t="shared" si="183"/>
        <v>0</v>
      </c>
      <c r="AW105" s="10">
        <f t="shared" si="183"/>
        <v>0</v>
      </c>
      <c r="AX105" s="10">
        <f t="shared" si="183"/>
        <v>0</v>
      </c>
      <c r="AY105" s="10">
        <f t="shared" si="168"/>
        <v>-3.2025620496397116E-2</v>
      </c>
      <c r="AZ105" s="64"/>
      <c r="BA105" s="44"/>
      <c r="BB105" s="63" t="str">
        <f t="shared" si="169"/>
        <v>Infraestructura (SW)</v>
      </c>
      <c r="BC105" s="17">
        <f t="shared" si="170"/>
        <v>0</v>
      </c>
      <c r="BD105" s="10">
        <f t="shared" si="151"/>
        <v>0</v>
      </c>
      <c r="BE105" s="10">
        <f t="shared" si="152"/>
        <v>0</v>
      </c>
      <c r="BF105" s="10">
        <f t="shared" si="153"/>
        <v>0</v>
      </c>
      <c r="BG105" s="10">
        <f t="shared" si="154"/>
        <v>0</v>
      </c>
      <c r="BH105" s="18">
        <f t="shared" si="171"/>
        <v>0</v>
      </c>
      <c r="BI105" s="260"/>
      <c r="BJ105" s="259"/>
    </row>
    <row r="106" spans="2:62" ht="16.5" thickBot="1" x14ac:dyDescent="0.3">
      <c r="B106" s="75"/>
      <c r="C106" s="61">
        <f t="shared" ref="C106:D106" si="184">+C90</f>
        <v>6</v>
      </c>
      <c r="D106" s="218" t="str">
        <f t="shared" si="184"/>
        <v>Lanzamiento a Productivo</v>
      </c>
      <c r="E106" s="5">
        <f t="shared" si="156"/>
        <v>0</v>
      </c>
      <c r="F106" s="5">
        <f t="shared" si="156"/>
        <v>0</v>
      </c>
      <c r="G106" s="5">
        <f t="shared" si="156"/>
        <v>0</v>
      </c>
      <c r="H106" s="5">
        <f t="shared" si="156"/>
        <v>0</v>
      </c>
      <c r="I106" s="5">
        <f t="shared" si="156"/>
        <v>-2050</v>
      </c>
      <c r="J106" s="5">
        <f t="shared" si="157"/>
        <v>-2050</v>
      </c>
      <c r="K106" s="50"/>
      <c r="L106" s="62"/>
      <c r="M106" s="52" t="str">
        <f t="shared" si="158"/>
        <v>Lanzamiento a Productivo</v>
      </c>
      <c r="N106" s="10">
        <f t="shared" si="159"/>
        <v>0</v>
      </c>
      <c r="O106" s="10">
        <f t="shared" si="142"/>
        <v>0</v>
      </c>
      <c r="P106" s="10">
        <f t="shared" si="143"/>
        <v>0</v>
      </c>
      <c r="Q106" s="10">
        <f t="shared" si="144"/>
        <v>0</v>
      </c>
      <c r="R106" s="10">
        <f t="shared" si="145"/>
        <v>-5.445544554455446E-3</v>
      </c>
      <c r="S106" s="10">
        <f t="shared" si="160"/>
        <v>-5.445544554455446E-3</v>
      </c>
      <c r="T106" s="64"/>
      <c r="U106" s="44"/>
      <c r="V106" s="165" t="str">
        <f t="shared" si="161"/>
        <v>Lanzamiento a Productivo</v>
      </c>
      <c r="W106" s="10">
        <f>+E106/($J$33*20)</f>
        <v>0</v>
      </c>
      <c r="X106" s="10">
        <f t="shared" ref="X106:AA106" si="185">+F106/($J$33*20)</f>
        <v>0</v>
      </c>
      <c r="Y106" s="10">
        <f t="shared" si="185"/>
        <v>0</v>
      </c>
      <c r="Z106" s="10">
        <f t="shared" si="185"/>
        <v>0</v>
      </c>
      <c r="AA106" s="10">
        <f t="shared" si="185"/>
        <v>-2.0499999999999998</v>
      </c>
      <c r="AB106" s="10">
        <f t="shared" si="163"/>
        <v>-2.0499999999999998</v>
      </c>
      <c r="AC106" s="51"/>
      <c r="AD106" s="76"/>
      <c r="AH106" s="132"/>
      <c r="AI106" s="61">
        <f t="shared" si="147"/>
        <v>6</v>
      </c>
      <c r="AJ106" s="61" t="str">
        <f t="shared" si="147"/>
        <v>Costos Fijos (Luz, Agua, servicios)</v>
      </c>
      <c r="AK106" s="5">
        <f t="shared" ref="AK106:AO106" si="186">+AK33-AK90</f>
        <v>0</v>
      </c>
      <c r="AL106" s="5">
        <f t="shared" si="186"/>
        <v>0</v>
      </c>
      <c r="AM106" s="5">
        <f t="shared" si="186"/>
        <v>0</v>
      </c>
      <c r="AN106" s="5">
        <f t="shared" si="186"/>
        <v>0</v>
      </c>
      <c r="AO106" s="5">
        <f t="shared" si="186"/>
        <v>0</v>
      </c>
      <c r="AP106" s="5">
        <f t="shared" si="149"/>
        <v>0</v>
      </c>
      <c r="AQ106" s="50">
        <f>+AP106/$AP$34</f>
        <v>0</v>
      </c>
      <c r="AR106" s="62"/>
      <c r="AS106" s="63" t="str">
        <f t="shared" si="166"/>
        <v>Costos Fijos (Luz, Agua, servicios)</v>
      </c>
      <c r="AT106" s="10">
        <f t="shared" ref="AT106:AX106" si="187">+AT33-AT90</f>
        <v>0</v>
      </c>
      <c r="AU106" s="10">
        <f t="shared" si="187"/>
        <v>-4.8038430744595673E-3</v>
      </c>
      <c r="AV106" s="10">
        <f t="shared" si="187"/>
        <v>-4.8038430744595673E-3</v>
      </c>
      <c r="AW106" s="10">
        <f t="shared" si="187"/>
        <v>-4.8038430744595673E-3</v>
      </c>
      <c r="AX106" s="10">
        <f t="shared" si="187"/>
        <v>-4.8038430744595673E-3</v>
      </c>
      <c r="AY106" s="10">
        <f t="shared" si="168"/>
        <v>-1.9215372297838269E-2</v>
      </c>
      <c r="AZ106" s="64"/>
      <c r="BA106" s="44"/>
      <c r="BB106" s="63" t="str">
        <f t="shared" si="169"/>
        <v>Costos Fijos (Luz, Agua, servicios)</v>
      </c>
      <c r="BC106" s="19">
        <f t="shared" si="170"/>
        <v>0</v>
      </c>
      <c r="BD106" s="20">
        <f t="shared" si="151"/>
        <v>0</v>
      </c>
      <c r="BE106" s="20">
        <f t="shared" si="152"/>
        <v>0</v>
      </c>
      <c r="BF106" s="20">
        <f t="shared" si="153"/>
        <v>0</v>
      </c>
      <c r="BG106" s="20">
        <f t="shared" si="154"/>
        <v>0</v>
      </c>
      <c r="BH106" s="21">
        <f t="shared" si="171"/>
        <v>0</v>
      </c>
      <c r="BI106" s="260"/>
      <c r="BJ106" s="259"/>
    </row>
    <row r="107" spans="2:62" ht="18.75" thickBot="1" x14ac:dyDescent="0.3">
      <c r="B107" s="75"/>
      <c r="C107" s="61">
        <f t="shared" ref="C107:D107" si="188">+C91</f>
        <v>7</v>
      </c>
      <c r="D107" s="218" t="str">
        <f t="shared" si="188"/>
        <v>Ejemplo: Infraestructura (SW o HW)</v>
      </c>
      <c r="E107" s="5">
        <f t="shared" si="156"/>
        <v>-3000</v>
      </c>
      <c r="F107" s="5">
        <f t="shared" si="156"/>
        <v>-30</v>
      </c>
      <c r="G107" s="5">
        <f t="shared" si="156"/>
        <v>-30</v>
      </c>
      <c r="H107" s="5">
        <f t="shared" si="156"/>
        <v>-30</v>
      </c>
      <c r="I107" s="5">
        <f t="shared" si="156"/>
        <v>-30</v>
      </c>
      <c r="J107" s="5">
        <f t="shared" si="157"/>
        <v>-3120</v>
      </c>
      <c r="K107" s="50"/>
      <c r="L107" s="62"/>
      <c r="M107" s="52" t="str">
        <f t="shared" si="158"/>
        <v>Ejemplo: Infraestructura (SW o HW)</v>
      </c>
      <c r="N107" s="10">
        <f t="shared" si="159"/>
        <v>-1.4851485148514851E-2</v>
      </c>
      <c r="O107" s="10">
        <f t="shared" si="142"/>
        <v>-1.4851485148514851E-4</v>
      </c>
      <c r="P107" s="10">
        <f t="shared" si="143"/>
        <v>-1.4851485148514851E-4</v>
      </c>
      <c r="Q107" s="10">
        <f t="shared" si="144"/>
        <v>-1.4851485148514851E-4</v>
      </c>
      <c r="R107" s="10">
        <f t="shared" si="145"/>
        <v>-1.4851485148514851E-4</v>
      </c>
      <c r="S107" s="10">
        <f t="shared" si="160"/>
        <v>-1.5445544554455445E-2</v>
      </c>
      <c r="T107" s="64"/>
      <c r="U107" s="44"/>
      <c r="V107" s="165" t="str">
        <f t="shared" si="161"/>
        <v>Ejemplo: Infraestructura (SW o HW)</v>
      </c>
      <c r="W107" s="10" t="e">
        <f>+E107/($J$34*20)</f>
        <v>#DIV/0!</v>
      </c>
      <c r="X107" s="10" t="e">
        <f t="shared" ref="X107:AA107" si="189">+F107/($J$34*20)</f>
        <v>#DIV/0!</v>
      </c>
      <c r="Y107" s="10" t="e">
        <f t="shared" si="189"/>
        <v>#DIV/0!</v>
      </c>
      <c r="Z107" s="10" t="e">
        <f t="shared" si="189"/>
        <v>#DIV/0!</v>
      </c>
      <c r="AA107" s="10" t="e">
        <f t="shared" si="189"/>
        <v>#DIV/0!</v>
      </c>
      <c r="AB107" s="10" t="e">
        <f t="shared" si="163"/>
        <v>#DIV/0!</v>
      </c>
      <c r="AC107" s="51"/>
      <c r="AD107" s="76"/>
      <c r="AH107" s="132"/>
      <c r="AI107" s="43"/>
      <c r="AJ107" s="46" t="s">
        <v>121</v>
      </c>
      <c r="AK107" s="7">
        <f t="shared" ref="AK107:AP107" si="190">SUM(AK101:AK106)</f>
        <v>6000</v>
      </c>
      <c r="AL107" s="7">
        <f t="shared" si="190"/>
        <v>2600</v>
      </c>
      <c r="AM107" s="7">
        <f t="shared" si="190"/>
        <v>0</v>
      </c>
      <c r="AN107" s="7">
        <f t="shared" si="190"/>
        <v>-15000</v>
      </c>
      <c r="AO107" s="7">
        <f t="shared" si="190"/>
        <v>-21200</v>
      </c>
      <c r="AP107" s="7">
        <f t="shared" si="190"/>
        <v>-27600</v>
      </c>
      <c r="AQ107" s="50">
        <f>+AP107/$AP$34</f>
        <v>-0.11048839071257005</v>
      </c>
      <c r="AR107" s="62"/>
      <c r="AS107" s="63" t="str">
        <f>+AJ107</f>
        <v>Total Diferencial - Mejor / (Peor)</v>
      </c>
      <c r="AT107" s="115">
        <f t="shared" ref="AT107:AY107" si="191">SUM(AT101:AT106)</f>
        <v>2.4019215372297828E-2</v>
      </c>
      <c r="AU107" s="12">
        <f t="shared" si="191"/>
        <v>-2.6421136909527625E-2</v>
      </c>
      <c r="AV107" s="12">
        <f t="shared" si="191"/>
        <v>-4.8038430744595673E-3</v>
      </c>
      <c r="AW107" s="12">
        <f t="shared" si="191"/>
        <v>-6.4851881505204143E-2</v>
      </c>
      <c r="AX107" s="12">
        <f t="shared" si="191"/>
        <v>-8.9671737389911924E-2</v>
      </c>
      <c r="AY107" s="12">
        <f t="shared" si="191"/>
        <v>-0.16172938350680544</v>
      </c>
      <c r="AZ107" s="64"/>
      <c r="BA107" s="44"/>
      <c r="BB107" s="63"/>
      <c r="BC107" s="63"/>
      <c r="BD107" s="63"/>
      <c r="BE107" s="63"/>
      <c r="BF107" s="63"/>
      <c r="BG107" s="63"/>
      <c r="BH107" s="63"/>
      <c r="BI107" s="261"/>
      <c r="BJ107" s="259"/>
    </row>
    <row r="108" spans="2:62" ht="18" x14ac:dyDescent="0.25">
      <c r="B108" s="75"/>
      <c r="C108" s="61">
        <f t="shared" ref="C108:D108" si="192">+C92</f>
        <v>8</v>
      </c>
      <c r="D108" s="218" t="str">
        <f t="shared" si="192"/>
        <v>Ejemplo: Costos Fijos (Luz, Agua, servicios)</v>
      </c>
      <c r="E108" s="5">
        <f t="shared" si="156"/>
        <v>600</v>
      </c>
      <c r="F108" s="5">
        <f t="shared" si="156"/>
        <v>0</v>
      </c>
      <c r="G108" s="5">
        <f t="shared" si="156"/>
        <v>0</v>
      </c>
      <c r="H108" s="5">
        <f t="shared" si="156"/>
        <v>0</v>
      </c>
      <c r="I108" s="5">
        <f t="shared" si="156"/>
        <v>0</v>
      </c>
      <c r="J108" s="5">
        <f t="shared" si="157"/>
        <v>600</v>
      </c>
      <c r="K108" s="50"/>
      <c r="L108" s="62"/>
      <c r="M108" s="52" t="str">
        <f t="shared" si="158"/>
        <v>Ejemplo: Costos Fijos (Luz, Agua, servicios)</v>
      </c>
      <c r="N108" s="10">
        <f t="shared" si="159"/>
        <v>5.9405940594059403E-2</v>
      </c>
      <c r="O108" s="10">
        <f t="shared" si="142"/>
        <v>0</v>
      </c>
      <c r="P108" s="10">
        <f t="shared" si="143"/>
        <v>0</v>
      </c>
      <c r="Q108" s="10">
        <f t="shared" si="144"/>
        <v>0</v>
      </c>
      <c r="R108" s="10">
        <f t="shared" si="145"/>
        <v>0</v>
      </c>
      <c r="S108" s="10">
        <f t="shared" si="160"/>
        <v>5.9405940594059403E-2</v>
      </c>
      <c r="T108" s="64"/>
      <c r="U108" s="44"/>
      <c r="V108" s="165" t="str">
        <f t="shared" si="161"/>
        <v>Ejemplo: Costos Fijos (Luz, Agua, servicios)</v>
      </c>
      <c r="W108" s="10">
        <f>+E108/($J$35*20)</f>
        <v>0.05</v>
      </c>
      <c r="X108" s="10">
        <f t="shared" ref="X108:AA108" si="193">+F108/($J$35*20)</f>
        <v>0</v>
      </c>
      <c r="Y108" s="10">
        <f t="shared" si="193"/>
        <v>0</v>
      </c>
      <c r="Z108" s="10">
        <f t="shared" si="193"/>
        <v>0</v>
      </c>
      <c r="AA108" s="10">
        <f t="shared" si="193"/>
        <v>0</v>
      </c>
      <c r="AB108" s="10">
        <f t="shared" si="163"/>
        <v>0.05</v>
      </c>
      <c r="AC108" s="51"/>
      <c r="AD108" s="76"/>
      <c r="AH108" s="132"/>
      <c r="AI108" s="43"/>
      <c r="AJ108" s="46"/>
      <c r="AK108" s="55">
        <f t="shared" ref="AK108:AP108" si="194">+AK107/$AP$34</f>
        <v>2.4019215372297838E-2</v>
      </c>
      <c r="AL108" s="55">
        <f t="shared" si="194"/>
        <v>1.0408326661329063E-2</v>
      </c>
      <c r="AM108" s="55">
        <f t="shared" si="194"/>
        <v>0</v>
      </c>
      <c r="AN108" s="55">
        <f t="shared" si="194"/>
        <v>-6.0048038430744598E-2</v>
      </c>
      <c r="AO108" s="55">
        <f t="shared" si="194"/>
        <v>-8.4867894315452358E-2</v>
      </c>
      <c r="AP108" s="55">
        <f t="shared" si="194"/>
        <v>-0.11048839071257005</v>
      </c>
      <c r="AQ108" s="50"/>
      <c r="AR108" s="62"/>
      <c r="AS108" s="51"/>
      <c r="AT108" s="112" t="s">
        <v>130</v>
      </c>
      <c r="AU108" s="51"/>
      <c r="AV108" s="51"/>
      <c r="AW108" s="51"/>
      <c r="AX108" s="51"/>
      <c r="AY108" s="51"/>
      <c r="AZ108" s="64"/>
      <c r="BA108" s="44"/>
      <c r="BB108" s="63"/>
      <c r="BC108" s="120" t="s">
        <v>86</v>
      </c>
      <c r="BD108" s="44"/>
      <c r="BE108" s="44"/>
      <c r="BF108" s="44"/>
      <c r="BG108" s="44"/>
      <c r="BH108" s="44"/>
      <c r="BI108" s="261"/>
      <c r="BJ108" s="259"/>
    </row>
    <row r="109" spans="2:62" x14ac:dyDescent="0.25">
      <c r="B109" s="75"/>
      <c r="C109" s="61">
        <f t="shared" ref="C109:D109" si="195">+C93</f>
        <v>9</v>
      </c>
      <c r="D109" s="218" t="str">
        <f t="shared" si="195"/>
        <v>Renta/Improvistos</v>
      </c>
      <c r="E109" s="5">
        <f t="shared" si="156"/>
        <v>7900</v>
      </c>
      <c r="F109" s="5">
        <f t="shared" si="156"/>
        <v>0</v>
      </c>
      <c r="G109" s="5">
        <f t="shared" si="156"/>
        <v>0</v>
      </c>
      <c r="H109" s="5">
        <f t="shared" si="156"/>
        <v>0</v>
      </c>
      <c r="I109" s="5">
        <f t="shared" si="156"/>
        <v>-100</v>
      </c>
      <c r="J109" s="5">
        <f t="shared" si="157"/>
        <v>7800</v>
      </c>
      <c r="K109" s="50"/>
      <c r="L109" s="62"/>
      <c r="M109" s="52" t="str">
        <f t="shared" si="158"/>
        <v>Renta/Improvistos</v>
      </c>
      <c r="N109" s="10">
        <f t="shared" si="159"/>
        <v>0.79158415841584162</v>
      </c>
      <c r="O109" s="10">
        <f t="shared" si="142"/>
        <v>0</v>
      </c>
      <c r="P109" s="10">
        <f t="shared" si="143"/>
        <v>0</v>
      </c>
      <c r="Q109" s="10">
        <f t="shared" si="144"/>
        <v>0</v>
      </c>
      <c r="R109" s="10">
        <f t="shared" si="145"/>
        <v>-4.9504950495049506E-4</v>
      </c>
      <c r="S109" s="10">
        <f t="shared" si="160"/>
        <v>0.79108910891089113</v>
      </c>
      <c r="T109" s="64"/>
      <c r="U109" s="44"/>
      <c r="V109" s="165" t="str">
        <f t="shared" si="161"/>
        <v>Renta/Improvistos</v>
      </c>
      <c r="W109" s="10">
        <f>+E109/($J$36*20)</f>
        <v>4.9375000000000002E-2</v>
      </c>
      <c r="X109" s="10">
        <f t="shared" ref="X109:AA109" si="196">+F109/($J$36*20)</f>
        <v>0</v>
      </c>
      <c r="Y109" s="10">
        <f t="shared" si="196"/>
        <v>0</v>
      </c>
      <c r="Z109" s="10">
        <f t="shared" si="196"/>
        <v>0</v>
      </c>
      <c r="AA109" s="10">
        <f t="shared" si="196"/>
        <v>-6.2500000000000001E-4</v>
      </c>
      <c r="AB109" s="10">
        <f t="shared" si="163"/>
        <v>4.8750000000000002E-2</v>
      </c>
      <c r="AC109" s="51"/>
      <c r="AD109" s="76"/>
      <c r="AH109" s="132"/>
      <c r="AI109" s="61"/>
      <c r="AJ109" s="61"/>
      <c r="AK109" s="111" t="s">
        <v>204</v>
      </c>
      <c r="AL109" s="66"/>
      <c r="AM109" s="66"/>
      <c r="AN109" s="66"/>
      <c r="AO109" s="66"/>
      <c r="AP109" s="66"/>
      <c r="AR109" s="62"/>
      <c r="AS109" s="63"/>
      <c r="AT109" s="65"/>
      <c r="AU109" s="65"/>
      <c r="AV109" s="65"/>
      <c r="AW109" s="65"/>
      <c r="AX109" s="65"/>
      <c r="AY109" s="65"/>
      <c r="AZ109" s="64"/>
      <c r="BA109" s="44"/>
      <c r="BB109" s="63"/>
      <c r="BH109" s="44"/>
      <c r="BI109" s="261"/>
      <c r="BJ109" s="259"/>
    </row>
    <row r="110" spans="2:62" ht="16.5" thickBot="1" x14ac:dyDescent="0.3">
      <c r="B110" s="75"/>
      <c r="C110" s="61">
        <f t="shared" ref="C110:D110" si="197">+C94</f>
        <v>10</v>
      </c>
      <c r="D110" s="218" t="str">
        <f t="shared" si="197"/>
        <v>Salarios</v>
      </c>
      <c r="E110" s="5">
        <f t="shared" si="156"/>
        <v>-1500</v>
      </c>
      <c r="F110" s="5">
        <f t="shared" si="156"/>
        <v>-1500</v>
      </c>
      <c r="G110" s="5">
        <f t="shared" si="156"/>
        <v>-1500</v>
      </c>
      <c r="H110" s="5">
        <f t="shared" si="156"/>
        <v>-1500</v>
      </c>
      <c r="I110" s="5">
        <f t="shared" si="156"/>
        <v>-1500</v>
      </c>
      <c r="J110" s="5">
        <f t="shared" si="157"/>
        <v>-7500</v>
      </c>
      <c r="K110" s="50"/>
      <c r="L110" s="62"/>
      <c r="M110" s="52" t="str">
        <f t="shared" si="158"/>
        <v>Salarios</v>
      </c>
      <c r="N110" s="10">
        <f t="shared" si="159"/>
        <v>-7.4257425742574254E-3</v>
      </c>
      <c r="O110" s="10">
        <f t="shared" si="142"/>
        <v>-7.4257425742574254E-3</v>
      </c>
      <c r="P110" s="10">
        <f t="shared" si="143"/>
        <v>-7.4257425742574254E-3</v>
      </c>
      <c r="Q110" s="10">
        <f t="shared" si="144"/>
        <v>-7.4257425742574254E-3</v>
      </c>
      <c r="R110" s="10">
        <f t="shared" si="145"/>
        <v>-7.4257425742574254E-3</v>
      </c>
      <c r="S110" s="10">
        <f t="shared" si="160"/>
        <v>-3.7128712871287127E-2</v>
      </c>
      <c r="T110" s="64"/>
      <c r="U110" s="44"/>
      <c r="V110" s="165" t="str">
        <f t="shared" si="161"/>
        <v>Salarios</v>
      </c>
      <c r="W110" s="10" t="e">
        <f>+E110/($J$37*20)</f>
        <v>#DIV/0!</v>
      </c>
      <c r="X110" s="10" t="e">
        <f t="shared" ref="X110:AA110" si="198">+F110/($J$37*20)</f>
        <v>#DIV/0!</v>
      </c>
      <c r="Y110" s="10" t="e">
        <f t="shared" si="198"/>
        <v>#DIV/0!</v>
      </c>
      <c r="Z110" s="10" t="e">
        <f t="shared" si="198"/>
        <v>#DIV/0!</v>
      </c>
      <c r="AA110" s="10" t="e">
        <f t="shared" si="198"/>
        <v>#DIV/0!</v>
      </c>
      <c r="AB110" s="10" t="e">
        <f t="shared" si="163"/>
        <v>#DIV/0!</v>
      </c>
      <c r="AC110" s="51"/>
      <c r="AD110" s="76"/>
      <c r="AH110" s="132"/>
      <c r="AR110" s="62"/>
      <c r="AS110" s="63"/>
      <c r="AT110" s="65"/>
      <c r="AU110" s="65"/>
      <c r="AV110" s="65"/>
      <c r="AW110" s="65"/>
      <c r="AX110" s="65"/>
      <c r="AY110" s="65"/>
      <c r="AZ110" s="64"/>
      <c r="BA110" s="44"/>
      <c r="BH110" s="44"/>
      <c r="BI110" s="261"/>
      <c r="BJ110" s="259"/>
    </row>
    <row r="111" spans="2:62" ht="19.149999999999999" customHeight="1" thickBot="1" x14ac:dyDescent="0.3">
      <c r="B111" s="75"/>
      <c r="C111" s="43"/>
      <c r="D111" s="46" t="s">
        <v>26</v>
      </c>
      <c r="E111" s="7">
        <f t="shared" ref="E111:I111" si="199">SUM(E101:E110)</f>
        <v>-865</v>
      </c>
      <c r="F111" s="7">
        <f t="shared" si="199"/>
        <v>-6515</v>
      </c>
      <c r="G111" s="7">
        <f t="shared" si="199"/>
        <v>-6430</v>
      </c>
      <c r="H111" s="7">
        <f t="shared" si="199"/>
        <v>-6480</v>
      </c>
      <c r="I111" s="7">
        <f t="shared" si="199"/>
        <v>-6630</v>
      </c>
      <c r="J111" s="5">
        <f t="shared" si="157"/>
        <v>-26920</v>
      </c>
      <c r="K111" s="53"/>
      <c r="L111" s="66"/>
      <c r="M111" s="54" t="str">
        <f>+D111</f>
        <v>Total Presupuesto</v>
      </c>
      <c r="N111" s="11">
        <f t="shared" ref="N111:S111" si="200">SUM(N101:N110)</f>
        <v>0.83613861386138622</v>
      </c>
      <c r="O111" s="12">
        <f t="shared" si="200"/>
        <v>-1.202970297029703E-2</v>
      </c>
      <c r="P111" s="12">
        <f t="shared" si="200"/>
        <v>-3.6138613861386145E-3</v>
      </c>
      <c r="Q111" s="12">
        <f t="shared" si="200"/>
        <v>8.4158415841584233E-4</v>
      </c>
      <c r="R111" s="12">
        <f t="shared" si="200"/>
        <v>-4.6039603960396028E-3</v>
      </c>
      <c r="S111" s="13">
        <f t="shared" si="200"/>
        <v>0.81673267326732679</v>
      </c>
      <c r="T111" s="67"/>
      <c r="U111" s="44"/>
      <c r="V111" s="63"/>
      <c r="W111" s="44"/>
      <c r="X111" s="44"/>
      <c r="Y111" s="44"/>
      <c r="Z111" s="44"/>
      <c r="AA111" s="44"/>
      <c r="AB111" s="44"/>
      <c r="AC111" s="51"/>
      <c r="AD111" s="76"/>
      <c r="AH111" s="132"/>
      <c r="AJ111" s="44"/>
      <c r="AK111" s="44"/>
      <c r="AL111" s="44"/>
      <c r="AM111" s="44"/>
      <c r="AN111" s="44"/>
      <c r="AO111" s="44"/>
      <c r="AP111" s="44"/>
      <c r="AQ111" s="53"/>
      <c r="AR111" s="66"/>
      <c r="AZ111" s="67"/>
      <c r="BA111" s="44"/>
      <c r="BI111" s="51"/>
      <c r="BJ111" s="133"/>
    </row>
    <row r="112" spans="2:62" ht="18" x14ac:dyDescent="0.25">
      <c r="B112" s="75"/>
      <c r="C112" s="43"/>
      <c r="D112" s="46"/>
      <c r="E112" s="55">
        <f>+E111/($J$38*20)</f>
        <v>-4.2821782178217825E-3</v>
      </c>
      <c r="F112" s="55">
        <f t="shared" ref="F112:J112" si="201">+F111/($J$38*20)</f>
        <v>-3.2252475247524753E-2</v>
      </c>
      <c r="G112" s="55">
        <f t="shared" si="201"/>
        <v>-3.1831683168316832E-2</v>
      </c>
      <c r="H112" s="55">
        <f t="shared" si="201"/>
        <v>-3.207920792079208E-2</v>
      </c>
      <c r="I112" s="55">
        <f t="shared" si="201"/>
        <v>-3.2821782178217823E-2</v>
      </c>
      <c r="J112" s="55">
        <f t="shared" si="201"/>
        <v>-0.13326732673267327</v>
      </c>
      <c r="K112" s="51"/>
      <c r="L112" s="66"/>
      <c r="M112" s="51"/>
      <c r="N112" s="51"/>
      <c r="O112" s="51"/>
      <c r="P112" s="51"/>
      <c r="Q112" s="51"/>
      <c r="R112" s="51"/>
      <c r="S112" s="51"/>
      <c r="T112" s="51"/>
      <c r="U112" s="44"/>
      <c r="V112" s="44"/>
      <c r="W112" s="44"/>
      <c r="X112" s="44"/>
      <c r="Y112" s="44"/>
      <c r="Z112" s="44"/>
      <c r="AA112" s="44"/>
      <c r="AB112" s="44"/>
      <c r="AC112" s="44"/>
      <c r="AD112" s="76"/>
      <c r="AH112" s="132"/>
      <c r="AQ112" s="51"/>
      <c r="AR112" s="66"/>
      <c r="AZ112" s="51"/>
      <c r="BA112" s="44"/>
      <c r="BB112" s="44"/>
      <c r="BC112" s="44"/>
      <c r="BD112" s="44"/>
      <c r="BE112" s="44"/>
      <c r="BF112" s="44"/>
      <c r="BG112" s="44"/>
      <c r="BH112" s="44"/>
      <c r="BI112" s="44"/>
      <c r="BJ112" s="133"/>
    </row>
    <row r="113" spans="2:62" ht="16.5" thickBot="1" x14ac:dyDescent="0.3">
      <c r="B113" s="77"/>
      <c r="C113" s="78"/>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1"/>
      <c r="AH113" s="136"/>
      <c r="AI113" s="137"/>
      <c r="AJ113" s="139"/>
      <c r="AK113" s="155"/>
      <c r="AL113" s="139"/>
      <c r="AM113" s="139"/>
      <c r="AN113" s="139"/>
      <c r="AO113" s="139"/>
      <c r="AP113" s="139"/>
      <c r="AQ113" s="139"/>
      <c r="AR113" s="139"/>
      <c r="AS113" s="139"/>
      <c r="AT113" s="139"/>
      <c r="AU113" s="139"/>
      <c r="AV113" s="139"/>
      <c r="AW113" s="139"/>
      <c r="AX113" s="139"/>
      <c r="AY113" s="139"/>
      <c r="AZ113" s="139"/>
      <c r="BA113" s="139"/>
      <c r="BB113" s="139"/>
      <c r="BC113" s="139"/>
      <c r="BD113" s="139"/>
      <c r="BE113" s="139"/>
      <c r="BF113" s="139"/>
      <c r="BG113" s="139"/>
      <c r="BH113" s="139"/>
      <c r="BI113" s="139"/>
      <c r="BJ113" s="140"/>
    </row>
    <row r="114" spans="2:62" ht="17.25" thickTop="1" thickBot="1" x14ac:dyDescent="0.3"/>
    <row r="115" spans="2:62" ht="16.5" thickTop="1" x14ac:dyDescent="0.25">
      <c r="B115" s="71"/>
      <c r="C115" s="82"/>
      <c r="D115" s="73"/>
      <c r="E115" s="73"/>
      <c r="F115" s="73"/>
      <c r="G115" s="73"/>
      <c r="H115" s="73"/>
      <c r="I115" s="73"/>
      <c r="J115" s="73"/>
      <c r="K115" s="73"/>
      <c r="L115" s="73"/>
      <c r="M115" s="73"/>
      <c r="N115" s="73"/>
      <c r="O115" s="73"/>
      <c r="P115" s="73"/>
      <c r="Q115" s="73"/>
      <c r="R115" s="73"/>
      <c r="S115" s="74"/>
      <c r="AH115" s="129"/>
      <c r="AI115" s="141"/>
      <c r="AJ115" s="158" t="s">
        <v>163</v>
      </c>
      <c r="AK115" s="130"/>
      <c r="AL115" s="130"/>
      <c r="AM115" s="130"/>
      <c r="AN115" s="130"/>
      <c r="AO115" s="130"/>
      <c r="AP115" s="130"/>
      <c r="AQ115" s="130"/>
      <c r="AR115" s="130"/>
      <c r="AS115" s="158" t="s">
        <v>164</v>
      </c>
      <c r="AT115" s="159" t="s">
        <v>134</v>
      </c>
      <c r="AU115" s="130"/>
      <c r="AV115" s="130"/>
      <c r="AW115" s="130"/>
      <c r="AX115" s="130"/>
      <c r="AY115" s="131"/>
    </row>
    <row r="116" spans="2:62" ht="23.25" x14ac:dyDescent="0.35">
      <c r="B116" s="75"/>
      <c r="C116" s="84" t="s">
        <v>120</v>
      </c>
      <c r="D116" s="44"/>
      <c r="E116" s="44"/>
      <c r="F116" s="44"/>
      <c r="G116" s="44"/>
      <c r="H116" s="44"/>
      <c r="I116" s="44"/>
      <c r="J116" s="44"/>
      <c r="K116" s="44"/>
      <c r="L116" s="44"/>
      <c r="M116" s="44"/>
      <c r="N116" s="90" t="s">
        <v>64</v>
      </c>
      <c r="O116" s="44"/>
      <c r="P116" s="44"/>
      <c r="Q116" s="44"/>
      <c r="R116" s="44"/>
      <c r="S116" s="76"/>
      <c r="AH116" s="132"/>
      <c r="AI116" s="43"/>
      <c r="AJ116" s="122"/>
      <c r="AK116" s="98" t="s">
        <v>132</v>
      </c>
      <c r="AL116" s="44"/>
      <c r="AM116" s="44"/>
      <c r="AN116" s="44"/>
      <c r="AO116" s="44"/>
      <c r="AP116" s="44"/>
      <c r="AQ116" s="44"/>
      <c r="AR116" s="44"/>
      <c r="AS116" s="44"/>
      <c r="AT116" s="90" t="s">
        <v>64</v>
      </c>
      <c r="AU116" s="44"/>
      <c r="AV116" s="44"/>
      <c r="AW116" s="44"/>
      <c r="AX116" s="44"/>
      <c r="AY116" s="133"/>
    </row>
    <row r="117" spans="2:62" ht="18" x14ac:dyDescent="0.25">
      <c r="B117" s="75"/>
      <c r="C117" s="122" t="s">
        <v>162</v>
      </c>
      <c r="D117" s="44"/>
      <c r="E117" s="48" t="s">
        <v>1</v>
      </c>
      <c r="F117" s="48" t="s">
        <v>2</v>
      </c>
      <c r="G117" s="48" t="s">
        <v>3</v>
      </c>
      <c r="H117" s="48" t="s">
        <v>4</v>
      </c>
      <c r="I117" s="48" t="s">
        <v>21</v>
      </c>
      <c r="J117" s="48" t="s">
        <v>5</v>
      </c>
      <c r="K117" s="44"/>
      <c r="L117" s="44"/>
      <c r="M117" s="122" t="s">
        <v>165</v>
      </c>
      <c r="N117" s="48" t="str">
        <f>+E117</f>
        <v>Sem 1</v>
      </c>
      <c r="O117" s="48" t="s">
        <v>60</v>
      </c>
      <c r="P117" s="48" t="s">
        <v>61</v>
      </c>
      <c r="Q117" s="48" t="s">
        <v>62</v>
      </c>
      <c r="R117" s="48" t="s">
        <v>63</v>
      </c>
      <c r="S117" s="91"/>
      <c r="AH117" s="132"/>
      <c r="AI117" s="43"/>
      <c r="AJ117" s="44"/>
      <c r="AK117" s="48" t="s">
        <v>1</v>
      </c>
      <c r="AL117" s="48" t="s">
        <v>2</v>
      </c>
      <c r="AM117" s="48" t="s">
        <v>3</v>
      </c>
      <c r="AN117" s="48" t="s">
        <v>4</v>
      </c>
      <c r="AO117" s="48" t="s">
        <v>21</v>
      </c>
      <c r="AP117" s="48" t="s">
        <v>5</v>
      </c>
      <c r="AQ117" s="44"/>
      <c r="AR117" s="44"/>
      <c r="AS117" s="157"/>
      <c r="AT117" s="48" t="str">
        <f>+AK117</f>
        <v>Sem 1</v>
      </c>
      <c r="AU117" s="48" t="s">
        <v>60</v>
      </c>
      <c r="AV117" s="48" t="s">
        <v>61</v>
      </c>
      <c r="AW117" s="48" t="s">
        <v>62</v>
      </c>
      <c r="AX117" s="48" t="s">
        <v>63</v>
      </c>
      <c r="AY117" s="143"/>
    </row>
    <row r="118" spans="2:62" ht="18.75" x14ac:dyDescent="0.3">
      <c r="B118" s="75"/>
      <c r="C118" s="43"/>
      <c r="D118" s="92" t="s">
        <v>51</v>
      </c>
      <c r="E118" s="44"/>
      <c r="F118" s="44"/>
      <c r="G118" s="44"/>
      <c r="H118" s="44"/>
      <c r="I118" s="44"/>
      <c r="J118" s="44"/>
      <c r="K118" s="44"/>
      <c r="L118" s="44"/>
      <c r="M118" s="92" t="s">
        <v>51</v>
      </c>
      <c r="N118" s="44"/>
      <c r="O118" s="44"/>
      <c r="P118" s="44"/>
      <c r="Q118" s="44"/>
      <c r="R118" s="44"/>
      <c r="S118" s="76"/>
      <c r="AH118" s="132"/>
      <c r="AI118" s="43"/>
      <c r="AJ118" s="92" t="s">
        <v>51</v>
      </c>
      <c r="AK118" s="44"/>
      <c r="AL118" s="44"/>
      <c r="AM118" s="44"/>
      <c r="AN118" s="44"/>
      <c r="AO118" s="44"/>
      <c r="AP118" s="44"/>
      <c r="AQ118" s="44"/>
      <c r="AR118" s="44"/>
      <c r="AS118" s="92" t="s">
        <v>51</v>
      </c>
      <c r="AT118" s="147" t="s">
        <v>1</v>
      </c>
      <c r="AU118" s="147" t="s">
        <v>135</v>
      </c>
      <c r="AV118" s="161" t="s">
        <v>136</v>
      </c>
      <c r="AW118" s="161" t="s">
        <v>137</v>
      </c>
      <c r="AX118" s="161" t="s">
        <v>138</v>
      </c>
      <c r="AY118" s="156"/>
    </row>
    <row r="119" spans="2:62" x14ac:dyDescent="0.25">
      <c r="B119" s="75"/>
      <c r="C119" s="43"/>
      <c r="D119" s="57" t="s">
        <v>0</v>
      </c>
      <c r="E119" s="34">
        <f>+E38</f>
        <v>8935</v>
      </c>
      <c r="F119" s="34">
        <f t="shared" ref="F119:I119" si="202">+F38</f>
        <v>215</v>
      </c>
      <c r="G119" s="34">
        <f t="shared" si="202"/>
        <v>300</v>
      </c>
      <c r="H119" s="34">
        <f t="shared" si="202"/>
        <v>350</v>
      </c>
      <c r="I119" s="34">
        <f t="shared" si="202"/>
        <v>300</v>
      </c>
      <c r="J119" s="34">
        <f>SUM(E119:I119)</f>
        <v>10100</v>
      </c>
      <c r="K119" s="44"/>
      <c r="L119" s="44"/>
      <c r="M119" s="57" t="s">
        <v>0</v>
      </c>
      <c r="N119" s="34">
        <f>+E119</f>
        <v>8935</v>
      </c>
      <c r="O119" s="34">
        <f>+E119+F119</f>
        <v>9150</v>
      </c>
      <c r="P119" s="34">
        <f>+F119+G119+E119</f>
        <v>9450</v>
      </c>
      <c r="Q119" s="34">
        <f>+E119+F119+G119+H119</f>
        <v>9800</v>
      </c>
      <c r="R119" s="34">
        <f>+E119+F119+G119+H119+I119</f>
        <v>10100</v>
      </c>
      <c r="S119" s="76"/>
      <c r="AH119" s="132"/>
      <c r="AI119" s="43"/>
      <c r="AJ119" s="57" t="s">
        <v>0</v>
      </c>
      <c r="AK119" s="34">
        <f>+AK34</f>
        <v>60000</v>
      </c>
      <c r="AL119" s="34">
        <f>+AL34</f>
        <v>55200</v>
      </c>
      <c r="AM119" s="34">
        <f>+AM34</f>
        <v>47200</v>
      </c>
      <c r="AN119" s="34">
        <f>+AN34</f>
        <v>52200</v>
      </c>
      <c r="AO119" s="34">
        <f>+AO34</f>
        <v>35200</v>
      </c>
      <c r="AP119" s="34">
        <f t="shared" ref="AP119:AP124" si="203">SUM(AK119:AO119)</f>
        <v>249800</v>
      </c>
      <c r="AQ119" s="44"/>
      <c r="AR119" s="44"/>
      <c r="AS119" s="57" t="s">
        <v>0</v>
      </c>
      <c r="AT119" s="160">
        <f t="shared" ref="AT119:AT124" si="204">+AK119</f>
        <v>60000</v>
      </c>
      <c r="AU119" s="160">
        <f t="shared" ref="AU119:AU124" si="205">+AK119+AL119</f>
        <v>115200</v>
      </c>
      <c r="AV119" s="160">
        <f t="shared" ref="AV119:AV124" si="206">+AK119+AL119+AM119</f>
        <v>162400</v>
      </c>
      <c r="AW119" s="160">
        <f t="shared" ref="AW119:AW124" si="207">+AL119+AM119+AN119+AK119</f>
        <v>214600</v>
      </c>
      <c r="AX119" s="160">
        <f t="shared" ref="AX119:AX124" si="208">+AM119+AN119+AO119+AK119+AL119</f>
        <v>249800</v>
      </c>
      <c r="AY119" s="133"/>
    </row>
    <row r="120" spans="2:62" x14ac:dyDescent="0.25">
      <c r="B120" s="75"/>
      <c r="C120" s="43"/>
      <c r="D120" s="57" t="s">
        <v>44</v>
      </c>
      <c r="E120" s="34">
        <f>+N14+W14+N24</f>
        <v>67</v>
      </c>
      <c r="F120" s="34">
        <f t="shared" ref="F120:I120" si="209">+O14+X14+O24</f>
        <v>43</v>
      </c>
      <c r="G120" s="34">
        <f t="shared" si="209"/>
        <v>60</v>
      </c>
      <c r="H120" s="34">
        <f t="shared" si="209"/>
        <v>70</v>
      </c>
      <c r="I120" s="34">
        <f t="shared" si="209"/>
        <v>60</v>
      </c>
      <c r="J120" s="34">
        <f>SUM(E120:I120)</f>
        <v>300</v>
      </c>
      <c r="K120" s="44"/>
      <c r="L120" s="44"/>
      <c r="M120" s="57" t="s">
        <v>44</v>
      </c>
      <c r="N120" s="34">
        <f>+E120</f>
        <v>67</v>
      </c>
      <c r="O120" s="34">
        <f>+E120+F120</f>
        <v>110</v>
      </c>
      <c r="P120" s="34">
        <f>+E120+F120+G120</f>
        <v>170</v>
      </c>
      <c r="Q120" s="34">
        <f>+E120+F120+G120+H120</f>
        <v>240</v>
      </c>
      <c r="R120" s="34">
        <f>+E120+F120+G120+H120+I120</f>
        <v>300</v>
      </c>
      <c r="S120" s="76"/>
      <c r="AH120" s="132"/>
      <c r="AI120" s="43"/>
      <c r="AJ120" s="57" t="s">
        <v>44</v>
      </c>
      <c r="AK120" s="34">
        <f>+AT12+BC12</f>
        <v>120</v>
      </c>
      <c r="AL120" s="34">
        <f>+AU12+BD12</f>
        <v>140</v>
      </c>
      <c r="AM120" s="34">
        <f>+AV12+BE12</f>
        <v>140</v>
      </c>
      <c r="AN120" s="34">
        <f>+AW12+BF12</f>
        <v>150</v>
      </c>
      <c r="AO120" s="34">
        <f>+AX12+BG12</f>
        <v>100</v>
      </c>
      <c r="AP120" s="34">
        <f t="shared" si="203"/>
        <v>650</v>
      </c>
      <c r="AQ120" s="44"/>
      <c r="AR120" s="44"/>
      <c r="AS120" s="57" t="s">
        <v>44</v>
      </c>
      <c r="AT120" s="34">
        <f t="shared" si="204"/>
        <v>120</v>
      </c>
      <c r="AU120" s="34">
        <f t="shared" si="205"/>
        <v>260</v>
      </c>
      <c r="AV120" s="34">
        <f t="shared" si="206"/>
        <v>400</v>
      </c>
      <c r="AW120" s="34">
        <f t="shared" si="207"/>
        <v>550</v>
      </c>
      <c r="AX120" s="34">
        <f t="shared" si="208"/>
        <v>650</v>
      </c>
      <c r="AY120" s="133"/>
    </row>
    <row r="121" spans="2:62" x14ac:dyDescent="0.25">
      <c r="B121" s="75"/>
      <c r="C121" s="43"/>
      <c r="D121" s="93" t="s">
        <v>45</v>
      </c>
      <c r="E121" s="34">
        <f>+N14</f>
        <v>67</v>
      </c>
      <c r="F121" s="34">
        <f t="shared" ref="F121:I121" si="210">+O14</f>
        <v>43</v>
      </c>
      <c r="G121" s="34">
        <f t="shared" si="210"/>
        <v>60</v>
      </c>
      <c r="H121" s="34">
        <f t="shared" si="210"/>
        <v>70</v>
      </c>
      <c r="I121" s="34">
        <f t="shared" si="210"/>
        <v>60</v>
      </c>
      <c r="J121" s="34">
        <f t="shared" ref="J121:J125" si="211">SUM(E121:I121)</f>
        <v>300</v>
      </c>
      <c r="K121" s="44"/>
      <c r="L121" s="44"/>
      <c r="M121" s="93" t="s">
        <v>45</v>
      </c>
      <c r="N121" s="34">
        <f>+E121</f>
        <v>67</v>
      </c>
      <c r="O121" s="34">
        <f>+E121+F121</f>
        <v>110</v>
      </c>
      <c r="P121" s="34">
        <f>+E121+F121+G121</f>
        <v>170</v>
      </c>
      <c r="Q121" s="34">
        <f>+E121+F121+G121+H121</f>
        <v>240</v>
      </c>
      <c r="R121" s="34">
        <f>+F121+G121+H121+I121+J121</f>
        <v>533</v>
      </c>
      <c r="S121" s="76"/>
      <c r="AH121" s="132"/>
      <c r="AI121" s="43"/>
      <c r="AJ121" s="93" t="s">
        <v>45</v>
      </c>
      <c r="AK121" s="34">
        <f>+AT12</f>
        <v>120</v>
      </c>
      <c r="AL121" s="34">
        <f>+AU12</f>
        <v>20</v>
      </c>
      <c r="AM121" s="34">
        <f>+AV12</f>
        <v>20</v>
      </c>
      <c r="AN121" s="34">
        <f>+AW12</f>
        <v>30</v>
      </c>
      <c r="AO121" s="34">
        <f>+AX12</f>
        <v>20</v>
      </c>
      <c r="AP121" s="34">
        <f t="shared" si="203"/>
        <v>210</v>
      </c>
      <c r="AQ121" s="44"/>
      <c r="AR121" s="44"/>
      <c r="AS121" s="93" t="s">
        <v>45</v>
      </c>
      <c r="AT121" s="34">
        <f t="shared" si="204"/>
        <v>120</v>
      </c>
      <c r="AU121" s="34">
        <f t="shared" si="205"/>
        <v>140</v>
      </c>
      <c r="AV121" s="34">
        <f t="shared" si="206"/>
        <v>160</v>
      </c>
      <c r="AW121" s="34">
        <f t="shared" si="207"/>
        <v>190</v>
      </c>
      <c r="AX121" s="34">
        <f t="shared" si="208"/>
        <v>210</v>
      </c>
      <c r="AY121" s="133"/>
    </row>
    <row r="122" spans="2:62" x14ac:dyDescent="0.25">
      <c r="B122" s="75"/>
      <c r="C122" s="43"/>
      <c r="D122" s="93" t="s">
        <v>28</v>
      </c>
      <c r="E122" s="34">
        <f>+W14</f>
        <v>0</v>
      </c>
      <c r="F122" s="34">
        <f t="shared" ref="F122:I122" si="212">+X14</f>
        <v>0</v>
      </c>
      <c r="G122" s="34">
        <f t="shared" si="212"/>
        <v>0</v>
      </c>
      <c r="H122" s="34">
        <f t="shared" si="212"/>
        <v>0</v>
      </c>
      <c r="I122" s="34">
        <f t="shared" si="212"/>
        <v>0</v>
      </c>
      <c r="J122" s="34">
        <f t="shared" si="211"/>
        <v>0</v>
      </c>
      <c r="K122" s="44"/>
      <c r="L122" s="44"/>
      <c r="M122" s="93" t="s">
        <v>28</v>
      </c>
      <c r="N122" s="34">
        <f t="shared" ref="N122:N125" si="213">+E122</f>
        <v>0</v>
      </c>
      <c r="O122" s="34">
        <f t="shared" ref="O122:O125" si="214">+E122+F122</f>
        <v>0</v>
      </c>
      <c r="P122" s="34">
        <f t="shared" ref="P122:P125" si="215">+E122+F122+G122</f>
        <v>0</v>
      </c>
      <c r="Q122" s="34">
        <f t="shared" ref="Q122:Q125" si="216">+E122+F122+G122+H122</f>
        <v>0</v>
      </c>
      <c r="R122" s="34">
        <f t="shared" ref="R122:R125" si="217">+F122+G122+H122+I122+J122</f>
        <v>0</v>
      </c>
      <c r="S122" s="76"/>
      <c r="AH122" s="132"/>
      <c r="AI122" s="43"/>
      <c r="AJ122" s="93" t="s">
        <v>28</v>
      </c>
      <c r="AK122" s="34">
        <f>+BC12</f>
        <v>0</v>
      </c>
      <c r="AL122" s="34">
        <f>+BD12</f>
        <v>120</v>
      </c>
      <c r="AM122" s="34">
        <f>+BE12</f>
        <v>120</v>
      </c>
      <c r="AN122" s="34">
        <f>+BF12</f>
        <v>120</v>
      </c>
      <c r="AO122" s="34">
        <f>+BG12</f>
        <v>80</v>
      </c>
      <c r="AP122" s="34">
        <f t="shared" si="203"/>
        <v>440</v>
      </c>
      <c r="AQ122" s="44"/>
      <c r="AR122" s="44"/>
      <c r="AS122" s="93" t="s">
        <v>28</v>
      </c>
      <c r="AT122" s="34">
        <f t="shared" si="204"/>
        <v>0</v>
      </c>
      <c r="AU122" s="34">
        <f t="shared" si="205"/>
        <v>120</v>
      </c>
      <c r="AV122" s="34">
        <f t="shared" si="206"/>
        <v>240</v>
      </c>
      <c r="AW122" s="34">
        <f t="shared" si="207"/>
        <v>360</v>
      </c>
      <c r="AX122" s="34">
        <f t="shared" si="208"/>
        <v>440</v>
      </c>
      <c r="AY122" s="133"/>
    </row>
    <row r="123" spans="2:62" x14ac:dyDescent="0.25">
      <c r="B123" s="75"/>
      <c r="C123" s="43"/>
      <c r="D123" s="93" t="s">
        <v>228</v>
      </c>
      <c r="E123" s="245">
        <f>+N24</f>
        <v>0</v>
      </c>
      <c r="F123" s="245">
        <f t="shared" ref="F123:I123" si="218">+O24</f>
        <v>0</v>
      </c>
      <c r="G123" s="245">
        <f t="shared" si="218"/>
        <v>0</v>
      </c>
      <c r="H123" s="245">
        <f t="shared" si="218"/>
        <v>0</v>
      </c>
      <c r="I123" s="245">
        <f t="shared" si="218"/>
        <v>0</v>
      </c>
      <c r="J123" s="34">
        <f t="shared" si="211"/>
        <v>0</v>
      </c>
      <c r="K123" s="44"/>
      <c r="L123" s="44"/>
      <c r="M123" s="93" t="s">
        <v>228</v>
      </c>
      <c r="N123" s="34">
        <f t="shared" si="213"/>
        <v>0</v>
      </c>
      <c r="O123" s="34">
        <f t="shared" si="214"/>
        <v>0</v>
      </c>
      <c r="P123" s="34">
        <f t="shared" si="215"/>
        <v>0</v>
      </c>
      <c r="Q123" s="34">
        <f t="shared" si="216"/>
        <v>0</v>
      </c>
      <c r="R123" s="34">
        <f t="shared" si="217"/>
        <v>0</v>
      </c>
      <c r="S123" s="76"/>
      <c r="AH123" s="132"/>
      <c r="AI123" s="43"/>
      <c r="AJ123" s="57" t="s">
        <v>46</v>
      </c>
      <c r="AK123" s="22">
        <f>+AT34</f>
        <v>0.24019215372297836</v>
      </c>
      <c r="AL123" s="22">
        <f>+AU34</f>
        <v>0.18414731785428343</v>
      </c>
      <c r="AM123" s="22">
        <f>+AV34</f>
        <v>0.18414731785428343</v>
      </c>
      <c r="AN123" s="22">
        <f>+AW34</f>
        <v>0.20416333066453163</v>
      </c>
      <c r="AO123" s="22">
        <f>+AX34</f>
        <v>0.13610888710968774</v>
      </c>
      <c r="AP123" s="35">
        <f t="shared" si="203"/>
        <v>0.94875900720576456</v>
      </c>
      <c r="AQ123" s="44"/>
      <c r="AR123" s="44"/>
      <c r="AS123" s="57" t="s">
        <v>46</v>
      </c>
      <c r="AT123" s="22">
        <f t="shared" si="204"/>
        <v>0.24019215372297836</v>
      </c>
      <c r="AU123" s="22">
        <f t="shared" si="205"/>
        <v>0.42433947157726182</v>
      </c>
      <c r="AV123" s="22">
        <f t="shared" si="206"/>
        <v>0.60848678943154522</v>
      </c>
      <c r="AW123" s="22">
        <f t="shared" si="207"/>
        <v>0.81265012009607673</v>
      </c>
      <c r="AX123" s="22">
        <f t="shared" si="208"/>
        <v>0.94875900720576456</v>
      </c>
      <c r="AY123" s="133"/>
    </row>
    <row r="124" spans="2:62" x14ac:dyDescent="0.25">
      <c r="B124" s="75"/>
      <c r="C124" s="43"/>
      <c r="D124" s="57" t="s">
        <v>46</v>
      </c>
      <c r="E124" s="22">
        <f>+W38</f>
        <v>0.88465346534653466</v>
      </c>
      <c r="F124" s="22">
        <f t="shared" ref="F124:I124" si="219">+X38</f>
        <v>2.1287128712871289E-2</v>
      </c>
      <c r="G124" s="22">
        <f t="shared" si="219"/>
        <v>2.9702970297029705E-2</v>
      </c>
      <c r="H124" s="22">
        <f t="shared" si="219"/>
        <v>3.4653465346534656E-2</v>
      </c>
      <c r="I124" s="22">
        <f t="shared" si="219"/>
        <v>2.9702970297029705E-2</v>
      </c>
      <c r="J124" s="246">
        <f t="shared" si="211"/>
        <v>1</v>
      </c>
      <c r="K124" s="44"/>
      <c r="L124" s="44"/>
      <c r="M124" s="57" t="s">
        <v>46</v>
      </c>
      <c r="N124" s="35">
        <f t="shared" si="213"/>
        <v>0.88465346534653466</v>
      </c>
      <c r="O124" s="35">
        <f t="shared" si="214"/>
        <v>0.90594059405940597</v>
      </c>
      <c r="P124" s="35">
        <f t="shared" si="215"/>
        <v>0.9356435643564357</v>
      </c>
      <c r="Q124" s="35">
        <f t="shared" si="216"/>
        <v>0.97029702970297038</v>
      </c>
      <c r="R124" s="35">
        <f t="shared" si="217"/>
        <v>1.1153465346534654</v>
      </c>
      <c r="S124" s="76"/>
      <c r="AH124" s="132"/>
      <c r="AI124" s="43"/>
      <c r="AJ124" s="57" t="s">
        <v>53</v>
      </c>
      <c r="AK124" s="22">
        <f>+AK35</f>
        <v>0.24019215372297839</v>
      </c>
      <c r="AL124" s="22">
        <f>+AL35</f>
        <v>0.2209767814251401</v>
      </c>
      <c r="AM124" s="22">
        <f>+AM35</f>
        <v>0.18895116092874301</v>
      </c>
      <c r="AN124" s="22">
        <f>+AN35</f>
        <v>0.20896717373899118</v>
      </c>
      <c r="AO124" s="22">
        <f>+AO35</f>
        <v>0.14091273018414732</v>
      </c>
      <c r="AP124" s="35">
        <f t="shared" si="203"/>
        <v>1</v>
      </c>
      <c r="AQ124" s="44"/>
      <c r="AR124" s="44"/>
      <c r="AS124" s="57" t="s">
        <v>53</v>
      </c>
      <c r="AT124" s="22">
        <f t="shared" si="204"/>
        <v>0.24019215372297839</v>
      </c>
      <c r="AU124" s="22">
        <f t="shared" si="205"/>
        <v>0.46116893514811852</v>
      </c>
      <c r="AV124" s="22">
        <f t="shared" si="206"/>
        <v>0.6501200960768615</v>
      </c>
      <c r="AW124" s="22">
        <f t="shared" si="207"/>
        <v>0.85908726981585271</v>
      </c>
      <c r="AX124" s="22">
        <f t="shared" si="208"/>
        <v>1</v>
      </c>
      <c r="AY124" s="133"/>
    </row>
    <row r="125" spans="2:62" x14ac:dyDescent="0.25">
      <c r="B125" s="75"/>
      <c r="C125" s="43"/>
      <c r="D125" s="57" t="s">
        <v>53</v>
      </c>
      <c r="E125" s="22">
        <f>+E39</f>
        <v>0.88465346534653466</v>
      </c>
      <c r="F125" s="22">
        <f t="shared" ref="F125:I125" si="220">+F39</f>
        <v>2.1287128712871289E-2</v>
      </c>
      <c r="G125" s="22">
        <f t="shared" si="220"/>
        <v>2.9702970297029702E-2</v>
      </c>
      <c r="H125" s="22">
        <f t="shared" si="220"/>
        <v>3.4653465346534656E-2</v>
      </c>
      <c r="I125" s="22">
        <f t="shared" si="220"/>
        <v>2.9702970297029702E-2</v>
      </c>
      <c r="J125" s="246">
        <f t="shared" si="211"/>
        <v>1</v>
      </c>
      <c r="K125" s="44"/>
      <c r="L125" s="44"/>
      <c r="M125" s="57" t="s">
        <v>53</v>
      </c>
      <c r="N125" s="35">
        <f t="shared" si="213"/>
        <v>0.88465346534653466</v>
      </c>
      <c r="O125" s="35">
        <f t="shared" si="214"/>
        <v>0.90594059405940597</v>
      </c>
      <c r="P125" s="35">
        <f t="shared" si="215"/>
        <v>0.9356435643564357</v>
      </c>
      <c r="Q125" s="35">
        <f t="shared" si="216"/>
        <v>0.97029702970297038</v>
      </c>
      <c r="R125" s="35">
        <f t="shared" si="217"/>
        <v>1.1153465346534654</v>
      </c>
      <c r="S125" s="76"/>
      <c r="AH125" s="132"/>
      <c r="AI125" s="43"/>
      <c r="AJ125" s="44"/>
      <c r="AK125" s="44"/>
      <c r="AL125" s="44"/>
      <c r="AM125" s="44"/>
      <c r="AN125" s="44"/>
      <c r="AO125" s="44"/>
      <c r="AP125" s="44"/>
      <c r="AQ125" s="44"/>
      <c r="AR125" s="44"/>
      <c r="AS125" s="44"/>
      <c r="AT125" s="44"/>
      <c r="AU125" s="44"/>
      <c r="AV125" s="44"/>
      <c r="AW125" s="44"/>
      <c r="AX125" s="44"/>
      <c r="AY125" s="133"/>
    </row>
    <row r="126" spans="2:62" ht="18.75" x14ac:dyDescent="0.3">
      <c r="B126" s="75"/>
      <c r="C126" s="43"/>
      <c r="D126" s="92" t="s">
        <v>52</v>
      </c>
      <c r="E126" s="44"/>
      <c r="F126" s="44"/>
      <c r="G126" s="44"/>
      <c r="H126" s="44"/>
      <c r="I126" s="44"/>
      <c r="J126" s="44"/>
      <c r="K126" s="44"/>
      <c r="L126" s="44"/>
      <c r="M126" s="92" t="s">
        <v>52</v>
      </c>
      <c r="N126" s="44"/>
      <c r="O126" s="44"/>
      <c r="P126" s="44"/>
      <c r="Q126" s="44"/>
      <c r="R126" s="44"/>
      <c r="S126" s="76"/>
      <c r="AH126" s="132"/>
      <c r="AI126" s="43"/>
      <c r="AJ126" s="92" t="s">
        <v>52</v>
      </c>
      <c r="AK126" s="44"/>
      <c r="AL126" s="44"/>
      <c r="AM126" s="44"/>
      <c r="AN126" s="44"/>
      <c r="AO126" s="44"/>
      <c r="AP126" s="44"/>
      <c r="AQ126" s="44"/>
      <c r="AR126" s="44"/>
      <c r="AS126" s="92" t="s">
        <v>52</v>
      </c>
      <c r="AT126" s="44"/>
      <c r="AU126" s="44"/>
      <c r="AV126" s="44"/>
      <c r="AW126" s="44"/>
      <c r="AX126" s="44"/>
      <c r="AY126" s="133"/>
    </row>
    <row r="127" spans="2:62" x14ac:dyDescent="0.25">
      <c r="B127" s="75"/>
      <c r="C127" s="43"/>
      <c r="D127" s="57" t="s">
        <v>48</v>
      </c>
      <c r="E127" s="34">
        <f>+E95</f>
        <v>9800</v>
      </c>
      <c r="F127" s="34">
        <f t="shared" ref="F127:I127" si="221">+F95</f>
        <v>6730</v>
      </c>
      <c r="G127" s="34">
        <f t="shared" si="221"/>
        <v>6730</v>
      </c>
      <c r="H127" s="34">
        <f t="shared" si="221"/>
        <v>6830</v>
      </c>
      <c r="I127" s="34">
        <f t="shared" si="221"/>
        <v>6930</v>
      </c>
      <c r="J127" s="34">
        <f>SUM(E127:I127)</f>
        <v>37020</v>
      </c>
      <c r="K127" s="44"/>
      <c r="L127" s="44"/>
      <c r="M127" s="57" t="s">
        <v>48</v>
      </c>
      <c r="N127" s="34">
        <f>+E127</f>
        <v>9800</v>
      </c>
      <c r="O127" s="34">
        <f>+E127+F127</f>
        <v>16530</v>
      </c>
      <c r="P127" s="34">
        <f>+F127+G127+E127</f>
        <v>23260</v>
      </c>
      <c r="Q127" s="34">
        <f>+G127+H127+F127+E127</f>
        <v>30090</v>
      </c>
      <c r="R127" s="34">
        <f>+H127+I127+G127+F127+E127</f>
        <v>37020</v>
      </c>
      <c r="S127" s="96"/>
      <c r="AH127" s="132"/>
      <c r="AI127" s="43"/>
      <c r="AJ127" s="57" t="s">
        <v>48</v>
      </c>
      <c r="AK127" s="34">
        <f>+AK91</f>
        <v>54000</v>
      </c>
      <c r="AL127" s="34">
        <f>+AL91</f>
        <v>52600</v>
      </c>
      <c r="AM127" s="34">
        <f>+AM91</f>
        <v>47200</v>
      </c>
      <c r="AN127" s="34">
        <f>+AN91</f>
        <v>67200</v>
      </c>
      <c r="AO127" s="34">
        <f>+AO91</f>
        <v>56400</v>
      </c>
      <c r="AP127" s="36">
        <f>SUM(AK127:AO127)</f>
        <v>277400</v>
      </c>
      <c r="AQ127" s="44"/>
      <c r="AR127" s="44"/>
      <c r="AS127" s="57" t="s">
        <v>48</v>
      </c>
      <c r="AT127" s="34">
        <f>+AK127</f>
        <v>54000</v>
      </c>
      <c r="AU127" s="34">
        <f>+AK127+AL127</f>
        <v>106600</v>
      </c>
      <c r="AV127" s="34">
        <f>SUM(AK127:AM127)</f>
        <v>153800</v>
      </c>
      <c r="AW127" s="34">
        <f>+AL127+AM127+AN127+AK127</f>
        <v>221000</v>
      </c>
      <c r="AX127" s="34">
        <f>+AM127+AN127+AO127+AK127+AL127</f>
        <v>277400</v>
      </c>
      <c r="AY127" s="133"/>
    </row>
    <row r="128" spans="2:62" x14ac:dyDescent="0.25">
      <c r="B128" s="75"/>
      <c r="C128" s="43"/>
      <c r="D128" s="94" t="s">
        <v>49</v>
      </c>
      <c r="E128" s="36">
        <f>+E119-E127</f>
        <v>-865</v>
      </c>
      <c r="F128" s="36">
        <f t="shared" ref="F128:I128" si="222">+F119-F127</f>
        <v>-6515</v>
      </c>
      <c r="G128" s="36">
        <f t="shared" si="222"/>
        <v>-6430</v>
      </c>
      <c r="H128" s="36">
        <f t="shared" si="222"/>
        <v>-6480</v>
      </c>
      <c r="I128" s="36">
        <f t="shared" si="222"/>
        <v>-6630</v>
      </c>
      <c r="J128" s="34">
        <f>SUM(E128:I128)</f>
        <v>-26920</v>
      </c>
      <c r="K128" s="95"/>
      <c r="L128" s="95"/>
      <c r="M128" s="94" t="s">
        <v>49</v>
      </c>
      <c r="N128" s="36">
        <f>+E119-N127</f>
        <v>-865</v>
      </c>
      <c r="O128" s="34">
        <f t="shared" ref="O128:O141" si="223">+E128+F128</f>
        <v>-7380</v>
      </c>
      <c r="P128" s="34">
        <f t="shared" ref="P128:P141" si="224">+F128+G128+E128</f>
        <v>-13810</v>
      </c>
      <c r="Q128" s="34">
        <f t="shared" ref="Q128:Q141" si="225">+G128+H128+F128+E128</f>
        <v>-20290</v>
      </c>
      <c r="R128" s="34">
        <f t="shared" ref="R128:R141" si="226">+H128+I128+G128+F128+E128</f>
        <v>-26920</v>
      </c>
      <c r="S128" s="76"/>
      <c r="T128" s="3"/>
      <c r="U128" s="3"/>
      <c r="V128" s="3"/>
      <c r="AH128" s="132"/>
      <c r="AI128" s="43"/>
      <c r="AJ128" s="94" t="s">
        <v>49</v>
      </c>
      <c r="AK128" s="36">
        <f>+AK119-AK127</f>
        <v>6000</v>
      </c>
      <c r="AL128" s="36">
        <f>+AL119-AL127</f>
        <v>2600</v>
      </c>
      <c r="AM128" s="36">
        <f>+AM119-AM127</f>
        <v>0</v>
      </c>
      <c r="AN128" s="36">
        <f>+AN119-AN127</f>
        <v>-15000</v>
      </c>
      <c r="AO128" s="36">
        <f>+AO119-AO127</f>
        <v>-21200</v>
      </c>
      <c r="AP128" s="36">
        <f>SUM(AK128:AO128)</f>
        <v>-27600</v>
      </c>
      <c r="AQ128" s="95"/>
      <c r="AR128" s="95"/>
      <c r="AS128" s="94" t="s">
        <v>49</v>
      </c>
      <c r="AT128" s="36">
        <f>+AK128</f>
        <v>6000</v>
      </c>
      <c r="AU128" s="36">
        <f>+AK128+AL128</f>
        <v>8600</v>
      </c>
      <c r="AV128" s="36">
        <f>SUM(AK128:AM128)</f>
        <v>8600</v>
      </c>
      <c r="AW128" s="36">
        <f>+AL128+AM128+AN128+AK128</f>
        <v>-6400</v>
      </c>
      <c r="AX128" s="36">
        <f>+AM128+AN128+AO128+AK128+AL128</f>
        <v>-27600</v>
      </c>
      <c r="AY128" s="144"/>
      <c r="AZ128" s="3"/>
      <c r="BA128" s="3"/>
      <c r="BB128" s="3"/>
    </row>
    <row r="129" spans="2:51" x14ac:dyDescent="0.25">
      <c r="B129" s="75"/>
      <c r="C129" s="43"/>
      <c r="D129" s="94"/>
      <c r="E129" s="97"/>
      <c r="F129" s="97"/>
      <c r="G129" s="97"/>
      <c r="H129" s="97"/>
      <c r="I129" s="97"/>
      <c r="J129" s="44"/>
      <c r="K129" s="44"/>
      <c r="L129" s="44"/>
      <c r="M129" s="94"/>
      <c r="N129" s="97"/>
      <c r="O129" s="34"/>
      <c r="P129" s="34"/>
      <c r="Q129" s="34"/>
      <c r="R129" s="34"/>
      <c r="S129" s="76"/>
      <c r="AH129" s="132"/>
      <c r="AI129" s="43"/>
      <c r="AJ129" s="94"/>
      <c r="AK129" s="97"/>
      <c r="AL129" s="97"/>
      <c r="AM129" s="97"/>
      <c r="AN129" s="97"/>
      <c r="AO129" s="97"/>
      <c r="AP129" s="44"/>
      <c r="AQ129" s="44"/>
      <c r="AR129" s="44"/>
      <c r="AS129" s="94"/>
      <c r="AT129" s="97"/>
      <c r="AU129" s="97"/>
      <c r="AV129" s="97"/>
      <c r="AW129" s="97"/>
      <c r="AX129" s="97"/>
      <c r="AY129" s="133"/>
    </row>
    <row r="130" spans="2:51" x14ac:dyDescent="0.25">
      <c r="B130" s="75"/>
      <c r="C130" s="43"/>
      <c r="D130" s="57" t="s">
        <v>50</v>
      </c>
      <c r="E130" s="34">
        <f>+N71+W71+N81</f>
        <v>152</v>
      </c>
      <c r="F130" s="34">
        <f t="shared" ref="F130:I130" si="227">+O71+X71+O81</f>
        <v>194</v>
      </c>
      <c r="G130" s="34">
        <f t="shared" si="227"/>
        <v>195</v>
      </c>
      <c r="H130" s="34">
        <f t="shared" si="227"/>
        <v>195</v>
      </c>
      <c r="I130" s="34">
        <f t="shared" si="227"/>
        <v>201</v>
      </c>
      <c r="J130" s="34">
        <f>SUM(E130:I130)</f>
        <v>937</v>
      </c>
      <c r="K130" s="44"/>
      <c r="L130" s="44"/>
      <c r="M130" s="57" t="s">
        <v>50</v>
      </c>
      <c r="N130" s="34">
        <f>+E130</f>
        <v>152</v>
      </c>
      <c r="O130" s="34">
        <f t="shared" si="223"/>
        <v>346</v>
      </c>
      <c r="P130" s="34">
        <f t="shared" si="224"/>
        <v>541</v>
      </c>
      <c r="Q130" s="34">
        <f t="shared" si="225"/>
        <v>736</v>
      </c>
      <c r="R130" s="34">
        <f t="shared" si="226"/>
        <v>937</v>
      </c>
      <c r="S130" s="76"/>
      <c r="AH130" s="132"/>
      <c r="AI130" s="43"/>
      <c r="AJ130" s="57" t="s">
        <v>50</v>
      </c>
      <c r="AK130" s="34">
        <f>+AT69+BC69</f>
        <v>108</v>
      </c>
      <c r="AL130" s="34">
        <f>+AU69+BD69</f>
        <v>106</v>
      </c>
      <c r="AM130" s="34">
        <f>+AV69+BE69</f>
        <v>140</v>
      </c>
      <c r="AN130" s="34">
        <f>+AW69+BF69</f>
        <v>196</v>
      </c>
      <c r="AO130" s="34">
        <f>+AX69+BG69</f>
        <v>164</v>
      </c>
      <c r="AP130" s="24">
        <f>SUM(AK130:AO130)</f>
        <v>714</v>
      </c>
      <c r="AQ130" s="44"/>
      <c r="AR130" s="44"/>
      <c r="AS130" s="57" t="s">
        <v>50</v>
      </c>
      <c r="AT130" s="34">
        <f>+AK130</f>
        <v>108</v>
      </c>
      <c r="AU130" s="34">
        <f>+AK130+AL130</f>
        <v>214</v>
      </c>
      <c r="AV130" s="34">
        <f>SUM(AK130:AM130)</f>
        <v>354</v>
      </c>
      <c r="AW130" s="34">
        <f>+AL130+AM130+AN130+AK130</f>
        <v>550</v>
      </c>
      <c r="AX130" s="34">
        <f>+AM130+AN130+AO130+AK130+AL130</f>
        <v>714</v>
      </c>
      <c r="AY130" s="133"/>
    </row>
    <row r="131" spans="2:51" x14ac:dyDescent="0.25">
      <c r="B131" s="75"/>
      <c r="C131" s="43"/>
      <c r="D131" s="94" t="s">
        <v>49</v>
      </c>
      <c r="E131" s="36">
        <f>+E120-E130</f>
        <v>-85</v>
      </c>
      <c r="F131" s="36">
        <f t="shared" ref="F131:I131" si="228">+F120-F130</f>
        <v>-151</v>
      </c>
      <c r="G131" s="36">
        <f t="shared" si="228"/>
        <v>-135</v>
      </c>
      <c r="H131" s="36">
        <f t="shared" si="228"/>
        <v>-125</v>
      </c>
      <c r="I131" s="36">
        <f t="shared" si="228"/>
        <v>-141</v>
      </c>
      <c r="J131" s="36">
        <f>SUM(E131:I131)</f>
        <v>-637</v>
      </c>
      <c r="K131" s="44"/>
      <c r="L131" s="44"/>
      <c r="M131" s="94" t="s">
        <v>49</v>
      </c>
      <c r="N131" s="34">
        <f>+E131</f>
        <v>-85</v>
      </c>
      <c r="O131" s="34">
        <f t="shared" si="223"/>
        <v>-236</v>
      </c>
      <c r="P131" s="34">
        <f t="shared" si="224"/>
        <v>-371</v>
      </c>
      <c r="Q131" s="34">
        <f t="shared" si="225"/>
        <v>-496</v>
      </c>
      <c r="R131" s="34">
        <f t="shared" si="226"/>
        <v>-637</v>
      </c>
      <c r="S131" s="76"/>
      <c r="AH131" s="132"/>
      <c r="AI131" s="43"/>
      <c r="AJ131" s="94" t="s">
        <v>49</v>
      </c>
      <c r="AK131" s="36">
        <f t="shared" ref="AK131:AP131" si="229">+AK120-AK130</f>
        <v>12</v>
      </c>
      <c r="AL131" s="36">
        <f t="shared" si="229"/>
        <v>34</v>
      </c>
      <c r="AM131" s="36">
        <f t="shared" si="229"/>
        <v>0</v>
      </c>
      <c r="AN131" s="36">
        <f t="shared" si="229"/>
        <v>-46</v>
      </c>
      <c r="AO131" s="36">
        <f t="shared" si="229"/>
        <v>-64</v>
      </c>
      <c r="AP131" s="36">
        <f t="shared" si="229"/>
        <v>-64</v>
      </c>
      <c r="AQ131" s="44"/>
      <c r="AR131" s="44"/>
      <c r="AS131" s="94" t="s">
        <v>49</v>
      </c>
      <c r="AT131" s="36">
        <f>+AK131</f>
        <v>12</v>
      </c>
      <c r="AU131" s="36">
        <f>+AK131+AL131</f>
        <v>46</v>
      </c>
      <c r="AV131" s="36">
        <f>SUM(AK131:AM131)</f>
        <v>46</v>
      </c>
      <c r="AW131" s="36">
        <f>+AL131+AM131+AN131+AK131</f>
        <v>0</v>
      </c>
      <c r="AX131" s="36">
        <f>+AM131+AN131+AO131+AK131+AL131</f>
        <v>-64</v>
      </c>
      <c r="AY131" s="133"/>
    </row>
    <row r="132" spans="2:51" x14ac:dyDescent="0.25">
      <c r="B132" s="75"/>
      <c r="C132" s="43"/>
      <c r="D132" s="94"/>
      <c r="E132" s="97"/>
      <c r="F132" s="97"/>
      <c r="G132" s="97"/>
      <c r="H132" s="97"/>
      <c r="I132" s="97"/>
      <c r="J132" s="44"/>
      <c r="K132" s="44"/>
      <c r="L132" s="44"/>
      <c r="M132" s="94"/>
      <c r="N132" s="34"/>
      <c r="O132" s="34"/>
      <c r="P132" s="34"/>
      <c r="Q132" s="34"/>
      <c r="R132" s="34"/>
      <c r="S132" s="76"/>
      <c r="AH132" s="132"/>
      <c r="AI132" s="43"/>
      <c r="AJ132" s="94"/>
      <c r="AK132" s="97"/>
      <c r="AL132" s="97"/>
      <c r="AM132" s="97"/>
      <c r="AN132" s="97"/>
      <c r="AO132" s="97"/>
      <c r="AP132" s="44"/>
      <c r="AQ132" s="44"/>
      <c r="AR132" s="44"/>
      <c r="AS132" s="94"/>
      <c r="AT132" s="97"/>
      <c r="AU132" s="97"/>
      <c r="AV132" s="97"/>
      <c r="AW132" s="97"/>
      <c r="AX132" s="97"/>
      <c r="AY132" s="133"/>
    </row>
    <row r="133" spans="2:51" x14ac:dyDescent="0.25">
      <c r="B133" s="75"/>
      <c r="C133" s="43"/>
      <c r="D133" s="93" t="s">
        <v>45</v>
      </c>
      <c r="E133" s="34">
        <f>+N71</f>
        <v>52</v>
      </c>
      <c r="F133" s="34">
        <f t="shared" ref="F133:I133" si="230">+O71</f>
        <v>52</v>
      </c>
      <c r="G133" s="34">
        <f t="shared" si="230"/>
        <v>52</v>
      </c>
      <c r="H133" s="34">
        <f t="shared" si="230"/>
        <v>53</v>
      </c>
      <c r="I133" s="34">
        <f t="shared" si="230"/>
        <v>53</v>
      </c>
      <c r="J133" s="34">
        <f>SUM(E133:I133)</f>
        <v>262</v>
      </c>
      <c r="K133" s="44"/>
      <c r="L133" s="44"/>
      <c r="M133" s="93" t="s">
        <v>45</v>
      </c>
      <c r="N133" s="34">
        <f t="shared" ref="N133:N141" si="231">+E133</f>
        <v>52</v>
      </c>
      <c r="O133" s="34">
        <f t="shared" si="223"/>
        <v>104</v>
      </c>
      <c r="P133" s="34">
        <f t="shared" si="224"/>
        <v>156</v>
      </c>
      <c r="Q133" s="34">
        <f t="shared" si="225"/>
        <v>209</v>
      </c>
      <c r="R133" s="34">
        <f t="shared" si="226"/>
        <v>262</v>
      </c>
      <c r="S133" s="76"/>
      <c r="AH133" s="132"/>
      <c r="AI133" s="43"/>
      <c r="AJ133" s="93" t="s">
        <v>45</v>
      </c>
      <c r="AK133" s="34">
        <f>+AT69</f>
        <v>108</v>
      </c>
      <c r="AL133" s="34">
        <f>+AU69</f>
        <v>58</v>
      </c>
      <c r="AM133" s="34">
        <f>+AV69</f>
        <v>20</v>
      </c>
      <c r="AN133" s="34">
        <f>+AW69</f>
        <v>36</v>
      </c>
      <c r="AO133" s="34">
        <f>+AX69</f>
        <v>30</v>
      </c>
      <c r="AP133" s="24">
        <f>SUM(AK133:AO133)</f>
        <v>252</v>
      </c>
      <c r="AQ133" s="44"/>
      <c r="AR133" s="44"/>
      <c r="AS133" s="93" t="s">
        <v>45</v>
      </c>
      <c r="AT133" s="34">
        <f>+AK133</f>
        <v>108</v>
      </c>
      <c r="AU133" s="34">
        <f>+AK133+AL133</f>
        <v>166</v>
      </c>
      <c r="AV133" s="34">
        <f>SUM(AK133:AM133)</f>
        <v>186</v>
      </c>
      <c r="AW133" s="34">
        <f>+AL133+AM133+AN133+AK133</f>
        <v>222</v>
      </c>
      <c r="AX133" s="34">
        <f>+AM133+AN133+AO133+AK133+AL133</f>
        <v>252</v>
      </c>
      <c r="AY133" s="133"/>
    </row>
    <row r="134" spans="2:51" x14ac:dyDescent="0.25">
      <c r="B134" s="75"/>
      <c r="C134" s="43"/>
      <c r="D134" s="93" t="s">
        <v>28</v>
      </c>
      <c r="E134" s="34">
        <f>+W71</f>
        <v>0</v>
      </c>
      <c r="F134" s="34">
        <f t="shared" ref="F134:I134" si="232">+X71</f>
        <v>42</v>
      </c>
      <c r="G134" s="34">
        <f t="shared" si="232"/>
        <v>43</v>
      </c>
      <c r="H134" s="34">
        <f t="shared" si="232"/>
        <v>42</v>
      </c>
      <c r="I134" s="34">
        <f t="shared" si="232"/>
        <v>48</v>
      </c>
      <c r="J134" s="34">
        <f t="shared" ref="J134:J135" si="233">SUM(E134:I134)</f>
        <v>175</v>
      </c>
      <c r="K134" s="44"/>
      <c r="L134" s="44"/>
      <c r="M134" s="93" t="s">
        <v>28</v>
      </c>
      <c r="N134" s="34">
        <f t="shared" si="231"/>
        <v>0</v>
      </c>
      <c r="O134" s="34">
        <f t="shared" si="223"/>
        <v>42</v>
      </c>
      <c r="P134" s="34">
        <f t="shared" si="224"/>
        <v>85</v>
      </c>
      <c r="Q134" s="34">
        <f t="shared" si="225"/>
        <v>127</v>
      </c>
      <c r="R134" s="34">
        <f t="shared" si="226"/>
        <v>175</v>
      </c>
      <c r="S134" s="76"/>
      <c r="AH134" s="132"/>
      <c r="AI134" s="43"/>
      <c r="AJ134" s="93" t="s">
        <v>28</v>
      </c>
      <c r="AK134" s="34">
        <f>+BC69</f>
        <v>0</v>
      </c>
      <c r="AL134" s="34">
        <f>+BD69</f>
        <v>48</v>
      </c>
      <c r="AM134" s="34">
        <f>+BE69</f>
        <v>120</v>
      </c>
      <c r="AN134" s="34">
        <f>+BF69</f>
        <v>160</v>
      </c>
      <c r="AO134" s="34">
        <f>+BG69</f>
        <v>134</v>
      </c>
      <c r="AP134" s="24">
        <f>SUM(AK134:AO134)</f>
        <v>462</v>
      </c>
      <c r="AQ134" s="44"/>
      <c r="AR134" s="44"/>
      <c r="AS134" s="93" t="s">
        <v>28</v>
      </c>
      <c r="AT134" s="34">
        <f>+AK134</f>
        <v>0</v>
      </c>
      <c r="AU134" s="34">
        <f>+AK134+AL134</f>
        <v>48</v>
      </c>
      <c r="AV134" s="34">
        <f>SUM(AK134:AM134)</f>
        <v>168</v>
      </c>
      <c r="AW134" s="34">
        <f>+AL134+AM134+AN134+AK134</f>
        <v>328</v>
      </c>
      <c r="AX134" s="34">
        <f>+AM134+AN134+AO134+AK134+AL134</f>
        <v>462</v>
      </c>
      <c r="AY134" s="133"/>
    </row>
    <row r="135" spans="2:51" x14ac:dyDescent="0.25">
      <c r="B135" s="75"/>
      <c r="C135" s="43"/>
      <c r="D135" s="93" t="s">
        <v>229</v>
      </c>
      <c r="E135" s="34">
        <f>+N81</f>
        <v>100</v>
      </c>
      <c r="F135" s="34">
        <f t="shared" ref="F135:I135" si="234">+O81</f>
        <v>100</v>
      </c>
      <c r="G135" s="34">
        <f t="shared" si="234"/>
        <v>100</v>
      </c>
      <c r="H135" s="34">
        <f t="shared" si="234"/>
        <v>100</v>
      </c>
      <c r="I135" s="34">
        <f t="shared" si="234"/>
        <v>100</v>
      </c>
      <c r="J135" s="34">
        <f t="shared" si="233"/>
        <v>500</v>
      </c>
      <c r="K135" s="44"/>
      <c r="L135" s="44"/>
      <c r="M135" s="57"/>
      <c r="N135" s="34"/>
      <c r="O135" s="34"/>
      <c r="P135" s="34"/>
      <c r="Q135" s="34"/>
      <c r="R135" s="34"/>
      <c r="S135" s="76"/>
      <c r="AH135" s="132"/>
      <c r="AI135" s="43"/>
      <c r="AJ135" s="57"/>
      <c r="AK135" s="44"/>
      <c r="AL135" s="44"/>
      <c r="AM135" s="44"/>
      <c r="AN135" s="44"/>
      <c r="AO135" s="44"/>
      <c r="AP135" s="44"/>
      <c r="AQ135" s="44"/>
      <c r="AR135" s="44"/>
      <c r="AS135" s="57"/>
      <c r="AT135" s="44"/>
      <c r="AU135" s="44"/>
      <c r="AV135" s="44"/>
      <c r="AW135" s="44"/>
      <c r="AX135" s="44"/>
      <c r="AY135" s="133"/>
    </row>
    <row r="136" spans="2:51" x14ac:dyDescent="0.25">
      <c r="B136" s="75"/>
      <c r="C136" s="43"/>
      <c r="K136" s="44"/>
      <c r="L136" s="44"/>
      <c r="M136" s="57" t="s">
        <v>54</v>
      </c>
      <c r="N136" s="35"/>
      <c r="O136" s="35"/>
      <c r="P136" s="35"/>
      <c r="Q136" s="35"/>
      <c r="R136" s="35"/>
      <c r="S136" s="76"/>
      <c r="AH136" s="132"/>
      <c r="AI136" s="43"/>
      <c r="AJ136" s="57" t="s">
        <v>54</v>
      </c>
      <c r="AK136" s="22">
        <f>+AT56</f>
        <v>0.16012810248198558</v>
      </c>
      <c r="AL136" s="22">
        <f>+AU56</f>
        <v>2.8622898318654923E-2</v>
      </c>
      <c r="AM136" s="22">
        <f>+AV56</f>
        <v>0.18318654923939151</v>
      </c>
      <c r="AN136" s="22">
        <f>+AW56</f>
        <v>0.28622898318654921</v>
      </c>
      <c r="AO136" s="22">
        <f>+AX56</f>
        <v>7.44195356285028E-2</v>
      </c>
      <c r="AP136" s="22">
        <f>SUM(AK136:AO136)</f>
        <v>0.73258606885508404</v>
      </c>
      <c r="AQ136" s="44"/>
      <c r="AR136" s="44"/>
      <c r="AS136" s="57" t="s">
        <v>54</v>
      </c>
      <c r="AT136" s="22">
        <f>+AK136</f>
        <v>0.16012810248198558</v>
      </c>
      <c r="AU136" s="22">
        <f>+AK136+AL136</f>
        <v>0.1887510008006405</v>
      </c>
      <c r="AV136" s="22">
        <f>SUM(AK136:AM136)</f>
        <v>0.37193755004003204</v>
      </c>
      <c r="AW136" s="22">
        <f>+AV136+AN136</f>
        <v>0.65816653322658125</v>
      </c>
      <c r="AX136" s="22">
        <f>+AW136+AO136</f>
        <v>0.73258606885508404</v>
      </c>
      <c r="AY136" s="133"/>
    </row>
    <row r="137" spans="2:51" x14ac:dyDescent="0.25">
      <c r="B137" s="75"/>
      <c r="C137" s="43"/>
      <c r="D137" s="57" t="s">
        <v>54</v>
      </c>
      <c r="E137" s="22">
        <f>+N56</f>
        <v>0.81188118811881194</v>
      </c>
      <c r="F137" s="22">
        <f t="shared" ref="F137:I137" si="235">+O56</f>
        <v>4.1534653465346537E-2</v>
      </c>
      <c r="G137" s="22">
        <f t="shared" si="235"/>
        <v>7.0445544554455453E-2</v>
      </c>
      <c r="H137" s="22">
        <f t="shared" si="235"/>
        <v>1.3004950495049506E-2</v>
      </c>
      <c r="I137" s="22">
        <f t="shared" si="235"/>
        <v>3.727722772277228E-3</v>
      </c>
      <c r="J137" s="22">
        <f>SUM(E137:I137)</f>
        <v>0.94059405940594065</v>
      </c>
      <c r="K137" s="44"/>
      <c r="L137" s="44"/>
      <c r="M137" s="57"/>
      <c r="N137" s="35">
        <f t="shared" si="231"/>
        <v>0.81188118811881194</v>
      </c>
      <c r="O137" s="35">
        <f t="shared" si="223"/>
        <v>0.85341584158415851</v>
      </c>
      <c r="P137" s="35">
        <f t="shared" si="224"/>
        <v>0.9238613861386139</v>
      </c>
      <c r="Q137" s="35">
        <f t="shared" si="225"/>
        <v>0.93686633663366337</v>
      </c>
      <c r="R137" s="35">
        <f t="shared" si="226"/>
        <v>0.94059405940594065</v>
      </c>
      <c r="S137" s="76"/>
      <c r="AH137" s="132"/>
      <c r="AI137" s="43"/>
      <c r="AJ137" s="57"/>
      <c r="AK137" s="162">
        <f>+AK136-AK123</f>
        <v>-8.0064051240992778E-2</v>
      </c>
      <c r="AL137" s="162">
        <f>+AL136-AL123</f>
        <v>-0.15552441953562851</v>
      </c>
      <c r="AM137" s="162">
        <f>+AM136-AM123</f>
        <v>-9.607686148919159E-4</v>
      </c>
      <c r="AN137" s="162">
        <f>+AN136-AN123</f>
        <v>8.2065652522017585E-2</v>
      </c>
      <c r="AO137" s="162">
        <f>+AO136-AO123</f>
        <v>-6.1689351481184942E-2</v>
      </c>
      <c r="AP137" s="162">
        <f>SUM(AK137:AO137)</f>
        <v>-0.21617293835068058</v>
      </c>
      <c r="AQ137" s="111" t="s">
        <v>139</v>
      </c>
      <c r="AR137" s="44"/>
      <c r="AS137" s="57"/>
      <c r="AT137" s="37">
        <f>+AK137</f>
        <v>-8.0064051240992778E-2</v>
      </c>
      <c r="AU137" s="37">
        <f>+AK137+AL137</f>
        <v>-0.23558847077662129</v>
      </c>
      <c r="AV137" s="37">
        <f>SUM(AK137:AM137)</f>
        <v>-0.23654923939151321</v>
      </c>
      <c r="AW137" s="37">
        <f>+AV137+AN137</f>
        <v>-0.15448358686949562</v>
      </c>
      <c r="AX137" s="37">
        <f>+AW137+AO137</f>
        <v>-0.21617293835068058</v>
      </c>
      <c r="AY137" s="133"/>
    </row>
    <row r="138" spans="2:51" x14ac:dyDescent="0.25">
      <c r="B138" s="75"/>
      <c r="C138" s="43"/>
      <c r="D138" s="57"/>
      <c r="E138" s="37">
        <f>+E137-E124</f>
        <v>-7.2772277227722726E-2</v>
      </c>
      <c r="F138" s="37">
        <f t="shared" ref="F138:I138" si="236">+F137-F124</f>
        <v>2.0247524752475248E-2</v>
      </c>
      <c r="G138" s="37">
        <f t="shared" si="236"/>
        <v>4.0742574257425751E-2</v>
      </c>
      <c r="H138" s="37">
        <f t="shared" si="236"/>
        <v>-2.164851485148515E-2</v>
      </c>
      <c r="I138" s="37">
        <f t="shared" si="236"/>
        <v>-2.5975247524752478E-2</v>
      </c>
      <c r="J138" s="22">
        <f>SUM(E138:I138)</f>
        <v>-5.9405940594059355E-2</v>
      </c>
      <c r="K138" s="44"/>
      <c r="L138" s="44"/>
      <c r="M138" s="57"/>
      <c r="N138" s="35">
        <f t="shared" si="231"/>
        <v>-7.2772277227722726E-2</v>
      </c>
      <c r="O138" s="35">
        <f t="shared" si="223"/>
        <v>-5.2524752475247474E-2</v>
      </c>
      <c r="P138" s="35">
        <f t="shared" ref="P138" si="237">+F138+G138+E138</f>
        <v>-1.1782178217821723E-2</v>
      </c>
      <c r="Q138" s="35">
        <f t="shared" ref="Q138" si="238">+G138+H138+F138+E138</f>
        <v>-3.3430693069306877E-2</v>
      </c>
      <c r="R138" s="35">
        <f t="shared" ref="R138" si="239">+H138+I138+G138+F138+E138</f>
        <v>-5.9405940594059348E-2</v>
      </c>
      <c r="S138" s="76"/>
      <c r="AH138" s="132"/>
      <c r="AI138" s="43"/>
      <c r="AJ138" s="57"/>
      <c r="AK138" s="160">
        <f t="shared" ref="AK138:AP138" si="240">+AK137*$AP$119</f>
        <v>-19999.999999999996</v>
      </c>
      <c r="AL138" s="160">
        <f t="shared" si="240"/>
        <v>-38850</v>
      </c>
      <c r="AM138" s="160">
        <f t="shared" si="240"/>
        <v>-240.0000000000006</v>
      </c>
      <c r="AN138" s="160">
        <f t="shared" si="240"/>
        <v>20499.999999999993</v>
      </c>
      <c r="AO138" s="160">
        <f t="shared" si="240"/>
        <v>-15409.999999999998</v>
      </c>
      <c r="AP138" s="160">
        <f t="shared" si="240"/>
        <v>-54000.000000000007</v>
      </c>
      <c r="AQ138" s="262" t="s">
        <v>141</v>
      </c>
      <c r="AR138" s="255"/>
      <c r="AS138" s="57"/>
      <c r="AT138" s="38">
        <f>+AT137*$AP$119</f>
        <v>-19999.999999999996</v>
      </c>
      <c r="AU138" s="38">
        <f>+AU137*$AP$119</f>
        <v>-58850</v>
      </c>
      <c r="AV138" s="38">
        <f>+AV137*$AP$119</f>
        <v>-59090</v>
      </c>
      <c r="AW138" s="38">
        <f>+AW137*$AP$119</f>
        <v>-38590.000000000007</v>
      </c>
      <c r="AX138" s="38">
        <f>+AX137*$AP$119</f>
        <v>-54000.000000000007</v>
      </c>
      <c r="AY138" s="133"/>
    </row>
    <row r="139" spans="2:51" x14ac:dyDescent="0.25">
      <c r="B139" s="75"/>
      <c r="C139" s="43"/>
      <c r="D139" s="57"/>
      <c r="E139" s="38">
        <f>+E138*($J$119)</f>
        <v>-734.99999999999955</v>
      </c>
      <c r="F139" s="38">
        <f t="shared" ref="F139:J139" si="241">+F138*($J$119)</f>
        <v>204.5</v>
      </c>
      <c r="G139" s="38">
        <f t="shared" si="241"/>
        <v>411.50000000000006</v>
      </c>
      <c r="H139" s="38">
        <f t="shared" si="241"/>
        <v>-218.65</v>
      </c>
      <c r="I139" s="38">
        <f t="shared" si="241"/>
        <v>-262.35000000000002</v>
      </c>
      <c r="J139" s="38">
        <f t="shared" si="241"/>
        <v>-599.99999999999943</v>
      </c>
      <c r="K139" s="44"/>
      <c r="L139" s="44"/>
      <c r="M139" s="57"/>
      <c r="N139" s="34">
        <f>+N138*($J$119)</f>
        <v>-734.99999999999955</v>
      </c>
      <c r="O139" s="34">
        <f t="shared" ref="O139:R139" si="242">+O138*($J$119)</f>
        <v>-530.49999999999955</v>
      </c>
      <c r="P139" s="34">
        <f t="shared" si="242"/>
        <v>-118.9999999999994</v>
      </c>
      <c r="Q139" s="34">
        <f t="shared" si="242"/>
        <v>-337.64999999999947</v>
      </c>
      <c r="R139" s="34">
        <f t="shared" si="242"/>
        <v>-599.99999999999943</v>
      </c>
      <c r="S139" s="76"/>
      <c r="AH139" s="132"/>
      <c r="AI139" s="43"/>
      <c r="AJ139" s="57"/>
      <c r="AK139" s="44"/>
      <c r="AL139" s="44"/>
      <c r="AM139" s="44"/>
      <c r="AN139" s="44"/>
      <c r="AO139" s="44"/>
      <c r="AP139" s="44"/>
      <c r="AQ139" s="255"/>
      <c r="AR139" s="255"/>
      <c r="AS139" s="57"/>
      <c r="AT139" s="44"/>
      <c r="AU139" s="44"/>
      <c r="AV139" s="44"/>
      <c r="AW139" s="44"/>
      <c r="AX139" s="44"/>
      <c r="AY139" s="133"/>
    </row>
    <row r="140" spans="2:51" x14ac:dyDescent="0.25">
      <c r="B140" s="75"/>
      <c r="C140" s="43"/>
      <c r="K140" s="44"/>
      <c r="L140" s="44"/>
      <c r="M140" s="57" t="s">
        <v>47</v>
      </c>
      <c r="N140" s="35"/>
      <c r="O140" s="35"/>
      <c r="P140" s="35"/>
      <c r="Q140" s="35"/>
      <c r="R140" s="35"/>
      <c r="S140" s="76"/>
      <c r="AH140" s="132"/>
      <c r="AI140" s="43"/>
      <c r="AJ140" s="57" t="s">
        <v>47</v>
      </c>
      <c r="AK140" s="22">
        <f>+AT91</f>
        <v>0.21617293835068055</v>
      </c>
      <c r="AL140" s="22">
        <f>+AU91</f>
        <v>0.21056845476381109</v>
      </c>
      <c r="AM140" s="22">
        <f>+AV91</f>
        <v>0.18895116092874301</v>
      </c>
      <c r="AN140" s="22">
        <f>+AW91</f>
        <v>0.26901521216973578</v>
      </c>
      <c r="AO140" s="22">
        <f>+AX91</f>
        <v>0.22578062449959968</v>
      </c>
      <c r="AP140" s="22">
        <f>SUM(AK140:AO140)</f>
        <v>1.11048839071257</v>
      </c>
      <c r="AQ140" s="44"/>
      <c r="AR140" s="44"/>
      <c r="AS140" s="57" t="s">
        <v>47</v>
      </c>
      <c r="AT140" s="22">
        <f>+AK140</f>
        <v>0.21617293835068055</v>
      </c>
      <c r="AU140" s="22">
        <f>+AK140+AL140</f>
        <v>0.42674139311449166</v>
      </c>
      <c r="AV140" s="22">
        <f>SUM(AK140:AM140)</f>
        <v>0.61569255404323464</v>
      </c>
      <c r="AW140" s="22">
        <f>+AV140+AN140</f>
        <v>0.88470776621297043</v>
      </c>
      <c r="AX140" s="22">
        <f>+AW140+AO140</f>
        <v>1.11048839071257</v>
      </c>
      <c r="AY140" s="133"/>
    </row>
    <row r="141" spans="2:51" x14ac:dyDescent="0.25">
      <c r="B141" s="75"/>
      <c r="C141" s="43"/>
      <c r="D141" s="57" t="s">
        <v>47</v>
      </c>
      <c r="E141" s="22">
        <f>+N95</f>
        <v>4.8514851485148516E-2</v>
      </c>
      <c r="F141" s="22">
        <f t="shared" ref="F141:I141" si="243">+O95</f>
        <v>3.3316831683168319E-2</v>
      </c>
      <c r="G141" s="22">
        <f t="shared" si="243"/>
        <v>3.3316831683168319E-2</v>
      </c>
      <c r="H141" s="22">
        <f t="shared" si="243"/>
        <v>3.3811881188118814E-2</v>
      </c>
      <c r="I141" s="22">
        <f t="shared" si="243"/>
        <v>3.430693069306931E-2</v>
      </c>
      <c r="J141" s="22">
        <f>SUM(E141:I141)</f>
        <v>0.18326732673267329</v>
      </c>
      <c r="K141" s="44"/>
      <c r="L141" s="44"/>
      <c r="M141" s="44"/>
      <c r="N141" s="35">
        <f t="shared" si="231"/>
        <v>4.8514851485148516E-2</v>
      </c>
      <c r="O141" s="35">
        <f t="shared" si="223"/>
        <v>8.1831683168316835E-2</v>
      </c>
      <c r="P141" s="35">
        <f t="shared" si="224"/>
        <v>0.11514851485148515</v>
      </c>
      <c r="Q141" s="35">
        <f t="shared" si="225"/>
        <v>0.14896039603960398</v>
      </c>
      <c r="R141" s="35">
        <f t="shared" si="226"/>
        <v>0.18326732673267326</v>
      </c>
      <c r="S141" s="76"/>
      <c r="AH141" s="132"/>
      <c r="AI141" s="43"/>
      <c r="AJ141" s="44"/>
      <c r="AK141" s="162">
        <f t="shared" ref="AK141:AP141" si="244">+AK124-AK140</f>
        <v>2.4019215372297842E-2</v>
      </c>
      <c r="AL141" s="162">
        <f t="shared" si="244"/>
        <v>1.0408326661329015E-2</v>
      </c>
      <c r="AM141" s="162">
        <f t="shared" si="244"/>
        <v>0</v>
      </c>
      <c r="AN141" s="162">
        <f t="shared" si="244"/>
        <v>-6.0048038430744605E-2</v>
      </c>
      <c r="AO141" s="162">
        <f t="shared" si="244"/>
        <v>-8.4867894315452358E-2</v>
      </c>
      <c r="AP141" s="162">
        <f t="shared" si="244"/>
        <v>-0.11048839071256999</v>
      </c>
      <c r="AQ141" s="111" t="s">
        <v>140</v>
      </c>
      <c r="AR141" s="44"/>
      <c r="AS141" s="44"/>
      <c r="AT141" s="37">
        <f>+AK141</f>
        <v>2.4019215372297842E-2</v>
      </c>
      <c r="AU141" s="37">
        <f>+AK141+AL141</f>
        <v>3.4427542033626857E-2</v>
      </c>
      <c r="AV141" s="37">
        <f>SUM(AK141:AM141)</f>
        <v>3.4427542033626857E-2</v>
      </c>
      <c r="AW141" s="37">
        <f>+AV141+AN141</f>
        <v>-2.5620496397117748E-2</v>
      </c>
      <c r="AX141" s="37">
        <f>+AW141+AO141</f>
        <v>-0.11048839071257011</v>
      </c>
      <c r="AY141" s="133"/>
    </row>
    <row r="142" spans="2:51" x14ac:dyDescent="0.25">
      <c r="B142" s="75"/>
      <c r="C142" s="43"/>
      <c r="D142" s="44"/>
      <c r="E142" s="37">
        <f>+E125-E141</f>
        <v>0.8361386138613861</v>
      </c>
      <c r="F142" s="37">
        <f t="shared" ref="F142:J142" si="245">+F125-F141</f>
        <v>-1.202970297029703E-2</v>
      </c>
      <c r="G142" s="37">
        <f t="shared" si="245"/>
        <v>-3.6138613861386171E-3</v>
      </c>
      <c r="H142" s="37">
        <f t="shared" si="245"/>
        <v>8.4158415841584233E-4</v>
      </c>
      <c r="I142" s="37">
        <f t="shared" si="245"/>
        <v>-4.603960396039608E-3</v>
      </c>
      <c r="J142" s="37">
        <f t="shared" si="245"/>
        <v>0.81673267326732668</v>
      </c>
      <c r="K142" s="44"/>
      <c r="L142" s="44"/>
      <c r="M142" s="44"/>
      <c r="N142" s="35">
        <f t="shared" ref="N142" si="246">+E142</f>
        <v>0.8361386138613861</v>
      </c>
      <c r="O142" s="35">
        <f t="shared" ref="O142" si="247">+E142+F142</f>
        <v>0.82410891089108906</v>
      </c>
      <c r="P142" s="35">
        <f t="shared" ref="P142" si="248">+F142+G142+E142</f>
        <v>0.82049504950495045</v>
      </c>
      <c r="Q142" s="35">
        <f t="shared" ref="Q142" si="249">+G142+H142+F142+E142</f>
        <v>0.82133663366336629</v>
      </c>
      <c r="R142" s="35">
        <f t="shared" ref="R142" si="250">+H142+I142+G142+F142+E142</f>
        <v>0.81673267326732668</v>
      </c>
      <c r="S142" s="76"/>
      <c r="AH142" s="132"/>
      <c r="AI142" s="43"/>
      <c r="AJ142" s="44"/>
      <c r="AK142" s="160">
        <f t="shared" ref="AK142:AP142" si="251">+AK141*$AP$119</f>
        <v>6000.0000000000009</v>
      </c>
      <c r="AL142" s="160">
        <f t="shared" si="251"/>
        <v>2599.9999999999877</v>
      </c>
      <c r="AM142" s="160">
        <f t="shared" si="251"/>
        <v>0</v>
      </c>
      <c r="AN142" s="160">
        <f t="shared" si="251"/>
        <v>-15000.000000000002</v>
      </c>
      <c r="AO142" s="160">
        <f t="shared" si="251"/>
        <v>-21200</v>
      </c>
      <c r="AP142" s="160">
        <f t="shared" si="251"/>
        <v>-27599.999999999985</v>
      </c>
      <c r="AQ142" s="262" t="s">
        <v>142</v>
      </c>
      <c r="AR142" s="255"/>
      <c r="AS142" s="44"/>
      <c r="AT142" s="38">
        <f>+AT141*$AP$119</f>
        <v>6000.0000000000009</v>
      </c>
      <c r="AU142" s="38">
        <f>+AU141*$AP$119</f>
        <v>8599.9999999999891</v>
      </c>
      <c r="AV142" s="38">
        <f>+AV141*$AP$119</f>
        <v>8599.9999999999891</v>
      </c>
      <c r="AW142" s="38">
        <f>+AW141*$AP$119</f>
        <v>-6400.0000000000136</v>
      </c>
      <c r="AX142" s="38">
        <f>+AX141*$AP$119</f>
        <v>-27600.000000000011</v>
      </c>
      <c r="AY142" s="133"/>
    </row>
    <row r="143" spans="2:51" ht="18.75" x14ac:dyDescent="0.3">
      <c r="B143" s="75"/>
      <c r="C143" s="43"/>
      <c r="D143" s="44"/>
      <c r="E143" s="38">
        <f>+E142*($J$119)</f>
        <v>8445</v>
      </c>
      <c r="F143" s="38">
        <f t="shared" ref="F143:J143" si="252">+F142*($J$119)</f>
        <v>-121.5</v>
      </c>
      <c r="G143" s="38">
        <f t="shared" si="252"/>
        <v>-36.500000000000036</v>
      </c>
      <c r="H143" s="38">
        <f t="shared" si="252"/>
        <v>8.5000000000000071</v>
      </c>
      <c r="I143" s="38">
        <f t="shared" si="252"/>
        <v>-46.500000000000043</v>
      </c>
      <c r="J143" s="38">
        <f t="shared" si="252"/>
        <v>8249</v>
      </c>
      <c r="K143" s="44"/>
      <c r="L143" s="44"/>
      <c r="M143" s="44"/>
      <c r="N143" s="44">
        <f>+N142*($J$119)</f>
        <v>8445</v>
      </c>
      <c r="O143" s="44">
        <f t="shared" ref="O143:R143" si="253">+O142*($J$119)</f>
        <v>8323.5</v>
      </c>
      <c r="P143" s="44">
        <f t="shared" si="253"/>
        <v>8287</v>
      </c>
      <c r="Q143" s="44">
        <f t="shared" si="253"/>
        <v>8295.5</v>
      </c>
      <c r="R143" s="44">
        <f t="shared" si="253"/>
        <v>8249</v>
      </c>
      <c r="S143" s="76"/>
      <c r="AH143" s="132"/>
      <c r="AI143" s="43"/>
      <c r="AJ143" s="90" t="s">
        <v>57</v>
      </c>
      <c r="AK143" s="44"/>
      <c r="AL143" s="44"/>
      <c r="AM143" s="44"/>
      <c r="AN143" s="44"/>
      <c r="AO143" s="44"/>
      <c r="AP143" s="44"/>
      <c r="AQ143" s="255"/>
      <c r="AR143" s="255"/>
      <c r="AS143" s="44"/>
      <c r="AT143" s="44"/>
      <c r="AU143" s="44"/>
      <c r="AV143" s="44"/>
      <c r="AW143" s="44"/>
      <c r="AX143" s="44"/>
      <c r="AY143" s="133"/>
    </row>
    <row r="144" spans="2:51" x14ac:dyDescent="0.25">
      <c r="B144" s="75"/>
      <c r="C144" s="43"/>
      <c r="K144" s="44"/>
      <c r="L144" s="44"/>
      <c r="M144" s="44" t="s">
        <v>55</v>
      </c>
      <c r="N144" s="37">
        <f>+N138+N142</f>
        <v>0.76336633663366338</v>
      </c>
      <c r="O144" s="37">
        <f>+O138+O142</f>
        <v>0.7715841584158416</v>
      </c>
      <c r="P144" s="37">
        <f>+P138+P142</f>
        <v>0.80871287128712877</v>
      </c>
      <c r="Q144" s="37">
        <f>+Q138+Q142</f>
        <v>0.78790594059405938</v>
      </c>
      <c r="R144" s="37">
        <f>+R138+R142</f>
        <v>0.75732673267326733</v>
      </c>
      <c r="S144" s="76"/>
      <c r="AH144" s="132"/>
      <c r="AI144" s="43"/>
      <c r="AJ144" s="57" t="s">
        <v>58</v>
      </c>
      <c r="AK144" s="162">
        <f t="shared" ref="AK144:AP144" si="254">+AK137+AK141</f>
        <v>-5.6044835868694937E-2</v>
      </c>
      <c r="AL144" s="162">
        <f t="shared" si="254"/>
        <v>-0.1451160928742995</v>
      </c>
      <c r="AM144" s="162">
        <f t="shared" si="254"/>
        <v>-9.607686148919159E-4</v>
      </c>
      <c r="AN144" s="162">
        <f t="shared" si="254"/>
        <v>2.201761409127298E-2</v>
      </c>
      <c r="AO144" s="162">
        <f t="shared" si="254"/>
        <v>-0.14655724579663731</v>
      </c>
      <c r="AP144" s="162">
        <f t="shared" si="254"/>
        <v>-0.32666132906325057</v>
      </c>
      <c r="AQ144" s="111" t="s">
        <v>207</v>
      </c>
      <c r="AR144" s="44"/>
      <c r="AS144" s="44" t="s">
        <v>55</v>
      </c>
      <c r="AT144" s="37">
        <f>+AT137+AT141</f>
        <v>-5.6044835868694937E-2</v>
      </c>
      <c r="AU144" s="37">
        <f>+AU137+AU141</f>
        <v>-0.20116092874299443</v>
      </c>
      <c r="AV144" s="37">
        <f>+AV137+AV141</f>
        <v>-0.20212169735788635</v>
      </c>
      <c r="AW144" s="37">
        <f>+AW137+AW141</f>
        <v>-0.18010408326661337</v>
      </c>
      <c r="AX144" s="37">
        <f>+AX137+AX141</f>
        <v>-0.32666132906325068</v>
      </c>
      <c r="AY144" s="133"/>
    </row>
    <row r="145" spans="2:51" x14ac:dyDescent="0.25">
      <c r="B145" s="75"/>
      <c r="C145" s="43"/>
      <c r="D145" s="57" t="s">
        <v>58</v>
      </c>
      <c r="E145" s="37">
        <f>+E138+E142</f>
        <v>0.76336633663366338</v>
      </c>
      <c r="F145" s="37">
        <f t="shared" ref="F145:I145" si="255">+F138+F142</f>
        <v>8.2178217821782182E-3</v>
      </c>
      <c r="G145" s="37">
        <f t="shared" si="255"/>
        <v>3.7128712871287134E-2</v>
      </c>
      <c r="H145" s="37">
        <f t="shared" si="255"/>
        <v>-2.0806930693069308E-2</v>
      </c>
      <c r="I145" s="37">
        <f t="shared" si="255"/>
        <v>-3.0579207920792086E-2</v>
      </c>
      <c r="J145" s="37">
        <f>+J138+J142</f>
        <v>0.75732673267326733</v>
      </c>
      <c r="K145" s="44"/>
      <c r="L145" s="44"/>
      <c r="M145" s="44" t="s">
        <v>56</v>
      </c>
      <c r="N145" s="38">
        <f>+N144*($J$119)</f>
        <v>7710</v>
      </c>
      <c r="O145" s="38">
        <f t="shared" ref="O145:R145" si="256">+O144*($J$119)</f>
        <v>7793</v>
      </c>
      <c r="P145" s="38">
        <f t="shared" si="256"/>
        <v>8168.0000000000009</v>
      </c>
      <c r="Q145" s="38">
        <f t="shared" si="256"/>
        <v>7957.8499999999995</v>
      </c>
      <c r="R145" s="38">
        <f t="shared" si="256"/>
        <v>7649</v>
      </c>
      <c r="S145" s="76"/>
      <c r="AH145" s="132"/>
      <c r="AI145" s="43"/>
      <c r="AJ145" s="57" t="s">
        <v>59</v>
      </c>
      <c r="AK145" s="160">
        <f t="shared" ref="AK145:AP145" si="257">+AK144*$AP$119</f>
        <v>-13999.999999999995</v>
      </c>
      <c r="AL145" s="160">
        <f t="shared" si="257"/>
        <v>-36250.000000000015</v>
      </c>
      <c r="AM145" s="160">
        <f t="shared" si="257"/>
        <v>-240.0000000000006</v>
      </c>
      <c r="AN145" s="160">
        <f t="shared" si="257"/>
        <v>5499.99999999999</v>
      </c>
      <c r="AO145" s="160">
        <f t="shared" si="257"/>
        <v>-36610</v>
      </c>
      <c r="AP145" s="160">
        <f t="shared" si="257"/>
        <v>-81600</v>
      </c>
      <c r="AQ145" s="111" t="s">
        <v>208</v>
      </c>
      <c r="AR145" s="44"/>
      <c r="AS145" s="44" t="s">
        <v>56</v>
      </c>
      <c r="AT145" s="38">
        <f>+AT144*$AP$119</f>
        <v>-13999.999999999995</v>
      </c>
      <c r="AU145" s="38">
        <f>+AU144*$AP$119</f>
        <v>-50250.000000000007</v>
      </c>
      <c r="AV145" s="38">
        <f>+AV144*$AP$119</f>
        <v>-50490.000000000007</v>
      </c>
      <c r="AW145" s="38">
        <f>+AW144*$AP$119</f>
        <v>-44990.000000000022</v>
      </c>
      <c r="AX145" s="38">
        <f>+AX144*$AP$119</f>
        <v>-81600.000000000015</v>
      </c>
      <c r="AY145" s="133"/>
    </row>
    <row r="146" spans="2:51" x14ac:dyDescent="0.25">
      <c r="B146" s="75"/>
      <c r="C146" s="43"/>
      <c r="D146" s="57" t="s">
        <v>59</v>
      </c>
      <c r="E146" s="38">
        <f>+E145*($J$119)</f>
        <v>7710</v>
      </c>
      <c r="F146" s="38">
        <f t="shared" ref="F146:J146" si="258">+F145*($J$119)</f>
        <v>83</v>
      </c>
      <c r="G146" s="38">
        <f t="shared" si="258"/>
        <v>375.00000000000006</v>
      </c>
      <c r="H146" s="38">
        <f t="shared" si="258"/>
        <v>-210.15</v>
      </c>
      <c r="I146" s="38">
        <f t="shared" si="258"/>
        <v>-308.85000000000008</v>
      </c>
      <c r="J146" s="38">
        <f t="shared" si="258"/>
        <v>7649</v>
      </c>
      <c r="K146" s="44"/>
      <c r="L146" s="44"/>
      <c r="M146" s="44"/>
      <c r="N146" s="167"/>
      <c r="O146" s="167"/>
      <c r="P146" s="167"/>
      <c r="Q146" s="167"/>
      <c r="R146" s="167"/>
      <c r="S146" s="76"/>
      <c r="AH146" s="132"/>
      <c r="AI146" s="43"/>
      <c r="AJ146" s="44"/>
      <c r="AK146" s="44"/>
      <c r="AL146" s="44"/>
      <c r="AM146" s="44"/>
      <c r="AN146" s="44"/>
      <c r="AO146" s="44"/>
      <c r="AP146" s="44"/>
      <c r="AQ146" s="111"/>
      <c r="AR146" s="44"/>
      <c r="AS146" s="44"/>
      <c r="AT146" s="167"/>
      <c r="AU146" s="167"/>
      <c r="AV146" s="167"/>
      <c r="AW146" s="167"/>
      <c r="AX146" s="167"/>
      <c r="AY146" s="133"/>
    </row>
    <row r="147" spans="2:51" ht="23.25" x14ac:dyDescent="0.35">
      <c r="B147" s="75"/>
      <c r="C147" s="84" t="s">
        <v>167</v>
      </c>
      <c r="E147" s="44"/>
      <c r="F147" s="44"/>
      <c r="G147" s="44"/>
      <c r="H147" s="44"/>
      <c r="I147" s="44"/>
      <c r="J147" s="44"/>
      <c r="K147" s="44"/>
      <c r="L147" s="44"/>
      <c r="M147" s="44"/>
      <c r="N147" s="44"/>
      <c r="O147" s="44"/>
      <c r="P147" s="44"/>
      <c r="Q147" s="44"/>
      <c r="R147" s="44"/>
      <c r="S147" s="233"/>
      <c r="AH147" s="132"/>
      <c r="AI147" s="84" t="s">
        <v>167</v>
      </c>
      <c r="AJ147" s="44"/>
      <c r="AK147" s="44"/>
      <c r="AL147" s="44"/>
      <c r="AM147" s="44"/>
      <c r="AN147" s="44"/>
      <c r="AO147" s="44"/>
      <c r="AP147" s="44"/>
      <c r="AQ147" s="111"/>
      <c r="AR147" s="44"/>
      <c r="AS147" s="44"/>
      <c r="AT147" s="111" t="s">
        <v>177</v>
      </c>
      <c r="AU147" s="98"/>
      <c r="AV147" s="98"/>
      <c r="AW147" s="98"/>
      <c r="AX147" s="98"/>
      <c r="AY147" s="133"/>
    </row>
    <row r="148" spans="2:51" x14ac:dyDescent="0.25">
      <c r="B148" s="75"/>
      <c r="C148" s="122" t="s">
        <v>166</v>
      </c>
      <c r="D148" s="232"/>
      <c r="E148" s="232"/>
      <c r="F148" s="232"/>
      <c r="G148" s="232"/>
      <c r="H148" s="232"/>
      <c r="I148" s="232"/>
      <c r="J148" s="232"/>
      <c r="K148" s="232"/>
      <c r="L148" s="232"/>
      <c r="M148" s="232"/>
      <c r="N148" s="232"/>
      <c r="O148" s="232"/>
      <c r="P148" s="232"/>
      <c r="Q148" s="232"/>
      <c r="R148" s="232"/>
      <c r="S148" s="233"/>
      <c r="AH148" s="132"/>
      <c r="AI148" s="122" t="s">
        <v>178</v>
      </c>
      <c r="AJ148" s="44"/>
      <c r="AK148" s="44"/>
      <c r="AL148" s="44"/>
      <c r="AM148" s="44"/>
      <c r="AN148" s="44"/>
      <c r="AO148" s="44"/>
      <c r="AP148" s="44"/>
      <c r="AQ148" s="111"/>
      <c r="AR148" s="44"/>
      <c r="AS148" s="44"/>
      <c r="AT148" s="98"/>
      <c r="AU148" s="98"/>
      <c r="AV148" s="98"/>
      <c r="AW148" s="98"/>
      <c r="AX148" s="98"/>
      <c r="AY148" s="133"/>
    </row>
    <row r="149" spans="2:51" x14ac:dyDescent="0.25">
      <c r="B149" s="75"/>
      <c r="C149" s="122"/>
      <c r="D149" s="232"/>
      <c r="E149" s="232"/>
      <c r="F149" s="232"/>
      <c r="G149" s="232"/>
      <c r="H149" s="232"/>
      <c r="I149" s="232"/>
      <c r="J149" s="232"/>
      <c r="K149" s="232"/>
      <c r="L149" s="232"/>
      <c r="M149" s="232"/>
      <c r="N149" s="232"/>
      <c r="O149" s="232"/>
      <c r="P149" s="232"/>
      <c r="Q149" s="232"/>
      <c r="R149" s="232"/>
      <c r="S149" s="233"/>
      <c r="AH149" s="132"/>
      <c r="AI149" s="43"/>
      <c r="AJ149" s="44"/>
      <c r="AK149" s="44"/>
      <c r="AL149" s="44"/>
      <c r="AM149" s="44"/>
      <c r="AN149" s="44"/>
      <c r="AO149" s="44"/>
      <c r="AP149" s="44"/>
      <c r="AQ149" s="111"/>
      <c r="AR149" s="44"/>
      <c r="AS149" s="44"/>
      <c r="AT149" s="98"/>
      <c r="AU149" s="98"/>
      <c r="AV149" s="98"/>
      <c r="AW149" s="98"/>
      <c r="AX149" s="98"/>
      <c r="AY149" s="133"/>
    </row>
    <row r="150" spans="2:51" ht="16.5" thickBot="1" x14ac:dyDescent="0.3">
      <c r="B150" s="75"/>
      <c r="C150" s="122"/>
      <c r="D150" s="232"/>
      <c r="E150" s="232"/>
      <c r="F150" s="232"/>
      <c r="G150" s="232"/>
      <c r="H150" s="232"/>
      <c r="I150" s="232"/>
      <c r="J150" s="232"/>
      <c r="K150" s="232"/>
      <c r="L150" s="232"/>
      <c r="M150" s="232"/>
      <c r="N150" s="232"/>
      <c r="O150" s="232"/>
      <c r="P150" s="232"/>
      <c r="Q150" s="232"/>
      <c r="R150" s="232"/>
      <c r="S150" s="235"/>
      <c r="AH150" s="132"/>
      <c r="AI150" s="43"/>
      <c r="AJ150" s="44"/>
      <c r="AK150" s="44"/>
      <c r="AL150" s="44"/>
      <c r="AM150" s="44"/>
      <c r="AN150" s="44"/>
      <c r="AO150" s="44"/>
      <c r="AP150" s="44"/>
      <c r="AQ150" s="111"/>
      <c r="AR150" s="44"/>
      <c r="AS150" s="44"/>
      <c r="AT150" s="98"/>
      <c r="AU150" s="98"/>
      <c r="AV150" s="98"/>
      <c r="AW150" s="98"/>
      <c r="AX150" s="98"/>
      <c r="AY150" s="133"/>
    </row>
    <row r="151" spans="2:51" ht="17.25" thickTop="1" thickBot="1" x14ac:dyDescent="0.3">
      <c r="B151" s="77"/>
      <c r="C151" s="78"/>
      <c r="D151" s="234"/>
      <c r="E151" s="234"/>
      <c r="F151" s="234"/>
      <c r="G151" s="234"/>
      <c r="H151" s="234"/>
      <c r="I151" s="234"/>
      <c r="J151" s="234"/>
      <c r="K151" s="234"/>
      <c r="L151" s="234"/>
      <c r="M151" s="234"/>
      <c r="N151" s="234"/>
      <c r="O151" s="234"/>
      <c r="P151" s="234"/>
      <c r="Q151" s="234"/>
      <c r="R151" s="234"/>
      <c r="AH151" s="136"/>
      <c r="AI151" s="137"/>
      <c r="AJ151" s="139"/>
      <c r="AK151" s="139"/>
      <c r="AL151" s="139"/>
      <c r="AM151" s="139"/>
      <c r="AN151" s="139"/>
      <c r="AO151" s="139"/>
      <c r="AP151" s="139"/>
      <c r="AQ151" s="139"/>
      <c r="AR151" s="139"/>
      <c r="AS151" s="139"/>
      <c r="AT151" s="154"/>
      <c r="AU151" s="154"/>
      <c r="AV151" s="154"/>
      <c r="AW151" s="154"/>
      <c r="AX151" s="154"/>
      <c r="AY151" s="140"/>
    </row>
    <row r="152" spans="2:51" ht="17.25" thickTop="1" thickBot="1" x14ac:dyDescent="0.3">
      <c r="S152" s="185"/>
    </row>
    <row r="153" spans="2:51" ht="21.75" thickTop="1" x14ac:dyDescent="0.35">
      <c r="B153" s="71"/>
      <c r="C153" s="196" t="s">
        <v>180</v>
      </c>
      <c r="D153" s="73"/>
      <c r="E153" s="73"/>
      <c r="F153" s="73"/>
      <c r="G153" s="73"/>
      <c r="H153" s="73"/>
      <c r="I153" s="73"/>
      <c r="J153" s="73"/>
      <c r="K153" s="74"/>
      <c r="M153" s="184"/>
      <c r="N153" s="185"/>
      <c r="O153" s="185"/>
      <c r="P153" s="185"/>
      <c r="Q153" s="185"/>
      <c r="R153" s="185"/>
      <c r="S153" s="185"/>
      <c r="T153" s="185"/>
      <c r="U153" s="185"/>
      <c r="V153" s="185"/>
      <c r="W153" s="184"/>
      <c r="X153" s="185"/>
      <c r="Y153" s="185"/>
      <c r="Z153" s="185"/>
      <c r="AA153" s="185"/>
      <c r="AB153" s="185"/>
      <c r="AC153" s="185"/>
      <c r="AD153" s="185"/>
      <c r="AE153" s="185"/>
      <c r="AF153" s="185"/>
      <c r="AG153" s="185"/>
      <c r="AH153" s="185"/>
      <c r="AI153" s="185"/>
      <c r="AJ153" s="185"/>
    </row>
    <row r="154" spans="2:51" x14ac:dyDescent="0.25">
      <c r="B154" s="75"/>
      <c r="C154" s="44" t="s">
        <v>181</v>
      </c>
      <c r="D154" s="44"/>
      <c r="E154" s="44"/>
      <c r="F154" s="44"/>
      <c r="G154" s="44"/>
      <c r="H154" s="44"/>
      <c r="I154" s="44"/>
      <c r="J154" s="44"/>
      <c r="K154" s="197"/>
      <c r="M154" s="247"/>
      <c r="N154" s="185"/>
      <c r="O154" s="185"/>
      <c r="P154" s="185"/>
      <c r="Q154" s="185"/>
      <c r="R154" s="185"/>
      <c r="S154" s="185"/>
      <c r="T154" s="185"/>
      <c r="U154" s="186"/>
      <c r="V154" s="185"/>
      <c r="W154" s="185"/>
      <c r="X154" s="185"/>
      <c r="Y154" s="185"/>
      <c r="Z154" s="185"/>
      <c r="AA154" s="185"/>
      <c r="AB154" s="185"/>
      <c r="AC154" s="185"/>
      <c r="AD154" s="185"/>
      <c r="AE154" s="186"/>
      <c r="AF154" s="185"/>
      <c r="AG154" s="185"/>
      <c r="AH154" s="185"/>
      <c r="AI154" s="185"/>
      <c r="AJ154" s="185"/>
    </row>
    <row r="155" spans="2:51" x14ac:dyDescent="0.25">
      <c r="B155" s="75"/>
      <c r="C155" s="44"/>
      <c r="D155" s="44"/>
      <c r="E155" s="44"/>
      <c r="F155" s="87"/>
      <c r="G155" s="182"/>
      <c r="H155" s="44"/>
      <c r="I155" s="44"/>
      <c r="J155" s="44"/>
      <c r="K155" s="197"/>
      <c r="M155" s="248"/>
      <c r="N155" s="249"/>
      <c r="O155" s="249"/>
      <c r="P155" s="187"/>
      <c r="Q155" s="188"/>
      <c r="R155" s="185"/>
      <c r="S155" s="189"/>
      <c r="T155" s="185"/>
      <c r="U155" s="186"/>
      <c r="V155" s="185"/>
      <c r="W155" s="185"/>
      <c r="X155" s="185"/>
      <c r="Y155" s="185"/>
      <c r="Z155" s="187"/>
      <c r="AA155" s="188"/>
      <c r="AB155" s="185"/>
      <c r="AC155" s="185"/>
      <c r="AD155" s="185"/>
      <c r="AE155" s="186"/>
      <c r="AF155" s="185"/>
      <c r="AG155" s="185"/>
      <c r="AH155" s="185"/>
      <c r="AI155" s="185"/>
      <c r="AJ155" s="185"/>
    </row>
    <row r="156" spans="2:51" x14ac:dyDescent="0.25">
      <c r="B156" s="75"/>
      <c r="C156" s="44"/>
      <c r="D156" s="183"/>
      <c r="E156" s="183"/>
      <c r="F156" s="183"/>
      <c r="G156" s="183"/>
      <c r="H156" s="183"/>
      <c r="I156" s="183"/>
      <c r="J156" s="56" t="s">
        <v>182</v>
      </c>
      <c r="K156" s="198" t="s">
        <v>183</v>
      </c>
      <c r="M156" s="185"/>
      <c r="N156" s="189"/>
      <c r="O156" s="189"/>
      <c r="P156" s="189"/>
      <c r="Q156" s="189"/>
      <c r="R156" s="189"/>
      <c r="S156" s="190"/>
      <c r="T156" s="190"/>
      <c r="U156" s="190"/>
      <c r="V156" s="185"/>
      <c r="W156" s="185"/>
      <c r="X156" s="189"/>
      <c r="Y156" s="189"/>
      <c r="Z156" s="189"/>
      <c r="AA156" s="189"/>
      <c r="AB156" s="189"/>
      <c r="AC156" s="189"/>
      <c r="AD156" s="190"/>
      <c r="AE156" s="190"/>
      <c r="AF156" s="185"/>
      <c r="AG156" s="185"/>
      <c r="AH156" s="185"/>
      <c r="AI156" s="185"/>
      <c r="AJ156" s="185"/>
    </row>
    <row r="157" spans="2:51" x14ac:dyDescent="0.25">
      <c r="B157" s="75"/>
      <c r="C157" s="44"/>
      <c r="D157" s="56" t="s">
        <v>184</v>
      </c>
      <c r="E157" s="56" t="s">
        <v>7</v>
      </c>
      <c r="F157" s="56" t="s">
        <v>182</v>
      </c>
      <c r="G157" s="56" t="s">
        <v>183</v>
      </c>
      <c r="H157" s="56" t="s">
        <v>185</v>
      </c>
      <c r="I157" s="56" t="s">
        <v>186</v>
      </c>
      <c r="J157" s="56" t="s">
        <v>187</v>
      </c>
      <c r="K157" s="199" t="s">
        <v>188</v>
      </c>
      <c r="M157" s="185"/>
      <c r="N157" s="190"/>
      <c r="O157" s="190"/>
      <c r="P157" s="190"/>
      <c r="Q157" s="190"/>
      <c r="R157" s="190"/>
      <c r="S157" s="192"/>
      <c r="T157" s="190"/>
      <c r="U157" s="189"/>
      <c r="V157" s="185"/>
      <c r="W157" s="185"/>
      <c r="X157" s="190"/>
      <c r="Y157" s="190"/>
      <c r="Z157" s="190"/>
      <c r="AA157" s="190"/>
      <c r="AB157" s="190"/>
      <c r="AC157" s="190"/>
      <c r="AD157" s="190"/>
      <c r="AE157" s="189"/>
      <c r="AF157" s="185"/>
      <c r="AG157" s="185"/>
      <c r="AH157" s="185"/>
      <c r="AI157" s="185"/>
      <c r="AJ157" s="185"/>
    </row>
    <row r="158" spans="2:51" x14ac:dyDescent="0.25">
      <c r="B158" s="75"/>
      <c r="C158" s="44">
        <v>0</v>
      </c>
      <c r="D158" s="204"/>
      <c r="E158" s="204">
        <v>100000</v>
      </c>
      <c r="F158" s="205">
        <f>+D158-E158</f>
        <v>-100000</v>
      </c>
      <c r="G158" s="205">
        <f>+F158</f>
        <v>-100000</v>
      </c>
      <c r="H158" s="205"/>
      <c r="I158" s="205">
        <f>+E158</f>
        <v>100000</v>
      </c>
      <c r="J158" s="205">
        <f>+F158</f>
        <v>-100000</v>
      </c>
      <c r="K158" s="206">
        <f>+G158</f>
        <v>-100000</v>
      </c>
      <c r="M158" s="185"/>
      <c r="N158" s="191"/>
      <c r="O158" s="191"/>
      <c r="P158" s="192"/>
      <c r="Q158" s="192"/>
      <c r="R158" s="192"/>
      <c r="S158" s="192"/>
      <c r="T158" s="192"/>
      <c r="U158" s="192"/>
      <c r="V158" s="185"/>
      <c r="W158" s="185"/>
      <c r="X158" s="191"/>
      <c r="Y158" s="191"/>
      <c r="Z158" s="192"/>
      <c r="AA158" s="192"/>
      <c r="AB158" s="192"/>
      <c r="AC158" s="192"/>
      <c r="AD158" s="192"/>
      <c r="AE158" s="192"/>
      <c r="AF158" s="185"/>
      <c r="AG158" s="185"/>
      <c r="AH158" s="185"/>
      <c r="AI158" s="185"/>
      <c r="AJ158" s="185"/>
    </row>
    <row r="159" spans="2:51" x14ac:dyDescent="0.25">
      <c r="B159" s="75"/>
      <c r="C159" s="44">
        <v>1</v>
      </c>
      <c r="D159" s="250">
        <v>140000</v>
      </c>
      <c r="E159" s="204">
        <f>+D159*0.3</f>
        <v>42000</v>
      </c>
      <c r="F159" s="205">
        <f t="shared" ref="F159:F163" si="259">+D159-E159</f>
        <v>98000</v>
      </c>
      <c r="G159" s="205">
        <f>+F159/(1+$E$170)^1</f>
        <v>85217.391304347839</v>
      </c>
      <c r="H159" s="205"/>
      <c r="I159" s="205">
        <f>+E159/(1+$E$170)^1</f>
        <v>36521.739130434784</v>
      </c>
      <c r="J159" s="205">
        <f>+J158+F159</f>
        <v>-2000</v>
      </c>
      <c r="K159" s="206">
        <f>+K158+G159</f>
        <v>-14782.608695652161</v>
      </c>
      <c r="M159" s="185"/>
      <c r="N159" s="191"/>
      <c r="O159" s="191"/>
      <c r="P159" s="192"/>
      <c r="Q159" s="192"/>
      <c r="R159" s="192"/>
      <c r="S159" s="192"/>
      <c r="T159" s="192"/>
      <c r="U159" s="192"/>
      <c r="V159" s="185"/>
      <c r="W159" s="185"/>
      <c r="X159" s="191"/>
      <c r="Y159" s="191"/>
      <c r="Z159" s="192"/>
      <c r="AA159" s="192"/>
      <c r="AB159" s="192"/>
      <c r="AC159" s="192"/>
      <c r="AD159" s="192"/>
      <c r="AE159" s="192"/>
      <c r="AF159" s="185"/>
      <c r="AG159" s="185"/>
      <c r="AH159" s="185"/>
      <c r="AI159" s="185"/>
      <c r="AJ159" s="185"/>
    </row>
    <row r="160" spans="2:51" x14ac:dyDescent="0.25">
      <c r="B160" s="75"/>
      <c r="C160" s="44">
        <v>2</v>
      </c>
      <c r="D160" s="250">
        <f>+D159*1.2</f>
        <v>168000</v>
      </c>
      <c r="E160" s="204">
        <f t="shared" ref="E160:E163" si="260">+D160*0.3</f>
        <v>50400</v>
      </c>
      <c r="F160" s="205">
        <f t="shared" si="259"/>
        <v>117600</v>
      </c>
      <c r="G160" s="205">
        <f>+F160/(1+$E$170)^2</f>
        <v>88922.495274102097</v>
      </c>
      <c r="H160" s="205"/>
      <c r="I160" s="205">
        <f>+E160/(1+$E$170)^2</f>
        <v>38109.640831758043</v>
      </c>
      <c r="J160" s="205">
        <f t="shared" ref="J160:J163" si="261">+J159+F160</f>
        <v>115600</v>
      </c>
      <c r="K160" s="206">
        <f>+K159+G160</f>
        <v>74139.886578449936</v>
      </c>
      <c r="M160" s="185"/>
      <c r="N160" s="191"/>
      <c r="O160" s="191"/>
      <c r="P160" s="192"/>
      <c r="Q160" s="192"/>
      <c r="R160" s="192"/>
      <c r="S160" s="192"/>
      <c r="T160" s="192"/>
      <c r="U160" s="192"/>
      <c r="V160" s="185"/>
      <c r="W160" s="185"/>
      <c r="X160" s="191"/>
      <c r="Y160" s="191"/>
      <c r="Z160" s="192"/>
      <c r="AA160" s="192"/>
      <c r="AB160" s="192"/>
      <c r="AC160" s="192"/>
      <c r="AD160" s="192"/>
      <c r="AE160" s="192"/>
      <c r="AF160" s="185"/>
      <c r="AG160" s="185"/>
      <c r="AH160" s="185"/>
      <c r="AI160" s="185"/>
      <c r="AJ160" s="185"/>
    </row>
    <row r="161" spans="2:36" x14ac:dyDescent="0.25">
      <c r="B161" s="75"/>
      <c r="C161" s="125">
        <v>3</v>
      </c>
      <c r="D161" s="250">
        <f>+D160*1.2</f>
        <v>201600</v>
      </c>
      <c r="E161" s="204">
        <f t="shared" si="260"/>
        <v>60480</v>
      </c>
      <c r="F161" s="205">
        <f t="shared" si="259"/>
        <v>141120</v>
      </c>
      <c r="G161" s="205">
        <f>+F161/(1+$E$170)^3</f>
        <v>92788.690720802202</v>
      </c>
      <c r="H161" s="205"/>
      <c r="I161" s="205">
        <f>+E161/(1+$E$170)^3</f>
        <v>39766.581737486653</v>
      </c>
      <c r="J161" s="205">
        <f t="shared" si="261"/>
        <v>256720</v>
      </c>
      <c r="K161" s="206">
        <f>+K160+G161</f>
        <v>166928.57729925215</v>
      </c>
      <c r="M161" s="185"/>
      <c r="N161" s="191"/>
      <c r="O161" s="191"/>
      <c r="P161" s="192"/>
      <c r="Q161" s="192"/>
      <c r="R161" s="192"/>
      <c r="S161" s="192"/>
      <c r="T161" s="192"/>
      <c r="U161" s="192"/>
      <c r="V161" s="185"/>
      <c r="W161" s="185"/>
      <c r="X161" s="191"/>
      <c r="Y161" s="191"/>
      <c r="Z161" s="192"/>
      <c r="AA161" s="192"/>
      <c r="AB161" s="192"/>
      <c r="AC161" s="192"/>
      <c r="AD161" s="192"/>
      <c r="AE161" s="192"/>
      <c r="AF161" s="185"/>
      <c r="AG161" s="185"/>
      <c r="AH161" s="185"/>
      <c r="AI161" s="185"/>
      <c r="AJ161" s="185"/>
    </row>
    <row r="162" spans="2:36" x14ac:dyDescent="0.25">
      <c r="B162" s="75"/>
      <c r="C162" s="125">
        <v>4</v>
      </c>
      <c r="D162" s="250">
        <f t="shared" ref="D162" si="262">+D161*1.2</f>
        <v>241920</v>
      </c>
      <c r="E162" s="204">
        <f t="shared" si="260"/>
        <v>72576</v>
      </c>
      <c r="F162" s="205">
        <f t="shared" si="259"/>
        <v>169344</v>
      </c>
      <c r="G162" s="205">
        <f>+F162/(1+$E$170)^4</f>
        <v>96822.98162170664</v>
      </c>
      <c r="H162" s="205"/>
      <c r="I162" s="205">
        <f>+E162/(1+$E$170)^4</f>
        <v>41495.563552159991</v>
      </c>
      <c r="J162" s="205">
        <f t="shared" si="261"/>
        <v>426064</v>
      </c>
      <c r="K162" s="206">
        <f>+K161+G162</f>
        <v>263751.55892095878</v>
      </c>
      <c r="M162" s="185"/>
      <c r="N162" s="191"/>
      <c r="O162" s="191"/>
      <c r="P162" s="192"/>
      <c r="Q162" s="192"/>
      <c r="R162" s="192"/>
      <c r="S162" s="192"/>
      <c r="T162" s="192"/>
      <c r="U162" s="192"/>
      <c r="V162" s="185"/>
      <c r="W162" s="185"/>
      <c r="X162" s="191"/>
      <c r="Y162" s="191"/>
      <c r="Z162" s="192"/>
      <c r="AA162" s="192"/>
      <c r="AB162" s="192"/>
      <c r="AC162" s="192"/>
      <c r="AD162" s="192"/>
      <c r="AE162" s="192"/>
      <c r="AF162" s="185"/>
      <c r="AG162" s="185"/>
      <c r="AH162" s="185"/>
      <c r="AI162" s="185"/>
      <c r="AJ162" s="185"/>
    </row>
    <row r="163" spans="2:36" x14ac:dyDescent="0.25">
      <c r="B163" s="75"/>
      <c r="C163" s="125">
        <v>5</v>
      </c>
      <c r="D163" s="250">
        <f>+D162*1.2</f>
        <v>290304</v>
      </c>
      <c r="E163" s="204">
        <f t="shared" si="260"/>
        <v>87091.199999999997</v>
      </c>
      <c r="F163" s="205">
        <f t="shared" si="259"/>
        <v>203212.79999999999</v>
      </c>
      <c r="G163" s="205">
        <f>+F163/(1+$E$170)^5</f>
        <v>101032.67647482431</v>
      </c>
      <c r="H163" s="205"/>
      <c r="I163" s="205">
        <f>+E163/(1+$E$170)^5</f>
        <v>43299.71848921042</v>
      </c>
      <c r="J163" s="205">
        <f t="shared" si="261"/>
        <v>629276.80000000005</v>
      </c>
      <c r="K163" s="206">
        <f>+K162+G163</f>
        <v>364784.23539578309</v>
      </c>
      <c r="M163" s="185"/>
      <c r="N163" s="191"/>
      <c r="O163" s="191"/>
      <c r="P163" s="192"/>
      <c r="Q163" s="192"/>
      <c r="R163" s="192"/>
      <c r="S163" s="191"/>
      <c r="T163" s="192"/>
      <c r="U163" s="192"/>
      <c r="V163" s="185"/>
      <c r="W163" s="185"/>
      <c r="X163" s="191"/>
      <c r="Y163" s="191"/>
      <c r="Z163" s="192"/>
      <c r="AA163" s="192"/>
      <c r="AB163" s="192"/>
      <c r="AC163" s="192"/>
      <c r="AD163" s="192"/>
      <c r="AE163" s="192"/>
      <c r="AF163" s="185"/>
      <c r="AG163" s="185"/>
      <c r="AH163" s="185"/>
      <c r="AI163" s="185"/>
      <c r="AJ163" s="185"/>
    </row>
    <row r="164" spans="2:36" ht="16.5" thickBot="1" x14ac:dyDescent="0.3">
      <c r="B164" s="75"/>
      <c r="C164" s="44"/>
      <c r="D164" s="207">
        <f>SUM(D159:D163)</f>
        <v>1041824</v>
      </c>
      <c r="E164" s="207">
        <f>SUM(E158:E163)</f>
        <v>412547.2</v>
      </c>
      <c r="F164" s="207">
        <f>SUM(F158:F163)</f>
        <v>629276.80000000005</v>
      </c>
      <c r="G164" s="207">
        <f>SUM(G158:G163)</f>
        <v>364784.23539578309</v>
      </c>
      <c r="H164" s="208">
        <f>IRR(F158:F163)</f>
        <v>1.1235266235205086</v>
      </c>
      <c r="I164" s="207">
        <f>SUM(I158:I163)</f>
        <v>299193.2437410499</v>
      </c>
      <c r="J164" s="207">
        <f>SUM(J158:J163)</f>
        <v>1325660.8</v>
      </c>
      <c r="K164" s="206"/>
      <c r="M164" s="185"/>
      <c r="N164" s="191"/>
      <c r="O164" s="191"/>
      <c r="P164" s="191"/>
      <c r="Q164" s="191"/>
      <c r="R164" s="193"/>
      <c r="S164" s="185"/>
      <c r="T164" s="185"/>
      <c r="U164" s="192"/>
      <c r="V164" s="185"/>
      <c r="W164" s="185"/>
      <c r="X164" s="191"/>
      <c r="Y164" s="191"/>
      <c r="Z164" s="191"/>
      <c r="AA164" s="191"/>
      <c r="AB164" s="193"/>
      <c r="AC164" s="191"/>
      <c r="AD164" s="185"/>
      <c r="AE164" s="192"/>
      <c r="AF164" s="185"/>
      <c r="AG164" s="185"/>
      <c r="AH164" s="185"/>
      <c r="AI164" s="185"/>
      <c r="AJ164" s="185"/>
    </row>
    <row r="165" spans="2:36" ht="16.5" thickTop="1" x14ac:dyDescent="0.25">
      <c r="B165" s="75"/>
      <c r="C165" s="44"/>
      <c r="D165" s="181"/>
      <c r="E165" s="181"/>
      <c r="F165" s="44"/>
      <c r="G165" s="44"/>
      <c r="H165" s="44"/>
      <c r="I165" s="44"/>
      <c r="J165" s="44"/>
      <c r="K165" s="76"/>
      <c r="M165" s="185"/>
      <c r="N165" s="191"/>
      <c r="O165" s="191"/>
      <c r="P165" s="185"/>
      <c r="Q165" s="185"/>
      <c r="R165" s="185"/>
      <c r="S165" s="185"/>
      <c r="T165" s="185"/>
      <c r="U165" s="185"/>
      <c r="V165" s="185"/>
      <c r="W165" s="185"/>
      <c r="X165" s="191"/>
      <c r="Y165" s="194"/>
      <c r="Z165" s="185"/>
      <c r="AA165" s="185"/>
      <c r="AB165" s="185"/>
      <c r="AC165" s="185"/>
      <c r="AD165" s="185"/>
      <c r="AE165" s="185"/>
      <c r="AF165" s="185"/>
      <c r="AG165" s="185"/>
      <c r="AH165" s="185"/>
      <c r="AI165" s="185"/>
      <c r="AJ165" s="185"/>
    </row>
    <row r="166" spans="2:36" ht="16.5" thickBot="1" x14ac:dyDescent="0.3">
      <c r="B166" s="75"/>
      <c r="C166" s="44"/>
      <c r="D166" s="125"/>
      <c r="E166" s="125"/>
      <c r="F166" s="125" t="s">
        <v>183</v>
      </c>
      <c r="G166" s="209">
        <f>+G164</f>
        <v>364784.23539578309</v>
      </c>
      <c r="H166" s="125"/>
      <c r="I166" s="44"/>
      <c r="J166" s="44"/>
      <c r="K166" s="76"/>
      <c r="M166" s="185"/>
      <c r="N166" s="185"/>
      <c r="O166" s="185"/>
      <c r="P166" s="185"/>
      <c r="Q166" s="192"/>
      <c r="R166" s="185"/>
      <c r="S166" s="185"/>
      <c r="T166" s="185"/>
      <c r="U166" s="185"/>
      <c r="V166" s="185"/>
      <c r="W166" s="185"/>
      <c r="X166" s="185"/>
      <c r="Y166" s="194"/>
      <c r="Z166" s="185"/>
      <c r="AA166" s="192"/>
      <c r="AB166" s="185"/>
      <c r="AC166" s="185"/>
      <c r="AD166" s="185"/>
      <c r="AE166" s="185"/>
      <c r="AF166" s="185"/>
      <c r="AG166" s="185"/>
      <c r="AH166" s="185"/>
      <c r="AI166" s="185"/>
      <c r="AJ166" s="185"/>
    </row>
    <row r="167" spans="2:36" ht="16.5" thickTop="1" x14ac:dyDescent="0.25">
      <c r="B167" s="75"/>
      <c r="C167" s="44"/>
      <c r="D167" s="125"/>
      <c r="E167" s="125"/>
      <c r="F167" s="125"/>
      <c r="G167" s="205"/>
      <c r="H167" s="125"/>
      <c r="I167" s="44"/>
      <c r="J167" s="44"/>
      <c r="K167" s="76"/>
      <c r="M167" s="185"/>
      <c r="N167" s="185"/>
      <c r="O167" s="185"/>
      <c r="P167" s="185"/>
      <c r="Q167" s="192"/>
      <c r="R167" s="185"/>
      <c r="S167" s="185"/>
      <c r="T167" s="185"/>
      <c r="U167" s="185"/>
      <c r="V167" s="185"/>
      <c r="W167" s="185"/>
      <c r="X167" s="185"/>
      <c r="Y167" s="185"/>
      <c r="Z167" s="185"/>
      <c r="AA167" s="192"/>
      <c r="AB167" s="185"/>
      <c r="AC167" s="185"/>
      <c r="AD167" s="185"/>
      <c r="AE167" s="185"/>
      <c r="AF167" s="185"/>
      <c r="AG167" s="185"/>
      <c r="AH167" s="185"/>
      <c r="AI167" s="185"/>
      <c r="AJ167" s="185"/>
    </row>
    <row r="168" spans="2:36" x14ac:dyDescent="0.25">
      <c r="B168" s="75"/>
      <c r="C168" s="44"/>
      <c r="D168" s="125"/>
      <c r="E168" s="125"/>
      <c r="F168" s="125"/>
      <c r="G168" s="205"/>
      <c r="H168" s="125"/>
      <c r="I168" s="44"/>
      <c r="J168" s="44"/>
      <c r="K168" s="76"/>
      <c r="M168" s="185"/>
      <c r="N168" s="185"/>
      <c r="O168" s="185"/>
      <c r="P168" s="185"/>
      <c r="Q168" s="192"/>
      <c r="R168" s="185"/>
      <c r="S168" s="191"/>
      <c r="T168" s="185"/>
      <c r="U168" s="185"/>
      <c r="V168" s="185"/>
      <c r="W168" s="185"/>
      <c r="X168" s="185"/>
      <c r="Y168" s="185"/>
      <c r="Z168" s="185"/>
      <c r="AA168" s="192"/>
      <c r="AB168" s="185"/>
      <c r="AC168" s="185"/>
      <c r="AD168" s="185"/>
      <c r="AE168" s="185"/>
      <c r="AF168" s="185"/>
      <c r="AG168" s="185"/>
      <c r="AH168" s="185"/>
      <c r="AI168" s="185"/>
      <c r="AJ168" s="185"/>
    </row>
    <row r="169" spans="2:36" x14ac:dyDescent="0.25">
      <c r="B169" s="75"/>
      <c r="C169" s="44"/>
      <c r="D169" s="125"/>
      <c r="E169" s="204"/>
      <c r="F169" s="204"/>
      <c r="G169" s="204"/>
      <c r="H169" s="204"/>
      <c r="I169" s="181"/>
      <c r="J169" s="181"/>
      <c r="K169" s="200"/>
      <c r="M169" s="185"/>
      <c r="N169" s="185"/>
      <c r="O169" s="191"/>
      <c r="P169" s="191"/>
      <c r="Q169" s="191"/>
      <c r="R169" s="191"/>
      <c r="S169" s="191"/>
      <c r="T169" s="191"/>
      <c r="U169" s="191"/>
      <c r="V169" s="185"/>
      <c r="W169" s="185"/>
      <c r="X169" s="185"/>
      <c r="Y169" s="191"/>
      <c r="Z169" s="191"/>
      <c r="AA169" s="191"/>
      <c r="AB169" s="191"/>
      <c r="AC169" s="191"/>
      <c r="AD169" s="191"/>
      <c r="AE169" s="191"/>
      <c r="AF169" s="185"/>
      <c r="AG169" s="185"/>
      <c r="AH169" s="185"/>
      <c r="AI169" s="185"/>
      <c r="AJ169" s="185"/>
    </row>
    <row r="170" spans="2:36" x14ac:dyDescent="0.25">
      <c r="B170" s="75"/>
      <c r="C170" s="44" t="s">
        <v>189</v>
      </c>
      <c r="D170" s="125"/>
      <c r="E170" s="210">
        <v>0.15</v>
      </c>
      <c r="F170" s="204"/>
      <c r="G170" s="204"/>
      <c r="H170" s="204"/>
      <c r="I170" s="181"/>
      <c r="J170" s="181"/>
      <c r="K170" s="200"/>
      <c r="M170" s="185"/>
      <c r="N170" s="185"/>
      <c r="O170" s="194"/>
      <c r="P170" s="191"/>
      <c r="Q170" s="191"/>
      <c r="R170" s="191"/>
      <c r="S170" s="191"/>
      <c r="T170" s="191"/>
      <c r="U170" s="191"/>
      <c r="V170" s="185"/>
      <c r="W170" s="185"/>
      <c r="X170" s="185"/>
      <c r="Y170" s="194"/>
      <c r="Z170" s="191"/>
      <c r="AA170" s="191"/>
      <c r="AB170" s="191"/>
      <c r="AC170" s="191"/>
      <c r="AD170" s="191"/>
      <c r="AE170" s="191"/>
      <c r="AF170" s="185"/>
      <c r="AG170" s="185"/>
      <c r="AH170" s="185"/>
      <c r="AI170" s="185"/>
      <c r="AJ170" s="185"/>
    </row>
    <row r="171" spans="2:36" x14ac:dyDescent="0.25">
      <c r="B171" s="75"/>
      <c r="C171" s="44"/>
      <c r="D171" s="125"/>
      <c r="E171" s="204"/>
      <c r="F171" s="204"/>
      <c r="G171" s="204"/>
      <c r="H171" s="204"/>
      <c r="I171" s="181"/>
      <c r="J171" s="181"/>
      <c r="K171" s="200"/>
      <c r="M171" s="185"/>
      <c r="N171" s="185"/>
      <c r="O171" s="191"/>
      <c r="P171" s="191"/>
      <c r="Q171" s="191"/>
      <c r="R171" s="191"/>
      <c r="S171" s="191"/>
      <c r="T171" s="191"/>
      <c r="U171" s="191"/>
      <c r="V171" s="185"/>
      <c r="W171" s="185"/>
      <c r="X171" s="185"/>
      <c r="Y171" s="191"/>
      <c r="Z171" s="191"/>
      <c r="AA171" s="191"/>
      <c r="AB171" s="191"/>
      <c r="AC171" s="191"/>
      <c r="AD171" s="191"/>
      <c r="AE171" s="191"/>
      <c r="AF171" s="185"/>
      <c r="AG171" s="185"/>
      <c r="AH171" s="185"/>
      <c r="AI171" s="185"/>
      <c r="AJ171" s="185"/>
    </row>
    <row r="172" spans="2:36" x14ac:dyDescent="0.25">
      <c r="B172" s="75"/>
      <c r="C172" s="44" t="s">
        <v>190</v>
      </c>
      <c r="D172" s="210">
        <f>+J163/E164</f>
        <v>1.525344978707891</v>
      </c>
      <c r="E172" s="210"/>
      <c r="F172" s="204"/>
      <c r="G172" s="204"/>
      <c r="H172" s="204"/>
      <c r="I172" s="181"/>
      <c r="J172" s="181"/>
      <c r="K172" s="200"/>
      <c r="M172" s="185"/>
      <c r="N172" s="185"/>
      <c r="O172" s="194"/>
      <c r="P172" s="191"/>
      <c r="Q172" s="191"/>
      <c r="R172" s="191"/>
      <c r="S172" s="191"/>
      <c r="T172" s="191"/>
      <c r="U172" s="191"/>
      <c r="V172" s="185"/>
      <c r="W172" s="185"/>
      <c r="X172" s="185"/>
      <c r="Y172" s="194"/>
      <c r="Z172" s="191"/>
      <c r="AA172" s="191"/>
      <c r="AB172" s="191"/>
      <c r="AC172" s="191"/>
      <c r="AD172" s="191"/>
      <c r="AE172" s="191"/>
      <c r="AF172" s="185"/>
      <c r="AG172" s="185"/>
      <c r="AH172" s="185"/>
      <c r="AI172" s="185"/>
      <c r="AJ172" s="185"/>
    </row>
    <row r="173" spans="2:36" x14ac:dyDescent="0.25">
      <c r="B173" s="75"/>
      <c r="C173" s="44"/>
      <c r="D173" s="125"/>
      <c r="E173" s="204"/>
      <c r="F173" s="204"/>
      <c r="G173" s="204"/>
      <c r="H173" s="204"/>
      <c r="I173" s="181"/>
      <c r="J173" s="181"/>
      <c r="K173" s="200"/>
      <c r="M173" s="185"/>
      <c r="N173" s="185"/>
      <c r="O173" s="191"/>
      <c r="P173" s="191"/>
      <c r="Q173" s="191"/>
      <c r="R173" s="191"/>
      <c r="S173" s="191"/>
      <c r="T173" s="191"/>
      <c r="U173" s="191"/>
      <c r="V173" s="185"/>
      <c r="W173" s="185"/>
      <c r="X173" s="185"/>
      <c r="Y173" s="191"/>
      <c r="Z173" s="191"/>
      <c r="AA173" s="191"/>
      <c r="AB173" s="191"/>
      <c r="AC173" s="191"/>
      <c r="AD173" s="191"/>
      <c r="AE173" s="191"/>
      <c r="AF173" s="185"/>
      <c r="AG173" s="185"/>
      <c r="AH173" s="185"/>
      <c r="AI173" s="185"/>
      <c r="AJ173" s="185"/>
    </row>
    <row r="174" spans="2:36" x14ac:dyDescent="0.25">
      <c r="B174" s="75"/>
      <c r="C174" s="44" t="s">
        <v>191</v>
      </c>
      <c r="D174" s="210">
        <f>+G164/I164</f>
        <v>1.2192261791563108</v>
      </c>
      <c r="E174" s="210"/>
      <c r="F174" s="204"/>
      <c r="G174" s="211"/>
      <c r="H174" s="204"/>
      <c r="I174" s="181"/>
      <c r="J174" s="181"/>
      <c r="K174" s="200"/>
      <c r="M174" s="185"/>
      <c r="N174" s="185"/>
      <c r="O174" s="194"/>
      <c r="P174" s="191"/>
      <c r="Q174" s="191"/>
      <c r="R174" s="191"/>
      <c r="S174" s="191"/>
      <c r="T174" s="191"/>
      <c r="U174" s="191"/>
      <c r="V174" s="185"/>
      <c r="W174" s="185"/>
      <c r="X174" s="185"/>
      <c r="Y174" s="194"/>
      <c r="Z174" s="191"/>
      <c r="AA174" s="191"/>
      <c r="AB174" s="191"/>
      <c r="AC174" s="191"/>
      <c r="AD174" s="191"/>
      <c r="AE174" s="191"/>
      <c r="AF174" s="185"/>
      <c r="AG174" s="185"/>
      <c r="AH174" s="185"/>
      <c r="AI174" s="185"/>
      <c r="AJ174" s="185"/>
    </row>
    <row r="175" spans="2:36" ht="16.5" thickBot="1" x14ac:dyDescent="0.3">
      <c r="B175" s="77"/>
      <c r="C175" s="80"/>
      <c r="D175" s="80"/>
      <c r="E175" s="201"/>
      <c r="F175" s="201"/>
      <c r="G175" s="202"/>
      <c r="H175" s="201"/>
      <c r="I175" s="201"/>
      <c r="J175" s="201"/>
      <c r="K175" s="203"/>
      <c r="M175" s="185"/>
      <c r="N175" s="185"/>
      <c r="O175" s="191"/>
      <c r="P175" s="191"/>
      <c r="Q175" s="191"/>
      <c r="R175" s="191"/>
      <c r="S175" s="185"/>
      <c r="T175" s="191"/>
      <c r="U175" s="191"/>
      <c r="V175" s="185"/>
      <c r="W175" s="185"/>
      <c r="X175" s="185"/>
      <c r="Y175" s="191"/>
      <c r="Z175" s="191"/>
      <c r="AA175" s="191"/>
      <c r="AB175" s="191"/>
      <c r="AC175" s="191"/>
      <c r="AD175" s="191"/>
      <c r="AE175" s="191"/>
      <c r="AF175" s="185"/>
      <c r="AG175" s="185"/>
      <c r="AH175" s="185"/>
      <c r="AI175" s="185"/>
      <c r="AJ175" s="185"/>
    </row>
    <row r="176" spans="2:36" ht="16.5" thickTop="1" x14ac:dyDescent="0.25">
      <c r="M176" s="185"/>
      <c r="N176" s="185"/>
      <c r="O176" s="185"/>
      <c r="P176" s="185"/>
      <c r="Q176" s="185"/>
      <c r="R176" s="185"/>
      <c r="T176" s="185"/>
      <c r="U176" s="185"/>
      <c r="V176" s="185"/>
      <c r="W176" s="185"/>
      <c r="X176" s="185"/>
      <c r="Y176" s="185"/>
      <c r="Z176" s="185"/>
      <c r="AA176" s="185"/>
      <c r="AB176" s="185"/>
      <c r="AC176" s="185"/>
      <c r="AD176" s="185"/>
      <c r="AE176" s="185"/>
      <c r="AF176" s="185"/>
      <c r="AG176" s="185"/>
      <c r="AH176" s="185"/>
      <c r="AI176" s="195"/>
      <c r="AJ176" s="185"/>
    </row>
    <row r="193" spans="3:13" ht="16.5" thickBot="1" x14ac:dyDescent="0.3"/>
    <row r="194" spans="3:13" ht="19.5" thickBot="1" x14ac:dyDescent="0.35">
      <c r="C194" s="263" t="s">
        <v>51</v>
      </c>
      <c r="D194" s="264"/>
      <c r="E194" s="180"/>
      <c r="F194" s="265" t="s">
        <v>170</v>
      </c>
      <c r="G194" s="266"/>
      <c r="H194" s="266"/>
      <c r="I194" s="266"/>
      <c r="J194" s="180"/>
      <c r="K194" s="267" t="s">
        <v>176</v>
      </c>
      <c r="L194" s="268"/>
      <c r="M194" s="269"/>
    </row>
    <row r="195" spans="3:13" x14ac:dyDescent="0.25">
      <c r="C195" s="168" t="s">
        <v>144</v>
      </c>
      <c r="D195" s="169" t="str">
        <f>+V6</f>
        <v>Presupuesto Horas trabajadas (programador Junior)</v>
      </c>
      <c r="E195" s="45"/>
      <c r="F195" s="172" t="s">
        <v>152</v>
      </c>
      <c r="G195" s="169" t="str">
        <f>+V63</f>
        <v>Real de Horas trabajadas (programador Junior)</v>
      </c>
      <c r="H195" s="44"/>
      <c r="I195" s="44"/>
      <c r="J195" s="45"/>
      <c r="K195" s="174"/>
      <c r="L195" s="169"/>
      <c r="M195" s="175"/>
    </row>
    <row r="196" spans="3:13" x14ac:dyDescent="0.25">
      <c r="C196" s="168" t="s">
        <v>143</v>
      </c>
      <c r="D196" s="169" t="str">
        <f>+M6</f>
        <v>Presupuesto Horas trabajadas (programador Senior)</v>
      </c>
      <c r="E196" s="45"/>
      <c r="F196" s="172" t="s">
        <v>153</v>
      </c>
      <c r="G196" s="169" t="str">
        <f>+M63</f>
        <v>Real de Horas trabajadas (programador Senior)</v>
      </c>
      <c r="H196" s="44"/>
      <c r="I196" s="44"/>
      <c r="J196" s="45"/>
      <c r="K196" s="174"/>
      <c r="L196" s="169"/>
      <c r="M196" s="175"/>
    </row>
    <row r="197" spans="3:13" x14ac:dyDescent="0.25">
      <c r="C197" s="168" t="s">
        <v>145</v>
      </c>
      <c r="D197" s="169" t="str">
        <f>+D6</f>
        <v xml:space="preserve">Presupuesto en Pesos sobre horas trabajadas </v>
      </c>
      <c r="E197" s="45"/>
      <c r="F197" s="172" t="s">
        <v>154</v>
      </c>
      <c r="G197" s="169" t="str">
        <f>+D63</f>
        <v xml:space="preserve">Gasto real Pesos sobre horas trabajadas </v>
      </c>
      <c r="H197" s="44"/>
      <c r="I197" s="44"/>
      <c r="J197" s="45"/>
      <c r="K197" s="174"/>
      <c r="L197" s="169"/>
      <c r="M197" s="175"/>
    </row>
    <row r="198" spans="3:13" x14ac:dyDescent="0.25">
      <c r="C198" s="168" t="s">
        <v>146</v>
      </c>
      <c r="D198" s="169" t="str">
        <f>+D17</f>
        <v>Presupuesto en Insumos (costos )</v>
      </c>
      <c r="E198" s="45"/>
      <c r="F198" s="172" t="s">
        <v>155</v>
      </c>
      <c r="G198" s="169" t="str">
        <f>+D74</f>
        <v>Real gastado en Insumos (costos )</v>
      </c>
      <c r="H198" s="44"/>
      <c r="I198" s="44"/>
      <c r="J198" s="45"/>
      <c r="K198" s="174"/>
      <c r="L198" s="169"/>
      <c r="M198" s="175"/>
    </row>
    <row r="199" spans="3:13" x14ac:dyDescent="0.25">
      <c r="C199" s="168" t="s">
        <v>147</v>
      </c>
      <c r="D199" s="169" t="str">
        <f>+D26</f>
        <v>Presupuesto Total</v>
      </c>
      <c r="E199" s="45"/>
      <c r="F199" s="172" t="s">
        <v>156</v>
      </c>
      <c r="G199" s="169" t="str">
        <f>+D83</f>
        <v>Gastos Reales (semana 3)</v>
      </c>
      <c r="H199" s="44"/>
      <c r="I199" s="44"/>
      <c r="J199" s="45"/>
      <c r="K199" s="172" t="s">
        <v>159</v>
      </c>
      <c r="L199" s="169" t="str">
        <f>+C99</f>
        <v>Diferencial Gastos</v>
      </c>
      <c r="M199" s="175"/>
    </row>
    <row r="200" spans="3:13" x14ac:dyDescent="0.25">
      <c r="C200" s="168" t="s">
        <v>148</v>
      </c>
      <c r="D200" s="169" t="str">
        <f>+V26</f>
        <v>Avance en % específico (Presupuestado)</v>
      </c>
      <c r="E200" s="45"/>
      <c r="F200" s="172" t="s">
        <v>158</v>
      </c>
      <c r="G200" s="169" t="str">
        <f>+V83</f>
        <v>Avance en % específico (Gastado)</v>
      </c>
      <c r="H200" s="44"/>
      <c r="I200" s="44"/>
      <c r="J200" s="45"/>
      <c r="K200" s="172" t="s">
        <v>161</v>
      </c>
      <c r="L200" s="169" t="str">
        <f>+V99</f>
        <v>Diferencial en Avance en % específico</v>
      </c>
      <c r="M200" s="175"/>
    </row>
    <row r="201" spans="3:13" x14ac:dyDescent="0.25">
      <c r="C201" s="168" t="s">
        <v>149</v>
      </c>
      <c r="D201" s="169" t="str">
        <f>+M26</f>
        <v>Avance en % del total (Presupuestado)</v>
      </c>
      <c r="E201" s="45"/>
      <c r="F201" s="172" t="s">
        <v>157</v>
      </c>
      <c r="G201" s="169" t="str">
        <f>+M83</f>
        <v>Avance en % del total (Gastado)</v>
      </c>
      <c r="H201" s="44"/>
      <c r="I201" s="44"/>
      <c r="J201" s="45"/>
      <c r="K201" s="172" t="s">
        <v>160</v>
      </c>
      <c r="L201" s="169" t="str">
        <f>+M99</f>
        <v>Diferencial en Avance % total</v>
      </c>
      <c r="M201" s="175"/>
    </row>
    <row r="202" spans="3:13" x14ac:dyDescent="0.25">
      <c r="C202" s="170"/>
      <c r="D202" s="44"/>
      <c r="E202" s="45"/>
      <c r="F202" s="173"/>
      <c r="G202" s="44"/>
      <c r="H202" s="44"/>
      <c r="I202" s="44"/>
      <c r="J202" s="45"/>
      <c r="K202" s="179"/>
      <c r="L202" s="169"/>
      <c r="M202" s="175"/>
    </row>
    <row r="203" spans="3:13" x14ac:dyDescent="0.25">
      <c r="C203" s="170"/>
      <c r="D203" s="169"/>
      <c r="E203" s="45"/>
      <c r="F203" s="172" t="s">
        <v>150</v>
      </c>
      <c r="G203" s="169" t="str">
        <f>+V44</f>
        <v xml:space="preserve">Control de Avance (específico) </v>
      </c>
      <c r="H203" s="44"/>
      <c r="I203" s="44"/>
      <c r="J203" s="45"/>
      <c r="K203" s="179"/>
      <c r="L203" s="169"/>
      <c r="M203" s="175"/>
    </row>
    <row r="204" spans="3:13" x14ac:dyDescent="0.25">
      <c r="C204" s="170"/>
      <c r="D204" s="44"/>
      <c r="E204" s="45"/>
      <c r="F204" s="172" t="s">
        <v>151</v>
      </c>
      <c r="G204" s="169" t="str">
        <f>+M44</f>
        <v>Control de Avance (total)</v>
      </c>
      <c r="H204" s="44"/>
      <c r="I204" s="44"/>
      <c r="J204" s="45"/>
      <c r="K204" s="179"/>
      <c r="L204" s="169"/>
      <c r="M204" s="175"/>
    </row>
    <row r="205" spans="3:13" x14ac:dyDescent="0.25">
      <c r="C205" s="170"/>
      <c r="D205" s="44"/>
      <c r="E205" s="45"/>
      <c r="F205" s="42"/>
      <c r="G205" s="44"/>
      <c r="H205" s="44"/>
      <c r="I205" s="44"/>
      <c r="J205" s="45"/>
      <c r="K205" s="172" t="s">
        <v>162</v>
      </c>
      <c r="L205" s="169" t="str">
        <f>+C116</f>
        <v>ANÁLISIS SUMARIO</v>
      </c>
      <c r="M205" s="175"/>
    </row>
    <row r="206" spans="3:13" x14ac:dyDescent="0.25">
      <c r="C206" s="170"/>
      <c r="D206" s="44"/>
      <c r="E206" s="45"/>
      <c r="F206" s="42"/>
      <c r="G206" s="44"/>
      <c r="H206" s="44"/>
      <c r="I206" s="44"/>
      <c r="J206" s="45"/>
      <c r="K206" s="172" t="s">
        <v>165</v>
      </c>
      <c r="L206" s="169" t="str">
        <f>+N116</f>
        <v>CIFRAS ACUMULADAS</v>
      </c>
      <c r="M206" s="175"/>
    </row>
    <row r="207" spans="3:13" x14ac:dyDescent="0.25">
      <c r="C207" s="170"/>
      <c r="D207" s="44"/>
      <c r="E207" s="45"/>
      <c r="F207" s="42"/>
      <c r="G207" s="44"/>
      <c r="H207" s="44"/>
      <c r="I207" s="44"/>
      <c r="J207" s="45"/>
      <c r="K207" s="172" t="s">
        <v>166</v>
      </c>
      <c r="L207" s="169" t="str">
        <f>+C147</f>
        <v>Análisis del Proyecto</v>
      </c>
      <c r="M207" s="175"/>
    </row>
    <row r="208" spans="3:13" ht="16.5" thickBot="1" x14ac:dyDescent="0.3">
      <c r="C208" s="171"/>
      <c r="D208" s="69"/>
      <c r="E208" s="70"/>
      <c r="F208" s="68"/>
      <c r="G208" s="69"/>
      <c r="H208" s="69"/>
      <c r="I208" s="69"/>
      <c r="J208" s="70"/>
      <c r="K208" s="176"/>
      <c r="L208" s="177"/>
      <c r="M208" s="178"/>
    </row>
  </sheetData>
  <mergeCells count="35">
    <mergeCell ref="AI4:AL5"/>
    <mergeCell ref="AQ4:AS5"/>
    <mergeCell ref="AW5:BA6"/>
    <mergeCell ref="AR6:AR14"/>
    <mergeCell ref="AL8:AO9"/>
    <mergeCell ref="BE18:BJ22"/>
    <mergeCell ref="BC25:BJ26"/>
    <mergeCell ref="AR28:AR30"/>
    <mergeCell ref="AU28:AX29"/>
    <mergeCell ref="BD28:BG29"/>
    <mergeCell ref="BI28:BJ29"/>
    <mergeCell ref="AZ30:BA37"/>
    <mergeCell ref="AR18:AR20"/>
    <mergeCell ref="C194:D194"/>
    <mergeCell ref="F194:I194"/>
    <mergeCell ref="K194:M194"/>
    <mergeCell ref="BE42:BJ44"/>
    <mergeCell ref="AJ44:AQ55"/>
    <mergeCell ref="AU45:AX46"/>
    <mergeCell ref="BI49:BJ55"/>
    <mergeCell ref="BC57:BJ60"/>
    <mergeCell ref="AQ79:AQ83"/>
    <mergeCell ref="AR65:AR66"/>
    <mergeCell ref="BA65:BA70"/>
    <mergeCell ref="AZ72:BB74"/>
    <mergeCell ref="AT73:AY76"/>
    <mergeCell ref="AR76:AR79"/>
    <mergeCell ref="AU82:AZ83"/>
    <mergeCell ref="BI85:BJ94"/>
    <mergeCell ref="AR85:AR86"/>
    <mergeCell ref="AR91:AR92"/>
    <mergeCell ref="AZ91:BA92"/>
    <mergeCell ref="BI101:BJ110"/>
    <mergeCell ref="AQ142:AR143"/>
    <mergeCell ref="AQ138:AR1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D14" sqref="D14"/>
    </sheetView>
  </sheetViews>
  <sheetFormatPr baseColWidth="10" defaultRowHeight="15.75" x14ac:dyDescent="0.25"/>
  <cols>
    <col min="2" max="2" width="44" customWidth="1"/>
  </cols>
  <sheetData>
    <row r="1" spans="1:2" x14ac:dyDescent="0.25">
      <c r="A1" s="318" t="s">
        <v>220</v>
      </c>
      <c r="B1" s="318"/>
    </row>
    <row r="2" spans="1:2" ht="33.75" customHeight="1" x14ac:dyDescent="0.25">
      <c r="A2" s="319" t="s">
        <v>222</v>
      </c>
      <c r="B2" s="229" t="s">
        <v>224</v>
      </c>
    </row>
    <row r="3" spans="1:2" ht="50.25" customHeight="1" x14ac:dyDescent="0.25">
      <c r="A3" s="319"/>
      <c r="B3" s="230" t="s">
        <v>221</v>
      </c>
    </row>
    <row r="4" spans="1:2" ht="15.75" customHeight="1" x14ac:dyDescent="0.25">
      <c r="A4" s="320" t="s">
        <v>223</v>
      </c>
      <c r="B4" s="231" t="s">
        <v>225</v>
      </c>
    </row>
    <row r="5" spans="1:2" ht="31.5" x14ac:dyDescent="0.25">
      <c r="A5" s="320"/>
      <c r="B5" s="229" t="s">
        <v>226</v>
      </c>
    </row>
    <row r="6" spans="1:2" x14ac:dyDescent="0.25">
      <c r="A6" s="320"/>
      <c r="B6" s="229" t="s">
        <v>227</v>
      </c>
    </row>
  </sheetData>
  <mergeCells count="3">
    <mergeCell ref="A1:B1"/>
    <mergeCell ref="A2:A3"/>
    <mergeCell ref="A4:A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DE TRABAJO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GAYTAN GONZALEZ</dc:creator>
  <cp:lastModifiedBy>Yolanda DJ</cp:lastModifiedBy>
  <dcterms:created xsi:type="dcterms:W3CDTF">2020-12-29T02:39:00Z</dcterms:created>
  <dcterms:modified xsi:type="dcterms:W3CDTF">2021-10-26T04:21:48Z</dcterms:modified>
</cp:coreProperties>
</file>