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ovan\Desktop\Universidad\2024-I\Servomecanismos\Servomechanisms_projects\Industrial Project\"/>
    </mc:Choice>
  </mc:AlternateContent>
  <xr:revisionPtr revIDLastSave="0" documentId="13_ncr:1_{07474E95-27FF-42DD-9BA2-5AE302D06FC4}" xr6:coauthVersionLast="47" xr6:coauthVersionMax="47" xr10:uidLastSave="{00000000-0000-0000-0000-000000000000}"/>
  <bookViews>
    <workbookView xWindow="-110" yWindow="-110" windowWidth="19420" windowHeight="10300" activeTab="2" xr2:uid="{B0F2CBF6-5ED2-493D-A4FB-4071C97ABC6B}"/>
  </bookViews>
  <sheets>
    <sheet name="Formado (1)" sheetId="5" r:id="rId1"/>
    <sheet name="Formado (2)" sheetId="1" r:id="rId2"/>
    <sheet name="Home (1)" sheetId="7" r:id="rId3"/>
    <sheet name="Home (2)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2" l="1"/>
  <c r="F11" i="2"/>
  <c r="F11" i="1"/>
  <c r="B11" i="1"/>
  <c r="C5" i="1"/>
  <c r="B6" i="1"/>
  <c r="B5" i="1"/>
  <c r="E28" i="7"/>
  <c r="D24" i="7"/>
  <c r="D23" i="7"/>
  <c r="F3" i="7"/>
  <c r="F4" i="7" s="1"/>
  <c r="F5" i="7" s="1"/>
  <c r="B3" i="7"/>
  <c r="B4" i="7" s="1"/>
  <c r="H2" i="7"/>
  <c r="F6" i="5"/>
  <c r="F5" i="5"/>
  <c r="F7" i="5"/>
  <c r="B7" i="5"/>
  <c r="B8" i="5" s="1"/>
  <c r="B3" i="5"/>
  <c r="B4" i="5" s="1"/>
  <c r="K23" i="2"/>
  <c r="N25" i="2" s="1"/>
  <c r="M13" i="1"/>
  <c r="I29" i="2"/>
  <c r="D29" i="2"/>
  <c r="I28" i="2"/>
  <c r="D28" i="2"/>
  <c r="I27" i="2"/>
  <c r="D27" i="2"/>
  <c r="D30" i="2" s="1"/>
  <c r="D23" i="2"/>
  <c r="D22" i="2"/>
  <c r="D21" i="2"/>
  <c r="I29" i="1"/>
  <c r="I28" i="1"/>
  <c r="I27" i="1"/>
  <c r="D29" i="1"/>
  <c r="D28" i="1"/>
  <c r="D27" i="1"/>
  <c r="D30" i="1" s="1"/>
  <c r="D23" i="1"/>
  <c r="D22" i="1"/>
  <c r="D21" i="1"/>
  <c r="D24" i="5"/>
  <c r="D23" i="5"/>
  <c r="F3" i="5"/>
  <c r="F4" i="5" s="1"/>
  <c r="H2" i="5"/>
  <c r="F3" i="2"/>
  <c r="F4" i="2" s="1"/>
  <c r="B3" i="2"/>
  <c r="B4" i="2" s="1"/>
  <c r="F3" i="1"/>
  <c r="F4" i="1" s="1"/>
  <c r="F5" i="1" s="1"/>
  <c r="F6" i="1" s="1"/>
  <c r="D18" i="1" s="1"/>
  <c r="B3" i="1"/>
  <c r="B4" i="1" s="1"/>
  <c r="H2" i="2"/>
  <c r="H2" i="1"/>
  <c r="D16" i="1" l="1"/>
  <c r="L19" i="1"/>
  <c r="N19" i="1" s="1"/>
  <c r="Q20" i="1" s="1"/>
  <c r="B7" i="7"/>
  <c r="F7" i="7"/>
  <c r="B9" i="5"/>
  <c r="L21" i="1"/>
  <c r="I30" i="1"/>
  <c r="I30" i="2"/>
  <c r="D17" i="1"/>
  <c r="F5" i="2"/>
  <c r="F6" i="2" s="1"/>
  <c r="B5" i="2"/>
  <c r="B6" i="2" s="1"/>
  <c r="F7" i="1"/>
  <c r="M21" i="1" s="1"/>
  <c r="O20" i="1" l="1"/>
  <c r="F8" i="7"/>
  <c r="F9" i="7" s="1"/>
  <c r="F10" i="7" s="1"/>
  <c r="F12" i="7" s="1"/>
  <c r="B8" i="7"/>
  <c r="B9" i="7" s="1"/>
  <c r="B10" i="7" s="1"/>
  <c r="B12" i="7" s="1"/>
  <c r="B10" i="5"/>
  <c r="B12" i="5" s="1"/>
  <c r="B11" i="5"/>
  <c r="F8" i="5"/>
  <c r="F9" i="5" s="1"/>
  <c r="F10" i="5" s="1"/>
  <c r="E28" i="5"/>
  <c r="D16" i="2"/>
  <c r="J21" i="2"/>
  <c r="D18" i="2"/>
  <c r="J23" i="2"/>
  <c r="D17" i="2"/>
  <c r="P23" i="1"/>
  <c r="P22" i="1"/>
  <c r="N21" i="1"/>
  <c r="O23" i="1"/>
  <c r="O22" i="1"/>
  <c r="E18" i="1"/>
  <c r="E17" i="1"/>
  <c r="G6" i="2"/>
  <c r="B7" i="2"/>
  <c r="C6" i="2"/>
  <c r="B9" i="2"/>
  <c r="B16" i="2" s="1"/>
  <c r="G6" i="1"/>
  <c r="F9" i="1"/>
  <c r="B17" i="1" s="1"/>
  <c r="B18" i="1" s="1"/>
  <c r="B11" i="7" l="1"/>
  <c r="B13" i="7" s="1"/>
  <c r="C13" i="7" s="1"/>
  <c r="M19" i="1"/>
  <c r="P20" i="1" s="1"/>
  <c r="B9" i="1"/>
  <c r="B10" i="1" s="1"/>
  <c r="B12" i="1" s="1"/>
  <c r="F11" i="7"/>
  <c r="F13" i="7" s="1"/>
  <c r="G13" i="7" s="1"/>
  <c r="F12" i="5"/>
  <c r="F11" i="5"/>
  <c r="L21" i="2"/>
  <c r="O22" i="2" s="1"/>
  <c r="M22" i="2"/>
  <c r="E16" i="2"/>
  <c r="K21" i="2"/>
  <c r="N22" i="2" s="1"/>
  <c r="M25" i="2"/>
  <c r="M24" i="2"/>
  <c r="L23" i="2"/>
  <c r="Q23" i="1"/>
  <c r="Q22" i="1"/>
  <c r="E16" i="1"/>
  <c r="F7" i="2"/>
  <c r="B10" i="2"/>
  <c r="F10" i="1"/>
  <c r="F13" i="5" l="1"/>
  <c r="G13" i="5" s="1"/>
  <c r="O25" i="2"/>
  <c r="O24" i="2"/>
  <c r="F9" i="2"/>
  <c r="N24" i="2"/>
  <c r="E17" i="2"/>
  <c r="E18" i="2"/>
  <c r="C16" i="1"/>
  <c r="F12" i="1"/>
  <c r="F13" i="1" s="1"/>
  <c r="G13" i="1" s="1"/>
  <c r="C17" i="1"/>
  <c r="C18" i="1" s="1"/>
  <c r="B16" i="1"/>
  <c r="B13" i="5"/>
  <c r="C13" i="5" s="1"/>
  <c r="B12" i="2"/>
  <c r="B13" i="2" s="1"/>
  <c r="C13" i="2" s="1"/>
  <c r="C16" i="2"/>
  <c r="F10" i="2"/>
  <c r="F12" i="2" l="1"/>
  <c r="C17" i="2"/>
  <c r="C18" i="2" s="1"/>
  <c r="B17" i="2"/>
  <c r="B18" i="2" s="1"/>
  <c r="B13" i="1"/>
  <c r="C13" i="1" s="1"/>
  <c r="F13" i="2" l="1"/>
  <c r="G13" i="2" s="1"/>
</calcChain>
</file>

<file path=xl/sharedStrings.xml><?xml version="1.0" encoding="utf-8"?>
<sst xmlns="http://schemas.openxmlformats.org/spreadsheetml/2006/main" count="266" uniqueCount="48">
  <si>
    <t>L</t>
  </si>
  <si>
    <t>tp (box/min)</t>
  </si>
  <si>
    <t>tu (s)</t>
  </si>
  <si>
    <t>L (m)</t>
  </si>
  <si>
    <t>Vmax</t>
  </si>
  <si>
    <t>tf (s)</t>
  </si>
  <si>
    <t>tm (s)</t>
  </si>
  <si>
    <t>t2</t>
  </si>
  <si>
    <t>t1 = t3</t>
  </si>
  <si>
    <t>Amin</t>
  </si>
  <si>
    <t>X2</t>
  </si>
  <si>
    <t>X1 + X3</t>
  </si>
  <si>
    <t>NO ES EL REAL</t>
  </si>
  <si>
    <t>REAL</t>
  </si>
  <si>
    <t>ERROR</t>
  </si>
  <si>
    <t>ϑ1 + ϑ3</t>
  </si>
  <si>
    <t>ϑ2</t>
  </si>
  <si>
    <t>ϑt</t>
  </si>
  <si>
    <t>Eje Y</t>
  </si>
  <si>
    <t>Eje X y Z</t>
  </si>
  <si>
    <t>Eje X</t>
  </si>
  <si>
    <t>Eje Z</t>
  </si>
  <si>
    <t>a</t>
  </si>
  <si>
    <t>t1 (s)</t>
  </si>
  <si>
    <t>t2 (s)</t>
  </si>
  <si>
    <t>t0</t>
  </si>
  <si>
    <t>t1</t>
  </si>
  <si>
    <t>tf</t>
  </si>
  <si>
    <t>tp</t>
  </si>
  <si>
    <t>tp1</t>
  </si>
  <si>
    <t>tp2</t>
  </si>
  <si>
    <t>t3</t>
  </si>
  <si>
    <t>tfr</t>
  </si>
  <si>
    <t>ERROR (%)</t>
  </si>
  <si>
    <t>-</t>
  </si>
  <si>
    <t>t0 (s)</t>
  </si>
  <si>
    <t>t3 (s)</t>
  </si>
  <si>
    <t>Teorico Y</t>
  </si>
  <si>
    <t>Teorico X, Z</t>
  </si>
  <si>
    <t>tp1 (s)</t>
  </si>
  <si>
    <t>tp2 (s)</t>
  </si>
  <si>
    <t>Ejes</t>
  </si>
  <si>
    <t>Y</t>
  </si>
  <si>
    <t>X</t>
  </si>
  <si>
    <t>Z</t>
  </si>
  <si>
    <t>Factor</t>
  </si>
  <si>
    <t>ϑ (rad)</t>
  </si>
  <si>
    <t>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</si>
</sst>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000"/>
    <numFmt numFmtId="165" formatCode="0.000"/>
    <numFmt numFmtId="166" formatCode="0.000%"/>
    <numFmt numFmtId="167" formatCode="0.0000000"/>
    <numFmt numFmtId="168" formatCode="0.00000000"/>
    <numFmt numFmtId="169" formatCode="0.0000000000000"/>
    <numFmt numFmtId="170" formatCode="0.00000000000000"/>
    <numFmt numFmtId="171" formatCode="0.00000000000000000000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164" fontId="0" fillId="0" borderId="0" xfId="0" applyNumberFormat="1"/>
    <xf numFmtId="165" fontId="0" fillId="0" borderId="0" xfId="0" applyNumberFormat="1"/>
    <xf numFmtId="10" fontId="0" fillId="0" borderId="0" xfId="1" applyNumberFormat="1" applyFont="1"/>
    <xf numFmtId="166" fontId="0" fillId="2" borderId="0" xfId="1" applyNumberFormat="1" applyFont="1" applyFill="1"/>
    <xf numFmtId="0" fontId="2" fillId="0" borderId="0" xfId="0" applyFont="1"/>
    <xf numFmtId="0" fontId="0" fillId="0" borderId="1" xfId="0" applyBorder="1"/>
    <xf numFmtId="10" fontId="0" fillId="0" borderId="0" xfId="1" applyNumberFormat="1" applyFont="1" applyBorder="1"/>
    <xf numFmtId="166" fontId="0" fillId="2" borderId="0" xfId="1" applyNumberFormat="1" applyFont="1" applyFill="1" applyBorder="1"/>
    <xf numFmtId="0" fontId="0" fillId="0" borderId="0" xfId="0" applyAlignment="1">
      <alignment horizontal="center"/>
    </xf>
    <xf numFmtId="165" fontId="0" fillId="0" borderId="0" xfId="1" applyNumberFormat="1" applyFont="1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65" fontId="0" fillId="0" borderId="0" xfId="0" applyNumberFormat="1" applyAlignment="1">
      <alignment horizontal="center"/>
    </xf>
    <xf numFmtId="2" fontId="0" fillId="0" borderId="0" xfId="0" applyNumberFormat="1"/>
    <xf numFmtId="167" fontId="0" fillId="0" borderId="0" xfId="0" applyNumberFormat="1"/>
    <xf numFmtId="166" fontId="2" fillId="2" borderId="0" xfId="1" applyNumberFormat="1" applyFont="1" applyFill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22E4D-8BA6-41C6-A2B9-B8E9DEA79A24}">
  <sheetPr>
    <tabColor rgb="FFFF0000"/>
  </sheetPr>
  <dimension ref="A1:I28"/>
  <sheetViews>
    <sheetView workbookViewId="0">
      <selection activeCell="C19" sqref="C19"/>
    </sheetView>
  </sheetViews>
  <sheetFormatPr baseColWidth="10" defaultRowHeight="14.5" x14ac:dyDescent="0.35"/>
  <cols>
    <col min="2" max="2" width="13.6328125" bestFit="1" customWidth="1"/>
    <col min="3" max="3" width="14.81640625" customWidth="1"/>
    <col min="4" max="4" width="11.54296875" bestFit="1" customWidth="1"/>
    <col min="5" max="5" width="12.81640625" bestFit="1" customWidth="1"/>
    <col min="7" max="7" width="15.36328125" bestFit="1" customWidth="1"/>
    <col min="10" max="10" width="12.54296875" bestFit="1" customWidth="1"/>
  </cols>
  <sheetData>
    <row r="1" spans="1:9" x14ac:dyDescent="0.35">
      <c r="A1" s="24" t="s">
        <v>18</v>
      </c>
      <c r="B1" s="24"/>
      <c r="C1" s="24"/>
      <c r="E1" s="25" t="s">
        <v>19</v>
      </c>
      <c r="F1" s="24"/>
      <c r="G1" s="24"/>
      <c r="H1" s="24"/>
    </row>
    <row r="2" spans="1:9" x14ac:dyDescent="0.35">
      <c r="A2" t="s">
        <v>1</v>
      </c>
      <c r="B2">
        <v>10</v>
      </c>
      <c r="C2" t="s">
        <v>3</v>
      </c>
      <c r="D2">
        <v>3</v>
      </c>
      <c r="E2" s="6" t="s">
        <v>1</v>
      </c>
      <c r="F2">
        <v>10</v>
      </c>
      <c r="G2" t="s">
        <v>46</v>
      </c>
      <c r="H2">
        <f>RADIANS(90)</f>
        <v>1.5707963267948966</v>
      </c>
    </row>
    <row r="3" spans="1:9" x14ac:dyDescent="0.35">
      <c r="A3" t="s">
        <v>2</v>
      </c>
      <c r="B3">
        <f>(1/B2)*60-0.5</f>
        <v>5.5</v>
      </c>
      <c r="E3" s="6" t="s">
        <v>2</v>
      </c>
      <c r="F3">
        <f>(1/F2)*60-0.5</f>
        <v>5.5</v>
      </c>
    </row>
    <row r="4" spans="1:9" x14ac:dyDescent="0.35">
      <c r="A4" t="s">
        <v>5</v>
      </c>
      <c r="B4">
        <f>B3/2</f>
        <v>2.75</v>
      </c>
      <c r="E4" s="6" t="s">
        <v>5</v>
      </c>
      <c r="F4">
        <f>F3/2</f>
        <v>2.75</v>
      </c>
      <c r="G4" t="s">
        <v>12</v>
      </c>
    </row>
    <row r="5" spans="1:9" x14ac:dyDescent="0.35">
      <c r="B5" s="10"/>
      <c r="E5" s="6" t="s">
        <v>6</v>
      </c>
      <c r="F5" s="10">
        <f>F4/2</f>
        <v>1.375</v>
      </c>
      <c r="G5" t="s">
        <v>13</v>
      </c>
    </row>
    <row r="6" spans="1:9" x14ac:dyDescent="0.35">
      <c r="A6" t="s">
        <v>45</v>
      </c>
      <c r="B6">
        <v>1.5625</v>
      </c>
      <c r="C6" s="2"/>
      <c r="D6" s="1"/>
      <c r="E6" s="6" t="s">
        <v>45</v>
      </c>
      <c r="F6">
        <f>4/3</f>
        <v>1.3333333333333333</v>
      </c>
      <c r="G6" s="21"/>
    </row>
    <row r="7" spans="1:9" x14ac:dyDescent="0.35">
      <c r="A7" t="s">
        <v>9</v>
      </c>
      <c r="B7" s="1">
        <f>B6*4*D2/(B4*B4)</f>
        <v>2.4793388429752068</v>
      </c>
      <c r="C7" s="20"/>
      <c r="D7" s="1"/>
      <c r="E7" s="6" t="s">
        <v>9</v>
      </c>
      <c r="F7" s="2">
        <f>F6*4*H2/(F5*F5)</f>
        <v>4.431116910848413</v>
      </c>
      <c r="I7" s="2"/>
    </row>
    <row r="8" spans="1:9" x14ac:dyDescent="0.35">
      <c r="A8" t="s">
        <v>4</v>
      </c>
      <c r="B8" s="1">
        <f>((B7*B4) - (B7*SQRT(B4*B4-4*D2/B7)))/2</f>
        <v>1.3636363636363633</v>
      </c>
      <c r="D8" s="1"/>
      <c r="E8" s="6" t="s">
        <v>4</v>
      </c>
      <c r="F8" s="2">
        <f>((F7*F5) - (F7*SQRT(F5*F5-4*H2/F7)))/2</f>
        <v>1.5231964381041421</v>
      </c>
    </row>
    <row r="9" spans="1:9" x14ac:dyDescent="0.35">
      <c r="A9" t="s">
        <v>26</v>
      </c>
      <c r="B9" s="1">
        <f>B8/B7</f>
        <v>0.54999999999999982</v>
      </c>
      <c r="D9" s="1"/>
      <c r="E9" s="6" t="s">
        <v>26</v>
      </c>
      <c r="F9" s="1">
        <f>F8/F7</f>
        <v>0.34375</v>
      </c>
    </row>
    <row r="10" spans="1:9" x14ac:dyDescent="0.35">
      <c r="A10" t="s">
        <v>7</v>
      </c>
      <c r="B10" s="1">
        <f>B4-2*B9</f>
        <v>1.6500000000000004</v>
      </c>
      <c r="D10" s="1"/>
      <c r="E10" s="6" t="s">
        <v>7</v>
      </c>
      <c r="F10" s="1">
        <f>F5-2*F9</f>
        <v>0.6875</v>
      </c>
    </row>
    <row r="11" spans="1:9" x14ac:dyDescent="0.35">
      <c r="A11" t="s">
        <v>11</v>
      </c>
      <c r="B11" s="10">
        <f>B7*B9*B9</f>
        <v>0.74999999999999956</v>
      </c>
      <c r="C11" s="10"/>
      <c r="D11" s="1"/>
      <c r="E11" s="6" t="s">
        <v>15</v>
      </c>
      <c r="F11" s="10">
        <f>F7*F9*F9</f>
        <v>0.5235987755982987</v>
      </c>
      <c r="G11" s="10"/>
    </row>
    <row r="12" spans="1:9" x14ac:dyDescent="0.35">
      <c r="A12" t="s">
        <v>10</v>
      </c>
      <c r="B12" s="10">
        <f>B10*B8</f>
        <v>2.25</v>
      </c>
      <c r="C12" t="s">
        <v>14</v>
      </c>
      <c r="E12" s="6" t="s">
        <v>16</v>
      </c>
      <c r="F12" s="10">
        <f>F10*F8</f>
        <v>1.0471975511965976</v>
      </c>
      <c r="G12" t="s">
        <v>14</v>
      </c>
    </row>
    <row r="13" spans="1:9" x14ac:dyDescent="0.35">
      <c r="A13" t="s">
        <v>0</v>
      </c>
      <c r="B13">
        <f>B12+B11</f>
        <v>2.9999999999999996</v>
      </c>
      <c r="C13" s="19">
        <f>ABS((B13-3)/3)</f>
        <v>1.4802973661668753E-16</v>
      </c>
      <c r="D13" s="5"/>
      <c r="E13" s="6" t="s">
        <v>47</v>
      </c>
      <c r="F13">
        <f>F12+F11</f>
        <v>1.5707963267948963</v>
      </c>
      <c r="G13" s="19">
        <f>ABS((F13-H2)/H2)</f>
        <v>1.4135798584282297E-16</v>
      </c>
    </row>
    <row r="14" spans="1:9" x14ac:dyDescent="0.35">
      <c r="I14" s="17"/>
    </row>
    <row r="23" spans="1:5" x14ac:dyDescent="0.35">
      <c r="A23" t="s">
        <v>25</v>
      </c>
      <c r="B23">
        <v>41.564999999999998</v>
      </c>
      <c r="C23" t="s">
        <v>26</v>
      </c>
      <c r="D23">
        <f>B24-B23</f>
        <v>1.3599999999999994</v>
      </c>
    </row>
    <row r="24" spans="1:5" x14ac:dyDescent="0.35">
      <c r="A24" t="s">
        <v>28</v>
      </c>
      <c r="B24">
        <v>42.924999999999997</v>
      </c>
      <c r="C24" t="s">
        <v>27</v>
      </c>
      <c r="D24">
        <f>B25-B23</f>
        <v>2.75</v>
      </c>
    </row>
    <row r="25" spans="1:5" x14ac:dyDescent="0.35">
      <c r="A25" t="s">
        <v>27</v>
      </c>
      <c r="B25">
        <v>44.314999999999998</v>
      </c>
    </row>
    <row r="27" spans="1:5" x14ac:dyDescent="0.35">
      <c r="A27" t="s">
        <v>25</v>
      </c>
      <c r="B27" t="s">
        <v>28</v>
      </c>
      <c r="C27" t="s">
        <v>27</v>
      </c>
      <c r="D27" t="s">
        <v>26</v>
      </c>
    </row>
    <row r="28" spans="1:5" x14ac:dyDescent="0.35">
      <c r="A28">
        <v>41.564999999999998</v>
      </c>
      <c r="B28">
        <v>42.924999999999997</v>
      </c>
      <c r="C28">
        <v>44.314999999999998</v>
      </c>
      <c r="D28">
        <v>1.36</v>
      </c>
      <c r="E28" s="3" t="e">
        <f>ABS(D28-#REF!)/#REF!</f>
        <v>#REF!</v>
      </c>
    </row>
  </sheetData>
  <mergeCells count="2">
    <mergeCell ref="A1:C1"/>
    <mergeCell ref="E1:H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5E912-B2D5-4836-B42A-0522C90B9826}">
  <sheetPr>
    <tabColor rgb="FF00FF00"/>
  </sheetPr>
  <dimension ref="A1:Q30"/>
  <sheetViews>
    <sheetView workbookViewId="0">
      <selection activeCell="I9" sqref="I9"/>
    </sheetView>
  </sheetViews>
  <sheetFormatPr baseColWidth="10" defaultRowHeight="14.5" x14ac:dyDescent="0.35"/>
  <cols>
    <col min="1" max="1" width="10.54296875" bestFit="1" customWidth="1"/>
    <col min="2" max="2" width="9.36328125" bestFit="1" customWidth="1"/>
    <col min="3" max="3" width="12.54296875" bestFit="1" customWidth="1"/>
    <col min="4" max="4" width="5.36328125" bestFit="1" customWidth="1"/>
    <col min="5" max="5" width="10.54296875" bestFit="1" customWidth="1"/>
    <col min="6" max="6" width="11.81640625" bestFit="1" customWidth="1"/>
    <col min="11" max="11" width="12.54296875" bestFit="1" customWidth="1"/>
  </cols>
  <sheetData>
    <row r="1" spans="1:16" x14ac:dyDescent="0.35">
      <c r="A1" s="24" t="s">
        <v>18</v>
      </c>
      <c r="B1" s="24"/>
      <c r="C1" s="24"/>
      <c r="E1" s="25" t="s">
        <v>19</v>
      </c>
      <c r="F1" s="24"/>
      <c r="G1" s="24"/>
      <c r="H1" s="24"/>
      <c r="I1" s="9"/>
    </row>
    <row r="2" spans="1:16" x14ac:dyDescent="0.35">
      <c r="A2" t="s">
        <v>1</v>
      </c>
      <c r="B2">
        <v>10</v>
      </c>
      <c r="C2" t="s">
        <v>3</v>
      </c>
      <c r="D2">
        <v>3</v>
      </c>
      <c r="E2" s="6" t="s">
        <v>1</v>
      </c>
      <c r="F2">
        <v>10</v>
      </c>
      <c r="G2" t="s">
        <v>46</v>
      </c>
      <c r="H2">
        <f>RADIANS(90)</f>
        <v>1.5707963267948966</v>
      </c>
    </row>
    <row r="3" spans="1:16" x14ac:dyDescent="0.35">
      <c r="A3" t="s">
        <v>2</v>
      </c>
      <c r="B3">
        <f>(1/B2)*60-0.5</f>
        <v>5.5</v>
      </c>
      <c r="E3" s="6" t="s">
        <v>2</v>
      </c>
      <c r="F3">
        <f>(1/F2)*60-0.5</f>
        <v>5.5</v>
      </c>
    </row>
    <row r="4" spans="1:16" x14ac:dyDescent="0.35">
      <c r="A4" t="s">
        <v>5</v>
      </c>
      <c r="B4">
        <f>B3/2</f>
        <v>2.75</v>
      </c>
      <c r="C4" t="s">
        <v>12</v>
      </c>
      <c r="E4" s="6" t="s">
        <v>5</v>
      </c>
      <c r="F4">
        <f>F3/2</f>
        <v>2.75</v>
      </c>
      <c r="G4" t="s">
        <v>12</v>
      </c>
    </row>
    <row r="5" spans="1:16" x14ac:dyDescent="0.35">
      <c r="A5" t="s">
        <v>8</v>
      </c>
      <c r="B5" s="10">
        <f>B4*0.2</f>
        <v>0.55000000000000004</v>
      </c>
      <c r="C5" s="3">
        <f>ABS(2*B5/B4)</f>
        <v>0.4</v>
      </c>
      <c r="E5" s="6" t="s">
        <v>6</v>
      </c>
      <c r="F5" s="10">
        <f>F4/2</f>
        <v>1.375</v>
      </c>
      <c r="G5" t="s">
        <v>13</v>
      </c>
    </row>
    <row r="6" spans="1:16" x14ac:dyDescent="0.35">
      <c r="A6" t="s">
        <v>7</v>
      </c>
      <c r="B6">
        <f>B4-2*B5</f>
        <v>1.65</v>
      </c>
      <c r="E6" s="6" t="s">
        <v>8</v>
      </c>
      <c r="F6" s="10">
        <f>F5*0.25</f>
        <v>0.34375</v>
      </c>
      <c r="G6" s="7">
        <f>ABS(2*F6/F5)</f>
        <v>0.5</v>
      </c>
    </row>
    <row r="7" spans="1:16" x14ac:dyDescent="0.35">
      <c r="E7" s="6" t="s">
        <v>7</v>
      </c>
      <c r="F7">
        <f>F5-2*F6</f>
        <v>0.6875</v>
      </c>
    </row>
    <row r="8" spans="1:16" x14ac:dyDescent="0.35">
      <c r="E8" s="6"/>
    </row>
    <row r="9" spans="1:16" x14ac:dyDescent="0.35">
      <c r="A9" t="s">
        <v>9</v>
      </c>
      <c r="B9" s="18">
        <f>D2/(B5*B5+B5*B6)</f>
        <v>2.4793388429752068</v>
      </c>
      <c r="D9" s="1"/>
      <c r="E9" s="6" t="s">
        <v>9</v>
      </c>
      <c r="F9" s="2">
        <f>H2/(F6*F6+F6*F7)</f>
        <v>4.4311169108484139</v>
      </c>
    </row>
    <row r="10" spans="1:16" x14ac:dyDescent="0.35">
      <c r="A10" t="s">
        <v>4</v>
      </c>
      <c r="B10" s="18">
        <f>B9*B5</f>
        <v>1.3636363636363638</v>
      </c>
      <c r="E10" s="6" t="s">
        <v>4</v>
      </c>
      <c r="F10" s="2">
        <f>F9*F6</f>
        <v>1.5231964381041423</v>
      </c>
    </row>
    <row r="11" spans="1:16" x14ac:dyDescent="0.35">
      <c r="A11" t="s">
        <v>11</v>
      </c>
      <c r="B11" s="10">
        <f>B9*B5*B5</f>
        <v>0.75000000000000011</v>
      </c>
      <c r="C11" s="10"/>
      <c r="E11" s="6" t="s">
        <v>15</v>
      </c>
      <c r="F11" s="10">
        <f>F9*F6*F6</f>
        <v>0.52359877559829893</v>
      </c>
      <c r="G11" s="10"/>
      <c r="L11" s="11" t="s">
        <v>41</v>
      </c>
      <c r="M11" s="11" t="s">
        <v>35</v>
      </c>
      <c r="N11" s="11" t="s">
        <v>39</v>
      </c>
      <c r="O11" s="11" t="s">
        <v>40</v>
      </c>
      <c r="P11" s="11" t="s">
        <v>5</v>
      </c>
    </row>
    <row r="12" spans="1:16" x14ac:dyDescent="0.35">
      <c r="A12" t="s">
        <v>10</v>
      </c>
      <c r="B12" s="10">
        <f>B10*B6</f>
        <v>2.25</v>
      </c>
      <c r="C12" t="s">
        <v>14</v>
      </c>
      <c r="E12" s="6" t="s">
        <v>16</v>
      </c>
      <c r="F12" s="10">
        <f>F10*F7</f>
        <v>1.0471975511965979</v>
      </c>
      <c r="G12" t="s">
        <v>14</v>
      </c>
      <c r="L12" s="11" t="s">
        <v>37</v>
      </c>
      <c r="M12" s="13" t="s">
        <v>34</v>
      </c>
      <c r="N12" s="13" t="s">
        <v>34</v>
      </c>
      <c r="O12" s="13" t="s">
        <v>34</v>
      </c>
      <c r="P12" s="13" t="s">
        <v>34</v>
      </c>
    </row>
    <row r="13" spans="1:16" x14ac:dyDescent="0.35">
      <c r="A13" t="s">
        <v>0</v>
      </c>
      <c r="B13">
        <f>B12+B11</f>
        <v>3</v>
      </c>
      <c r="C13" s="4">
        <f>ABS((B13-3)/3)</f>
        <v>0</v>
      </c>
      <c r="D13" s="5"/>
      <c r="E13" s="6" t="s">
        <v>17</v>
      </c>
      <c r="F13">
        <f>F12+F11</f>
        <v>1.5707963267948968</v>
      </c>
      <c r="G13" s="8">
        <f>ABS((F13-H2)/H2)</f>
        <v>1.4135798584282297E-16</v>
      </c>
      <c r="L13" s="11" t="s">
        <v>42</v>
      </c>
      <c r="M13" s="11">
        <f>B27</f>
        <v>26.524000000000001</v>
      </c>
      <c r="N13" s="11">
        <v>26.834</v>
      </c>
      <c r="O13" s="11">
        <v>27.494</v>
      </c>
      <c r="P13" s="11">
        <v>29.244</v>
      </c>
    </row>
    <row r="14" spans="1:16" x14ac:dyDescent="0.35">
      <c r="L14" s="11" t="s">
        <v>38</v>
      </c>
      <c r="M14" s="13" t="s">
        <v>34</v>
      </c>
      <c r="N14" s="13" t="s">
        <v>34</v>
      </c>
      <c r="O14" s="13" t="s">
        <v>34</v>
      </c>
      <c r="P14" s="13" t="s">
        <v>34</v>
      </c>
    </row>
    <row r="15" spans="1:16" x14ac:dyDescent="0.35">
      <c r="B15" t="s">
        <v>22</v>
      </c>
      <c r="C15" t="s">
        <v>4</v>
      </c>
      <c r="D15" t="s">
        <v>23</v>
      </c>
      <c r="E15" t="s">
        <v>24</v>
      </c>
      <c r="L15" s="11" t="s">
        <v>43</v>
      </c>
      <c r="M15">
        <v>26.524000000000001</v>
      </c>
      <c r="N15">
        <v>26.834</v>
      </c>
      <c r="O15">
        <v>27.494</v>
      </c>
      <c r="P15">
        <v>27.864000000000001</v>
      </c>
    </row>
    <row r="16" spans="1:16" x14ac:dyDescent="0.35">
      <c r="A16" s="11" t="s">
        <v>18</v>
      </c>
      <c r="B16" s="12">
        <f>B9</f>
        <v>2.4793388429752068</v>
      </c>
      <c r="C16" s="12">
        <f>B10</f>
        <v>1.3636363636363638</v>
      </c>
      <c r="D16" s="12">
        <f>B5</f>
        <v>0.55000000000000004</v>
      </c>
      <c r="E16">
        <f>B6</f>
        <v>1.65</v>
      </c>
      <c r="L16" s="11" t="s">
        <v>44</v>
      </c>
      <c r="M16">
        <v>27.864000000000001</v>
      </c>
      <c r="N16">
        <v>28.234000000000002</v>
      </c>
      <c r="O16">
        <v>28.873999999999999</v>
      </c>
      <c r="P16">
        <v>29.244</v>
      </c>
    </row>
    <row r="17" spans="1:17" x14ac:dyDescent="0.35">
      <c r="A17" s="11" t="s">
        <v>20</v>
      </c>
      <c r="B17" s="12">
        <f>F9</f>
        <v>4.4311169108484139</v>
      </c>
      <c r="C17" s="12">
        <f>F10</f>
        <v>1.5231964381041423</v>
      </c>
      <c r="D17" s="2">
        <f>F6</f>
        <v>0.34375</v>
      </c>
      <c r="E17">
        <f>F7</f>
        <v>0.6875</v>
      </c>
    </row>
    <row r="18" spans="1:17" x14ac:dyDescent="0.35">
      <c r="A18" t="s">
        <v>21</v>
      </c>
      <c r="B18" s="2">
        <f>B17</f>
        <v>4.4311169108484139</v>
      </c>
      <c r="C18" s="2">
        <f>C17</f>
        <v>1.5231964381041423</v>
      </c>
      <c r="D18" s="2">
        <f>F6</f>
        <v>0.34375</v>
      </c>
      <c r="E18">
        <f>F7</f>
        <v>0.6875</v>
      </c>
      <c r="K18" s="11" t="s">
        <v>41</v>
      </c>
      <c r="L18" s="11" t="s">
        <v>23</v>
      </c>
      <c r="M18" s="11" t="s">
        <v>24</v>
      </c>
      <c r="N18" s="11" t="s">
        <v>36</v>
      </c>
      <c r="O18" s="26" t="s">
        <v>33</v>
      </c>
      <c r="P18" s="26"/>
      <c r="Q18" s="26"/>
    </row>
    <row r="19" spans="1:17" x14ac:dyDescent="0.35">
      <c r="K19" s="11" t="s">
        <v>37</v>
      </c>
      <c r="L19" s="12">
        <f>B5</f>
        <v>0.55000000000000004</v>
      </c>
      <c r="M19" s="15">
        <f>B6</f>
        <v>1.65</v>
      </c>
      <c r="N19" s="12">
        <f>L19</f>
        <v>0.55000000000000004</v>
      </c>
      <c r="O19" s="13" t="s">
        <v>34</v>
      </c>
      <c r="P19" s="13" t="s">
        <v>34</v>
      </c>
      <c r="Q19" s="13" t="s">
        <v>34</v>
      </c>
    </row>
    <row r="20" spans="1:17" x14ac:dyDescent="0.35">
      <c r="A20" t="s">
        <v>18</v>
      </c>
      <c r="K20" s="11" t="s">
        <v>42</v>
      </c>
      <c r="L20" s="11">
        <v>0.53</v>
      </c>
      <c r="M20" s="11">
        <v>1.67</v>
      </c>
      <c r="N20" s="11">
        <v>0.52</v>
      </c>
      <c r="O20" s="14">
        <f>ABS(L19-L20)/L19</f>
        <v>3.636363636363639E-2</v>
      </c>
      <c r="P20" s="14">
        <f t="shared" ref="P20" si="0">ABS(M19-M20)/M19</f>
        <v>1.2121212121212133E-2</v>
      </c>
      <c r="Q20" s="14">
        <f>ABS(N19-N20)/N19</f>
        <v>5.4545454545454591E-2</v>
      </c>
    </row>
    <row r="21" spans="1:17" x14ac:dyDescent="0.35">
      <c r="A21" t="s">
        <v>25</v>
      </c>
      <c r="B21">
        <v>26.524000000000001</v>
      </c>
      <c r="C21" t="s">
        <v>26</v>
      </c>
      <c r="D21">
        <f>B22-B21</f>
        <v>0.52999999999999758</v>
      </c>
      <c r="K21" s="11" t="s">
        <v>38</v>
      </c>
      <c r="L21" s="12">
        <f>F6</f>
        <v>0.34375</v>
      </c>
      <c r="M21" s="11">
        <f>F7</f>
        <v>0.6875</v>
      </c>
      <c r="N21" s="12">
        <f>L21</f>
        <v>0.34375</v>
      </c>
      <c r="O21" s="13" t="s">
        <v>34</v>
      </c>
      <c r="P21" s="13" t="s">
        <v>34</v>
      </c>
      <c r="Q21" s="13" t="s">
        <v>34</v>
      </c>
    </row>
    <row r="22" spans="1:17" x14ac:dyDescent="0.35">
      <c r="A22" t="s">
        <v>29</v>
      </c>
      <c r="B22">
        <v>27.053999999999998</v>
      </c>
      <c r="C22" t="s">
        <v>7</v>
      </c>
      <c r="D22">
        <f>B23-B22</f>
        <v>1.6700000000000017</v>
      </c>
      <c r="K22" s="11" t="s">
        <v>43</v>
      </c>
      <c r="L22" s="11">
        <v>0.31</v>
      </c>
      <c r="M22" s="11">
        <v>0.66</v>
      </c>
      <c r="N22" s="11">
        <v>0.37</v>
      </c>
      <c r="O22" s="14">
        <f>ABS(L21-L22)/L21</f>
        <v>9.818181818181819E-2</v>
      </c>
      <c r="P22" s="14">
        <f t="shared" ref="P22:Q22" si="1">ABS(M21-M22)/M21</f>
        <v>3.9999999999999952E-2</v>
      </c>
      <c r="Q22" s="14">
        <f t="shared" si="1"/>
        <v>7.6363636363636356E-2</v>
      </c>
    </row>
    <row r="23" spans="1:17" x14ac:dyDescent="0.35">
      <c r="A23" t="s">
        <v>30</v>
      </c>
      <c r="B23">
        <v>28.724</v>
      </c>
      <c r="C23" t="s">
        <v>31</v>
      </c>
      <c r="D23">
        <f>B24-B23</f>
        <v>0.51999999999999957</v>
      </c>
      <c r="K23" s="11" t="s">
        <v>44</v>
      </c>
      <c r="L23" s="11">
        <v>0.37</v>
      </c>
      <c r="M23" s="11">
        <v>0.64</v>
      </c>
      <c r="N23" s="11">
        <v>0.37</v>
      </c>
      <c r="O23" s="14">
        <f>ABS(L21-L23)/L21</f>
        <v>7.6363636363636356E-2</v>
      </c>
      <c r="P23" s="14">
        <f t="shared" ref="P23:Q23" si="2">ABS(M21-M23)/M21</f>
        <v>6.9090909090909078E-2</v>
      </c>
      <c r="Q23" s="14">
        <f t="shared" si="2"/>
        <v>7.6363636363636356E-2</v>
      </c>
    </row>
    <row r="24" spans="1:17" x14ac:dyDescent="0.35">
      <c r="A24" t="s">
        <v>27</v>
      </c>
      <c r="B24">
        <v>29.244</v>
      </c>
    </row>
    <row r="26" spans="1:17" x14ac:dyDescent="0.35">
      <c r="A26" t="s">
        <v>20</v>
      </c>
      <c r="F26" t="s">
        <v>21</v>
      </c>
    </row>
    <row r="27" spans="1:17" x14ac:dyDescent="0.35">
      <c r="A27" t="s">
        <v>25</v>
      </c>
      <c r="B27">
        <v>26.524000000000001</v>
      </c>
      <c r="C27" t="s">
        <v>26</v>
      </c>
      <c r="D27">
        <f>B28-B27</f>
        <v>0.30999999999999872</v>
      </c>
      <c r="F27" t="s">
        <v>25</v>
      </c>
      <c r="G27">
        <v>27.864000000000001</v>
      </c>
      <c r="H27" t="s">
        <v>26</v>
      </c>
      <c r="I27">
        <f>G28-G27</f>
        <v>0.37000000000000099</v>
      </c>
    </row>
    <row r="28" spans="1:17" x14ac:dyDescent="0.35">
      <c r="A28" t="s">
        <v>29</v>
      </c>
      <c r="B28">
        <v>26.834</v>
      </c>
      <c r="C28" t="s">
        <v>7</v>
      </c>
      <c r="D28">
        <f>B29-B28</f>
        <v>0.66000000000000014</v>
      </c>
      <c r="F28" t="s">
        <v>29</v>
      </c>
      <c r="G28">
        <v>28.234000000000002</v>
      </c>
      <c r="H28" t="s">
        <v>7</v>
      </c>
      <c r="I28">
        <f>G29-G28</f>
        <v>0.63999999999999702</v>
      </c>
    </row>
    <row r="29" spans="1:17" x14ac:dyDescent="0.35">
      <c r="A29" t="s">
        <v>30</v>
      </c>
      <c r="B29">
        <v>27.494</v>
      </c>
      <c r="C29" t="s">
        <v>31</v>
      </c>
      <c r="D29">
        <f>B30-B29</f>
        <v>0.37000000000000099</v>
      </c>
      <c r="F29" t="s">
        <v>30</v>
      </c>
      <c r="G29">
        <v>28.873999999999999</v>
      </c>
      <c r="H29" t="s">
        <v>31</v>
      </c>
      <c r="I29">
        <f>G30-G29</f>
        <v>0.37000000000000099</v>
      </c>
    </row>
    <row r="30" spans="1:17" x14ac:dyDescent="0.35">
      <c r="A30" t="s">
        <v>27</v>
      </c>
      <c r="B30">
        <v>27.864000000000001</v>
      </c>
      <c r="C30" t="s">
        <v>32</v>
      </c>
      <c r="D30">
        <f>SUM(D27:D29)</f>
        <v>1.3399999999999999</v>
      </c>
      <c r="F30" t="s">
        <v>27</v>
      </c>
      <c r="G30">
        <v>29.244</v>
      </c>
      <c r="H30" t="s">
        <v>32</v>
      </c>
      <c r="I30">
        <f>SUM(I27:I29)</f>
        <v>1.379999999999999</v>
      </c>
    </row>
  </sheetData>
  <mergeCells count="3">
    <mergeCell ref="A1:C1"/>
    <mergeCell ref="E1:H1"/>
    <mergeCell ref="O18:Q1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FF2AA-D824-4ADF-BF02-55D2860150A0}">
  <sheetPr>
    <tabColor rgb="FFFF0000"/>
  </sheetPr>
  <dimension ref="A1:I28"/>
  <sheetViews>
    <sheetView tabSelected="1" workbookViewId="0">
      <selection activeCell="G7" sqref="G7"/>
    </sheetView>
  </sheetViews>
  <sheetFormatPr baseColWidth="10" defaultRowHeight="14.5" x14ac:dyDescent="0.35"/>
  <cols>
    <col min="2" max="2" width="6.81640625" bestFit="1" customWidth="1"/>
    <col min="3" max="3" width="6.90625" bestFit="1" customWidth="1"/>
    <col min="4" max="4" width="4.81640625" bestFit="1" customWidth="1"/>
    <col min="5" max="5" width="12.81640625" bestFit="1" customWidth="1"/>
    <col min="6" max="6" width="11.81640625" bestFit="1" customWidth="1"/>
    <col min="7" max="7" width="12.54296875" bestFit="1" customWidth="1"/>
    <col min="10" max="10" width="12.54296875" bestFit="1" customWidth="1"/>
  </cols>
  <sheetData>
    <row r="1" spans="1:9" x14ac:dyDescent="0.35">
      <c r="A1" s="24" t="s">
        <v>18</v>
      </c>
      <c r="B1" s="24"/>
      <c r="C1" s="24"/>
      <c r="E1" s="25" t="s">
        <v>19</v>
      </c>
      <c r="F1" s="24"/>
      <c r="G1" s="24"/>
      <c r="H1" s="24"/>
    </row>
    <row r="2" spans="1:9" x14ac:dyDescent="0.35">
      <c r="A2" t="s">
        <v>1</v>
      </c>
      <c r="B2">
        <v>10</v>
      </c>
      <c r="C2" t="s">
        <v>3</v>
      </c>
      <c r="D2">
        <v>3</v>
      </c>
      <c r="E2" s="6" t="s">
        <v>1</v>
      </c>
      <c r="F2">
        <v>10</v>
      </c>
      <c r="G2" t="s">
        <v>46</v>
      </c>
      <c r="H2">
        <f>RADIANS(90)</f>
        <v>1.5707963267948966</v>
      </c>
    </row>
    <row r="3" spans="1:9" x14ac:dyDescent="0.35">
      <c r="A3" t="s">
        <v>2</v>
      </c>
      <c r="B3">
        <f>(1/B2)*60-0.5</f>
        <v>5.5</v>
      </c>
      <c r="E3" s="6" t="s">
        <v>2</v>
      </c>
      <c r="F3">
        <f>(1/F2)*60-0.5</f>
        <v>5.5</v>
      </c>
    </row>
    <row r="4" spans="1:9" x14ac:dyDescent="0.35">
      <c r="A4" t="s">
        <v>5</v>
      </c>
      <c r="B4">
        <f>B3/2</f>
        <v>2.75</v>
      </c>
      <c r="E4" s="6" t="s">
        <v>5</v>
      </c>
      <c r="F4">
        <f>F3/2</f>
        <v>2.75</v>
      </c>
      <c r="G4" t="s">
        <v>12</v>
      </c>
    </row>
    <row r="5" spans="1:9" x14ac:dyDescent="0.35">
      <c r="B5" s="10"/>
      <c r="E5" s="6" t="s">
        <v>6</v>
      </c>
      <c r="F5" s="10">
        <f>F4/2</f>
        <v>1.375</v>
      </c>
      <c r="G5" t="s">
        <v>13</v>
      </c>
    </row>
    <row r="6" spans="1:9" x14ac:dyDescent="0.35">
      <c r="A6" t="s">
        <v>45</v>
      </c>
      <c r="B6" s="2">
        <v>1.19047619047619</v>
      </c>
      <c r="C6" s="22"/>
      <c r="D6" s="1"/>
      <c r="E6" s="6" t="s">
        <v>45</v>
      </c>
      <c r="F6">
        <v>1.0416666666666701</v>
      </c>
      <c r="G6" s="23"/>
    </row>
    <row r="7" spans="1:9" x14ac:dyDescent="0.35">
      <c r="A7" t="s">
        <v>9</v>
      </c>
      <c r="B7" s="2">
        <f>B6*4*D2/(B4*B4)</f>
        <v>1.8890200708382521</v>
      </c>
      <c r="C7" s="20"/>
      <c r="D7" s="1"/>
      <c r="E7" s="6" t="s">
        <v>9</v>
      </c>
      <c r="F7" s="2">
        <f>F6*4*H2/(F5*F5)</f>
        <v>3.4618100866003343</v>
      </c>
      <c r="I7" s="2"/>
    </row>
    <row r="8" spans="1:9" x14ac:dyDescent="0.35">
      <c r="A8" t="s">
        <v>4</v>
      </c>
      <c r="B8" s="2">
        <f>((B7*B4) - (B7*SQRT(B4*B4-4*D2/B7)))/2</f>
        <v>1.5584415584415585</v>
      </c>
      <c r="D8" s="1"/>
      <c r="E8" s="6" t="s">
        <v>4</v>
      </c>
      <c r="F8" s="2">
        <f>((F7*F5) - (F7*SQRT(F5*F5-4*H2/F7)))/2</f>
        <v>1.9039955476301655</v>
      </c>
    </row>
    <row r="9" spans="1:9" x14ac:dyDescent="0.35">
      <c r="A9" t="s">
        <v>26</v>
      </c>
      <c r="B9" s="2">
        <f>B8/B7</f>
        <v>0.82500000000000029</v>
      </c>
      <c r="D9" s="1"/>
      <c r="E9" s="6" t="s">
        <v>26</v>
      </c>
      <c r="F9" s="1">
        <f>F8/F7</f>
        <v>0.54999999999999472</v>
      </c>
    </row>
    <row r="10" spans="1:9" x14ac:dyDescent="0.35">
      <c r="A10" t="s">
        <v>7</v>
      </c>
      <c r="B10" s="2">
        <f>B4-2*B9</f>
        <v>1.0999999999999994</v>
      </c>
      <c r="D10" s="1"/>
      <c r="E10" s="6" t="s">
        <v>7</v>
      </c>
      <c r="F10" s="1">
        <f>F5-2*F9</f>
        <v>0.27500000000001057</v>
      </c>
    </row>
    <row r="11" spans="1:9" x14ac:dyDescent="0.35">
      <c r="A11" t="s">
        <v>11</v>
      </c>
      <c r="B11" s="10">
        <f>B7*B9*B9</f>
        <v>1.2857142857142863</v>
      </c>
      <c r="C11" s="10"/>
      <c r="D11" s="1"/>
      <c r="E11" s="6" t="s">
        <v>15</v>
      </c>
      <c r="F11" s="10">
        <f>F7*F9*F9</f>
        <v>1.047197551196581</v>
      </c>
      <c r="G11" s="10"/>
    </row>
    <row r="12" spans="1:9" x14ac:dyDescent="0.35">
      <c r="A12" t="s">
        <v>10</v>
      </c>
      <c r="B12" s="10">
        <f>B10*B8</f>
        <v>1.7142857142857135</v>
      </c>
      <c r="C12" t="s">
        <v>14</v>
      </c>
      <c r="E12" s="6" t="s">
        <v>16</v>
      </c>
      <c r="F12" s="10">
        <f>F10*F8</f>
        <v>0.52359877559831569</v>
      </c>
      <c r="G12" t="s">
        <v>14</v>
      </c>
    </row>
    <row r="13" spans="1:9" x14ac:dyDescent="0.35">
      <c r="A13" t="s">
        <v>0</v>
      </c>
      <c r="B13">
        <f>B12+B11</f>
        <v>3</v>
      </c>
      <c r="C13" s="19">
        <f>ABS((B13-3)/3)</f>
        <v>0</v>
      </c>
      <c r="D13" s="5"/>
      <c r="E13" s="6" t="s">
        <v>47</v>
      </c>
      <c r="F13">
        <f>F12+F11</f>
        <v>1.5707963267948966</v>
      </c>
      <c r="G13" s="19">
        <f>ABS((F13-H2)/H2)</f>
        <v>0</v>
      </c>
    </row>
    <row r="14" spans="1:9" x14ac:dyDescent="0.35">
      <c r="I14" s="17"/>
    </row>
    <row r="23" spans="1:5" x14ac:dyDescent="0.35">
      <c r="A23" t="s">
        <v>25</v>
      </c>
      <c r="B23">
        <v>41.564999999999998</v>
      </c>
      <c r="C23" t="s">
        <v>26</v>
      </c>
      <c r="D23">
        <f>B24-B23</f>
        <v>1.3599999999999994</v>
      </c>
    </row>
    <row r="24" spans="1:5" x14ac:dyDescent="0.35">
      <c r="A24" t="s">
        <v>28</v>
      </c>
      <c r="B24">
        <v>42.924999999999997</v>
      </c>
      <c r="C24" t="s">
        <v>27</v>
      </c>
      <c r="D24">
        <f>B25-B23</f>
        <v>2.75</v>
      </c>
    </row>
    <row r="25" spans="1:5" x14ac:dyDescent="0.35">
      <c r="A25" t="s">
        <v>27</v>
      </c>
      <c r="B25">
        <v>44.314999999999998</v>
      </c>
    </row>
    <row r="27" spans="1:5" x14ac:dyDescent="0.35">
      <c r="A27" t="s">
        <v>25</v>
      </c>
      <c r="B27" t="s">
        <v>28</v>
      </c>
      <c r="C27" t="s">
        <v>27</v>
      </c>
      <c r="D27" t="s">
        <v>26</v>
      </c>
    </row>
    <row r="28" spans="1:5" x14ac:dyDescent="0.35">
      <c r="A28">
        <v>41.564999999999998</v>
      </c>
      <c r="B28">
        <v>42.924999999999997</v>
      </c>
      <c r="C28">
        <v>44.314999999999998</v>
      </c>
      <c r="D28">
        <v>1.36</v>
      </c>
      <c r="E28" s="3" t="e">
        <f>ABS(D28-#REF!)/#REF!</f>
        <v>#REF!</v>
      </c>
    </row>
  </sheetData>
  <mergeCells count="2">
    <mergeCell ref="A1:C1"/>
    <mergeCell ref="E1:H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1426F-F56B-4C96-8A2B-9860686CA67C}">
  <sheetPr>
    <tabColor rgb="FF00FF00"/>
  </sheetPr>
  <dimension ref="A1:O30"/>
  <sheetViews>
    <sheetView zoomScaleNormal="100" workbookViewId="0">
      <selection activeCell="C11" sqref="C11"/>
    </sheetView>
  </sheetViews>
  <sheetFormatPr baseColWidth="10" defaultRowHeight="14.5" x14ac:dyDescent="0.35"/>
  <cols>
    <col min="2" max="2" width="13.6328125" bestFit="1" customWidth="1"/>
    <col min="3" max="3" width="12.54296875" bestFit="1" customWidth="1"/>
    <col min="4" max="4" width="5.36328125" bestFit="1" customWidth="1"/>
    <col min="5" max="5" width="12.81640625" bestFit="1" customWidth="1"/>
    <col min="7" max="7" width="12.54296875" bestFit="1" customWidth="1"/>
    <col min="10" max="10" width="12.54296875" bestFit="1" customWidth="1"/>
  </cols>
  <sheetData>
    <row r="1" spans="1:14" x14ac:dyDescent="0.35">
      <c r="A1" s="24" t="s">
        <v>18</v>
      </c>
      <c r="B1" s="24"/>
      <c r="C1" s="24"/>
      <c r="E1" s="25" t="s">
        <v>19</v>
      </c>
      <c r="F1" s="24"/>
      <c r="G1" s="24"/>
      <c r="H1" s="24"/>
    </row>
    <row r="2" spans="1:14" x14ac:dyDescent="0.35">
      <c r="A2" t="s">
        <v>1</v>
      </c>
      <c r="B2">
        <v>10</v>
      </c>
      <c r="C2" t="s">
        <v>3</v>
      </c>
      <c r="D2">
        <v>3</v>
      </c>
      <c r="E2" s="6" t="s">
        <v>1</v>
      </c>
      <c r="F2">
        <v>10</v>
      </c>
      <c r="G2" t="s">
        <v>46</v>
      </c>
      <c r="H2">
        <f>RADIANS(90)</f>
        <v>1.5707963267948966</v>
      </c>
    </row>
    <row r="3" spans="1:14" x14ac:dyDescent="0.35">
      <c r="A3" t="s">
        <v>2</v>
      </c>
      <c r="B3">
        <f>(1/B2)*60-0.5</f>
        <v>5.5</v>
      </c>
      <c r="E3" s="6" t="s">
        <v>2</v>
      </c>
      <c r="F3">
        <f>(1/F2)*60-0.5</f>
        <v>5.5</v>
      </c>
    </row>
    <row r="4" spans="1:14" x14ac:dyDescent="0.35">
      <c r="A4" t="s">
        <v>5</v>
      </c>
      <c r="B4">
        <f>B3/2</f>
        <v>2.75</v>
      </c>
      <c r="C4" t="s">
        <v>12</v>
      </c>
      <c r="E4" s="6" t="s">
        <v>5</v>
      </c>
      <c r="F4">
        <f>F3/2</f>
        <v>2.75</v>
      </c>
      <c r="G4" t="s">
        <v>12</v>
      </c>
    </row>
    <row r="5" spans="1:14" x14ac:dyDescent="0.35">
      <c r="A5" t="s">
        <v>6</v>
      </c>
      <c r="B5" s="10">
        <f>B4</f>
        <v>2.75</v>
      </c>
      <c r="C5" t="s">
        <v>13</v>
      </c>
      <c r="E5" s="6" t="s">
        <v>6</v>
      </c>
      <c r="F5" s="10">
        <f>F4/2</f>
        <v>1.375</v>
      </c>
      <c r="G5" t="s">
        <v>13</v>
      </c>
    </row>
    <row r="6" spans="1:14" x14ac:dyDescent="0.35">
      <c r="A6" t="s">
        <v>8</v>
      </c>
      <c r="B6" s="10">
        <f>B5*0.3</f>
        <v>0.82499999999999996</v>
      </c>
      <c r="C6" s="3">
        <f>ABS(2*B6/B5)</f>
        <v>0.6</v>
      </c>
      <c r="E6" s="6" t="s">
        <v>8</v>
      </c>
      <c r="F6" s="10">
        <f>F5*0.4</f>
        <v>0.55000000000000004</v>
      </c>
      <c r="G6" s="7">
        <f>ABS(2*F6/F5)</f>
        <v>0.8</v>
      </c>
    </row>
    <row r="7" spans="1:14" x14ac:dyDescent="0.35">
      <c r="A7" t="s">
        <v>7</v>
      </c>
      <c r="B7">
        <f>B5-2*B6</f>
        <v>1.1000000000000001</v>
      </c>
      <c r="E7" s="6" t="s">
        <v>7</v>
      </c>
      <c r="F7">
        <f>F5-2*F6</f>
        <v>0.27499999999999991</v>
      </c>
    </row>
    <row r="8" spans="1:14" x14ac:dyDescent="0.35">
      <c r="E8" s="6"/>
    </row>
    <row r="9" spans="1:14" x14ac:dyDescent="0.35">
      <c r="A9" t="s">
        <v>9</v>
      </c>
      <c r="B9" s="2">
        <f>D2/(B6*B6+B6*B7)</f>
        <v>1.889020070838253</v>
      </c>
      <c r="D9" s="1"/>
      <c r="E9" s="6" t="s">
        <v>9</v>
      </c>
      <c r="F9" s="2">
        <f>H2/(F6*F6+F6*F7)</f>
        <v>3.4618100866003232</v>
      </c>
    </row>
    <row r="10" spans="1:14" x14ac:dyDescent="0.35">
      <c r="A10" t="s">
        <v>4</v>
      </c>
      <c r="B10" s="2">
        <f>B9*B6</f>
        <v>1.5584415584415585</v>
      </c>
      <c r="E10" s="6" t="s">
        <v>4</v>
      </c>
      <c r="F10" s="2">
        <f>F9*F6</f>
        <v>1.903995547630178</v>
      </c>
    </row>
    <row r="11" spans="1:14" x14ac:dyDescent="0.35">
      <c r="A11" t="s">
        <v>11</v>
      </c>
      <c r="B11" s="10">
        <f>B9*B6*B6</f>
        <v>1.2857142857142858</v>
      </c>
      <c r="C11" s="10"/>
      <c r="E11" s="6" t="s">
        <v>15</v>
      </c>
      <c r="F11" s="10">
        <f>F9*F6*F6</f>
        <v>1.0471975511965981</v>
      </c>
      <c r="G11" s="10"/>
    </row>
    <row r="12" spans="1:14" x14ac:dyDescent="0.35">
      <c r="A12" t="s">
        <v>10</v>
      </c>
      <c r="B12" s="10">
        <f>B10*B7</f>
        <v>1.7142857142857144</v>
      </c>
      <c r="C12" t="s">
        <v>14</v>
      </c>
      <c r="E12" s="6" t="s">
        <v>16</v>
      </c>
      <c r="F12" s="10">
        <f>F10*F7</f>
        <v>0.52359877559829882</v>
      </c>
      <c r="G12" t="s">
        <v>14</v>
      </c>
    </row>
    <row r="13" spans="1:14" x14ac:dyDescent="0.35">
      <c r="A13" t="s">
        <v>0</v>
      </c>
      <c r="B13">
        <f>B12+B11</f>
        <v>3</v>
      </c>
      <c r="C13" s="4">
        <f>ABS((B13-3)/3)</f>
        <v>0</v>
      </c>
      <c r="D13" s="5"/>
      <c r="E13" s="6" t="s">
        <v>47</v>
      </c>
      <c r="F13">
        <f>F12+F11</f>
        <v>1.570796326794897</v>
      </c>
      <c r="G13" s="8">
        <f>ABS((F13-H2)/H2)</f>
        <v>2.8271597168564594E-16</v>
      </c>
    </row>
    <row r="15" spans="1:14" x14ac:dyDescent="0.35">
      <c r="B15" t="s">
        <v>22</v>
      </c>
      <c r="C15" t="s">
        <v>4</v>
      </c>
      <c r="D15" t="s">
        <v>23</v>
      </c>
      <c r="E15" t="s">
        <v>24</v>
      </c>
      <c r="J15" s="11" t="s">
        <v>41</v>
      </c>
      <c r="K15" s="11" t="s">
        <v>35</v>
      </c>
      <c r="L15" s="11" t="s">
        <v>39</v>
      </c>
      <c r="M15" s="11" t="s">
        <v>40</v>
      </c>
      <c r="N15" s="11" t="s">
        <v>5</v>
      </c>
    </row>
    <row r="16" spans="1:14" x14ac:dyDescent="0.35">
      <c r="A16" s="11" t="s">
        <v>18</v>
      </c>
      <c r="B16" s="12">
        <f>B9</f>
        <v>1.889020070838253</v>
      </c>
      <c r="C16" s="12">
        <f>B10</f>
        <v>1.5584415584415585</v>
      </c>
      <c r="D16" s="12">
        <f>B6</f>
        <v>0.82499999999999996</v>
      </c>
      <c r="E16">
        <f>B7</f>
        <v>1.1000000000000001</v>
      </c>
      <c r="J16" s="11" t="s">
        <v>42</v>
      </c>
      <c r="K16" s="11">
        <v>29.294</v>
      </c>
      <c r="L16" s="11">
        <v>30.103999999999999</v>
      </c>
      <c r="M16" s="11">
        <v>31.224</v>
      </c>
      <c r="N16" s="11">
        <v>32.064</v>
      </c>
    </row>
    <row r="17" spans="1:15" x14ac:dyDescent="0.35">
      <c r="A17" s="11" t="s">
        <v>20</v>
      </c>
      <c r="B17" s="12">
        <f>F9</f>
        <v>3.4618100866003232</v>
      </c>
      <c r="C17" s="12">
        <f>F10</f>
        <v>1.903995547630178</v>
      </c>
      <c r="D17" s="2">
        <f>F6</f>
        <v>0.55000000000000004</v>
      </c>
      <c r="E17">
        <f>F7</f>
        <v>0.27499999999999991</v>
      </c>
      <c r="J17" s="11" t="s">
        <v>43</v>
      </c>
      <c r="K17" s="11">
        <v>29.294</v>
      </c>
      <c r="L17" s="11">
        <v>29.844000000000001</v>
      </c>
      <c r="M17" s="11">
        <v>30.094000000000001</v>
      </c>
      <c r="N17" s="11">
        <v>30.643999999999998</v>
      </c>
    </row>
    <row r="18" spans="1:15" x14ac:dyDescent="0.35">
      <c r="A18" t="s">
        <v>21</v>
      </c>
      <c r="B18" s="2">
        <f>B17</f>
        <v>3.4618100866003232</v>
      </c>
      <c r="C18" s="2">
        <f>C17</f>
        <v>1.903995547630178</v>
      </c>
      <c r="D18" s="2">
        <f>F6</f>
        <v>0.55000000000000004</v>
      </c>
      <c r="E18">
        <f>F7</f>
        <v>0.27499999999999991</v>
      </c>
      <c r="J18" s="11" t="s">
        <v>44</v>
      </c>
      <c r="K18" s="11">
        <v>30.643999999999998</v>
      </c>
      <c r="L18" s="11">
        <v>31.224</v>
      </c>
      <c r="M18" s="11">
        <v>31.443999999999999</v>
      </c>
      <c r="N18" s="11">
        <v>32.064</v>
      </c>
    </row>
    <row r="20" spans="1:15" x14ac:dyDescent="0.35">
      <c r="A20" t="s">
        <v>18</v>
      </c>
      <c r="I20" s="11" t="s">
        <v>41</v>
      </c>
      <c r="J20" s="11" t="s">
        <v>23</v>
      </c>
      <c r="K20" s="11" t="s">
        <v>24</v>
      </c>
      <c r="L20" s="11" t="s">
        <v>36</v>
      </c>
      <c r="M20" s="26" t="s">
        <v>33</v>
      </c>
      <c r="N20" s="26"/>
      <c r="O20" s="26"/>
    </row>
    <row r="21" spans="1:15" x14ac:dyDescent="0.35">
      <c r="A21" t="s">
        <v>25</v>
      </c>
      <c r="B21">
        <v>29.294</v>
      </c>
      <c r="C21" t="s">
        <v>26</v>
      </c>
      <c r="D21">
        <f>B22-B21</f>
        <v>0.80999999999999872</v>
      </c>
      <c r="I21" s="11" t="s">
        <v>37</v>
      </c>
      <c r="J21" s="12">
        <f>B6</f>
        <v>0.82499999999999996</v>
      </c>
      <c r="K21" s="15">
        <f>B7</f>
        <v>1.1000000000000001</v>
      </c>
      <c r="L21" s="12">
        <f>J21</f>
        <v>0.82499999999999996</v>
      </c>
      <c r="M21" s="13" t="s">
        <v>34</v>
      </c>
      <c r="N21" s="13" t="s">
        <v>34</v>
      </c>
      <c r="O21" s="13" t="s">
        <v>34</v>
      </c>
    </row>
    <row r="22" spans="1:15" x14ac:dyDescent="0.35">
      <c r="A22" t="s">
        <v>29</v>
      </c>
      <c r="B22">
        <v>30.103999999999999</v>
      </c>
      <c r="C22" t="s">
        <v>7</v>
      </c>
      <c r="D22">
        <f>B23-B22</f>
        <v>1.120000000000001</v>
      </c>
      <c r="I22" s="11" t="s">
        <v>42</v>
      </c>
      <c r="J22" s="12">
        <v>0.81</v>
      </c>
      <c r="K22" s="12">
        <v>1.1200000000000001</v>
      </c>
      <c r="L22" s="16">
        <v>0.84</v>
      </c>
      <c r="M22" s="14">
        <f>ABS(J21-J22)/J21</f>
        <v>1.8181818181818063E-2</v>
      </c>
      <c r="N22" s="14">
        <f t="shared" ref="N22" si="0">ABS(K21-K22)/K21</f>
        <v>1.8181818181818195E-2</v>
      </c>
      <c r="O22" s="14">
        <f>ABS(L21-L22)/L21</f>
        <v>1.8181818181818198E-2</v>
      </c>
    </row>
    <row r="23" spans="1:15" x14ac:dyDescent="0.35">
      <c r="A23" t="s">
        <v>30</v>
      </c>
      <c r="B23">
        <v>31.224</v>
      </c>
      <c r="C23" t="s">
        <v>31</v>
      </c>
      <c r="D23">
        <f>B24-B23</f>
        <v>0.83999999999999986</v>
      </c>
      <c r="I23" s="11" t="s">
        <v>38</v>
      </c>
      <c r="J23" s="12">
        <f>F6</f>
        <v>0.55000000000000004</v>
      </c>
      <c r="K23" s="12">
        <f>F7</f>
        <v>0.27499999999999991</v>
      </c>
      <c r="L23" s="12">
        <f>J23</f>
        <v>0.55000000000000004</v>
      </c>
      <c r="M23" s="13" t="s">
        <v>34</v>
      </c>
      <c r="N23" s="13" t="s">
        <v>34</v>
      </c>
      <c r="O23" s="13" t="s">
        <v>34</v>
      </c>
    </row>
    <row r="24" spans="1:15" x14ac:dyDescent="0.35">
      <c r="A24" t="s">
        <v>27</v>
      </c>
      <c r="B24">
        <v>32.064</v>
      </c>
      <c r="I24" s="11" t="s">
        <v>43</v>
      </c>
      <c r="J24" s="12">
        <v>0.55000000000000004</v>
      </c>
      <c r="K24" s="12">
        <v>0.25</v>
      </c>
      <c r="L24" s="12">
        <v>0.55000000000000004</v>
      </c>
      <c r="M24" s="14">
        <f>ABS(J23-J24)/J23</f>
        <v>0</v>
      </c>
      <c r="N24" s="14">
        <f>ABS(K23-K24)/K23</f>
        <v>9.090909090909062E-2</v>
      </c>
      <c r="O24" s="14">
        <f t="shared" ref="O24" si="1">ABS(L23-L24)/L23</f>
        <v>0</v>
      </c>
    </row>
    <row r="25" spans="1:15" x14ac:dyDescent="0.35">
      <c r="I25" s="11" t="s">
        <v>44</v>
      </c>
      <c r="J25" s="16">
        <v>0.57999999999999996</v>
      </c>
      <c r="K25" s="12">
        <v>0.22</v>
      </c>
      <c r="L25" s="12">
        <v>0.62</v>
      </c>
      <c r="M25" s="14">
        <f>ABS(J23-J25)/J23</f>
        <v>5.454545454545439E-2</v>
      </c>
      <c r="N25" s="14">
        <f>ABS(K23-K25)/K23</f>
        <v>0.19999999999999973</v>
      </c>
      <c r="O25" s="14">
        <f t="shared" ref="O25" si="2">ABS(L23-L25)/L23</f>
        <v>0.12727272727272718</v>
      </c>
    </row>
    <row r="26" spans="1:15" x14ac:dyDescent="0.35">
      <c r="A26" t="s">
        <v>20</v>
      </c>
      <c r="F26" t="s">
        <v>21</v>
      </c>
    </row>
    <row r="27" spans="1:15" x14ac:dyDescent="0.35">
      <c r="A27" t="s">
        <v>25</v>
      </c>
      <c r="B27">
        <v>29.294</v>
      </c>
      <c r="C27" t="s">
        <v>26</v>
      </c>
      <c r="D27">
        <f>B28-B27</f>
        <v>0.55000000000000071</v>
      </c>
      <c r="F27" t="s">
        <v>25</v>
      </c>
      <c r="G27">
        <v>30.643999999999998</v>
      </c>
      <c r="H27" t="s">
        <v>26</v>
      </c>
      <c r="I27">
        <f>G28-G27</f>
        <v>0.58000000000000185</v>
      </c>
    </row>
    <row r="28" spans="1:15" x14ac:dyDescent="0.35">
      <c r="A28" t="s">
        <v>29</v>
      </c>
      <c r="B28">
        <v>29.844000000000001</v>
      </c>
      <c r="C28" t="s">
        <v>7</v>
      </c>
      <c r="D28">
        <f>B29-B28</f>
        <v>0.25</v>
      </c>
      <c r="F28" t="s">
        <v>29</v>
      </c>
      <c r="G28">
        <v>31.224</v>
      </c>
      <c r="H28" t="s">
        <v>7</v>
      </c>
      <c r="I28">
        <f>G29-G28</f>
        <v>0.21999999999999886</v>
      </c>
    </row>
    <row r="29" spans="1:15" x14ac:dyDescent="0.35">
      <c r="A29" t="s">
        <v>30</v>
      </c>
      <c r="B29">
        <v>30.094000000000001</v>
      </c>
      <c r="C29" t="s">
        <v>31</v>
      </c>
      <c r="D29">
        <f>B30-B29</f>
        <v>0.54999999999999716</v>
      </c>
      <c r="F29" t="s">
        <v>30</v>
      </c>
      <c r="G29">
        <v>31.443999999999999</v>
      </c>
      <c r="H29" t="s">
        <v>31</v>
      </c>
      <c r="I29">
        <f>G30-G29</f>
        <v>0.62000000000000099</v>
      </c>
    </row>
    <row r="30" spans="1:15" x14ac:dyDescent="0.35">
      <c r="A30" t="s">
        <v>27</v>
      </c>
      <c r="B30">
        <v>30.643999999999998</v>
      </c>
      <c r="C30" t="s">
        <v>32</v>
      </c>
      <c r="D30">
        <f>SUM(D27:D29)</f>
        <v>1.3499999999999979</v>
      </c>
      <c r="F30" t="s">
        <v>27</v>
      </c>
      <c r="G30">
        <v>32.064</v>
      </c>
      <c r="H30" t="s">
        <v>32</v>
      </c>
      <c r="I30">
        <f>SUM(I27:I29)</f>
        <v>1.4200000000000017</v>
      </c>
    </row>
  </sheetData>
  <mergeCells count="3">
    <mergeCell ref="M20:O20"/>
    <mergeCell ref="A1:C1"/>
    <mergeCell ref="E1: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Formado (1)</vt:lpstr>
      <vt:lpstr>Formado (2)</vt:lpstr>
      <vt:lpstr>Home (1)</vt:lpstr>
      <vt:lpstr>Home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Yovany Vargas</dc:creator>
  <cp:lastModifiedBy>Yovany Vargas</cp:lastModifiedBy>
  <dcterms:created xsi:type="dcterms:W3CDTF">2024-09-29T23:30:07Z</dcterms:created>
  <dcterms:modified xsi:type="dcterms:W3CDTF">2024-10-03T03:56:56Z</dcterms:modified>
</cp:coreProperties>
</file>