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7\Desktop\"/>
    </mc:Choice>
  </mc:AlternateContent>
  <xr:revisionPtr revIDLastSave="0" documentId="13_ncr:1_{F5A17BE9-69FB-4B57-89FE-140F94565B9A}" xr6:coauthVersionLast="47" xr6:coauthVersionMax="47" xr10:uidLastSave="{00000000-0000-0000-0000-000000000000}"/>
  <bookViews>
    <workbookView xWindow="-110" yWindow="-110" windowWidth="25820" windowHeight="15620" xr2:uid="{85FBB0B0-C3BB-4D05-BA9D-5DA01D7B7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7" i="1" l="1"/>
  <c r="S58" i="1"/>
  <c r="S59" i="1"/>
  <c r="S60" i="1"/>
  <c r="S61" i="1"/>
  <c r="S62" i="1"/>
  <c r="S63" i="1"/>
  <c r="S64" i="1"/>
  <c r="S65" i="1"/>
  <c r="S5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6" i="1"/>
  <c r="P47" i="1"/>
  <c r="P48" i="1"/>
  <c r="P49" i="1"/>
  <c r="P50" i="1"/>
  <c r="P51" i="1"/>
  <c r="P52" i="1"/>
  <c r="P53" i="1"/>
  <c r="P54" i="1"/>
  <c r="P55" i="1"/>
  <c r="P46" i="1"/>
  <c r="P57" i="1"/>
  <c r="P58" i="1"/>
  <c r="P59" i="1"/>
  <c r="P60" i="1"/>
  <c r="P61" i="1"/>
  <c r="P62" i="1"/>
  <c r="P63" i="1"/>
  <c r="P64" i="1"/>
  <c r="P65" i="1"/>
  <c r="P56" i="1"/>
  <c r="M65" i="1" l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H70" i="1"/>
  <c r="H63" i="1"/>
  <c r="H28" i="1"/>
  <c r="H49" i="1"/>
  <c r="H14" i="1"/>
  <c r="H7" i="1"/>
  <c r="H56" i="1"/>
  <c r="H21" i="1"/>
  <c r="H42" i="1"/>
  <c r="H35" i="1"/>
  <c r="H41" i="1"/>
  <c r="H20" i="1"/>
  <c r="H62" i="1"/>
  <c r="H34" i="1"/>
  <c r="H27" i="1"/>
  <c r="H55" i="1"/>
  <c r="H69" i="1"/>
  <c r="H13" i="1"/>
  <c r="H48" i="1"/>
  <c r="H6" i="1"/>
  <c r="G49" i="1"/>
  <c r="G63" i="1"/>
  <c r="G14" i="1"/>
  <c r="G56" i="1"/>
  <c r="G21" i="1"/>
  <c r="G28" i="1"/>
  <c r="G35" i="1"/>
  <c r="G70" i="1"/>
  <c r="G7" i="1"/>
  <c r="G42" i="1"/>
  <c r="G6" i="1"/>
  <c r="G34" i="1"/>
  <c r="G48" i="1"/>
  <c r="G20" i="1"/>
  <c r="G55" i="1"/>
  <c r="G62" i="1"/>
  <c r="G27" i="1"/>
  <c r="G41" i="1"/>
  <c r="G13" i="1"/>
  <c r="G69" i="1"/>
  <c r="F28" i="1"/>
  <c r="F49" i="1"/>
  <c r="F14" i="1"/>
  <c r="F21" i="1"/>
  <c r="F63" i="1"/>
  <c r="F42" i="1"/>
  <c r="F56" i="1"/>
  <c r="F7" i="1"/>
  <c r="F35" i="1"/>
  <c r="F70" i="1"/>
  <c r="F34" i="1"/>
  <c r="F69" i="1"/>
  <c r="F55" i="1"/>
  <c r="F6" i="1"/>
  <c r="F41" i="1"/>
  <c r="F27" i="1"/>
  <c r="F48" i="1"/>
  <c r="F62" i="1"/>
  <c r="F13" i="1"/>
  <c r="F20" i="1"/>
  <c r="E70" i="1"/>
  <c r="E14" i="1"/>
  <c r="E28" i="1"/>
  <c r="E21" i="1"/>
  <c r="E49" i="1"/>
  <c r="E63" i="1"/>
  <c r="E7" i="1"/>
  <c r="E56" i="1"/>
  <c r="E35" i="1"/>
  <c r="E42" i="1"/>
  <c r="E41" i="1"/>
  <c r="E6" i="1"/>
  <c r="E34" i="1"/>
  <c r="E55" i="1"/>
  <c r="E48" i="1"/>
  <c r="E62" i="1"/>
  <c r="E69" i="1"/>
  <c r="E20" i="1"/>
  <c r="E13" i="1"/>
  <c r="E27" i="1"/>
  <c r="D70" i="1"/>
  <c r="D14" i="1"/>
  <c r="D35" i="1"/>
  <c r="D28" i="1"/>
  <c r="D56" i="1"/>
  <c r="D49" i="1"/>
  <c r="D7" i="1"/>
  <c r="D63" i="1"/>
  <c r="D21" i="1"/>
  <c r="D42" i="1"/>
  <c r="D20" i="1"/>
  <c r="D34" i="1"/>
  <c r="D62" i="1"/>
  <c r="D55" i="1"/>
  <c r="D48" i="1"/>
  <c r="D41" i="1"/>
  <c r="D27" i="1"/>
  <c r="D69" i="1"/>
  <c r="D6" i="1"/>
  <c r="D13" i="1"/>
  <c r="C49" i="1" l="1"/>
  <c r="C14" i="1"/>
  <c r="C42" i="1"/>
  <c r="C7" i="1"/>
  <c r="C21" i="1"/>
  <c r="C28" i="1"/>
  <c r="M9" i="1" s="1"/>
  <c r="C70" i="1"/>
  <c r="C35" i="1"/>
  <c r="C63" i="1"/>
  <c r="C56" i="1"/>
  <c r="C69" i="1"/>
  <c r="C62" i="1"/>
  <c r="C55" i="1"/>
  <c r="C48" i="1"/>
  <c r="M12" i="1" s="1"/>
  <c r="C41" i="1"/>
  <c r="M11" i="1" s="1"/>
  <c r="C34" i="1"/>
  <c r="M10" i="1" s="1"/>
  <c r="C27" i="1"/>
  <c r="C20" i="1"/>
  <c r="C13" i="1"/>
  <c r="M7" i="1" s="1"/>
  <c r="C6" i="1"/>
  <c r="M6" i="1" s="1"/>
  <c r="M14" i="1" l="1"/>
  <c r="M13" i="1"/>
  <c r="M8" i="1"/>
  <c r="M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Yoo Seung Son</author>
  </authors>
  <commentList>
    <comment ref="C8" authorId="0" shapeId="0" xr:uid="{291FE4FF-03CC-4A41-98AB-75E641264F53}">
      <text>
        <r>
          <rPr>
            <b/>
            <sz val="9"/>
            <color indexed="81"/>
            <rFont val="Tahoma"/>
            <family val="2"/>
          </rPr>
          <t>Yoo Seung Son: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계산했습니다</t>
        </r>
        <r>
          <rPr>
            <sz val="9"/>
            <color indexed="81"/>
            <rFont val="Tahoma"/>
            <family val="2"/>
          </rPr>
          <t xml:space="preserve">!!! ---&gt;
</t>
        </r>
      </text>
    </comment>
    <comment ref="S56" authorId="0" shapeId="0" xr:uid="{431C2034-22DB-4E21-9DA8-451CA6A0C41C}">
      <text>
        <r>
          <rPr>
            <b/>
            <sz val="9"/>
            <color indexed="81"/>
            <rFont val="Tahoma"/>
            <family val="2"/>
          </rPr>
          <t>Yoo Seung Son: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2017</t>
        </r>
        <r>
          <rPr>
            <sz val="9"/>
            <color indexed="81"/>
            <rFont val="돋움"/>
            <family val="3"/>
            <charset val="129"/>
          </rPr>
          <t>년부터</t>
        </r>
        <r>
          <rPr>
            <sz val="9"/>
            <color indexed="81"/>
            <rFont val="Tahoma"/>
            <family val="2"/>
          </rPr>
          <t xml:space="preserve"> 2021</t>
        </r>
        <r>
          <rPr>
            <sz val="9"/>
            <color indexed="81"/>
            <rFont val="돋움"/>
            <family val="3"/>
            <charset val="129"/>
          </rPr>
          <t>년까지만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올시즌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기대승률입니다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시뮬레이션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+ FA </t>
        </r>
        <r>
          <rPr>
            <sz val="9"/>
            <color indexed="81"/>
            <rFont val="돋움"/>
            <family val="3"/>
            <charset val="129"/>
          </rPr>
          <t>선수</t>
        </r>
        <r>
          <rPr>
            <sz val="9"/>
            <color indexed="81"/>
            <rFont val="Tahoma"/>
            <family val="2"/>
          </rPr>
          <t xml:space="preserve"> WAR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같습니다</t>
        </r>
        <r>
          <rPr>
            <sz val="9"/>
            <color indexed="81"/>
            <rFont val="Tahoma"/>
            <family val="2"/>
          </rPr>
          <t>!</t>
        </r>
      </text>
    </comment>
  </commentList>
</comments>
</file>

<file path=xl/sharedStrings.xml><?xml version="1.0" encoding="utf-8"?>
<sst xmlns="http://schemas.openxmlformats.org/spreadsheetml/2006/main" count="241" uniqueCount="66">
  <si>
    <t>2017년</t>
    <phoneticPr fontId="1" type="noConversion"/>
  </si>
  <si>
    <t>2018년</t>
    <phoneticPr fontId="1" type="noConversion"/>
  </si>
  <si>
    <t>2019년</t>
    <phoneticPr fontId="1" type="noConversion"/>
  </si>
  <si>
    <t xml:space="preserve">2020년 </t>
    <phoneticPr fontId="1" type="noConversion"/>
  </si>
  <si>
    <t>2021년</t>
    <phoneticPr fontId="1" type="noConversion"/>
  </si>
  <si>
    <t>KiA</t>
    <phoneticPr fontId="1" type="noConversion"/>
  </si>
  <si>
    <t>경기당 평균 팀득점</t>
    <phoneticPr fontId="1" type="noConversion"/>
  </si>
  <si>
    <t>경기당 평균 팀실점</t>
    <phoneticPr fontId="1" type="noConversion"/>
  </si>
  <si>
    <t>평균팀득점- 평균팀실점</t>
    <phoneticPr fontId="1" type="noConversion"/>
  </si>
  <si>
    <t>최종승률</t>
    <phoneticPr fontId="1" type="noConversion"/>
  </si>
  <si>
    <t>두산</t>
    <phoneticPr fontId="1" type="noConversion"/>
  </si>
  <si>
    <t>NC</t>
    <phoneticPr fontId="1" type="noConversion"/>
  </si>
  <si>
    <t>넥센</t>
    <phoneticPr fontId="1" type="noConversion"/>
  </si>
  <si>
    <t>한화</t>
    <phoneticPr fontId="1" type="noConversion"/>
  </si>
  <si>
    <t>롯데</t>
    <phoneticPr fontId="1" type="noConversion"/>
  </si>
  <si>
    <t>LG</t>
    <phoneticPr fontId="1" type="noConversion"/>
  </si>
  <si>
    <t>삼성</t>
    <phoneticPr fontId="1" type="noConversion"/>
  </si>
  <si>
    <t>kT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</si>
  <si>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</si>
  <si>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</si>
  <si>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</si>
  <si>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</si>
  <si>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</si>
  <si>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</si>
  <si>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</si>
  <si>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</si>
  <si>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</si>
  <si>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</si>
  <si>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</si>
  <si>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</si>
  <si>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</si>
  <si>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</si>
  <si>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</si>
  <si>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</si>
  <si>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</si>
  <si>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</si>
  <si>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</si>
  <si>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</si>
  <si>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</si>
  <si>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</si>
  <si>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</si>
  <si>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</si>
  <si>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(평균팀득점 - 평균팀실점)</t>
  </si>
  <si>
    <t>X (평균팀득점 - 평균팀실점)</t>
    <phoneticPr fontId="1" type="noConversion"/>
  </si>
  <si>
    <t>Y(최종승률)</t>
    <phoneticPr fontId="1" type="noConversion"/>
  </si>
  <si>
    <t>넥센, 키움(2019년부터)</t>
    <phoneticPr fontId="1" type="noConversion"/>
  </si>
  <si>
    <t>SK</t>
    <phoneticPr fontId="1" type="noConversion"/>
  </si>
  <si>
    <t>SK, SSG(21년부터)</t>
    <phoneticPr fontId="1" type="noConversion"/>
  </si>
  <si>
    <t>2022년</t>
    <phoneticPr fontId="1" type="noConversion"/>
  </si>
  <si>
    <t>6월9일까지 기준</t>
    <phoneticPr fontId="1" type="noConversion"/>
  </si>
  <si>
    <t>2022년(57경기)</t>
    <phoneticPr fontId="1" type="noConversion"/>
  </si>
  <si>
    <t>2022년(58경기)</t>
    <phoneticPr fontId="1" type="noConversion"/>
  </si>
  <si>
    <t>2022년(56경기)</t>
    <phoneticPr fontId="1" type="noConversion"/>
  </si>
  <si>
    <t>2022년(59경기)</t>
    <phoneticPr fontId="1" type="noConversion"/>
  </si>
  <si>
    <t>KIA</t>
    <phoneticPr fontId="1" type="noConversion"/>
  </si>
  <si>
    <t>KT</t>
    <phoneticPr fontId="1" type="noConversion"/>
  </si>
  <si>
    <t>2020년</t>
    <phoneticPr fontId="1" type="noConversion"/>
  </si>
  <si>
    <t>시즌</t>
    <phoneticPr fontId="1" type="noConversion"/>
  </si>
  <si>
    <t>팀</t>
    <phoneticPr fontId="1" type="noConversion"/>
  </si>
  <si>
    <t>우리조만의 기대승률  식 = 0.0932 * (팀평균득점 - 팀평균실점) + 0.5</t>
    <phoneticPr fontId="1" type="noConversion"/>
  </si>
  <si>
    <t>기대승률</t>
    <phoneticPr fontId="1" type="noConversion"/>
  </si>
  <si>
    <t>실제순위</t>
    <phoneticPr fontId="1" type="noConversion"/>
  </si>
  <si>
    <t>실제 순위</t>
    <phoneticPr fontId="1" type="noConversion"/>
  </si>
  <si>
    <t>실제승률</t>
    <phoneticPr fontId="1" type="noConversion"/>
  </si>
  <si>
    <t>기대순위</t>
    <phoneticPr fontId="1" type="noConversion"/>
  </si>
  <si>
    <t>이건 딱 5시즌만 기준으로 했을 때!!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</si>
</sst>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Y(최종승률)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465004374453194E-3"/>
                  <c:y val="-0.14449074074074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Sheet1!$M$6:$M$65</c:f>
              <c:numCache>
                <c:formatCode>General</c:formatCode>
                <c:ptCount val="60"/>
                <c:pt idx="0">
                  <c:v>1.1319444444444446</c:v>
                </c:pt>
                <c:pt idx="1">
                  <c:v>1.1875</c:v>
                </c:pt>
                <c:pt idx="2">
                  <c:v>0.28472222222222232</c:v>
                </c:pt>
                <c:pt idx="3">
                  <c:v>0.1736111111111116</c:v>
                </c:pt>
                <c:pt idx="4">
                  <c:v>-0.57638888888888928</c:v>
                </c:pt>
                <c:pt idx="5">
                  <c:v>0.29166666666666696</c:v>
                </c:pt>
                <c:pt idx="6">
                  <c:v>0.15277777777777768</c:v>
                </c:pt>
                <c:pt idx="7">
                  <c:v>-1.0694444444444446</c:v>
                </c:pt>
                <c:pt idx="8">
                  <c:v>-1.5347222222222223</c:v>
                </c:pt>
                <c:pt idx="9">
                  <c:v>-4.1666666666666963E-2</c:v>
                </c:pt>
                <c:pt idx="10">
                  <c:v>0.27083333333333393</c:v>
                </c:pt>
                <c:pt idx="11">
                  <c:v>1.3055555555555554</c:v>
                </c:pt>
                <c:pt idx="12">
                  <c:v>-1.2777777777777777</c:v>
                </c:pt>
                <c:pt idx="13">
                  <c:v>0.3125</c:v>
                </c:pt>
                <c:pt idx="14">
                  <c:v>-0.22222222222222232</c:v>
                </c:pt>
                <c:pt idx="15">
                  <c:v>-0.17361111111111072</c:v>
                </c:pt>
                <c:pt idx="16">
                  <c:v>-0.19444444444444464</c:v>
                </c:pt>
                <c:pt idx="17">
                  <c:v>-0.18055555555555536</c:v>
                </c:pt>
                <c:pt idx="18">
                  <c:v>-0.53472222222222232</c:v>
                </c:pt>
                <c:pt idx="19">
                  <c:v>0.69444444444444464</c:v>
                </c:pt>
                <c:pt idx="20">
                  <c:v>-0.81944444444444375</c:v>
                </c:pt>
                <c:pt idx="21">
                  <c:v>1.2916666666666661</c:v>
                </c:pt>
                <c:pt idx="22">
                  <c:v>0.29861111111111072</c:v>
                </c:pt>
                <c:pt idx="23">
                  <c:v>1.4444444444444446</c:v>
                </c:pt>
                <c:pt idx="24">
                  <c:v>-0.90277777777777768</c:v>
                </c:pt>
                <c:pt idx="25">
                  <c:v>-1.2916666666666661</c:v>
                </c:pt>
                <c:pt idx="26">
                  <c:v>5.5555555555556246E-2</c:v>
                </c:pt>
                <c:pt idx="27">
                  <c:v>-0.75694444444444464</c:v>
                </c:pt>
                <c:pt idx="28">
                  <c:v>-7.6388888888888395E-2</c:v>
                </c:pt>
                <c:pt idx="29">
                  <c:v>0.7569444444444442</c:v>
                </c:pt>
                <c:pt idx="30">
                  <c:v>-0.49305555555555536</c:v>
                </c:pt>
                <c:pt idx="31">
                  <c:v>0.84027777777777768</c:v>
                </c:pt>
                <c:pt idx="32">
                  <c:v>1.2083333333333339</c:v>
                </c:pt>
                <c:pt idx="33">
                  <c:v>0.46527777777777768</c:v>
                </c:pt>
                <c:pt idx="34">
                  <c:v>-1.8680555555555558</c:v>
                </c:pt>
                <c:pt idx="35">
                  <c:v>0.20833333333333304</c:v>
                </c:pt>
                <c:pt idx="36">
                  <c:v>0.75</c:v>
                </c:pt>
                <c:pt idx="37">
                  <c:v>-0.31944444444444375</c:v>
                </c:pt>
                <c:pt idx="38">
                  <c:v>0.68055555555555536</c:v>
                </c:pt>
                <c:pt idx="39">
                  <c:v>-1.4722222222222223</c:v>
                </c:pt>
                <c:pt idx="40">
                  <c:v>-1.2777777777777777</c:v>
                </c:pt>
                <c:pt idx="41">
                  <c:v>0.56944444444444464</c:v>
                </c:pt>
                <c:pt idx="42">
                  <c:v>3.4722222222222321E-2</c:v>
                </c:pt>
                <c:pt idx="43">
                  <c:v>0.15277777777777857</c:v>
                </c:pt>
                <c:pt idx="44">
                  <c:v>-0.97222222222222232</c:v>
                </c:pt>
                <c:pt idx="45">
                  <c:v>-0.5625</c:v>
                </c:pt>
                <c:pt idx="46">
                  <c:v>0.64583333333333348</c:v>
                </c:pt>
                <c:pt idx="47">
                  <c:v>0.375</c:v>
                </c:pt>
                <c:pt idx="48">
                  <c:v>0.9375</c:v>
                </c:pt>
                <c:pt idx="49">
                  <c:v>9.7222222222222321E-2</c:v>
                </c:pt>
                <c:pt idx="50">
                  <c:v>0.7017543859649118</c:v>
                </c:pt>
                <c:pt idx="51">
                  <c:v>0.25</c:v>
                </c:pt>
                <c:pt idx="52">
                  <c:v>-0.6379310344827589</c:v>
                </c:pt>
                <c:pt idx="53">
                  <c:v>0.25862068965517215</c:v>
                </c:pt>
                <c:pt idx="54">
                  <c:v>-1.2413793103448274</c:v>
                </c:pt>
                <c:pt idx="55">
                  <c:v>-0.7192982456140351</c:v>
                </c:pt>
                <c:pt idx="56">
                  <c:v>0.7413793103448274</c:v>
                </c:pt>
                <c:pt idx="57">
                  <c:v>-7.0175438596491446E-2</c:v>
                </c:pt>
                <c:pt idx="58">
                  <c:v>6.8965517241379448E-2</c:v>
                </c:pt>
                <c:pt idx="59">
                  <c:v>0.64406779661016955</c:v>
                </c:pt>
              </c:numCache>
            </c:numRef>
          </c:xVal>
          <c:yVal>
            <c:numRef>
              <c:f>Sheet1!$N$6:$N$65</c:f>
              <c:numCache>
                <c:formatCode>General</c:formatCode>
                <c:ptCount val="60"/>
                <c:pt idx="0">
                  <c:v>0.60799999999999998</c:v>
                </c:pt>
                <c:pt idx="1">
                  <c:v>0.59599999999999997</c:v>
                </c:pt>
                <c:pt idx="2">
                  <c:v>0.56000000000000005</c:v>
                </c:pt>
                <c:pt idx="3">
                  <c:v>0.48599999999999999</c:v>
                </c:pt>
                <c:pt idx="4">
                  <c:v>0.43</c:v>
                </c:pt>
                <c:pt idx="5">
                  <c:v>0.56299999999999994</c:v>
                </c:pt>
                <c:pt idx="6">
                  <c:v>0.48899999999999999</c:v>
                </c:pt>
                <c:pt idx="7">
                  <c:v>0.39600000000000002</c:v>
                </c:pt>
                <c:pt idx="8">
                  <c:v>0.34699999999999998</c:v>
                </c:pt>
                <c:pt idx="9">
                  <c:v>0.52400000000000002</c:v>
                </c:pt>
                <c:pt idx="10">
                  <c:v>0.48599999999999999</c:v>
                </c:pt>
                <c:pt idx="11">
                  <c:v>0.64600000000000002</c:v>
                </c:pt>
                <c:pt idx="12">
                  <c:v>0.40600000000000003</c:v>
                </c:pt>
                <c:pt idx="13">
                  <c:v>0.52100000000000002</c:v>
                </c:pt>
                <c:pt idx="14">
                  <c:v>0.53500000000000003</c:v>
                </c:pt>
                <c:pt idx="15">
                  <c:v>0.47899999999999998</c:v>
                </c:pt>
                <c:pt idx="16">
                  <c:v>0.47599999999999998</c:v>
                </c:pt>
                <c:pt idx="17">
                  <c:v>0.48599999999999999</c:v>
                </c:pt>
                <c:pt idx="18">
                  <c:v>0.41799999999999998</c:v>
                </c:pt>
                <c:pt idx="19">
                  <c:v>0.54500000000000004</c:v>
                </c:pt>
                <c:pt idx="20">
                  <c:v>0.437</c:v>
                </c:pt>
                <c:pt idx="21">
                  <c:v>0.61499999999999999</c:v>
                </c:pt>
                <c:pt idx="22">
                  <c:v>0.51400000000000001</c:v>
                </c:pt>
                <c:pt idx="23">
                  <c:v>0.60099999999999998</c:v>
                </c:pt>
                <c:pt idx="24">
                  <c:v>0.40300000000000002</c:v>
                </c:pt>
                <c:pt idx="25">
                  <c:v>0.34</c:v>
                </c:pt>
                <c:pt idx="26">
                  <c:v>0.55200000000000005</c:v>
                </c:pt>
                <c:pt idx="27">
                  <c:v>0.42</c:v>
                </c:pt>
                <c:pt idx="28">
                  <c:v>0.5</c:v>
                </c:pt>
                <c:pt idx="29">
                  <c:v>0.61499999999999999</c:v>
                </c:pt>
                <c:pt idx="30">
                  <c:v>0.50700000000000001</c:v>
                </c:pt>
                <c:pt idx="31">
                  <c:v>0.56399999999999995</c:v>
                </c:pt>
                <c:pt idx="32">
                  <c:v>0.60099999999999998</c:v>
                </c:pt>
                <c:pt idx="33">
                  <c:v>0.55900000000000005</c:v>
                </c:pt>
                <c:pt idx="34">
                  <c:v>0.32600000000000001</c:v>
                </c:pt>
                <c:pt idx="35">
                  <c:v>0.497</c:v>
                </c:pt>
                <c:pt idx="36">
                  <c:v>0.56399999999999995</c:v>
                </c:pt>
                <c:pt idx="37">
                  <c:v>0.46</c:v>
                </c:pt>
                <c:pt idx="38">
                  <c:v>0.56599999999999995</c:v>
                </c:pt>
                <c:pt idx="39">
                  <c:v>0.35699999999999998</c:v>
                </c:pt>
                <c:pt idx="40">
                  <c:v>0.433</c:v>
                </c:pt>
                <c:pt idx="41">
                  <c:v>0.52200000000000002</c:v>
                </c:pt>
                <c:pt idx="42">
                  <c:v>0.496</c:v>
                </c:pt>
                <c:pt idx="43">
                  <c:v>0.51100000000000001</c:v>
                </c:pt>
                <c:pt idx="44">
                  <c:v>0.371</c:v>
                </c:pt>
                <c:pt idx="45">
                  <c:v>0.47799999999999998</c:v>
                </c:pt>
                <c:pt idx="46">
                  <c:v>0.55400000000000005</c:v>
                </c:pt>
                <c:pt idx="47">
                  <c:v>0.56299999999999994</c:v>
                </c:pt>
                <c:pt idx="48">
                  <c:v>0.56299999999999994</c:v>
                </c:pt>
                <c:pt idx="49">
                  <c:v>0.50800000000000001</c:v>
                </c:pt>
                <c:pt idx="50">
                  <c:v>0.55400000000000005</c:v>
                </c:pt>
                <c:pt idx="51">
                  <c:v>0.49099999999999999</c:v>
                </c:pt>
                <c:pt idx="52">
                  <c:v>0.36799999999999999</c:v>
                </c:pt>
                <c:pt idx="53">
                  <c:v>0.59599999999999997</c:v>
                </c:pt>
                <c:pt idx="54">
                  <c:v>0.379</c:v>
                </c:pt>
                <c:pt idx="55">
                  <c:v>0.45500000000000002</c:v>
                </c:pt>
                <c:pt idx="56">
                  <c:v>0.56100000000000005</c:v>
                </c:pt>
                <c:pt idx="57">
                  <c:v>0.49099999999999999</c:v>
                </c:pt>
                <c:pt idx="58">
                  <c:v>0.46400000000000002</c:v>
                </c:pt>
                <c:pt idx="59">
                  <c:v>0.64300000000000002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1-4DF7-AE20-10B6D6F4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36944"/>
        <c:axId val="215939856"/>
      </c:scatterChart>
      <c:valAx>
        <c:axId val="2159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939856"/>
        <c:crosses val="autoZero"/>
        <c:crossBetween val="midCat"/>
      </c:valAx>
      <c:valAx>
        <c:axId val="2159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9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60325</xdr:colOff>
      <xdr:row>3</xdr:row>
      <xdr:rowOff>69850</xdr:rowOff>
    </xdr:from>
    <xdr:to>
      <xdr:col>26</xdr:col>
      <xdr:colOff>127000</xdr:colOff>
      <xdr:row>13</xdr:row>
      <xdr:rowOff>82550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173FEA7-7B42-3A47-A0B8-92E12907E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482600</xdr:colOff>
      <xdr:row>5</xdr:row>
      <xdr:rowOff>57150</xdr:rowOff>
    </xdr:from>
    <xdr:to>
      <xdr:col>24</xdr:col>
      <xdr:colOff>76200</xdr:colOff>
      <xdr:row>24</xdr:row>
      <xdr:rowOff>190500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70BCC8DD-D3F6-3430-F728-333D36D7527E}"/>
            </a:ext>
          </a:extLst>
        </xdr:cNvPr>
        <xdr:cNvCxnSpPr/>
      </xdr:nvCxnSpPr>
      <xdr:spPr>
        <a:xfrm flipH="1">
          <a:off x="19227800" y="1136650"/>
          <a:ext cx="1574800" cy="427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BE4D-31CE-48A0-AA85-22A3F34C16EA}">
  <dimension ref="B4:AA72"/>
  <sheetViews>
    <sheetView tabSelected="1" topLeftCell="I37" workbookViewId="0">
      <selection activeCell="S52" sqref="S52"/>
    </sheetView>
  </sheetViews>
  <sheetFormatPr defaultRowHeight="17" x14ac:dyDescent="0.45"/>
  <cols>
    <col min="2" max="2" width="21.75" bestFit="1" customWidth="1"/>
    <col min="4" max="4" width="13.1640625" bestFit="1" customWidth="1"/>
    <col min="8" max="8" width="20.58203125" bestFit="1" customWidth="1"/>
    <col min="12" max="12" width="24.1640625" customWidth="1"/>
    <col min="13" max="13" width="25.58203125" bestFit="1" customWidth="1"/>
    <col min="14" max="14" width="10.75" bestFit="1" customWidth="1"/>
  </cols>
  <sheetData>
    <row r="4" spans="2:24" x14ac:dyDescent="0.45">
      <c r="B4" s="1" t="s">
        <v>5</v>
      </c>
      <c r="C4" s="2"/>
      <c r="D4" s="2"/>
      <c r="E4" s="2"/>
      <c r="F4" s="2"/>
      <c r="G4" s="3"/>
      <c r="H4" t="s">
        <v>49</v>
      </c>
    </row>
    <row r="5" spans="2:24" x14ac:dyDescent="0.45">
      <c r="B5" s="4"/>
      <c r="C5" s="5" t="s">
        <v>0</v>
      </c>
      <c r="D5" s="5" t="s">
        <v>1</v>
      </c>
      <c r="E5" s="5" t="s">
        <v>2</v>
      </c>
      <c r="F5" s="5" t="s">
        <v>3</v>
      </c>
      <c r="G5" s="6" t="s">
        <v>4</v>
      </c>
      <c r="H5" s="15" t="s">
        <v>50</v>
      </c>
      <c r="K5" s="16" t="s">
        <v>57</v>
      </c>
      <c r="L5" s="16" t="s">
        <v>58</v>
      </c>
      <c r="M5" s="16" t="s">
        <v>43</v>
      </c>
      <c r="N5" s="16" t="s">
        <v>44</v>
      </c>
      <c r="O5" s="18" t="s">
        <v>61</v>
      </c>
      <c r="P5" t="s">
        <v>60</v>
      </c>
    </row>
    <row r="6" spans="2:24" x14ac:dyDescent="0.45">
      <c r="B6" s="4" t="s">
        <v>6</v>
      </c>
      <c r="C6" s="5">
        <f>906/144</f>
        <v>6.291666666666667</v>
      </c>
      <c r="D6" s="5">
        <f>865/144</f>
        <v>6.0069444444444446</v>
      </c>
      <c r="E6" s="5">
        <f>605/144</f>
        <v>4.2013888888888893</v>
      </c>
      <c r="F6" s="5">
        <f>724/144</f>
        <v>5.0277777777777777</v>
      </c>
      <c r="G6" s="6">
        <f>568/144</f>
        <v>3.9444444444444446</v>
      </c>
      <c r="H6">
        <f>297/57</f>
        <v>5.2105263157894735</v>
      </c>
      <c r="K6" s="4" t="s">
        <v>0</v>
      </c>
      <c r="L6" s="5" t="s">
        <v>54</v>
      </c>
      <c r="M6" s="5">
        <f>C6-C7</f>
        <v>1.1319444444444446</v>
      </c>
      <c r="N6" s="6">
        <v>0.60799999999999998</v>
      </c>
      <c r="O6">
        <v>1</v>
      </c>
      <c r="P6">
        <f t="shared" ref="P6:P37" si="0">0.0932 * (M6) + 0.5</f>
        <v>0.60549722222222224</v>
      </c>
      <c r="Q6">
        <v>2</v>
      </c>
      <c r="S6" t="s">
        <v>18</v>
      </c>
    </row>
    <row r="7" spans="2:24" ht="17.5" thickBot="1" x14ac:dyDescent="0.5">
      <c r="B7" s="4" t="s">
        <v>7</v>
      </c>
      <c r="C7" s="5">
        <f>743/144</f>
        <v>5.1597222222222223</v>
      </c>
      <c r="D7" s="5">
        <f>826/144</f>
        <v>5.7361111111111107</v>
      </c>
      <c r="E7" s="5">
        <f>723/144</f>
        <v>5.020833333333333</v>
      </c>
      <c r="F7" s="5">
        <f>795/144</f>
        <v>5.520833333333333</v>
      </c>
      <c r="G7" s="6">
        <f>752/144</f>
        <v>5.2222222222222223</v>
      </c>
      <c r="H7">
        <f>257/57</f>
        <v>4.5087719298245617</v>
      </c>
      <c r="K7" s="4"/>
      <c r="L7" s="5" t="s">
        <v>10</v>
      </c>
      <c r="M7" s="5">
        <f>C13-C14</f>
        <v>1.1875</v>
      </c>
      <c r="N7" s="6">
        <v>0.59599999999999997</v>
      </c>
      <c r="O7">
        <v>2</v>
      </c>
      <c r="P7">
        <f t="shared" si="0"/>
        <v>0.61067499999999997</v>
      </c>
      <c r="Q7">
        <v>1</v>
      </c>
    </row>
    <row r="8" spans="2:24" x14ac:dyDescent="0.45">
      <c r="B8" s="4" t="s">
        <v>8</v>
      </c>
      <c r="D8" s="5"/>
      <c r="E8" s="5"/>
      <c r="F8" s="5"/>
      <c r="G8" s="6"/>
      <c r="K8" s="4"/>
      <c r="L8" s="5" t="s">
        <v>11</v>
      </c>
      <c r="M8" s="5">
        <f>C20-C21</f>
        <v>0.28472222222222232</v>
      </c>
      <c r="N8" s="6">
        <v>0.56000000000000005</v>
      </c>
      <c r="O8">
        <v>4</v>
      </c>
      <c r="P8">
        <f t="shared" si="0"/>
        <v>0.52653611111111109</v>
      </c>
      <c r="Q8">
        <v>4</v>
      </c>
      <c r="S8" s="13" t="s">
        <v>19</v>
      </c>
      <c r="T8" s="13"/>
    </row>
    <row r="9" spans="2:24" x14ac:dyDescent="0.45">
      <c r="B9" s="7" t="s">
        <v>9</v>
      </c>
      <c r="C9" s="8">
        <v>0.60799999999999998</v>
      </c>
      <c r="D9" s="8">
        <v>0.48599999999999999</v>
      </c>
      <c r="E9" s="8">
        <v>0.437</v>
      </c>
      <c r="F9" s="8">
        <v>0.50700000000000001</v>
      </c>
      <c r="G9" s="9">
        <v>0.433</v>
      </c>
      <c r="H9" s="15">
        <v>0.55400000000000005</v>
      </c>
      <c r="K9" s="4"/>
      <c r="L9" s="5" t="s">
        <v>12</v>
      </c>
      <c r="M9" s="5">
        <f>C27-C28</f>
        <v>0.1736111111111116</v>
      </c>
      <c r="N9" s="6">
        <v>0.48599999999999999</v>
      </c>
      <c r="O9">
        <v>7</v>
      </c>
      <c r="P9">
        <f t="shared" si="0"/>
        <v>0.51618055555555564</v>
      </c>
      <c r="Q9">
        <v>5</v>
      </c>
      <c r="S9" s="10" t="s">
        <v>20</v>
      </c>
      <c r="T9" s="10">
        <v>0.92768341994844505</v>
      </c>
    </row>
    <row r="10" spans="2:24" x14ac:dyDescent="0.45">
      <c r="K10" s="4"/>
      <c r="L10" s="5" t="s">
        <v>13</v>
      </c>
      <c r="M10" s="5">
        <f>C34-C35</f>
        <v>-0.57638888888888928</v>
      </c>
      <c r="N10" s="6">
        <v>0.43</v>
      </c>
      <c r="O10">
        <v>8</v>
      </c>
      <c r="P10">
        <f t="shared" si="0"/>
        <v>0.44628055555555551</v>
      </c>
      <c r="Q10">
        <v>8</v>
      </c>
      <c r="S10" s="10" t="s">
        <v>21</v>
      </c>
      <c r="T10" s="10">
        <v>0.86059652764724304</v>
      </c>
    </row>
    <row r="11" spans="2:24" x14ac:dyDescent="0.45">
      <c r="B11" s="1" t="s">
        <v>10</v>
      </c>
      <c r="C11" s="2"/>
      <c r="D11" s="2"/>
      <c r="E11" s="2"/>
      <c r="F11" s="2"/>
      <c r="G11" s="3"/>
      <c r="K11" s="4"/>
      <c r="L11" s="5" t="s">
        <v>14</v>
      </c>
      <c r="M11" s="5">
        <f>C41-C42</f>
        <v>0.29166666666666696</v>
      </c>
      <c r="N11" s="6">
        <v>0.56299999999999994</v>
      </c>
      <c r="O11">
        <v>3</v>
      </c>
      <c r="P11">
        <f t="shared" si="0"/>
        <v>0.52718333333333334</v>
      </c>
      <c r="Q11">
        <v>3</v>
      </c>
      <c r="S11" s="10" t="s">
        <v>22</v>
      </c>
      <c r="T11" s="10">
        <v>0.85819301950323001</v>
      </c>
    </row>
    <row r="12" spans="2:24" x14ac:dyDescent="0.45">
      <c r="B12" s="4"/>
      <c r="C12" s="5" t="s">
        <v>0</v>
      </c>
      <c r="D12" s="5" t="s">
        <v>1</v>
      </c>
      <c r="E12" s="5" t="s">
        <v>2</v>
      </c>
      <c r="F12" s="5" t="s">
        <v>3</v>
      </c>
      <c r="G12" s="6" t="s">
        <v>4</v>
      </c>
      <c r="H12" s="15" t="s">
        <v>52</v>
      </c>
      <c r="K12" s="4"/>
      <c r="L12" s="5" t="s">
        <v>15</v>
      </c>
      <c r="M12" s="5">
        <f>C48-C49</f>
        <v>0.15277777777777768</v>
      </c>
      <c r="N12" s="6">
        <v>0.48899999999999999</v>
      </c>
      <c r="O12">
        <v>6</v>
      </c>
      <c r="P12">
        <f t="shared" si="0"/>
        <v>0.51423888888888891</v>
      </c>
      <c r="Q12">
        <v>6</v>
      </c>
      <c r="S12" s="10" t="s">
        <v>23</v>
      </c>
      <c r="T12" s="10">
        <v>3.0181121641644021E-2</v>
      </c>
    </row>
    <row r="13" spans="2:24" ht="17.5" thickBot="1" x14ac:dyDescent="0.5">
      <c r="B13" s="4" t="s">
        <v>6</v>
      </c>
      <c r="C13" s="5">
        <f>849/144</f>
        <v>5.895833333333333</v>
      </c>
      <c r="D13" s="5">
        <f>944/144</f>
        <v>6.5555555555555554</v>
      </c>
      <c r="E13" s="5">
        <f>736/144</f>
        <v>5.1111111111111107</v>
      </c>
      <c r="F13" s="5">
        <f>816/144</f>
        <v>5.666666666666667</v>
      </c>
      <c r="G13" s="6">
        <f>738/144</f>
        <v>5.125</v>
      </c>
      <c r="H13">
        <f>269/56</f>
        <v>4.8035714285714288</v>
      </c>
      <c r="K13" s="4"/>
      <c r="L13" s="5" t="s">
        <v>16</v>
      </c>
      <c r="M13" s="5">
        <f>C55-C56</f>
        <v>-1.0694444444444446</v>
      </c>
      <c r="N13" s="6">
        <v>0.39600000000000002</v>
      </c>
      <c r="O13">
        <v>9</v>
      </c>
      <c r="P13">
        <f t="shared" si="0"/>
        <v>0.40032777777777773</v>
      </c>
      <c r="Q13">
        <v>9</v>
      </c>
      <c r="S13" s="11" t="s">
        <v>24</v>
      </c>
      <c r="T13" s="11">
        <v>60</v>
      </c>
    </row>
    <row r="14" spans="2:24" x14ac:dyDescent="0.45">
      <c r="B14" s="4" t="s">
        <v>7</v>
      </c>
      <c r="C14" s="5">
        <f>678/144</f>
        <v>4.708333333333333</v>
      </c>
      <c r="D14" s="5">
        <f>756/144</f>
        <v>5.25</v>
      </c>
      <c r="E14" s="5">
        <f>550/144</f>
        <v>3.8194444444444446</v>
      </c>
      <c r="F14" s="5">
        <f>695/144</f>
        <v>4.8263888888888893</v>
      </c>
      <c r="G14" s="6">
        <f>656/144</f>
        <v>4.5555555555555554</v>
      </c>
      <c r="H14">
        <f>255/56</f>
        <v>4.5535714285714288</v>
      </c>
      <c r="K14" s="4"/>
      <c r="L14" s="5" t="s">
        <v>55</v>
      </c>
      <c r="M14" s="5">
        <f>C62-C63</f>
        <v>-1.5347222222222223</v>
      </c>
      <c r="N14" s="6">
        <v>0.34699999999999998</v>
      </c>
      <c r="O14">
        <v>10</v>
      </c>
      <c r="P14">
        <f t="shared" si="0"/>
        <v>0.35696388888888886</v>
      </c>
      <c r="Q14">
        <v>10</v>
      </c>
    </row>
    <row r="15" spans="2:24" ht="17.5" thickBot="1" x14ac:dyDescent="0.5">
      <c r="B15" s="4" t="s">
        <v>8</v>
      </c>
      <c r="D15" s="5"/>
      <c r="E15" s="5"/>
      <c r="F15" s="5"/>
      <c r="G15" s="6"/>
      <c r="K15" s="20"/>
      <c r="L15" s="14" t="s">
        <v>46</v>
      </c>
      <c r="M15" s="14">
        <f>C69-C70</f>
        <v>-4.1666666666666963E-2</v>
      </c>
      <c r="N15" s="17">
        <v>0.52400000000000002</v>
      </c>
      <c r="O15" s="20">
        <v>5</v>
      </c>
      <c r="P15" s="14">
        <f t="shared" si="0"/>
        <v>0.49611666666666665</v>
      </c>
      <c r="Q15">
        <v>7</v>
      </c>
      <c r="S15" t="s">
        <v>25</v>
      </c>
    </row>
    <row r="16" spans="2:24" x14ac:dyDescent="0.45">
      <c r="B16" s="7" t="s">
        <v>9</v>
      </c>
      <c r="C16" s="8">
        <v>0.59599999999999997</v>
      </c>
      <c r="D16" s="8">
        <v>0.64600000000000002</v>
      </c>
      <c r="E16" s="8">
        <v>0.61499999999999999</v>
      </c>
      <c r="F16" s="8">
        <v>0.56399999999999995</v>
      </c>
      <c r="G16" s="9">
        <v>0.52200000000000002</v>
      </c>
      <c r="H16" s="15">
        <v>0.49099999999999999</v>
      </c>
      <c r="K16" s="4" t="s">
        <v>1</v>
      </c>
      <c r="L16" s="5" t="s">
        <v>54</v>
      </c>
      <c r="M16" s="5">
        <f>D6-D7</f>
        <v>0.27083333333333393</v>
      </c>
      <c r="N16" s="6">
        <v>0.48599999999999999</v>
      </c>
      <c r="P16">
        <f t="shared" si="0"/>
        <v>0.52524166666666672</v>
      </c>
      <c r="S16" s="12"/>
      <c r="T16" s="12" t="s">
        <v>30</v>
      </c>
      <c r="U16" s="12" t="s">
        <v>31</v>
      </c>
      <c r="V16" s="12" t="s">
        <v>32</v>
      </c>
      <c r="W16" s="12" t="s">
        <v>33</v>
      </c>
      <c r="X16" s="12" t="s">
        <v>34</v>
      </c>
    </row>
    <row r="17" spans="2:27" x14ac:dyDescent="0.45">
      <c r="K17" s="4"/>
      <c r="L17" s="5" t="s">
        <v>10</v>
      </c>
      <c r="M17" s="5">
        <f>D13-D14</f>
        <v>1.3055555555555554</v>
      </c>
      <c r="N17" s="6">
        <v>0.64600000000000002</v>
      </c>
      <c r="P17">
        <f t="shared" si="0"/>
        <v>0.62167777777777777</v>
      </c>
      <c r="S17" s="10" t="s">
        <v>26</v>
      </c>
      <c r="T17" s="10">
        <v>1</v>
      </c>
      <c r="U17" s="10">
        <v>0.32615552732756597</v>
      </c>
      <c r="V17" s="10">
        <v>0.32615552732756597</v>
      </c>
      <c r="W17" s="10">
        <v>358.05850285588633</v>
      </c>
      <c r="X17" s="10">
        <v>1.7128667929097353E-26</v>
      </c>
    </row>
    <row r="18" spans="2:27" x14ac:dyDescent="0.45">
      <c r="B18" s="1" t="s">
        <v>11</v>
      </c>
      <c r="C18" s="2"/>
      <c r="D18" s="2"/>
      <c r="E18" s="2"/>
      <c r="F18" s="2"/>
      <c r="G18" s="3"/>
      <c r="K18" s="4"/>
      <c r="L18" s="5" t="s">
        <v>11</v>
      </c>
      <c r="M18" s="5">
        <f>D20-D21</f>
        <v>-1.2777777777777777</v>
      </c>
      <c r="N18" s="6">
        <v>0.40600000000000003</v>
      </c>
      <c r="P18">
        <f t="shared" si="0"/>
        <v>0.38091111111111109</v>
      </c>
      <c r="S18" s="10" t="s">
        <v>27</v>
      </c>
      <c r="T18" s="10">
        <v>58</v>
      </c>
      <c r="U18" s="10">
        <v>5.2832206005767358E-2</v>
      </c>
      <c r="V18" s="10">
        <v>9.1090010354771312E-4</v>
      </c>
      <c r="W18" s="10"/>
      <c r="X18" s="10"/>
    </row>
    <row r="19" spans="2:27" ht="17.5" thickBot="1" x14ac:dyDescent="0.5">
      <c r="B19" s="4"/>
      <c r="C19" s="5" t="s">
        <v>0</v>
      </c>
      <c r="D19" s="5" t="s">
        <v>1</v>
      </c>
      <c r="E19" s="5" t="s">
        <v>2</v>
      </c>
      <c r="F19" s="5" t="s">
        <v>3</v>
      </c>
      <c r="G19" s="6" t="s">
        <v>4</v>
      </c>
      <c r="H19" s="15" t="s">
        <v>51</v>
      </c>
      <c r="K19" s="4"/>
      <c r="L19" s="5" t="s">
        <v>12</v>
      </c>
      <c r="M19" s="5">
        <f>D27-D28</f>
        <v>0.3125</v>
      </c>
      <c r="N19" s="6">
        <v>0.52100000000000002</v>
      </c>
      <c r="P19">
        <f t="shared" si="0"/>
        <v>0.52912499999999996</v>
      </c>
      <c r="S19" s="11" t="s">
        <v>28</v>
      </c>
      <c r="T19" s="11">
        <v>59</v>
      </c>
      <c r="U19" s="11">
        <v>0.37898773333333335</v>
      </c>
      <c r="V19" s="11"/>
      <c r="W19" s="11"/>
      <c r="X19" s="11"/>
    </row>
    <row r="20" spans="2:27" ht="17.5" thickBot="1" x14ac:dyDescent="0.5">
      <c r="B20" s="4" t="s">
        <v>6</v>
      </c>
      <c r="C20" s="5">
        <f>786/144</f>
        <v>5.458333333333333</v>
      </c>
      <c r="D20" s="5">
        <f>660/144</f>
        <v>4.583333333333333</v>
      </c>
      <c r="E20" s="5">
        <f>674/144</f>
        <v>4.6805555555555554</v>
      </c>
      <c r="F20" s="5">
        <f>888/144</f>
        <v>6.166666666666667</v>
      </c>
      <c r="G20" s="6">
        <f>702/144</f>
        <v>4.875</v>
      </c>
      <c r="H20">
        <f>222/58</f>
        <v>3.8275862068965516</v>
      </c>
      <c r="K20" s="4"/>
      <c r="L20" s="5" t="s">
        <v>13</v>
      </c>
      <c r="M20" s="5">
        <f>D34-D35</f>
        <v>-0.22222222222222232</v>
      </c>
      <c r="N20" s="6">
        <v>0.53500000000000003</v>
      </c>
      <c r="P20">
        <f t="shared" si="0"/>
        <v>0.47928888888888888</v>
      </c>
    </row>
    <row r="21" spans="2:27" x14ac:dyDescent="0.45">
      <c r="B21" s="4" t="s">
        <v>7</v>
      </c>
      <c r="C21" s="5">
        <f>745/144</f>
        <v>5.1736111111111107</v>
      </c>
      <c r="D21" s="5">
        <f>844/144</f>
        <v>5.8611111111111107</v>
      </c>
      <c r="E21" s="5">
        <f>631/144</f>
        <v>4.3819444444444446</v>
      </c>
      <c r="F21" s="5">
        <f>714/144</f>
        <v>4.958333333333333</v>
      </c>
      <c r="G21" s="6">
        <f>697/144</f>
        <v>4.8402777777777777</v>
      </c>
      <c r="H21" s="5">
        <f>259/58</f>
        <v>4.4655172413793105</v>
      </c>
      <c r="K21" s="4"/>
      <c r="L21" s="5" t="s">
        <v>14</v>
      </c>
      <c r="M21" s="5">
        <f>D41-D42</f>
        <v>-0.17361111111111072</v>
      </c>
      <c r="N21" s="6">
        <v>0.47899999999999998</v>
      </c>
      <c r="P21">
        <f t="shared" si="0"/>
        <v>0.48381944444444447</v>
      </c>
      <c r="S21" s="12"/>
      <c r="T21" s="12" t="s">
        <v>35</v>
      </c>
      <c r="U21" s="12" t="s">
        <v>23</v>
      </c>
      <c r="V21" s="12" t="s">
        <v>36</v>
      </c>
      <c r="W21" s="12" t="s">
        <v>37</v>
      </c>
      <c r="X21" s="12" t="s">
        <v>38</v>
      </c>
      <c r="Y21" s="12" t="s">
        <v>39</v>
      </c>
      <c r="Z21" s="12" t="s">
        <v>40</v>
      </c>
      <c r="AA21" s="12" t="s">
        <v>41</v>
      </c>
    </row>
    <row r="22" spans="2:27" x14ac:dyDescent="0.45">
      <c r="B22" s="4" t="s">
        <v>8</v>
      </c>
      <c r="D22" s="5"/>
      <c r="E22" s="5"/>
      <c r="F22" s="5"/>
      <c r="G22" s="6"/>
      <c r="K22" s="4"/>
      <c r="L22" s="5" t="s">
        <v>15</v>
      </c>
      <c r="M22" s="5">
        <f>D48-D49</f>
        <v>-0.19444444444444464</v>
      </c>
      <c r="N22" s="6">
        <v>0.47599999999999998</v>
      </c>
      <c r="P22">
        <f t="shared" si="0"/>
        <v>0.48187777777777774</v>
      </c>
      <c r="S22" s="10" t="s">
        <v>29</v>
      </c>
      <c r="T22" s="10">
        <v>0.49993954260747114</v>
      </c>
      <c r="U22" s="10">
        <v>3.8963660634160199E-3</v>
      </c>
      <c r="V22" s="10">
        <v>128.30918206108294</v>
      </c>
      <c r="W22" s="10">
        <v>6.8432576077177539E-73</v>
      </c>
      <c r="X22" s="10">
        <v>0.49214011853370115</v>
      </c>
      <c r="Y22" s="10">
        <v>0.50773896668124108</v>
      </c>
      <c r="Z22" s="10">
        <v>0.49214011853370115</v>
      </c>
      <c r="AA22" s="10">
        <v>0.50773896668124108</v>
      </c>
    </row>
    <row r="23" spans="2:27" ht="17.5" thickBot="1" x14ac:dyDescent="0.5">
      <c r="B23" s="7" t="s">
        <v>9</v>
      </c>
      <c r="C23" s="8">
        <v>0.56000000000000005</v>
      </c>
      <c r="D23" s="8">
        <v>0.40600000000000003</v>
      </c>
      <c r="E23" s="8">
        <v>0.51400000000000001</v>
      </c>
      <c r="F23" s="8">
        <v>0.60099999999999998</v>
      </c>
      <c r="G23" s="9">
        <v>0.496</v>
      </c>
      <c r="H23" s="15">
        <v>0.36799999999999999</v>
      </c>
      <c r="K23" s="4"/>
      <c r="L23" s="5" t="s">
        <v>16</v>
      </c>
      <c r="M23" s="5">
        <f>D55-D56</f>
        <v>-0.18055555555555536</v>
      </c>
      <c r="N23" s="6">
        <v>0.48599999999999999</v>
      </c>
      <c r="P23">
        <f t="shared" si="0"/>
        <v>0.48317222222222223</v>
      </c>
      <c r="S23" s="11" t="s">
        <v>42</v>
      </c>
      <c r="T23" s="11">
        <v>9.3224663840272226E-2</v>
      </c>
      <c r="U23" s="11">
        <v>4.9266740511812986E-3</v>
      </c>
      <c r="V23" s="11">
        <v>18.922433851275219</v>
      </c>
      <c r="W23" s="11">
        <v>1.7128667929097353E-26</v>
      </c>
      <c r="X23" s="11">
        <v>8.3362854253337976E-2</v>
      </c>
      <c r="Y23" s="11">
        <v>0.10308647342720648</v>
      </c>
      <c r="Z23" s="11">
        <v>8.3362854253337976E-2</v>
      </c>
      <c r="AA23" s="11">
        <v>0.10308647342720648</v>
      </c>
    </row>
    <row r="24" spans="2:27" x14ac:dyDescent="0.45">
      <c r="K24" s="4"/>
      <c r="L24" s="5" t="s">
        <v>55</v>
      </c>
      <c r="M24" s="5">
        <f>D62-D63</f>
        <v>-0.53472222222222232</v>
      </c>
      <c r="N24" s="6">
        <v>0.41799999999999998</v>
      </c>
      <c r="P24">
        <f t="shared" si="0"/>
        <v>0.45016388888888886</v>
      </c>
    </row>
    <row r="25" spans="2:27" ht="17.5" thickBot="1" x14ac:dyDescent="0.5">
      <c r="B25" s="1" t="s">
        <v>45</v>
      </c>
      <c r="C25" s="2"/>
      <c r="D25" s="2"/>
      <c r="E25" s="2"/>
      <c r="F25" s="2"/>
      <c r="G25" s="3"/>
      <c r="K25" s="20"/>
      <c r="L25" s="14" t="s">
        <v>46</v>
      </c>
      <c r="M25" s="14">
        <f>D69-D70</f>
        <v>0.69444444444444464</v>
      </c>
      <c r="N25" s="17">
        <v>0.54500000000000004</v>
      </c>
      <c r="O25" s="20"/>
      <c r="P25" s="14">
        <f t="shared" si="0"/>
        <v>0.56472222222222224</v>
      </c>
    </row>
    <row r="26" spans="2:27" x14ac:dyDescent="0.45">
      <c r="B26" s="4"/>
      <c r="C26" s="5" t="s">
        <v>0</v>
      </c>
      <c r="D26" s="5" t="s">
        <v>1</v>
      </c>
      <c r="E26" s="5" t="s">
        <v>2</v>
      </c>
      <c r="F26" s="5" t="s">
        <v>3</v>
      </c>
      <c r="G26" s="6" t="s">
        <v>4</v>
      </c>
      <c r="H26" s="15" t="s">
        <v>51</v>
      </c>
      <c r="K26" s="4" t="s">
        <v>2</v>
      </c>
      <c r="L26" s="5" t="s">
        <v>54</v>
      </c>
      <c r="M26" s="5">
        <f>E6-E7</f>
        <v>-0.81944444444444375</v>
      </c>
      <c r="N26" s="6">
        <v>0.437</v>
      </c>
      <c r="P26">
        <f t="shared" si="0"/>
        <v>0.42362777777777783</v>
      </c>
      <c r="S26" s="21" t="s">
        <v>59</v>
      </c>
      <c r="T26" s="21"/>
      <c r="U26" s="21"/>
      <c r="V26" s="21"/>
      <c r="W26" s="21"/>
      <c r="X26" s="21"/>
      <c r="Y26" s="21"/>
      <c r="Z26" s="21"/>
    </row>
    <row r="27" spans="2:27" x14ac:dyDescent="0.45">
      <c r="B27" s="4" t="s">
        <v>6</v>
      </c>
      <c r="C27" s="5">
        <f>789/144</f>
        <v>5.479166666666667</v>
      </c>
      <c r="D27" s="5">
        <f>825/144</f>
        <v>5.729166666666667</v>
      </c>
      <c r="E27" s="5">
        <f>780/144</f>
        <v>5.416666666666667</v>
      </c>
      <c r="F27" s="5">
        <f>759/144</f>
        <v>5.270833333333333</v>
      </c>
      <c r="G27" s="6">
        <f>722/144</f>
        <v>5.0138888888888893</v>
      </c>
      <c r="H27">
        <f>246/58</f>
        <v>4.2413793103448274</v>
      </c>
      <c r="K27" s="4"/>
      <c r="L27" s="5" t="s">
        <v>10</v>
      </c>
      <c r="M27" s="5">
        <f>E13-E14</f>
        <v>1.2916666666666661</v>
      </c>
      <c r="N27" s="6">
        <v>0.61499999999999999</v>
      </c>
      <c r="P27">
        <f t="shared" si="0"/>
        <v>0.62038333333333329</v>
      </c>
    </row>
    <row r="28" spans="2:27" x14ac:dyDescent="0.45">
      <c r="B28" s="4" t="s">
        <v>7</v>
      </c>
      <c r="C28" s="5">
        <f>764/144</f>
        <v>5.3055555555555554</v>
      </c>
      <c r="D28" s="5">
        <f>780/144</f>
        <v>5.416666666666667</v>
      </c>
      <c r="E28" s="5">
        <f>572/144</f>
        <v>3.9722222222222223</v>
      </c>
      <c r="F28" s="5">
        <f>692/144</f>
        <v>4.8055555555555554</v>
      </c>
      <c r="G28" s="6">
        <f>700/144</f>
        <v>4.8611111111111107</v>
      </c>
      <c r="H28">
        <f>231/58</f>
        <v>3.9827586206896552</v>
      </c>
      <c r="K28" s="4"/>
      <c r="L28" s="5" t="s">
        <v>11</v>
      </c>
      <c r="M28" s="5">
        <f>E20-E21</f>
        <v>0.29861111111111072</v>
      </c>
      <c r="N28" s="6">
        <v>0.51400000000000001</v>
      </c>
      <c r="P28">
        <f t="shared" si="0"/>
        <v>0.52783055555555547</v>
      </c>
    </row>
    <row r="29" spans="2:27" x14ac:dyDescent="0.45">
      <c r="B29" s="4" t="s">
        <v>8</v>
      </c>
      <c r="D29" s="5"/>
      <c r="E29" s="5"/>
      <c r="F29" s="5"/>
      <c r="G29" s="6"/>
      <c r="K29" s="4"/>
      <c r="L29" s="5" t="s">
        <v>12</v>
      </c>
      <c r="M29" s="5">
        <f>E27-E28</f>
        <v>1.4444444444444446</v>
      </c>
      <c r="N29" s="6">
        <v>0.60099999999999998</v>
      </c>
      <c r="P29">
        <f t="shared" si="0"/>
        <v>0.6346222222222222</v>
      </c>
      <c r="S29" t="s">
        <v>18</v>
      </c>
      <c r="U29" t="s">
        <v>65</v>
      </c>
    </row>
    <row r="30" spans="2:27" ht="17.5" thickBot="1" x14ac:dyDescent="0.5">
      <c r="B30" s="7" t="s">
        <v>9</v>
      </c>
      <c r="C30" s="8">
        <v>0.48599999999999999</v>
      </c>
      <c r="D30" s="8">
        <v>0.52100000000000002</v>
      </c>
      <c r="E30" s="8">
        <v>0.60099999999999998</v>
      </c>
      <c r="F30" s="8">
        <v>0.55900000000000005</v>
      </c>
      <c r="G30" s="9">
        <v>0.51100000000000001</v>
      </c>
      <c r="H30" s="15">
        <v>0.59599999999999997</v>
      </c>
      <c r="K30" s="4"/>
      <c r="L30" s="5" t="s">
        <v>13</v>
      </c>
      <c r="M30" s="5">
        <f>E34-E35</f>
        <v>-0.90277777777777768</v>
      </c>
      <c r="N30" s="6">
        <v>0.40300000000000002</v>
      </c>
      <c r="P30">
        <f t="shared" si="0"/>
        <v>0.41586111111111113</v>
      </c>
    </row>
    <row r="31" spans="2:27" x14ac:dyDescent="0.45">
      <c r="K31" s="4"/>
      <c r="L31" s="5" t="s">
        <v>14</v>
      </c>
      <c r="M31" s="5">
        <f>E41-E42</f>
        <v>-1.2916666666666661</v>
      </c>
      <c r="N31" s="6">
        <v>0.34</v>
      </c>
      <c r="P31">
        <f t="shared" si="0"/>
        <v>0.37961666666666671</v>
      </c>
      <c r="S31" s="13" t="s">
        <v>19</v>
      </c>
      <c r="T31" s="13"/>
    </row>
    <row r="32" spans="2:27" x14ac:dyDescent="0.45">
      <c r="B32" s="1" t="s">
        <v>13</v>
      </c>
      <c r="C32" s="2"/>
      <c r="D32" s="2"/>
      <c r="E32" s="2"/>
      <c r="F32" s="2"/>
      <c r="G32" s="3"/>
      <c r="K32" s="4"/>
      <c r="L32" s="5" t="s">
        <v>15</v>
      </c>
      <c r="M32" s="5">
        <f>E48-E49</f>
        <v>5.5555555555556246E-2</v>
      </c>
      <c r="N32" s="6">
        <v>0.55200000000000005</v>
      </c>
      <c r="P32">
        <f t="shared" si="0"/>
        <v>0.50517777777777784</v>
      </c>
      <c r="S32" s="10" t="s">
        <v>20</v>
      </c>
      <c r="T32" s="10">
        <v>0.94690468665209038</v>
      </c>
    </row>
    <row r="33" spans="2:27" x14ac:dyDescent="0.45">
      <c r="B33" s="4"/>
      <c r="C33" s="5" t="s">
        <v>0</v>
      </c>
      <c r="D33" s="5" t="s">
        <v>1</v>
      </c>
      <c r="E33" s="5" t="s">
        <v>2</v>
      </c>
      <c r="F33" s="5" t="s">
        <v>3</v>
      </c>
      <c r="G33" s="6" t="s">
        <v>4</v>
      </c>
      <c r="H33" s="15" t="s">
        <v>51</v>
      </c>
      <c r="K33" s="4"/>
      <c r="L33" s="5" t="s">
        <v>16</v>
      </c>
      <c r="M33" s="5">
        <f>E55-E56</f>
        <v>-0.75694444444444464</v>
      </c>
      <c r="N33" s="6">
        <v>0.42</v>
      </c>
      <c r="P33">
        <f t="shared" si="0"/>
        <v>0.42945277777777774</v>
      </c>
      <c r="S33" s="10" t="s">
        <v>21</v>
      </c>
      <c r="T33" s="10">
        <v>0.89662848560369346</v>
      </c>
    </row>
    <row r="34" spans="2:27" x14ac:dyDescent="0.45">
      <c r="B34" s="4" t="s">
        <v>6</v>
      </c>
      <c r="C34" s="5">
        <f>737/144</f>
        <v>5.1180555555555554</v>
      </c>
      <c r="D34" s="5">
        <f>729/144</f>
        <v>5.0625</v>
      </c>
      <c r="E34" s="5">
        <f>607/144</f>
        <v>4.2152777777777777</v>
      </c>
      <c r="F34" s="5">
        <f>551/144</f>
        <v>3.8263888888888888</v>
      </c>
      <c r="G34" s="6">
        <f>599/144</f>
        <v>4.1597222222222223</v>
      </c>
      <c r="H34">
        <f>245/58</f>
        <v>4.2241379310344831</v>
      </c>
      <c r="K34" s="4"/>
      <c r="L34" s="5" t="s">
        <v>55</v>
      </c>
      <c r="M34" s="5">
        <f>E62-E63</f>
        <v>-7.6388888888888395E-2</v>
      </c>
      <c r="N34" s="6">
        <v>0.5</v>
      </c>
      <c r="P34">
        <f t="shared" si="0"/>
        <v>0.4928805555555556</v>
      </c>
      <c r="S34" s="10" t="s">
        <v>22</v>
      </c>
      <c r="T34" s="10">
        <v>0.89447491238710375</v>
      </c>
    </row>
    <row r="35" spans="2:27" ht="17.5" thickBot="1" x14ac:dyDescent="0.5">
      <c r="B35" s="4" t="s">
        <v>7</v>
      </c>
      <c r="C35" s="5">
        <f>820/144</f>
        <v>5.6944444444444446</v>
      </c>
      <c r="D35" s="5">
        <f>761/144</f>
        <v>5.2847222222222223</v>
      </c>
      <c r="E35" s="5">
        <f>737/144</f>
        <v>5.1180555555555554</v>
      </c>
      <c r="F35" s="5">
        <f>820/144</f>
        <v>5.6944444444444446</v>
      </c>
      <c r="G35" s="6">
        <f>739/144</f>
        <v>5.1319444444444446</v>
      </c>
      <c r="H35">
        <f>317/58</f>
        <v>5.4655172413793105</v>
      </c>
      <c r="K35" s="20"/>
      <c r="L35" s="14" t="s">
        <v>46</v>
      </c>
      <c r="M35" s="14">
        <f>E69-E70</f>
        <v>0.7569444444444442</v>
      </c>
      <c r="N35" s="17">
        <v>0.61499999999999999</v>
      </c>
      <c r="O35" s="20"/>
      <c r="P35" s="14">
        <f t="shared" si="0"/>
        <v>0.57054722222222221</v>
      </c>
      <c r="S35" s="10" t="s">
        <v>23</v>
      </c>
      <c r="T35" s="10">
        <v>2.5718526785650415E-2</v>
      </c>
    </row>
    <row r="36" spans="2:27" ht="17.5" thickBot="1" x14ac:dyDescent="0.5">
      <c r="B36" s="4" t="s">
        <v>8</v>
      </c>
      <c r="D36" s="5"/>
      <c r="E36" s="5"/>
      <c r="F36" s="5"/>
      <c r="G36" s="6"/>
      <c r="K36" s="4" t="s">
        <v>56</v>
      </c>
      <c r="L36" s="5" t="s">
        <v>54</v>
      </c>
      <c r="M36" s="5">
        <f>F6-F7</f>
        <v>-0.49305555555555536</v>
      </c>
      <c r="N36" s="6">
        <v>0.50700000000000001</v>
      </c>
      <c r="P36">
        <f t="shared" si="0"/>
        <v>0.45404722222222227</v>
      </c>
      <c r="S36" s="11" t="s">
        <v>24</v>
      </c>
      <c r="T36" s="11">
        <v>50</v>
      </c>
    </row>
    <row r="37" spans="2:27" x14ac:dyDescent="0.45">
      <c r="B37" s="7" t="s">
        <v>9</v>
      </c>
      <c r="C37" s="8">
        <v>0.43</v>
      </c>
      <c r="D37" s="8">
        <v>0.53500000000000003</v>
      </c>
      <c r="E37" s="8">
        <v>0.40300000000000002</v>
      </c>
      <c r="F37" s="8">
        <v>0.32600000000000001</v>
      </c>
      <c r="G37" s="9">
        <v>0.371</v>
      </c>
      <c r="H37" s="15">
        <v>0.379</v>
      </c>
      <c r="K37" s="4"/>
      <c r="L37" s="5" t="s">
        <v>10</v>
      </c>
      <c r="M37" s="5">
        <f>F13-F14</f>
        <v>0.84027777777777768</v>
      </c>
      <c r="N37" s="6">
        <v>0.56399999999999995</v>
      </c>
      <c r="P37">
        <f t="shared" si="0"/>
        <v>0.57831388888888891</v>
      </c>
    </row>
    <row r="38" spans="2:27" ht="17.5" thickBot="1" x14ac:dyDescent="0.5">
      <c r="K38" s="4"/>
      <c r="L38" s="5" t="s">
        <v>11</v>
      </c>
      <c r="M38" s="5">
        <f>F20-F21</f>
        <v>1.2083333333333339</v>
      </c>
      <c r="N38" s="6">
        <v>0.60099999999999998</v>
      </c>
      <c r="P38">
        <f t="shared" ref="P38:P65" si="1">0.0932 * (M38) + 0.5</f>
        <v>0.6126166666666667</v>
      </c>
      <c r="S38" t="s">
        <v>25</v>
      </c>
    </row>
    <row r="39" spans="2:27" x14ac:dyDescent="0.45">
      <c r="B39" s="1" t="s">
        <v>14</v>
      </c>
      <c r="C39" s="2"/>
      <c r="D39" s="2"/>
      <c r="E39" s="2"/>
      <c r="F39" s="2"/>
      <c r="G39" s="3"/>
      <c r="K39" s="4"/>
      <c r="L39" s="5" t="s">
        <v>12</v>
      </c>
      <c r="M39" s="5">
        <f>F27-F28</f>
        <v>0.46527777777777768</v>
      </c>
      <c r="N39" s="6">
        <v>0.55900000000000005</v>
      </c>
      <c r="P39">
        <f t="shared" si="1"/>
        <v>0.54336388888888887</v>
      </c>
      <c r="S39" s="12"/>
      <c r="T39" s="12" t="s">
        <v>30</v>
      </c>
      <c r="U39" s="12" t="s">
        <v>31</v>
      </c>
      <c r="V39" s="12" t="s">
        <v>32</v>
      </c>
      <c r="W39" s="12" t="s">
        <v>33</v>
      </c>
      <c r="X39" s="12" t="s">
        <v>34</v>
      </c>
    </row>
    <row r="40" spans="2:27" x14ac:dyDescent="0.45">
      <c r="B40" s="4"/>
      <c r="C40" s="5" t="s">
        <v>0</v>
      </c>
      <c r="D40" s="5" t="s">
        <v>1</v>
      </c>
      <c r="E40" s="5" t="s">
        <v>2</v>
      </c>
      <c r="F40" s="5" t="s">
        <v>3</v>
      </c>
      <c r="G40" s="6" t="s">
        <v>4</v>
      </c>
      <c r="H40" s="15" t="s">
        <v>50</v>
      </c>
      <c r="K40" s="4"/>
      <c r="L40" s="5" t="s">
        <v>13</v>
      </c>
      <c r="M40" s="5">
        <f>F34-F35</f>
        <v>-1.8680555555555558</v>
      </c>
      <c r="N40" s="6">
        <v>0.32600000000000001</v>
      </c>
      <c r="P40">
        <f t="shared" si="1"/>
        <v>0.32589722222222217</v>
      </c>
      <c r="S40" s="10" t="s">
        <v>26</v>
      </c>
      <c r="T40" s="10">
        <v>1</v>
      </c>
      <c r="U40" s="10">
        <v>0.27538803423883756</v>
      </c>
      <c r="V40" s="10">
        <v>0.27538803423883756</v>
      </c>
      <c r="W40" s="10">
        <v>416.3445564314477</v>
      </c>
      <c r="X40" s="10">
        <v>2.6753249547056781E-25</v>
      </c>
    </row>
    <row r="41" spans="2:27" x14ac:dyDescent="0.45">
      <c r="B41" s="4" t="s">
        <v>6</v>
      </c>
      <c r="C41" s="5">
        <f>743/144</f>
        <v>5.1597222222222223</v>
      </c>
      <c r="D41" s="5">
        <f>821/144</f>
        <v>5.7013888888888893</v>
      </c>
      <c r="E41" s="5">
        <f>578/144</f>
        <v>4.0138888888888893</v>
      </c>
      <c r="F41" s="5">
        <f>750/144</f>
        <v>5.208333333333333</v>
      </c>
      <c r="G41" s="6">
        <f>727/144</f>
        <v>5.0486111111111107</v>
      </c>
      <c r="H41">
        <f>219/57</f>
        <v>3.8421052631578947</v>
      </c>
      <c r="K41" s="4"/>
      <c r="L41" s="5" t="s">
        <v>14</v>
      </c>
      <c r="M41" s="5">
        <f>F41-F42</f>
        <v>0.20833333333333304</v>
      </c>
      <c r="N41" s="6">
        <v>0.497</v>
      </c>
      <c r="P41">
        <f t="shared" si="1"/>
        <v>0.51941666666666664</v>
      </c>
      <c r="S41" s="10" t="s">
        <v>27</v>
      </c>
      <c r="T41" s="10">
        <v>48</v>
      </c>
      <c r="U41" s="10">
        <v>3.1749245761162455E-2</v>
      </c>
      <c r="V41" s="10">
        <v>6.6144262002421777E-4</v>
      </c>
      <c r="W41" s="10"/>
      <c r="X41" s="10"/>
    </row>
    <row r="42" spans="2:27" ht="17.5" thickBot="1" x14ac:dyDescent="0.5">
      <c r="B42" s="4" t="s">
        <v>7</v>
      </c>
      <c r="C42" s="5">
        <f>701/144</f>
        <v>4.8680555555555554</v>
      </c>
      <c r="D42" s="5">
        <f>846/144</f>
        <v>5.875</v>
      </c>
      <c r="E42" s="5">
        <f>764/144</f>
        <v>5.3055555555555554</v>
      </c>
      <c r="F42" s="5">
        <f>720/144</f>
        <v>5</v>
      </c>
      <c r="G42" s="6">
        <f>808/144</f>
        <v>5.6111111111111107</v>
      </c>
      <c r="H42">
        <f>260/57</f>
        <v>4.5614035087719298</v>
      </c>
      <c r="K42" s="4"/>
      <c r="L42" s="5" t="s">
        <v>15</v>
      </c>
      <c r="M42" s="5">
        <f>F48-F49</f>
        <v>0.75</v>
      </c>
      <c r="N42" s="6">
        <v>0.56399999999999995</v>
      </c>
      <c r="P42">
        <f t="shared" si="1"/>
        <v>0.56989999999999996</v>
      </c>
      <c r="S42" s="11" t="s">
        <v>28</v>
      </c>
      <c r="T42" s="11">
        <v>49</v>
      </c>
      <c r="U42" s="11">
        <v>0.30713728000000001</v>
      </c>
      <c r="V42" s="11"/>
      <c r="W42" s="11"/>
      <c r="X42" s="11"/>
    </row>
    <row r="43" spans="2:27" ht="17.5" thickBot="1" x14ac:dyDescent="0.5">
      <c r="B43" s="4" t="s">
        <v>8</v>
      </c>
      <c r="D43" s="5"/>
      <c r="E43" s="5"/>
      <c r="F43" s="5"/>
      <c r="G43" s="6"/>
      <c r="K43" s="4"/>
      <c r="L43" s="5" t="s">
        <v>16</v>
      </c>
      <c r="M43" s="5">
        <f>F55-F56</f>
        <v>-0.31944444444444375</v>
      </c>
      <c r="N43" s="6">
        <v>0.46</v>
      </c>
      <c r="P43">
        <f t="shared" si="1"/>
        <v>0.47022777777777786</v>
      </c>
    </row>
    <row r="44" spans="2:27" x14ac:dyDescent="0.45">
      <c r="B44" s="7" t="s">
        <v>9</v>
      </c>
      <c r="C44" s="8">
        <v>0.56299999999999994</v>
      </c>
      <c r="D44" s="8">
        <v>0.47899999999999998</v>
      </c>
      <c r="E44" s="8">
        <v>0.34</v>
      </c>
      <c r="F44" s="8">
        <v>0.497</v>
      </c>
      <c r="G44" s="9">
        <v>0.47799999999999998</v>
      </c>
      <c r="H44" s="15">
        <v>0.45500000000000002</v>
      </c>
      <c r="K44" s="4"/>
      <c r="L44" s="5" t="s">
        <v>55</v>
      </c>
      <c r="M44" s="5">
        <f>F62-F63</f>
        <v>0.68055555555555536</v>
      </c>
      <c r="N44" s="6">
        <v>0.56599999999999995</v>
      </c>
      <c r="P44">
        <f t="shared" si="1"/>
        <v>0.56342777777777775</v>
      </c>
      <c r="S44" s="12"/>
      <c r="T44" s="12" t="s">
        <v>35</v>
      </c>
      <c r="U44" s="12" t="s">
        <v>23</v>
      </c>
      <c r="V44" s="12" t="s">
        <v>36</v>
      </c>
      <c r="W44" s="12" t="s">
        <v>37</v>
      </c>
      <c r="X44" s="12" t="s">
        <v>38</v>
      </c>
      <c r="Y44" s="12" t="s">
        <v>39</v>
      </c>
      <c r="Z44" s="12" t="s">
        <v>40</v>
      </c>
      <c r="AA44" s="12" t="s">
        <v>41</v>
      </c>
    </row>
    <row r="45" spans="2:27" ht="17.5" thickBot="1" x14ac:dyDescent="0.5">
      <c r="K45" s="20"/>
      <c r="L45" s="14" t="s">
        <v>46</v>
      </c>
      <c r="M45" s="14">
        <f>F69-F70</f>
        <v>-1.4722222222222223</v>
      </c>
      <c r="N45" s="17">
        <v>0.35699999999999998</v>
      </c>
      <c r="O45" s="20"/>
      <c r="P45" s="14">
        <f t="shared" si="1"/>
        <v>0.36278888888888888</v>
      </c>
      <c r="S45" s="10" t="s">
        <v>29</v>
      </c>
      <c r="T45" s="10">
        <v>0.49987999999999977</v>
      </c>
      <c r="U45" s="10">
        <v>3.6371489384522536E-3</v>
      </c>
      <c r="V45" s="10">
        <v>137.43731930117713</v>
      </c>
      <c r="W45" s="10">
        <v>5.674124712482594E-64</v>
      </c>
      <c r="X45" s="10">
        <v>0.49256702192569157</v>
      </c>
      <c r="Y45" s="10">
        <v>0.50719297807430797</v>
      </c>
      <c r="Z45" s="10">
        <v>0.49256702192569157</v>
      </c>
      <c r="AA45" s="10">
        <v>0.50719297807430797</v>
      </c>
    </row>
    <row r="46" spans="2:27" ht="17.5" thickBot="1" x14ac:dyDescent="0.5">
      <c r="B46" s="1" t="s">
        <v>15</v>
      </c>
      <c r="C46" s="2"/>
      <c r="D46" s="2"/>
      <c r="E46" s="2"/>
      <c r="F46" s="2"/>
      <c r="G46" s="3"/>
      <c r="K46" s="4" t="s">
        <v>4</v>
      </c>
      <c r="L46" s="5" t="s">
        <v>54</v>
      </c>
      <c r="M46" s="5">
        <f>G6-G7</f>
        <v>-1.2777777777777777</v>
      </c>
      <c r="N46" s="6">
        <v>0.433</v>
      </c>
      <c r="O46">
        <v>9</v>
      </c>
      <c r="P46">
        <f t="shared" si="1"/>
        <v>0.38091111111111109</v>
      </c>
      <c r="Q46">
        <v>10</v>
      </c>
      <c r="S46" s="11" t="s">
        <v>42</v>
      </c>
      <c r="T46" s="11">
        <v>9.0711463475787499E-2</v>
      </c>
      <c r="U46" s="11">
        <v>4.445654708031147E-3</v>
      </c>
      <c r="V46" s="11">
        <v>20.404522940550414</v>
      </c>
      <c r="W46" s="11">
        <v>2.6753249547055826E-25</v>
      </c>
      <c r="X46" s="11">
        <v>8.1772875599424269E-2</v>
      </c>
      <c r="Y46" s="11">
        <v>9.9650051352150729E-2</v>
      </c>
      <c r="Z46" s="11">
        <v>8.1772875599424269E-2</v>
      </c>
      <c r="AA46" s="11">
        <v>9.9650051352150729E-2</v>
      </c>
    </row>
    <row r="47" spans="2:27" x14ac:dyDescent="0.45">
      <c r="B47" s="4"/>
      <c r="C47" s="5" t="s">
        <v>0</v>
      </c>
      <c r="D47" s="5" t="s">
        <v>1</v>
      </c>
      <c r="E47" s="5" t="s">
        <v>2</v>
      </c>
      <c r="F47" s="5" t="s">
        <v>3</v>
      </c>
      <c r="G47" s="6" t="s">
        <v>4</v>
      </c>
      <c r="H47" s="15" t="s">
        <v>51</v>
      </c>
      <c r="K47" s="4"/>
      <c r="L47" s="5" t="s">
        <v>10</v>
      </c>
      <c r="M47" s="5">
        <f>G13-G14</f>
        <v>0.56944444444444464</v>
      </c>
      <c r="N47" s="6">
        <v>0.52200000000000002</v>
      </c>
      <c r="O47">
        <v>4</v>
      </c>
      <c r="P47">
        <f t="shared" si="1"/>
        <v>0.55307222222222219</v>
      </c>
      <c r="Q47">
        <v>3</v>
      </c>
    </row>
    <row r="48" spans="2:27" x14ac:dyDescent="0.45">
      <c r="B48" s="4" t="s">
        <v>6</v>
      </c>
      <c r="C48" s="5">
        <f>699/144</f>
        <v>4.854166666666667</v>
      </c>
      <c r="D48" s="5">
        <f>788/144</f>
        <v>5.4722222222222223</v>
      </c>
      <c r="E48" s="5">
        <f>641/144</f>
        <v>4.4513888888888893</v>
      </c>
      <c r="F48" s="5">
        <f>802/144</f>
        <v>5.5694444444444446</v>
      </c>
      <c r="G48" s="6">
        <f>654/144</f>
        <v>4.541666666666667</v>
      </c>
      <c r="H48">
        <f>281/58</f>
        <v>4.8448275862068968</v>
      </c>
      <c r="K48" s="4"/>
      <c r="L48" s="5" t="s">
        <v>11</v>
      </c>
      <c r="M48" s="5">
        <f>G20-G21</f>
        <v>3.4722222222222321E-2</v>
      </c>
      <c r="N48" s="6">
        <v>0.496</v>
      </c>
      <c r="O48">
        <v>7</v>
      </c>
      <c r="P48">
        <f t="shared" si="1"/>
        <v>0.50323611111111111</v>
      </c>
      <c r="Q48">
        <v>7</v>
      </c>
    </row>
    <row r="49" spans="2:19" x14ac:dyDescent="0.45">
      <c r="B49" s="4" t="s">
        <v>7</v>
      </c>
      <c r="C49" s="5">
        <f>677/144</f>
        <v>4.7013888888888893</v>
      </c>
      <c r="D49" s="5">
        <f>816/144</f>
        <v>5.666666666666667</v>
      </c>
      <c r="E49" s="5">
        <f>633/144</f>
        <v>4.395833333333333</v>
      </c>
      <c r="F49" s="5">
        <f>694/144</f>
        <v>4.8194444444444446</v>
      </c>
      <c r="G49" s="6">
        <f>561/144</f>
        <v>3.8958333333333335</v>
      </c>
      <c r="H49">
        <f>238/58</f>
        <v>4.1034482758620694</v>
      </c>
      <c r="K49" s="4"/>
      <c r="L49" s="5" t="s">
        <v>12</v>
      </c>
      <c r="M49" s="5">
        <f>G27-G28</f>
        <v>0.15277777777777857</v>
      </c>
      <c r="N49" s="6">
        <v>0.51100000000000001</v>
      </c>
      <c r="O49">
        <v>5</v>
      </c>
      <c r="P49">
        <f t="shared" si="1"/>
        <v>0.51423888888888891</v>
      </c>
      <c r="Q49">
        <v>5</v>
      </c>
    </row>
    <row r="50" spans="2:19" x14ac:dyDescent="0.45">
      <c r="B50" s="4" t="s">
        <v>8</v>
      </c>
      <c r="D50" s="5"/>
      <c r="E50" s="5"/>
      <c r="F50" s="5"/>
      <c r="G50" s="6"/>
      <c r="K50" s="4"/>
      <c r="L50" s="5" t="s">
        <v>13</v>
      </c>
      <c r="M50" s="5">
        <f>G34-G35</f>
        <v>-0.97222222222222232</v>
      </c>
      <c r="N50" s="6">
        <v>0.371</v>
      </c>
      <c r="O50">
        <v>10</v>
      </c>
      <c r="P50">
        <f t="shared" si="1"/>
        <v>0.40938888888888886</v>
      </c>
      <c r="Q50">
        <v>9</v>
      </c>
    </row>
    <row r="51" spans="2:19" x14ac:dyDescent="0.45">
      <c r="B51" s="7" t="s">
        <v>9</v>
      </c>
      <c r="C51" s="8">
        <v>0.48899999999999999</v>
      </c>
      <c r="D51" s="8">
        <v>0.47599999999999998</v>
      </c>
      <c r="E51" s="8">
        <v>0.55200000000000005</v>
      </c>
      <c r="F51" s="8">
        <v>0.56399999999999995</v>
      </c>
      <c r="G51" s="9">
        <v>0.55400000000000005</v>
      </c>
      <c r="H51" s="15">
        <v>0.56100000000000005</v>
      </c>
      <c r="K51" s="4"/>
      <c r="L51" s="5" t="s">
        <v>14</v>
      </c>
      <c r="M51" s="5">
        <f>G41-G42</f>
        <v>-0.5625</v>
      </c>
      <c r="N51" s="6">
        <v>0.47799999999999998</v>
      </c>
      <c r="O51">
        <v>8</v>
      </c>
      <c r="P51">
        <f t="shared" si="1"/>
        <v>0.447575</v>
      </c>
      <c r="Q51">
        <v>8</v>
      </c>
    </row>
    <row r="52" spans="2:19" x14ac:dyDescent="0.45">
      <c r="K52" s="4"/>
      <c r="L52" s="5" t="s">
        <v>15</v>
      </c>
      <c r="M52" s="5">
        <f>G48-G49</f>
        <v>0.64583333333333348</v>
      </c>
      <c r="N52" s="6">
        <v>0.55400000000000005</v>
      </c>
      <c r="O52">
        <v>3</v>
      </c>
      <c r="P52">
        <f t="shared" si="1"/>
        <v>0.56019166666666664</v>
      </c>
      <c r="Q52">
        <v>2</v>
      </c>
    </row>
    <row r="53" spans="2:19" x14ac:dyDescent="0.45">
      <c r="B53" s="1" t="s">
        <v>16</v>
      </c>
      <c r="C53" s="2"/>
      <c r="D53" s="2"/>
      <c r="E53" s="2"/>
      <c r="F53" s="2"/>
      <c r="G53" s="3"/>
      <c r="K53" s="4"/>
      <c r="L53" s="5" t="s">
        <v>16</v>
      </c>
      <c r="M53" s="5">
        <f>G55-G56</f>
        <v>0.375</v>
      </c>
      <c r="N53" s="6">
        <v>0.56299999999999994</v>
      </c>
      <c r="O53">
        <v>1</v>
      </c>
      <c r="P53">
        <f t="shared" si="1"/>
        <v>0.53495000000000004</v>
      </c>
      <c r="Q53">
        <v>4</v>
      </c>
    </row>
    <row r="54" spans="2:19" x14ac:dyDescent="0.45">
      <c r="B54" s="4"/>
      <c r="C54" s="5" t="s">
        <v>0</v>
      </c>
      <c r="D54" s="5" t="s">
        <v>1</v>
      </c>
      <c r="E54" s="5" t="s">
        <v>2</v>
      </c>
      <c r="F54" s="5" t="s">
        <v>3</v>
      </c>
      <c r="G54" s="6" t="s">
        <v>4</v>
      </c>
      <c r="H54" s="15" t="s">
        <v>50</v>
      </c>
      <c r="K54" s="4"/>
      <c r="L54" s="5" t="s">
        <v>55</v>
      </c>
      <c r="M54" s="5">
        <f>G62-G63</f>
        <v>0.9375</v>
      </c>
      <c r="N54" s="6">
        <v>0.56299999999999994</v>
      </c>
      <c r="O54">
        <v>1</v>
      </c>
      <c r="P54">
        <f t="shared" si="1"/>
        <v>0.58737499999999998</v>
      </c>
      <c r="Q54">
        <v>1</v>
      </c>
    </row>
    <row r="55" spans="2:19" ht="17.5" thickBot="1" x14ac:dyDescent="0.5">
      <c r="B55" s="4" t="s">
        <v>6</v>
      </c>
      <c r="C55" s="5">
        <f>757/144</f>
        <v>5.2569444444444446</v>
      </c>
      <c r="D55" s="5">
        <f>776/144</f>
        <v>5.3888888888888893</v>
      </c>
      <c r="E55" s="5">
        <f>622/144</f>
        <v>4.3194444444444446</v>
      </c>
      <c r="F55" s="5">
        <f>699/144</f>
        <v>4.854166666666667</v>
      </c>
      <c r="G55" s="6">
        <f>712/144</f>
        <v>4.9444444444444446</v>
      </c>
      <c r="H55">
        <f>253/57</f>
        <v>4.4385964912280702</v>
      </c>
      <c r="K55" s="20"/>
      <c r="L55" s="14" t="s">
        <v>46</v>
      </c>
      <c r="M55" s="14">
        <f>G69-G70</f>
        <v>9.7222222222222321E-2</v>
      </c>
      <c r="N55" s="17">
        <v>0.50800000000000001</v>
      </c>
      <c r="O55" s="14">
        <v>6</v>
      </c>
      <c r="P55" s="14">
        <f t="shared" si="1"/>
        <v>0.50906111111111108</v>
      </c>
      <c r="Q55" s="14">
        <v>6</v>
      </c>
    </row>
    <row r="56" spans="2:19" x14ac:dyDescent="0.45">
      <c r="B56" s="4" t="s">
        <v>7</v>
      </c>
      <c r="C56" s="5">
        <f>911/144</f>
        <v>6.3263888888888893</v>
      </c>
      <c r="D56" s="5">
        <f>802/144</f>
        <v>5.5694444444444446</v>
      </c>
      <c r="E56" s="5">
        <f>731/144</f>
        <v>5.0763888888888893</v>
      </c>
      <c r="F56" s="5">
        <f>745/144</f>
        <v>5.1736111111111107</v>
      </c>
      <c r="G56" s="6">
        <f>658/144</f>
        <v>4.5694444444444446</v>
      </c>
      <c r="H56">
        <f>257/57</f>
        <v>4.5087719298245617</v>
      </c>
      <c r="K56" s="4" t="s">
        <v>48</v>
      </c>
      <c r="L56" s="5" t="s">
        <v>54</v>
      </c>
      <c r="M56" s="5">
        <f>H6-H7</f>
        <v>0.7017543859649118</v>
      </c>
      <c r="N56" s="18">
        <v>0.55400000000000005</v>
      </c>
      <c r="O56">
        <v>4</v>
      </c>
      <c r="P56">
        <f t="shared" si="1"/>
        <v>0.5654035087719298</v>
      </c>
      <c r="Q56">
        <v>2</v>
      </c>
      <c r="S56">
        <f xml:space="preserve"> 0.0907 * (M56) +0.5</f>
        <v>0.56364912280701751</v>
      </c>
    </row>
    <row r="57" spans="2:19" x14ac:dyDescent="0.45">
      <c r="B57" s="4" t="s">
        <v>8</v>
      </c>
      <c r="D57" s="5"/>
      <c r="E57" s="5"/>
      <c r="F57" s="5"/>
      <c r="G57" s="6"/>
      <c r="K57" s="4"/>
      <c r="L57" s="5" t="s">
        <v>10</v>
      </c>
      <c r="M57" s="5">
        <f>H13-H14</f>
        <v>0.25</v>
      </c>
      <c r="N57" s="18">
        <v>0.49099999999999999</v>
      </c>
      <c r="O57">
        <v>6</v>
      </c>
      <c r="P57">
        <f t="shared" si="1"/>
        <v>0.52329999999999999</v>
      </c>
      <c r="Q57">
        <v>5</v>
      </c>
      <c r="S57">
        <f t="shared" ref="S57:S65" si="2" xml:space="preserve"> 0.0907 * (M57) +0.5</f>
        <v>0.522675</v>
      </c>
    </row>
    <row r="58" spans="2:19" x14ac:dyDescent="0.45">
      <c r="B58" s="7" t="s">
        <v>9</v>
      </c>
      <c r="C58" s="8">
        <v>0.39600000000000002</v>
      </c>
      <c r="D58" s="8">
        <v>0.48599999999999999</v>
      </c>
      <c r="E58" s="8">
        <v>0.42</v>
      </c>
      <c r="F58" s="8">
        <v>0.46</v>
      </c>
      <c r="G58" s="9">
        <v>0.56299999999999994</v>
      </c>
      <c r="H58" s="15">
        <v>0.49099999999999999</v>
      </c>
      <c r="K58" s="4"/>
      <c r="L58" s="5" t="s">
        <v>11</v>
      </c>
      <c r="M58" s="5">
        <f>H20-H21</f>
        <v>-0.6379310344827589</v>
      </c>
      <c r="N58" s="18">
        <v>0.36799999999999999</v>
      </c>
      <c r="O58">
        <v>10</v>
      </c>
      <c r="P58">
        <f t="shared" si="1"/>
        <v>0.44054482758620689</v>
      </c>
      <c r="Q58">
        <v>8</v>
      </c>
      <c r="S58">
        <f t="shared" si="2"/>
        <v>0.44213965517241377</v>
      </c>
    </row>
    <row r="59" spans="2:19" x14ac:dyDescent="0.45">
      <c r="K59" s="4"/>
      <c r="L59" s="5" t="s">
        <v>12</v>
      </c>
      <c r="M59" s="5">
        <f>H27-H28</f>
        <v>0.25862068965517215</v>
      </c>
      <c r="N59" s="18">
        <v>0.59599999999999997</v>
      </c>
      <c r="O59">
        <v>2</v>
      </c>
      <c r="P59">
        <f t="shared" si="1"/>
        <v>0.52410344827586208</v>
      </c>
      <c r="Q59">
        <v>4</v>
      </c>
      <c r="S59">
        <f t="shared" si="2"/>
        <v>0.52345689655172412</v>
      </c>
    </row>
    <row r="60" spans="2:19" x14ac:dyDescent="0.45">
      <c r="B60" s="1" t="s">
        <v>17</v>
      </c>
      <c r="C60" s="2"/>
      <c r="D60" s="2"/>
      <c r="E60" s="2"/>
      <c r="F60" s="2"/>
      <c r="G60" s="3"/>
      <c r="K60" s="4"/>
      <c r="L60" s="5" t="s">
        <v>13</v>
      </c>
      <c r="M60" s="5">
        <f>H34-H35</f>
        <v>-1.2413793103448274</v>
      </c>
      <c r="N60" s="18">
        <v>0.379</v>
      </c>
      <c r="O60">
        <v>9</v>
      </c>
      <c r="P60">
        <f t="shared" si="1"/>
        <v>0.38430344827586205</v>
      </c>
      <c r="Q60">
        <v>10</v>
      </c>
      <c r="S60">
        <f t="shared" si="2"/>
        <v>0.38740689655172417</v>
      </c>
    </row>
    <row r="61" spans="2:19" x14ac:dyDescent="0.45">
      <c r="B61" s="4"/>
      <c r="C61" s="5" t="s">
        <v>0</v>
      </c>
      <c r="D61" s="5" t="s">
        <v>1</v>
      </c>
      <c r="E61" s="5" t="s">
        <v>2</v>
      </c>
      <c r="F61" s="5" t="s">
        <v>3</v>
      </c>
      <c r="G61" s="6" t="s">
        <v>4</v>
      </c>
      <c r="H61" s="15" t="s">
        <v>51</v>
      </c>
      <c r="K61" s="4"/>
      <c r="L61" s="5" t="s">
        <v>14</v>
      </c>
      <c r="M61" s="5">
        <f>H41-H42</f>
        <v>-0.7192982456140351</v>
      </c>
      <c r="N61" s="18">
        <v>0.45500000000000002</v>
      </c>
      <c r="O61">
        <v>8</v>
      </c>
      <c r="P61">
        <f t="shared" si="1"/>
        <v>0.43296140350877194</v>
      </c>
      <c r="Q61">
        <v>9</v>
      </c>
      <c r="S61">
        <f t="shared" si="2"/>
        <v>0.43475964912280701</v>
      </c>
    </row>
    <row r="62" spans="2:19" x14ac:dyDescent="0.45">
      <c r="B62" s="4" t="s">
        <v>6</v>
      </c>
      <c r="C62" s="5">
        <f>655/144</f>
        <v>4.5486111111111107</v>
      </c>
      <c r="D62" s="5">
        <f>757/144</f>
        <v>5.2569444444444446</v>
      </c>
      <c r="E62" s="5">
        <f>650/144</f>
        <v>4.5138888888888893</v>
      </c>
      <c r="F62" s="5">
        <f>813/144</f>
        <v>5.645833333333333</v>
      </c>
      <c r="G62" s="6">
        <f>719/144</f>
        <v>4.9930555555555554</v>
      </c>
      <c r="H62">
        <f>230/58</f>
        <v>3.9655172413793105</v>
      </c>
      <c r="K62" s="4"/>
      <c r="L62" s="5" t="s">
        <v>15</v>
      </c>
      <c r="M62" s="5">
        <f>H48-H49</f>
        <v>0.7413793103448274</v>
      </c>
      <c r="N62" s="18">
        <v>0.56100000000000005</v>
      </c>
      <c r="O62">
        <v>3</v>
      </c>
      <c r="P62">
        <f t="shared" si="1"/>
        <v>0.56909655172413798</v>
      </c>
      <c r="Q62">
        <v>1</v>
      </c>
      <c r="S62">
        <f t="shared" si="2"/>
        <v>0.56724310344827589</v>
      </c>
    </row>
    <row r="63" spans="2:19" x14ac:dyDescent="0.45">
      <c r="B63" s="4" t="s">
        <v>7</v>
      </c>
      <c r="C63" s="5">
        <f>876/144</f>
        <v>6.083333333333333</v>
      </c>
      <c r="D63" s="5">
        <f>834/144</f>
        <v>5.791666666666667</v>
      </c>
      <c r="E63" s="5">
        <f>661/144</f>
        <v>4.5902777777777777</v>
      </c>
      <c r="F63" s="5">
        <f>715/144</f>
        <v>4.9652777777777777</v>
      </c>
      <c r="G63" s="6">
        <f>584/144</f>
        <v>4.0555555555555554</v>
      </c>
      <c r="H63">
        <f>226/58</f>
        <v>3.896551724137931</v>
      </c>
      <c r="K63" s="4"/>
      <c r="L63" s="5" t="s">
        <v>16</v>
      </c>
      <c r="M63" s="5">
        <f>H55-H56</f>
        <v>-7.0175438596491446E-2</v>
      </c>
      <c r="N63" s="18">
        <v>0.49099999999999999</v>
      </c>
      <c r="O63">
        <v>5</v>
      </c>
      <c r="P63">
        <f t="shared" si="1"/>
        <v>0.49345964912280699</v>
      </c>
      <c r="Q63">
        <v>7</v>
      </c>
      <c r="S63">
        <f t="shared" si="2"/>
        <v>0.4936350877192982</v>
      </c>
    </row>
    <row r="64" spans="2:19" x14ac:dyDescent="0.45">
      <c r="B64" s="4" t="s">
        <v>8</v>
      </c>
      <c r="D64" s="5"/>
      <c r="E64" s="5"/>
      <c r="F64" s="5"/>
      <c r="G64" s="6"/>
      <c r="K64" s="4"/>
      <c r="L64" s="5" t="s">
        <v>55</v>
      </c>
      <c r="M64" s="5">
        <f>H62-H63</f>
        <v>6.8965517241379448E-2</v>
      </c>
      <c r="N64" s="18">
        <v>0.46400000000000002</v>
      </c>
      <c r="O64">
        <v>7</v>
      </c>
      <c r="P64">
        <f t="shared" si="1"/>
        <v>0.50642758620689654</v>
      </c>
      <c r="Q64">
        <v>6</v>
      </c>
      <c r="S64">
        <f t="shared" si="2"/>
        <v>0.50625517241379314</v>
      </c>
    </row>
    <row r="65" spans="2:19" x14ac:dyDescent="0.45">
      <c r="B65" s="7" t="s">
        <v>9</v>
      </c>
      <c r="C65" s="8">
        <v>0.34699999999999998</v>
      </c>
      <c r="D65" s="8">
        <v>0.41799999999999998</v>
      </c>
      <c r="E65" s="8">
        <v>0.5</v>
      </c>
      <c r="F65" s="8">
        <v>0.56599999999999995</v>
      </c>
      <c r="G65" s="9">
        <v>0.56299999999999994</v>
      </c>
      <c r="H65" s="15">
        <v>0.46400000000000002</v>
      </c>
      <c r="K65" s="7"/>
      <c r="L65" s="8" t="s">
        <v>46</v>
      </c>
      <c r="M65" s="8">
        <f>H69-H70</f>
        <v>0.64406779661016955</v>
      </c>
      <c r="N65" s="19">
        <v>0.64300000000000002</v>
      </c>
      <c r="O65">
        <v>1</v>
      </c>
      <c r="P65">
        <f t="shared" si="1"/>
        <v>0.56002711864406785</v>
      </c>
      <c r="Q65">
        <v>3</v>
      </c>
      <c r="S65">
        <f t="shared" si="2"/>
        <v>0.55841694915254236</v>
      </c>
    </row>
    <row r="66" spans="2:19" x14ac:dyDescent="0.45">
      <c r="N66" t="s">
        <v>63</v>
      </c>
      <c r="O66" t="s">
        <v>62</v>
      </c>
      <c r="P66" t="s">
        <v>60</v>
      </c>
      <c r="Q66" t="s">
        <v>64</v>
      </c>
    </row>
    <row r="67" spans="2:19" x14ac:dyDescent="0.45">
      <c r="B67" s="1" t="s">
        <v>47</v>
      </c>
      <c r="C67" s="2"/>
      <c r="D67" s="2"/>
      <c r="E67" s="2"/>
      <c r="F67" s="2"/>
      <c r="G67" s="3"/>
    </row>
    <row r="68" spans="2:19" x14ac:dyDescent="0.45">
      <c r="B68" s="4"/>
      <c r="C68" s="5" t="s">
        <v>0</v>
      </c>
      <c r="D68" s="5" t="s">
        <v>1</v>
      </c>
      <c r="E68" s="5" t="s">
        <v>2</v>
      </c>
      <c r="F68" s="5" t="s">
        <v>3</v>
      </c>
      <c r="G68" s="6" t="s">
        <v>4</v>
      </c>
      <c r="H68" s="15" t="s">
        <v>53</v>
      </c>
    </row>
    <row r="69" spans="2:19" x14ac:dyDescent="0.45">
      <c r="B69" s="4" t="s">
        <v>6</v>
      </c>
      <c r="C69" s="5">
        <f>761/144</f>
        <v>5.2847222222222223</v>
      </c>
      <c r="D69" s="5">
        <f>829/144</f>
        <v>5.7569444444444446</v>
      </c>
      <c r="E69" s="5">
        <f>655/144</f>
        <v>4.5486111111111107</v>
      </c>
      <c r="F69" s="5">
        <f>634/144</f>
        <v>4.4027777777777777</v>
      </c>
      <c r="G69" s="6">
        <f>755/144</f>
        <v>5.2430555555555554</v>
      </c>
      <c r="H69">
        <f>257/59</f>
        <v>4.3559322033898304</v>
      </c>
    </row>
    <row r="70" spans="2:19" x14ac:dyDescent="0.45">
      <c r="B70" s="4" t="s">
        <v>7</v>
      </c>
      <c r="C70" s="5">
        <f>767/144</f>
        <v>5.3263888888888893</v>
      </c>
      <c r="D70" s="5">
        <f>729/144</f>
        <v>5.0625</v>
      </c>
      <c r="E70" s="5">
        <f>546/144</f>
        <v>3.7916666666666665</v>
      </c>
      <c r="F70" s="5">
        <f>846/144</f>
        <v>5.875</v>
      </c>
      <c r="G70" s="6">
        <f>741/144</f>
        <v>5.145833333333333</v>
      </c>
      <c r="H70">
        <f>219/59</f>
        <v>3.7118644067796609</v>
      </c>
    </row>
    <row r="71" spans="2:19" x14ac:dyDescent="0.45">
      <c r="B71" s="4" t="s">
        <v>8</v>
      </c>
      <c r="D71" s="5"/>
      <c r="E71" s="5"/>
      <c r="F71" s="5"/>
      <c r="G71" s="6"/>
    </row>
    <row r="72" spans="2:19" x14ac:dyDescent="0.45">
      <c r="B72" s="7" t="s">
        <v>9</v>
      </c>
      <c r="C72" s="8">
        <v>0.52400000000000002</v>
      </c>
      <c r="D72" s="8">
        <v>0.54500000000000004</v>
      </c>
      <c r="E72" s="8">
        <v>0.61499999999999999</v>
      </c>
      <c r="F72" s="8">
        <v>0.35699999999999998</v>
      </c>
      <c r="G72" s="9">
        <v>0.50800000000000001</v>
      </c>
      <c r="H72" s="15">
        <v>0.64300000000000002</v>
      </c>
    </row>
  </sheetData>
  <mergeCells count="1">
    <mergeCell ref="S26:Z26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Seung Son</dc:creator>
  <cp:lastModifiedBy>Yoo Seung Son</cp:lastModifiedBy>
  <dcterms:created xsi:type="dcterms:W3CDTF">2022-06-06T08:01:08Z</dcterms:created>
  <dcterms:modified xsi:type="dcterms:W3CDTF">2022-06-11T05:33:45Z</dcterms:modified>
</cp:coreProperties>
</file>