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charts/chart1.xml" ContentType="application/vnd.openxmlformats-officedocument.drawingml.chart+xml"/>
  <Override PartName="/xl/charts/chart2.xml" ContentType="application/vnd.openxmlformats-officedocument.drawingml.chart+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queryTables/queryTable95.xml" ContentType="application/vnd.openxmlformats-officedocument.spreadsheetml.queryTable+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LG_gram_backup_users\LX\2026_geomag\docs\output\"/>
    </mc:Choice>
  </mc:AlternateContent>
  <xr:revisionPtr revIDLastSave="0" documentId="13_ncr:1_{6D36B7E2-34BD-4D79-B9BF-0AA2A7EB3C79}" xr6:coauthVersionLast="47" xr6:coauthVersionMax="47" xr10:uidLastSave="{00000000-0000-0000-0000-000000000000}"/>
  <bookViews>
    <workbookView xWindow="28680" yWindow="-120" windowWidth="29040" windowHeight="15720" firstSheet="2" activeTab="2" xr2:uid="{00000000-000D-0000-FFFF-FFFF00000000}"/>
  </bookViews>
  <sheets>
    <sheet name="⑧a Kp 예보" sheetId="52" r:id="rId1"/>
    <sheet name="⑩ 원문 보관" sheetId="153" r:id="rId2"/>
    <sheet name="⑨ 구배 자동계산" sheetId="152" r:id="rId3"/>
    <sheet name="총괄" sheetId="1" r:id="rId4"/>
    <sheet name="01_태백 신규점" sheetId="53" r:id="rId5"/>
    <sheet name="02_임계 신규점1" sheetId="103" r:id="rId6"/>
    <sheet name="03_예산 신규점2" sheetId="104" r:id="rId7"/>
    <sheet name="04_진안 신규점1" sheetId="105" r:id="rId8"/>
    <sheet name="05_무풍 신규점1" sheetId="106" r:id="rId9"/>
    <sheet name="06_길담 신규점" sheetId="107" r:id="rId10"/>
    <sheet name="07_남해 신규점1" sheetId="108" r:id="rId11"/>
    <sheet name="08_청일 신규점2" sheetId="109" r:id="rId12"/>
    <sheet name="09_어론 신규점" sheetId="110" r:id="rId13"/>
    <sheet name="10_예안 신규점1" sheetId="111" r:id="rId14"/>
    <sheet name="11_소천 신규점4" sheetId="112" r:id="rId15"/>
    <sheet name="12_순창 신규점" sheetId="113" r:id="rId16"/>
    <sheet name="13_순천 신규점" sheetId="114" r:id="rId17"/>
    <sheet name="14_청송 신규점1" sheetId="115" r:id="rId18"/>
    <sheet name="15_의성 신규점" sheetId="116" r:id="rId19"/>
    <sheet name="16_예천 신규점" sheetId="117" r:id="rId20"/>
    <sheet name="17_영양 신규점4" sheetId="118" r:id="rId21"/>
    <sheet name="18_통영 신규점" sheetId="119" r:id="rId22"/>
    <sheet name="19_오호 신규점" sheetId="120" r:id="rId23"/>
    <sheet name="20_보령 신규점2" sheetId="121" r:id="rId24"/>
    <sheet name="21_담양 신규점2" sheetId="122" r:id="rId25"/>
    <sheet name="22_완도 신규점" sheetId="123" r:id="rId26"/>
    <sheet name="23_덕산 신규점1" sheetId="124" r:id="rId27"/>
    <sheet name="24_회천 신규점2" sheetId="125" r:id="rId28"/>
    <sheet name="25_관리 신규점3" sheetId="126" r:id="rId29"/>
    <sheet name="26_고남 신규점2" sheetId="127" r:id="rId30"/>
    <sheet name="27_전의 신규점" sheetId="128" r:id="rId31"/>
    <sheet name="28_이원 신규점" sheetId="129" r:id="rId32"/>
    <sheet name="29_가야 신규점1" sheetId="130" r:id="rId33"/>
    <sheet name="30_창녕 신규점" sheetId="131" r:id="rId34"/>
    <sheet name="31_언양 신규점3" sheetId="132" r:id="rId35"/>
    <sheet name="32_함양 신규점" sheetId="133" r:id="rId36"/>
    <sheet name="33_문산 신규점" sheetId="134" r:id="rId37"/>
    <sheet name="34_부안 신규점" sheetId="135" r:id="rId38"/>
    <sheet name="35_상주" sheetId="136" r:id="rId39"/>
    <sheet name="36_미원" sheetId="137" r:id="rId40"/>
    <sheet name="37_부안" sheetId="138" r:id="rId41"/>
    <sheet name="38_강화" sheetId="139" r:id="rId42"/>
    <sheet name="39_언양" sheetId="140" r:id="rId43"/>
    <sheet name="40_남지" sheetId="141" r:id="rId44"/>
    <sheet name="41_거제" sheetId="142" r:id="rId45"/>
    <sheet name="42_조도" sheetId="143" r:id="rId46"/>
    <sheet name="43_포천" sheetId="144" r:id="rId47"/>
    <sheet name="44_성산" sheetId="145" r:id="rId48"/>
    <sheet name="45_여주" sheetId="146" r:id="rId49"/>
    <sheet name="46_화천" sheetId="147" r:id="rId50"/>
    <sheet name="47_봉평" sheetId="148" r:id="rId51"/>
    <sheet name="48_삼척" sheetId="149" r:id="rId52"/>
    <sheet name="49_제천" sheetId="150" r:id="rId53"/>
    <sheet name="50_함양" sheetId="151" r:id="rId54"/>
  </sheets>
  <definedNames>
    <definedName name="KpFix_01" localSheetId="4">'01_태백 신규점'!$AJ$1:$AJ$2</definedName>
    <definedName name="KpFix_01" localSheetId="5">'02_임계 신규점1'!$AJ$1:$AJ$2</definedName>
    <definedName name="KpFix_01" localSheetId="6">'03_예산 신규점2'!$AJ$1:$AJ$2</definedName>
    <definedName name="KpFix_01" localSheetId="7">'04_진안 신규점1'!$AJ$1:$AJ$2</definedName>
    <definedName name="KpFix_01" localSheetId="8">'05_무풍 신규점1'!$AJ$1:$AJ$2</definedName>
    <definedName name="KpFix_01" localSheetId="9">'06_길담 신규점'!$AJ$1:$AJ$2</definedName>
    <definedName name="KpFix_01" localSheetId="10">'07_남해 신규점1'!$AJ$1:$AJ$2</definedName>
    <definedName name="KpFix_01" localSheetId="11">'08_청일 신규점2'!$AJ$1:$AJ$2</definedName>
    <definedName name="KpFix_01" localSheetId="12">'09_어론 신규점'!$AJ$1:$AJ$2</definedName>
    <definedName name="KpFix_01" localSheetId="13">'10_예안 신규점1'!$AJ$1:$AJ$2</definedName>
    <definedName name="KpFix_01" localSheetId="14">'11_소천 신규점4'!$AJ$1:$AJ$2</definedName>
    <definedName name="KpFix_01" localSheetId="15">'12_순창 신규점'!$AJ$1:$AJ$2</definedName>
    <definedName name="KpFix_01" localSheetId="16">'13_순천 신규점'!$AJ$1:$AJ$2</definedName>
    <definedName name="KpFix_01" localSheetId="17">'14_청송 신규점1'!$AJ$1:$AJ$2</definedName>
    <definedName name="KpFix_01" localSheetId="18">'15_의성 신규점'!$AJ$1:$AJ$2</definedName>
    <definedName name="KpFix_01" localSheetId="19">'16_예천 신규점'!$AJ$1:$AJ$2</definedName>
    <definedName name="KpFix_01" localSheetId="20">'17_영양 신규점4'!$AJ$1:$AJ$2</definedName>
    <definedName name="KpFix_01" localSheetId="21">'18_통영 신규점'!$AJ$1:$AJ$2</definedName>
    <definedName name="KpFix_01" localSheetId="22">'19_오호 신규점'!$AJ$1:$AJ$2</definedName>
    <definedName name="KpFix_01" localSheetId="23">'20_보령 신규점2'!$AJ$1:$AJ$2</definedName>
    <definedName name="KpFix_01" localSheetId="24">'21_담양 신규점2'!$AJ$1:$AJ$2</definedName>
    <definedName name="KpFix_01" localSheetId="25">'22_완도 신규점'!$AJ$1:$AJ$2</definedName>
    <definedName name="KpFix_01" localSheetId="26">'23_덕산 신규점1'!$AJ$1:$AJ$2</definedName>
    <definedName name="KpFix_01" localSheetId="27">'24_회천 신규점2'!$AJ$1:$AJ$2</definedName>
    <definedName name="KpFix_01" localSheetId="28">'25_관리 신규점3'!$AJ$1:$AJ$2</definedName>
    <definedName name="KpFix_01" localSheetId="29">'26_고남 신규점2'!$AJ$1:$AJ$2</definedName>
    <definedName name="KpFix_01" localSheetId="30">'27_전의 신규점'!$AJ$1:$AJ$2</definedName>
    <definedName name="KpFix_01" localSheetId="31">'28_이원 신규점'!$AJ$1:$AJ$2</definedName>
    <definedName name="KpFix_01" localSheetId="32">'29_가야 신규점1'!$AJ$1:$AJ$2</definedName>
    <definedName name="KpFix_01" localSheetId="33">'30_창녕 신규점'!$AJ$1:$AJ$2</definedName>
    <definedName name="KpFix_01" localSheetId="34">'31_언양 신규점3'!$AJ$1:$AJ$2</definedName>
    <definedName name="KpFix_01" localSheetId="35">'32_함양 신규점'!$AJ$1:$AJ$2</definedName>
    <definedName name="KpFix_01" localSheetId="36">'33_문산 신규점'!$AJ$1:$AJ$2</definedName>
    <definedName name="KpFix_01" localSheetId="37">'34_부안 신규점'!$AJ$1:$AJ$2</definedName>
    <definedName name="KpFix_01" localSheetId="38">'35_상주'!$AJ$1:$AJ$2</definedName>
    <definedName name="KpFix_01" localSheetId="39">'36_미원'!$AJ$1:$AJ$2</definedName>
    <definedName name="KpFix_01" localSheetId="40">'37_부안'!$AJ$1:$AJ$2</definedName>
    <definedName name="KpFix_01" localSheetId="41">'38_강화'!$AJ$1:$AJ$2</definedName>
    <definedName name="KpFix_01" localSheetId="42">'39_언양'!$AJ$1:$AJ$2</definedName>
    <definedName name="KpFix_01" localSheetId="43">'40_남지'!$AJ$1:$AJ$2</definedName>
    <definedName name="KpFix_01" localSheetId="44">'41_거제'!$AJ$1:$AJ$2</definedName>
    <definedName name="KpFix_01" localSheetId="45">'42_조도'!$AJ$1:$AJ$2</definedName>
    <definedName name="KpFix_01" localSheetId="46">'43_포천'!$AJ$1:$AJ$2</definedName>
    <definedName name="KpFix_01" localSheetId="47">'44_성산'!$AJ$1:$AJ$2</definedName>
    <definedName name="KpFix_01" localSheetId="48">'45_여주'!$AJ$1:$AJ$2</definedName>
    <definedName name="KpFix_01" localSheetId="49">'46_화천'!$AJ$1:$AJ$2</definedName>
    <definedName name="KpFix_01" localSheetId="50">'47_봉평'!$AJ$1:$AJ$2</definedName>
    <definedName name="KpFix_01" localSheetId="51">'48_삼척'!$AJ$1:$AJ$2</definedName>
    <definedName name="KpFix_01" localSheetId="52">'49_제천'!$AJ$1:$AJ$2</definedName>
    <definedName name="KpFix_01" localSheetId="53">'50_함양'!$AJ$1:$AJ$2</definedName>
    <definedName name="KpPre27_01" localSheetId="4">'01_태백 신규점'!$AI$1:$AI$41</definedName>
    <definedName name="KpPre27_01" localSheetId="5">'02_임계 신규점1'!$AI$1:$AI$40</definedName>
    <definedName name="KpPre27_01" localSheetId="6">'03_예산 신규점2'!$AI$1:$AI$40</definedName>
    <definedName name="KpPre27_01" localSheetId="7">'04_진안 신규점1'!$AI$1:$AI$40</definedName>
    <definedName name="KpPre27_01" localSheetId="8">'05_무풍 신규점1'!$AI$1:$AI$40</definedName>
    <definedName name="KpPre27_01" localSheetId="9">'06_길담 신규점'!$AI$1:$AI$40</definedName>
    <definedName name="KpPre27_01" localSheetId="10">'07_남해 신규점1'!$AI$1:$AI$40</definedName>
    <definedName name="KpPre27_01" localSheetId="11">'08_청일 신규점2'!$AI$1:$AI$40</definedName>
    <definedName name="KpPre27_01" localSheetId="12">'09_어론 신규점'!$AI$1:$AI$40</definedName>
    <definedName name="KpPre27_01" localSheetId="13">'10_예안 신규점1'!$AI$1:$AI$40</definedName>
    <definedName name="KpPre27_01" localSheetId="14">'11_소천 신규점4'!$AI$1:$AI$40</definedName>
    <definedName name="KpPre27_01" localSheetId="15">'12_순창 신규점'!$AI$1:$AI$40</definedName>
    <definedName name="KpPre27_01" localSheetId="16">'13_순천 신규점'!$AI$1:$AI$40</definedName>
    <definedName name="KpPre27_01" localSheetId="17">'14_청송 신규점1'!$AI$1:$AI$40</definedName>
    <definedName name="KpPre27_01" localSheetId="18">'15_의성 신규점'!$AI$1:$AI$40</definedName>
    <definedName name="KpPre27_01" localSheetId="19">'16_예천 신규점'!$AI$1:$AI$40</definedName>
    <definedName name="KpPre27_01" localSheetId="20">'17_영양 신규점4'!$AI$1:$AI$40</definedName>
    <definedName name="KpPre27_01" localSheetId="21">'18_통영 신규점'!$AI$1:$AI$40</definedName>
    <definedName name="KpPre27_01" localSheetId="22">'19_오호 신규점'!$AI$1:$AI$40</definedName>
    <definedName name="KpPre27_01" localSheetId="23">'20_보령 신규점2'!$AI$1:$AI$40</definedName>
    <definedName name="KpPre27_01" localSheetId="24">'21_담양 신규점2'!$AI$1:$AI$40</definedName>
    <definedName name="KpPre27_01" localSheetId="25">'22_완도 신규점'!$AI$1:$AI$40</definedName>
    <definedName name="KpPre27_01" localSheetId="26">'23_덕산 신규점1'!$AI$1:$AI$40</definedName>
    <definedName name="KpPre27_01" localSheetId="27">'24_회천 신규점2'!$AI$1:$AI$40</definedName>
    <definedName name="KpPre27_01" localSheetId="28">'25_관리 신규점3'!$AI$1:$AI$40</definedName>
    <definedName name="KpPre27_01" localSheetId="29">'26_고남 신규점2'!$AI$1:$AI$40</definedName>
    <definedName name="KpPre27_01" localSheetId="30">'27_전의 신규점'!$AI$1:$AI$40</definedName>
    <definedName name="KpPre27_01" localSheetId="31">'28_이원 신규점'!$AI$1:$AI$40</definedName>
    <definedName name="KpPre27_01" localSheetId="32">'29_가야 신규점1'!$AI$1:$AI$40</definedName>
    <definedName name="KpPre27_01" localSheetId="33">'30_창녕 신규점'!$AI$1:$AI$40</definedName>
    <definedName name="KpPre27_01" localSheetId="34">'31_언양 신규점3'!$AI$1:$AI$40</definedName>
    <definedName name="KpPre27_01" localSheetId="35">'32_함양 신규점'!$AI$1:$AI$40</definedName>
    <definedName name="KpPre27_01" localSheetId="36">'33_문산 신규점'!$AI$1:$AI$40</definedName>
    <definedName name="KpPre27_01" localSheetId="37">'34_부안 신규점'!$AI$1:$AI$40</definedName>
    <definedName name="KpPre27_01" localSheetId="38">'35_상주'!$AI$1:$AI$40</definedName>
    <definedName name="KpPre27_01" localSheetId="39">'36_미원'!$AI$1:$AI$40</definedName>
    <definedName name="KpPre27_01" localSheetId="40">'37_부안'!$AI$1:$AI$40</definedName>
    <definedName name="KpPre27_01" localSheetId="41">'38_강화'!$AI$1:$AI$40</definedName>
    <definedName name="KpPre27_01" localSheetId="42">'39_언양'!$AI$1:$AI$40</definedName>
    <definedName name="KpPre27_01" localSheetId="43">'40_남지'!$AI$1:$AI$40</definedName>
    <definedName name="KpPre27_01" localSheetId="44">'41_거제'!$AI$1:$AI$40</definedName>
    <definedName name="KpPre27_01" localSheetId="45">'42_조도'!$AI$1:$AI$40</definedName>
    <definedName name="KpPre27_01" localSheetId="46">'43_포천'!$AI$1:$AI$40</definedName>
    <definedName name="KpPre27_01" localSheetId="47">'44_성산'!$AI$1:$AI$40</definedName>
    <definedName name="KpPre27_01" localSheetId="48">'45_여주'!$AI$1:$AI$40</definedName>
    <definedName name="KpPre27_01" localSheetId="49">'46_화천'!$AI$1:$AI$40</definedName>
    <definedName name="KpPre27_01" localSheetId="50">'47_봉평'!$AI$1:$AI$40</definedName>
    <definedName name="KpPre27_01" localSheetId="51">'48_삼척'!$AI$1:$AI$40</definedName>
    <definedName name="KpPre27_01" localSheetId="52">'49_제천'!$AI$1:$AI$40</definedName>
    <definedName name="KpPre27_01" localSheetId="53">'50_함양'!$AI$1:$AI$40</definedName>
    <definedName name="KpPre3_01" localSheetId="4">'01_태백 신규점'!$AH$1:$AH$56</definedName>
    <definedName name="KpPre3_01" localSheetId="5">'02_임계 신규점1'!$AH$1:$AH$53</definedName>
    <definedName name="KpPre3_01" localSheetId="6">'03_예산 신규점2'!$AH$1:$AH$53</definedName>
    <definedName name="KpPre3_01" localSheetId="7">'04_진안 신규점1'!$AH$1:$AH$53</definedName>
    <definedName name="KpPre3_01" localSheetId="8">'05_무풍 신규점1'!$AH$1:$AH$53</definedName>
    <definedName name="KpPre3_01" localSheetId="9">'06_길담 신규점'!$AH$1:$AH$53</definedName>
    <definedName name="KpPre3_01" localSheetId="10">'07_남해 신규점1'!$AH$1:$AH$53</definedName>
    <definedName name="KpPre3_01" localSheetId="11">'08_청일 신규점2'!$AH$1:$AH$53</definedName>
    <definedName name="KpPre3_01" localSheetId="12">'09_어론 신규점'!$AH$1:$AH$53</definedName>
    <definedName name="KpPre3_01" localSheetId="13">'10_예안 신규점1'!$AH$1:$AH$53</definedName>
    <definedName name="KpPre3_01" localSheetId="14">'11_소천 신규점4'!$AH$1:$AH$53</definedName>
    <definedName name="KpPre3_01" localSheetId="15">'12_순창 신규점'!$AH$1:$AH$53</definedName>
    <definedName name="KpPre3_01" localSheetId="16">'13_순천 신규점'!$AH$1:$AH$53</definedName>
    <definedName name="KpPre3_01" localSheetId="17">'14_청송 신규점1'!$AH$1:$AH$53</definedName>
    <definedName name="KpPre3_01" localSheetId="18">'15_의성 신규점'!$AH$1:$AH$53</definedName>
    <definedName name="KpPre3_01" localSheetId="19">'16_예천 신규점'!$AH$1:$AH$53</definedName>
    <definedName name="KpPre3_01" localSheetId="20">'17_영양 신규점4'!$AH$1:$AH$53</definedName>
    <definedName name="KpPre3_01" localSheetId="21">'18_통영 신규점'!$AH$1:$AH$53</definedName>
    <definedName name="KpPre3_01" localSheetId="22">'19_오호 신규점'!$AH$1:$AH$53</definedName>
    <definedName name="KpPre3_01" localSheetId="23">'20_보령 신규점2'!$AH$1:$AH$53</definedName>
    <definedName name="KpPre3_01" localSheetId="24">'21_담양 신규점2'!$AH$1:$AH$53</definedName>
    <definedName name="KpPre3_01" localSheetId="25">'22_완도 신규점'!$AH$1:$AH$53</definedName>
    <definedName name="KpPre3_01" localSheetId="26">'23_덕산 신규점1'!$AH$1:$AH$53</definedName>
    <definedName name="KpPre3_01" localSheetId="27">'24_회천 신규점2'!$AH$1:$AH$53</definedName>
    <definedName name="KpPre3_01" localSheetId="28">'25_관리 신규점3'!$AH$1:$AH$53</definedName>
    <definedName name="KpPre3_01" localSheetId="29">'26_고남 신규점2'!$AH$1:$AH$53</definedName>
    <definedName name="KpPre3_01" localSheetId="30">'27_전의 신규점'!$AH$1:$AH$53</definedName>
    <definedName name="KpPre3_01" localSheetId="31">'28_이원 신규점'!$AH$1:$AH$53</definedName>
    <definedName name="KpPre3_01" localSheetId="32">'29_가야 신규점1'!$AH$1:$AH$53</definedName>
    <definedName name="KpPre3_01" localSheetId="33">'30_창녕 신규점'!$AH$1:$AH$53</definedName>
    <definedName name="KpPre3_01" localSheetId="34">'31_언양 신규점3'!$AH$1:$AH$53</definedName>
    <definedName name="KpPre3_01" localSheetId="35">'32_함양 신규점'!$AH$1:$AH$53</definedName>
    <definedName name="KpPre3_01" localSheetId="36">'33_문산 신규점'!$AH$1:$AH$53</definedName>
    <definedName name="KpPre3_01" localSheetId="37">'34_부안 신규점'!$AH$1:$AH$53</definedName>
    <definedName name="KpPre3_01" localSheetId="38">'35_상주'!$AH$1:$AH$53</definedName>
    <definedName name="KpPre3_01" localSheetId="39">'36_미원'!$AH$1:$AH$53</definedName>
    <definedName name="KpPre3_01" localSheetId="40">'37_부안'!$AH$1:$AH$53</definedName>
    <definedName name="KpPre3_01" localSheetId="41">'38_강화'!$AH$1:$AH$53</definedName>
    <definedName name="KpPre3_01" localSheetId="42">'39_언양'!$AH$1:$AH$53</definedName>
    <definedName name="KpPre3_01" localSheetId="43">'40_남지'!$AH$1:$AH$53</definedName>
    <definedName name="KpPre3_01" localSheetId="44">'41_거제'!$AH$1:$AH$53</definedName>
    <definedName name="KpPre3_01" localSheetId="45">'42_조도'!$AH$1:$AH$53</definedName>
    <definedName name="KpPre3_01" localSheetId="46">'43_포천'!$AH$1:$AH$53</definedName>
    <definedName name="KpPre3_01" localSheetId="47">'44_성산'!$AH$1:$AH$53</definedName>
    <definedName name="KpPre3_01" localSheetId="48">'45_여주'!$AH$1:$AH$53</definedName>
    <definedName name="KpPre3_01" localSheetId="49">'46_화천'!$AH$1:$AH$53</definedName>
    <definedName name="KpPre3_01" localSheetId="50">'47_봉평'!$AH$1:$AH$53</definedName>
    <definedName name="KpPre3_01" localSheetId="51">'48_삼척'!$AH$1:$AH$53</definedName>
    <definedName name="KpPre3_01" localSheetId="52">'49_제천'!$AH$1:$AH$53</definedName>
    <definedName name="KpPre3_01" localSheetId="53">'50_함양'!$AH$1:$AH$53</definedName>
    <definedName name="NOAA_27day_outlook" localSheetId="0">'⑧a Kp 예보'!$W$2:$W$41</definedName>
    <definedName name="NOAA_3day_forecast" localSheetId="0">'⑧a Kp 예보'!$U$2:$U$53</definedName>
    <definedName name="_xlnm.Print_Area" localSheetId="4">'01_태백 신규점'!$A$1:$I$117</definedName>
    <definedName name="_xlnm.Print_Area" localSheetId="5">'02_임계 신규점1'!$A$1:$I$117</definedName>
    <definedName name="_xlnm.Print_Area" localSheetId="6">'03_예산 신규점2'!$A$1:$I$117</definedName>
    <definedName name="_xlnm.Print_Area" localSheetId="7">'04_진안 신규점1'!$A$1:$I$117</definedName>
    <definedName name="_xlnm.Print_Area" localSheetId="8">'05_무풍 신규점1'!$A$1:$I$117</definedName>
    <definedName name="_xlnm.Print_Area" localSheetId="9">'06_길담 신규점'!$A$1:$I$117</definedName>
    <definedName name="_xlnm.Print_Area" localSheetId="10">'07_남해 신규점1'!$A$1:$I$117</definedName>
    <definedName name="_xlnm.Print_Area" localSheetId="11">'08_청일 신규점2'!$A$1:$I$117</definedName>
    <definedName name="_xlnm.Print_Area" localSheetId="12">'09_어론 신규점'!$A$1:$I$117</definedName>
    <definedName name="_xlnm.Print_Area" localSheetId="13">'10_예안 신규점1'!$A$1:$I$117</definedName>
    <definedName name="_xlnm.Print_Area" localSheetId="14">'11_소천 신규점4'!$A$1:$I$117</definedName>
    <definedName name="_xlnm.Print_Area" localSheetId="15">'12_순창 신규점'!$A$1:$I$117</definedName>
    <definedName name="_xlnm.Print_Area" localSheetId="16">'13_순천 신규점'!$A$1:$I$117</definedName>
    <definedName name="_xlnm.Print_Area" localSheetId="17">'14_청송 신규점1'!$A$1:$I$117</definedName>
    <definedName name="_xlnm.Print_Area" localSheetId="18">'15_의성 신규점'!$A$1:$I$117</definedName>
    <definedName name="_xlnm.Print_Area" localSheetId="19">'16_예천 신규점'!$A$1:$I$117</definedName>
    <definedName name="_xlnm.Print_Area" localSheetId="20">'17_영양 신규점4'!$A$1:$I$117</definedName>
    <definedName name="_xlnm.Print_Area" localSheetId="21">'18_통영 신규점'!$A$1:$I$117</definedName>
    <definedName name="_xlnm.Print_Area" localSheetId="22">'19_오호 신규점'!$A$1:$I$117</definedName>
    <definedName name="_xlnm.Print_Area" localSheetId="23">'20_보령 신규점2'!$A$1:$I$117</definedName>
    <definedName name="_xlnm.Print_Area" localSheetId="24">'21_담양 신규점2'!$A$1:$I$117</definedName>
    <definedName name="_xlnm.Print_Area" localSheetId="25">'22_완도 신규점'!$A$1:$I$117</definedName>
    <definedName name="_xlnm.Print_Area" localSheetId="26">'23_덕산 신규점1'!$A$1:$I$117</definedName>
    <definedName name="_xlnm.Print_Area" localSheetId="27">'24_회천 신규점2'!$A$1:$I$117</definedName>
    <definedName name="_xlnm.Print_Area" localSheetId="28">'25_관리 신규점3'!$A$1:$I$117</definedName>
    <definedName name="_xlnm.Print_Area" localSheetId="29">'26_고남 신규점2'!$A$1:$I$117</definedName>
    <definedName name="_xlnm.Print_Area" localSheetId="30">'27_전의 신규점'!$A$1:$I$117</definedName>
    <definedName name="_xlnm.Print_Area" localSheetId="31">'28_이원 신규점'!$A$1:$I$117</definedName>
    <definedName name="_xlnm.Print_Area" localSheetId="32">'29_가야 신규점1'!$A$1:$I$117</definedName>
    <definedName name="_xlnm.Print_Area" localSheetId="33">'30_창녕 신규점'!$A$1:$I$117</definedName>
    <definedName name="_xlnm.Print_Area" localSheetId="34">'31_언양 신규점3'!$A$1:$I$117</definedName>
    <definedName name="_xlnm.Print_Area" localSheetId="35">'32_함양 신규점'!$A$1:$I$117</definedName>
    <definedName name="_xlnm.Print_Area" localSheetId="36">'33_문산 신규점'!$A$1:$I$117</definedName>
    <definedName name="_xlnm.Print_Area" localSheetId="37">'34_부안 신규점'!$A$1:$I$117</definedName>
    <definedName name="_xlnm.Print_Area" localSheetId="38">'35_상주'!$A$1:$I$117</definedName>
    <definedName name="_xlnm.Print_Area" localSheetId="39">'36_미원'!$A$1:$I$117</definedName>
    <definedName name="_xlnm.Print_Area" localSheetId="40">'37_부안'!$A$1:$I$117</definedName>
    <definedName name="_xlnm.Print_Area" localSheetId="41">'38_강화'!$A$1:$I$117</definedName>
    <definedName name="_xlnm.Print_Area" localSheetId="42">'39_언양'!$A$1:$I$117</definedName>
    <definedName name="_xlnm.Print_Area" localSheetId="43">'40_남지'!$A$1:$I$117</definedName>
    <definedName name="_xlnm.Print_Area" localSheetId="44">'41_거제'!$A$1:$I$117</definedName>
    <definedName name="_xlnm.Print_Area" localSheetId="45">'42_조도'!$A$1:$I$117</definedName>
    <definedName name="_xlnm.Print_Area" localSheetId="46">'43_포천'!$A$1:$I$117</definedName>
    <definedName name="_xlnm.Print_Area" localSheetId="47">'44_성산'!$A$1:$I$117</definedName>
    <definedName name="_xlnm.Print_Area" localSheetId="48">'45_여주'!$A$1:$I$117</definedName>
    <definedName name="_xlnm.Print_Area" localSheetId="49">'46_화천'!$A$1:$I$117</definedName>
    <definedName name="_xlnm.Print_Area" localSheetId="50">'47_봉평'!$A$1:$I$117</definedName>
    <definedName name="_xlnm.Print_Area" localSheetId="51">'48_삼척'!$A$1:$I$117</definedName>
    <definedName name="_xlnm.Print_Area" localSheetId="52">'49_제천'!$A$1:$I$117</definedName>
    <definedName name="_xlnm.Print_Area" localSheetId="53">'50_함양'!$A$1:$I$117</definedName>
    <definedName name="_xlnm.Print_Area" localSheetId="2">'⑨ 구배 자동계산'!$G$8:$O$38</definedName>
    <definedName name="_xlnm.Print_Titles" localSheetId="4">'01_태백 신규점'!$1:$3</definedName>
    <definedName name="_xlnm.Print_Titles" localSheetId="5">'02_임계 신규점1'!$1:$3</definedName>
    <definedName name="_xlnm.Print_Titles" localSheetId="6">'03_예산 신규점2'!$1:$3</definedName>
    <definedName name="_xlnm.Print_Titles" localSheetId="7">'04_진안 신규점1'!$1:$3</definedName>
    <definedName name="_xlnm.Print_Titles" localSheetId="8">'05_무풍 신규점1'!$1:$3</definedName>
    <definedName name="_xlnm.Print_Titles" localSheetId="9">'06_길담 신규점'!$1:$3</definedName>
    <definedName name="_xlnm.Print_Titles" localSheetId="10">'07_남해 신규점1'!$1:$3</definedName>
    <definedName name="_xlnm.Print_Titles" localSheetId="11">'08_청일 신규점2'!$1:$3</definedName>
    <definedName name="_xlnm.Print_Titles" localSheetId="12">'09_어론 신규점'!$1:$3</definedName>
    <definedName name="_xlnm.Print_Titles" localSheetId="13">'10_예안 신규점1'!$1:$3</definedName>
    <definedName name="_xlnm.Print_Titles" localSheetId="14">'11_소천 신규점4'!$1:$3</definedName>
    <definedName name="_xlnm.Print_Titles" localSheetId="15">'12_순창 신규점'!$1:$3</definedName>
    <definedName name="_xlnm.Print_Titles" localSheetId="16">'13_순천 신규점'!$1:$3</definedName>
    <definedName name="_xlnm.Print_Titles" localSheetId="17">'14_청송 신규점1'!$1:$3</definedName>
    <definedName name="_xlnm.Print_Titles" localSheetId="18">'15_의성 신규점'!$1:$3</definedName>
    <definedName name="_xlnm.Print_Titles" localSheetId="19">'16_예천 신규점'!$1:$3</definedName>
    <definedName name="_xlnm.Print_Titles" localSheetId="20">'17_영양 신규점4'!$1:$3</definedName>
    <definedName name="_xlnm.Print_Titles" localSheetId="21">'18_통영 신규점'!$1:$3</definedName>
    <definedName name="_xlnm.Print_Titles" localSheetId="22">'19_오호 신규점'!$1:$3</definedName>
    <definedName name="_xlnm.Print_Titles" localSheetId="23">'20_보령 신규점2'!$1:$3</definedName>
    <definedName name="_xlnm.Print_Titles" localSheetId="24">'21_담양 신규점2'!$1:$3</definedName>
    <definedName name="_xlnm.Print_Titles" localSheetId="25">'22_완도 신규점'!$1:$3</definedName>
    <definedName name="_xlnm.Print_Titles" localSheetId="26">'23_덕산 신규점1'!$1:$3</definedName>
    <definedName name="_xlnm.Print_Titles" localSheetId="27">'24_회천 신규점2'!$1:$3</definedName>
    <definedName name="_xlnm.Print_Titles" localSheetId="28">'25_관리 신규점3'!$1:$3</definedName>
    <definedName name="_xlnm.Print_Titles" localSheetId="29">'26_고남 신규점2'!$1:$3</definedName>
    <definedName name="_xlnm.Print_Titles" localSheetId="30">'27_전의 신규점'!$1:$3</definedName>
    <definedName name="_xlnm.Print_Titles" localSheetId="31">'28_이원 신규점'!$1:$3</definedName>
    <definedName name="_xlnm.Print_Titles" localSheetId="32">'29_가야 신규점1'!$1:$3</definedName>
    <definedName name="_xlnm.Print_Titles" localSheetId="33">'30_창녕 신규점'!$1:$3</definedName>
    <definedName name="_xlnm.Print_Titles" localSheetId="34">'31_언양 신규점3'!$1:$3</definedName>
    <definedName name="_xlnm.Print_Titles" localSheetId="35">'32_함양 신규점'!$1:$3</definedName>
    <definedName name="_xlnm.Print_Titles" localSheetId="36">'33_문산 신규점'!$1:$3</definedName>
    <definedName name="_xlnm.Print_Titles" localSheetId="37">'34_부안 신규점'!$1:$3</definedName>
    <definedName name="_xlnm.Print_Titles" localSheetId="38">'35_상주'!$1:$3</definedName>
    <definedName name="_xlnm.Print_Titles" localSheetId="39">'36_미원'!$1:$3</definedName>
    <definedName name="_xlnm.Print_Titles" localSheetId="40">'37_부안'!$1:$3</definedName>
    <definedName name="_xlnm.Print_Titles" localSheetId="41">'38_강화'!$1:$3</definedName>
    <definedName name="_xlnm.Print_Titles" localSheetId="42">'39_언양'!$1:$3</definedName>
    <definedName name="_xlnm.Print_Titles" localSheetId="43">'40_남지'!$1:$3</definedName>
    <definedName name="_xlnm.Print_Titles" localSheetId="44">'41_거제'!$1:$3</definedName>
    <definedName name="_xlnm.Print_Titles" localSheetId="45">'42_조도'!$1:$3</definedName>
    <definedName name="_xlnm.Print_Titles" localSheetId="46">'43_포천'!$1:$3</definedName>
    <definedName name="_xlnm.Print_Titles" localSheetId="47">'44_성산'!$1:$3</definedName>
    <definedName name="_xlnm.Print_Titles" localSheetId="48">'45_여주'!$1:$3</definedName>
    <definedName name="_xlnm.Print_Titles" localSheetId="49">'46_화천'!$1:$3</definedName>
    <definedName name="_xlnm.Print_Titles" localSheetId="50">'47_봉평'!$1:$3</definedName>
    <definedName name="_xlnm.Print_Titles" localSheetId="51">'48_삼척'!$1:$3</definedName>
    <definedName name="_xlnm.Print_Titles" localSheetId="52">'49_제천'!$1:$3</definedName>
    <definedName name="_xlnm.Print_Titles" localSheetId="53">'50_함양'!$1:$3</definedName>
  </definedNames>
  <calcPr calcId="191029"/>
</workbook>
</file>

<file path=xl/calcChain.xml><?xml version="1.0" encoding="utf-8"?>
<calcChain xmlns="http://schemas.openxmlformats.org/spreadsheetml/2006/main">
  <c r="I34" i="151" l="1"/>
  <c r="I33" i="151"/>
  <c r="I32" i="151"/>
  <c r="I31" i="151"/>
  <c r="I34" i="150"/>
  <c r="I33" i="150"/>
  <c r="I32" i="150"/>
  <c r="I31" i="150"/>
  <c r="I34" i="149"/>
  <c r="I33" i="149"/>
  <c r="I32" i="149"/>
  <c r="I31" i="149"/>
  <c r="I34" i="148"/>
  <c r="I33" i="148"/>
  <c r="I32" i="148"/>
  <c r="I31" i="148"/>
  <c r="I34" i="147"/>
  <c r="I33" i="147"/>
  <c r="I32" i="147"/>
  <c r="I31" i="147"/>
  <c r="I34" i="146"/>
  <c r="I33" i="146"/>
  <c r="I32" i="146"/>
  <c r="I31" i="146"/>
  <c r="I34" i="145"/>
  <c r="I33" i="145"/>
  <c r="I32" i="145"/>
  <c r="I31" i="145"/>
  <c r="I34" i="144"/>
  <c r="I33" i="144"/>
  <c r="I32" i="144"/>
  <c r="I31" i="144"/>
  <c r="I34" i="143"/>
  <c r="I33" i="143"/>
  <c r="I32" i="143"/>
  <c r="I31" i="143"/>
  <c r="I34" i="142"/>
  <c r="I33" i="142"/>
  <c r="I32" i="142"/>
  <c r="I31" i="142"/>
  <c r="I34" i="141"/>
  <c r="I33" i="141"/>
  <c r="I32" i="141"/>
  <c r="I31" i="141"/>
  <c r="I34" i="140"/>
  <c r="I33" i="140"/>
  <c r="I32" i="140"/>
  <c r="I31" i="140"/>
  <c r="I34" i="139"/>
  <c r="I33" i="139"/>
  <c r="I32" i="139"/>
  <c r="I31" i="139"/>
  <c r="I34" i="138"/>
  <c r="I33" i="138"/>
  <c r="I32" i="138"/>
  <c r="I31" i="138"/>
  <c r="I34" i="137"/>
  <c r="I33" i="137"/>
  <c r="I32" i="137"/>
  <c r="I31" i="137"/>
  <c r="I34" i="136"/>
  <c r="I33" i="136"/>
  <c r="I32" i="136"/>
  <c r="I31" i="136"/>
  <c r="I34" i="135"/>
  <c r="I33" i="135"/>
  <c r="I32" i="135"/>
  <c r="I31" i="135"/>
  <c r="I34" i="134"/>
  <c r="I33" i="134"/>
  <c r="I32" i="134"/>
  <c r="I31" i="134"/>
  <c r="I34" i="133"/>
  <c r="I33" i="133"/>
  <c r="I32" i="133"/>
  <c r="I31" i="133"/>
  <c r="I34" i="132"/>
  <c r="I33" i="132"/>
  <c r="I32" i="132"/>
  <c r="I31" i="132"/>
  <c r="I34" i="131"/>
  <c r="I33" i="131"/>
  <c r="I32" i="131"/>
  <c r="I31" i="131"/>
  <c r="I34" i="130"/>
  <c r="I33" i="130"/>
  <c r="I32" i="130"/>
  <c r="I31" i="130"/>
  <c r="I34" i="129"/>
  <c r="I33" i="129"/>
  <c r="I32" i="129"/>
  <c r="I31" i="129"/>
  <c r="I34" i="128"/>
  <c r="I33" i="128"/>
  <c r="I32" i="128"/>
  <c r="I31" i="128"/>
  <c r="I34" i="127"/>
  <c r="I33" i="127"/>
  <c r="I32" i="127"/>
  <c r="I31" i="127"/>
  <c r="I34" i="126"/>
  <c r="I33" i="126"/>
  <c r="I32" i="126"/>
  <c r="I31" i="126"/>
  <c r="I34" i="125"/>
  <c r="I33" i="125"/>
  <c r="I32" i="125"/>
  <c r="I31" i="125"/>
  <c r="I34" i="124"/>
  <c r="I33" i="124"/>
  <c r="I32" i="124"/>
  <c r="I31" i="124"/>
  <c r="I34" i="123"/>
  <c r="I33" i="123"/>
  <c r="I32" i="123"/>
  <c r="I31" i="123"/>
  <c r="I34" i="122"/>
  <c r="I33" i="122"/>
  <c r="I32" i="122"/>
  <c r="I31" i="122"/>
  <c r="I34" i="119"/>
  <c r="I33" i="119"/>
  <c r="I32" i="119"/>
  <c r="I31" i="119"/>
  <c r="I34" i="118"/>
  <c r="I33" i="118"/>
  <c r="I32" i="118"/>
  <c r="I31" i="118"/>
  <c r="I34" i="117"/>
  <c r="I33" i="117"/>
  <c r="I32" i="117"/>
  <c r="I31" i="117"/>
  <c r="I34" i="116"/>
  <c r="I33" i="116"/>
  <c r="I32" i="116"/>
  <c r="I31" i="116"/>
  <c r="I34" i="115"/>
  <c r="I33" i="115"/>
  <c r="I32" i="115"/>
  <c r="I31" i="115"/>
  <c r="I34" i="114"/>
  <c r="I33" i="114"/>
  <c r="I32" i="114"/>
  <c r="I31" i="114"/>
  <c r="I34" i="113"/>
  <c r="I33" i="113"/>
  <c r="I32" i="113"/>
  <c r="I31" i="113"/>
  <c r="I34" i="112"/>
  <c r="I33" i="112"/>
  <c r="I32" i="112"/>
  <c r="I31" i="112"/>
  <c r="I34" i="111"/>
  <c r="I33" i="111"/>
  <c r="I32" i="111"/>
  <c r="I31" i="111"/>
  <c r="I34" i="110"/>
  <c r="I33" i="110"/>
  <c r="I32" i="110"/>
  <c r="I31" i="110"/>
  <c r="I34" i="109"/>
  <c r="I33" i="109"/>
  <c r="I32" i="109"/>
  <c r="I31" i="109"/>
  <c r="I34" i="108"/>
  <c r="I33" i="108"/>
  <c r="I32" i="108"/>
  <c r="I31" i="108"/>
  <c r="I34" i="107"/>
  <c r="I33" i="107"/>
  <c r="I32" i="107"/>
  <c r="I31" i="107"/>
  <c r="I34" i="106"/>
  <c r="I33" i="106"/>
  <c r="I32" i="106"/>
  <c r="I31" i="106"/>
  <c r="I34" i="105"/>
  <c r="I33" i="105"/>
  <c r="I32" i="105"/>
  <c r="I31" i="105"/>
  <c r="I34" i="104"/>
  <c r="I33" i="104"/>
  <c r="I32" i="104"/>
  <c r="I31" i="104"/>
  <c r="I34" i="103"/>
  <c r="I33" i="103"/>
  <c r="I32" i="103"/>
  <c r="I31" i="103"/>
  <c r="I34" i="53"/>
  <c r="I33" i="53"/>
  <c r="I32" i="53"/>
  <c r="I31" i="53"/>
  <c r="A14" i="151"/>
  <c r="G42" i="151"/>
  <c r="G43" i="151"/>
  <c r="G44" i="151"/>
  <c r="G45" i="151"/>
  <c r="A14" i="150"/>
  <c r="G42" i="150"/>
  <c r="G43" i="150"/>
  <c r="G44" i="150"/>
  <c r="G45" i="150"/>
  <c r="A14" i="149"/>
  <c r="G42" i="149"/>
  <c r="G43" i="149"/>
  <c r="G44" i="149"/>
  <c r="G45" i="149"/>
  <c r="A14" i="148"/>
  <c r="G42" i="148"/>
  <c r="G43" i="148"/>
  <c r="G44" i="148"/>
  <c r="G45" i="148"/>
  <c r="A14" i="147"/>
  <c r="G42" i="147"/>
  <c r="G43" i="147"/>
  <c r="G44" i="147"/>
  <c r="G45" i="147"/>
  <c r="A14" i="146"/>
  <c r="G42" i="146"/>
  <c r="G43" i="146"/>
  <c r="G44" i="146"/>
  <c r="G45" i="146"/>
  <c r="A14" i="145"/>
  <c r="G42" i="145"/>
  <c r="G43" i="145"/>
  <c r="G44" i="145"/>
  <c r="G45" i="145"/>
  <c r="A14" i="144"/>
  <c r="G42" i="144"/>
  <c r="G43" i="144"/>
  <c r="G44" i="144"/>
  <c r="G45" i="144"/>
  <c r="A14" i="143"/>
  <c r="G42" i="143"/>
  <c r="G43" i="143"/>
  <c r="G44" i="143"/>
  <c r="G45" i="143"/>
  <c r="A14" i="142"/>
  <c r="G42" i="142"/>
  <c r="G43" i="142"/>
  <c r="G44" i="142"/>
  <c r="G45" i="142"/>
  <c r="A14" i="141"/>
  <c r="G42" i="141"/>
  <c r="G43" i="141"/>
  <c r="G44" i="141"/>
  <c r="G45" i="141"/>
  <c r="A14" i="140"/>
  <c r="G42" i="140"/>
  <c r="G43" i="140"/>
  <c r="G44" i="140"/>
  <c r="G45" i="140"/>
  <c r="A14" i="139"/>
  <c r="G42" i="139"/>
  <c r="G43" i="139"/>
  <c r="G44" i="139"/>
  <c r="G45" i="139"/>
  <c r="A14" i="138"/>
  <c r="G42" i="138"/>
  <c r="G43" i="138"/>
  <c r="G44" i="138"/>
  <c r="G45" i="138"/>
  <c r="A14" i="137"/>
  <c r="G42" i="137"/>
  <c r="G43" i="137"/>
  <c r="G44" i="137"/>
  <c r="G45" i="137"/>
  <c r="A14" i="136"/>
  <c r="G42" i="136"/>
  <c r="G43" i="136"/>
  <c r="G44" i="136"/>
  <c r="G45" i="136"/>
  <c r="A14" i="135"/>
  <c r="G42" i="135"/>
  <c r="G43" i="135"/>
  <c r="G44" i="135"/>
  <c r="G45" i="135"/>
  <c r="A14" i="134"/>
  <c r="G42" i="134"/>
  <c r="G43" i="134"/>
  <c r="G44" i="134"/>
  <c r="G45" i="134"/>
  <c r="A14" i="133"/>
  <c r="G42" i="133"/>
  <c r="G43" i="133"/>
  <c r="G44" i="133"/>
  <c r="G45" i="133"/>
  <c r="A14" i="132"/>
  <c r="G42" i="132"/>
  <c r="G43" i="132"/>
  <c r="G44" i="132"/>
  <c r="G45" i="132"/>
  <c r="A14" i="131"/>
  <c r="G42" i="131"/>
  <c r="G43" i="131"/>
  <c r="G44" i="131"/>
  <c r="G45" i="131"/>
  <c r="A14" i="130"/>
  <c r="G42" i="130"/>
  <c r="G43" i="130"/>
  <c r="G44" i="130"/>
  <c r="G45" i="130"/>
  <c r="A14" i="129"/>
  <c r="G42" i="129"/>
  <c r="G43" i="129"/>
  <c r="G44" i="129"/>
  <c r="G45" i="129"/>
  <c r="A14" i="128"/>
  <c r="G42" i="128"/>
  <c r="G43" i="128"/>
  <c r="G44" i="128"/>
  <c r="G45" i="128"/>
  <c r="A14" i="127"/>
  <c r="G42" i="127"/>
  <c r="G43" i="127"/>
  <c r="G44" i="127"/>
  <c r="G45" i="127"/>
  <c r="A14" i="126"/>
  <c r="G42" i="126"/>
  <c r="G43" i="126"/>
  <c r="G44" i="126"/>
  <c r="G45" i="126"/>
  <c r="A14" i="125"/>
  <c r="G42" i="125"/>
  <c r="G43" i="125"/>
  <c r="G44" i="125"/>
  <c r="G45" i="125"/>
  <c r="A14" i="124"/>
  <c r="G42" i="124"/>
  <c r="G43" i="124"/>
  <c r="G44" i="124"/>
  <c r="G45" i="124"/>
  <c r="A14" i="123"/>
  <c r="G42" i="123"/>
  <c r="G43" i="123"/>
  <c r="G44" i="123"/>
  <c r="G45" i="123"/>
  <c r="A14" i="122"/>
  <c r="G42" i="122"/>
  <c r="G43" i="122"/>
  <c r="G44" i="122"/>
  <c r="G45" i="122"/>
  <c r="A14" i="121"/>
  <c r="A14" i="120"/>
  <c r="A14" i="119"/>
  <c r="G42" i="119"/>
  <c r="G43" i="119"/>
  <c r="G44" i="119"/>
  <c r="G45" i="119"/>
  <c r="A14" i="118"/>
  <c r="G42" i="118"/>
  <c r="G43" i="118"/>
  <c r="G44" i="118"/>
  <c r="G45" i="118"/>
  <c r="A14" i="117"/>
  <c r="G42" i="117"/>
  <c r="G43" i="117"/>
  <c r="G44" i="117"/>
  <c r="G45" i="117"/>
  <c r="A14" i="116"/>
  <c r="G42" i="116"/>
  <c r="G43" i="116"/>
  <c r="G44" i="116"/>
  <c r="G45" i="116"/>
  <c r="A14" i="115"/>
  <c r="G42" i="115"/>
  <c r="G43" i="115"/>
  <c r="G44" i="115"/>
  <c r="G45" i="115"/>
  <c r="A14" i="114"/>
  <c r="G42" i="114"/>
  <c r="G43" i="114"/>
  <c r="G44" i="114"/>
  <c r="G45" i="114"/>
  <c r="A14" i="113"/>
  <c r="G42" i="113"/>
  <c r="G43" i="113"/>
  <c r="G44" i="113"/>
  <c r="G45" i="113"/>
  <c r="A14" i="112"/>
  <c r="G42" i="112"/>
  <c r="G43" i="112"/>
  <c r="G44" i="112"/>
  <c r="G45" i="112"/>
  <c r="A14" i="111"/>
  <c r="G42" i="111"/>
  <c r="G43" i="111"/>
  <c r="G44" i="111"/>
  <c r="G45" i="111"/>
  <c r="A14" i="110"/>
  <c r="G42" i="110"/>
  <c r="G43" i="110"/>
  <c r="G44" i="110"/>
  <c r="G45" i="110"/>
  <c r="A14" i="109"/>
  <c r="G42" i="109"/>
  <c r="G43" i="109"/>
  <c r="G44" i="109"/>
  <c r="G45" i="109"/>
  <c r="A14" i="108"/>
  <c r="G42" i="108"/>
  <c r="G43" i="108"/>
  <c r="G44" i="108"/>
  <c r="G45" i="108"/>
  <c r="A14" i="107"/>
  <c r="G42" i="107"/>
  <c r="G43" i="107"/>
  <c r="G44" i="107"/>
  <c r="G45" i="107"/>
  <c r="A14" i="106"/>
  <c r="G42" i="106"/>
  <c r="G43" i="106"/>
  <c r="G44" i="106"/>
  <c r="G45" i="106"/>
  <c r="A14" i="105"/>
  <c r="G42" i="105"/>
  <c r="G43" i="105"/>
  <c r="G44" i="105"/>
  <c r="G45" i="105"/>
  <c r="A14" i="104"/>
  <c r="G42" i="104"/>
  <c r="G43" i="104"/>
  <c r="G44" i="104"/>
  <c r="G45" i="104"/>
  <c r="A14" i="103"/>
  <c r="G42" i="103"/>
  <c r="G43" i="103"/>
  <c r="G44" i="103"/>
  <c r="G45" i="103"/>
  <c r="A14" i="53"/>
  <c r="G42" i="53"/>
  <c r="G43" i="53"/>
  <c r="G44" i="53"/>
  <c r="G45" i="53"/>
  <c r="C4" i="152"/>
  <c r="CM6" i="152"/>
  <c r="E246" i="152" s="1"/>
  <c r="F34450" i="153"/>
  <c r="F33747" i="153"/>
  <c r="F33044" i="153"/>
  <c r="F32341" i="153"/>
  <c r="F31638" i="153"/>
  <c r="F30935" i="153"/>
  <c r="F30232" i="153"/>
  <c r="F29529" i="153"/>
  <c r="F28826" i="153"/>
  <c r="F28123" i="153"/>
  <c r="F27420" i="153"/>
  <c r="F26717" i="153"/>
  <c r="F26014" i="153"/>
  <c r="F25311" i="153"/>
  <c r="F24608" i="153"/>
  <c r="F23905" i="153"/>
  <c r="F23202" i="153"/>
  <c r="F22499" i="153"/>
  <c r="F21796" i="153"/>
  <c r="F21093" i="153"/>
  <c r="F20390" i="153"/>
  <c r="F19687" i="153"/>
  <c r="F18984" i="153"/>
  <c r="F18281" i="153"/>
  <c r="F17578" i="153"/>
  <c r="F16875" i="153"/>
  <c r="F16172" i="153"/>
  <c r="F15469" i="153"/>
  <c r="F14766" i="153"/>
  <c r="F14063" i="153"/>
  <c r="F13360" i="153"/>
  <c r="F12657" i="153"/>
  <c r="F11954" i="153"/>
  <c r="F11251" i="153"/>
  <c r="F10548" i="153"/>
  <c r="F9845" i="153"/>
  <c r="F9142" i="153"/>
  <c r="F8439" i="153"/>
  <c r="F7736" i="153"/>
  <c r="F7033" i="153"/>
  <c r="F6330" i="153"/>
  <c r="F5627" i="153"/>
  <c r="F4924" i="153"/>
  <c r="F4221" i="153"/>
  <c r="F3518" i="153"/>
  <c r="F2815" i="153"/>
  <c r="F2112" i="153"/>
  <c r="F1409" i="153"/>
  <c r="F706" i="153"/>
  <c r="F3" i="153"/>
  <c r="C42" i="151"/>
  <c r="C43" i="151"/>
  <c r="C44" i="151"/>
  <c r="E45" i="151" s="1"/>
  <c r="C45" i="151"/>
  <c r="B16" i="151"/>
  <c r="C16" i="151"/>
  <c r="L16" i="151" s="1"/>
  <c r="D16" i="151"/>
  <c r="E16" i="151"/>
  <c r="R16" i="151" s="1"/>
  <c r="F16" i="151"/>
  <c r="G16" i="151"/>
  <c r="V16" i="151" s="1"/>
  <c r="H16" i="151"/>
  <c r="I16" i="151"/>
  <c r="B17" i="151"/>
  <c r="C17" i="151"/>
  <c r="D17" i="151"/>
  <c r="E17" i="151"/>
  <c r="F17" i="151"/>
  <c r="G17" i="151"/>
  <c r="H17" i="151"/>
  <c r="I17" i="151"/>
  <c r="B18" i="151"/>
  <c r="C18" i="151"/>
  <c r="D18" i="151"/>
  <c r="E18" i="151"/>
  <c r="F18" i="151"/>
  <c r="G18" i="151"/>
  <c r="H18" i="151"/>
  <c r="I18" i="151"/>
  <c r="B19" i="151"/>
  <c r="C19" i="151"/>
  <c r="D19" i="151"/>
  <c r="E19" i="151"/>
  <c r="F19" i="151"/>
  <c r="G19" i="151"/>
  <c r="H19" i="151"/>
  <c r="I19" i="151"/>
  <c r="B20" i="151"/>
  <c r="C20" i="151"/>
  <c r="D20" i="151"/>
  <c r="E20" i="151"/>
  <c r="F20" i="151"/>
  <c r="G20" i="151"/>
  <c r="H20" i="151"/>
  <c r="I20" i="151"/>
  <c r="B21" i="151"/>
  <c r="C21" i="151"/>
  <c r="D21" i="151"/>
  <c r="E21" i="151"/>
  <c r="F21" i="151"/>
  <c r="G21" i="151"/>
  <c r="H21" i="151"/>
  <c r="I21" i="151"/>
  <c r="B22" i="151"/>
  <c r="C22" i="151"/>
  <c r="D22" i="151"/>
  <c r="E22" i="151"/>
  <c r="F22" i="151"/>
  <c r="G22" i="151"/>
  <c r="H22" i="151"/>
  <c r="I22" i="151"/>
  <c r="B23" i="151"/>
  <c r="C23" i="151"/>
  <c r="D23" i="151"/>
  <c r="E23" i="151"/>
  <c r="F23" i="151"/>
  <c r="G23" i="151"/>
  <c r="H23" i="151"/>
  <c r="I23" i="151"/>
  <c r="B24" i="151"/>
  <c r="C24" i="151"/>
  <c r="D24" i="151"/>
  <c r="E24" i="151"/>
  <c r="F24" i="151"/>
  <c r="G24" i="151"/>
  <c r="H24" i="151"/>
  <c r="I24" i="151"/>
  <c r="B25" i="151"/>
  <c r="C25" i="151"/>
  <c r="D25" i="151"/>
  <c r="E25" i="151"/>
  <c r="F25" i="151"/>
  <c r="G25" i="151"/>
  <c r="H25" i="151"/>
  <c r="I25" i="151"/>
  <c r="B26" i="151"/>
  <c r="C26" i="151"/>
  <c r="D26" i="151"/>
  <c r="E26" i="151"/>
  <c r="F26" i="151"/>
  <c r="G26" i="151"/>
  <c r="H26" i="151"/>
  <c r="I26" i="151"/>
  <c r="B27" i="151"/>
  <c r="C27" i="151"/>
  <c r="D27" i="151"/>
  <c r="E27" i="151"/>
  <c r="F27" i="151"/>
  <c r="G27" i="151"/>
  <c r="H27" i="151"/>
  <c r="I27" i="151"/>
  <c r="C42" i="150"/>
  <c r="C43" i="150"/>
  <c r="C44" i="150"/>
  <c r="C45" i="150"/>
  <c r="B16" i="150"/>
  <c r="C16" i="150"/>
  <c r="D16" i="150"/>
  <c r="E16" i="150"/>
  <c r="F16" i="150"/>
  <c r="G16" i="150"/>
  <c r="H16" i="150"/>
  <c r="I16" i="150"/>
  <c r="AB16" i="150" s="1"/>
  <c r="B17" i="150"/>
  <c r="C17" i="150"/>
  <c r="D17" i="150"/>
  <c r="E17" i="150"/>
  <c r="F17" i="150"/>
  <c r="G17" i="150"/>
  <c r="H17" i="150"/>
  <c r="I17" i="150"/>
  <c r="B18" i="150"/>
  <c r="C18" i="150"/>
  <c r="D18" i="150"/>
  <c r="E18" i="150"/>
  <c r="F18" i="150"/>
  <c r="G18" i="150"/>
  <c r="H18" i="150"/>
  <c r="I18" i="150"/>
  <c r="B19" i="150"/>
  <c r="C19" i="150"/>
  <c r="D19" i="150"/>
  <c r="E19" i="150"/>
  <c r="F19" i="150"/>
  <c r="G19" i="150"/>
  <c r="H19" i="150"/>
  <c r="I19" i="150"/>
  <c r="B20" i="150"/>
  <c r="C20" i="150"/>
  <c r="D20" i="150"/>
  <c r="E20" i="150"/>
  <c r="F20" i="150"/>
  <c r="G20" i="150"/>
  <c r="H20" i="150"/>
  <c r="I20" i="150"/>
  <c r="B21" i="150"/>
  <c r="C21" i="150"/>
  <c r="D21" i="150"/>
  <c r="E21" i="150"/>
  <c r="F21" i="150"/>
  <c r="G21" i="150"/>
  <c r="H21" i="150"/>
  <c r="I21" i="150"/>
  <c r="B22" i="150"/>
  <c r="C22" i="150"/>
  <c r="D22" i="150"/>
  <c r="E22" i="150"/>
  <c r="F22" i="150"/>
  <c r="G22" i="150"/>
  <c r="H22" i="150"/>
  <c r="I22" i="150"/>
  <c r="B23" i="150"/>
  <c r="C23" i="150"/>
  <c r="D23" i="150"/>
  <c r="E23" i="150"/>
  <c r="F23" i="150"/>
  <c r="G23" i="150"/>
  <c r="H23" i="150"/>
  <c r="I23" i="150"/>
  <c r="B24" i="150"/>
  <c r="C24" i="150"/>
  <c r="D24" i="150"/>
  <c r="E24" i="150"/>
  <c r="F24" i="150"/>
  <c r="G24" i="150"/>
  <c r="H24" i="150"/>
  <c r="I24" i="150"/>
  <c r="B25" i="150"/>
  <c r="C25" i="150"/>
  <c r="D25" i="150"/>
  <c r="E25" i="150"/>
  <c r="F25" i="150"/>
  <c r="G25" i="150"/>
  <c r="H25" i="150"/>
  <c r="I25" i="150"/>
  <c r="B26" i="150"/>
  <c r="C26" i="150"/>
  <c r="D26" i="150"/>
  <c r="E26" i="150"/>
  <c r="F26" i="150"/>
  <c r="G26" i="150"/>
  <c r="H26" i="150"/>
  <c r="I26" i="150"/>
  <c r="B27" i="150"/>
  <c r="C27" i="150"/>
  <c r="D27" i="150"/>
  <c r="E27" i="150"/>
  <c r="F27" i="150"/>
  <c r="G27" i="150"/>
  <c r="H27" i="150"/>
  <c r="I27" i="150"/>
  <c r="C42" i="149"/>
  <c r="C43" i="149"/>
  <c r="C44" i="149"/>
  <c r="C45" i="149"/>
  <c r="B16" i="149"/>
  <c r="C16" i="149"/>
  <c r="M16" i="149" s="1"/>
  <c r="M17" i="149" s="1"/>
  <c r="D16" i="149"/>
  <c r="E16" i="149"/>
  <c r="R16" i="149" s="1"/>
  <c r="F16" i="149"/>
  <c r="G16" i="149"/>
  <c r="W16" i="149" s="1"/>
  <c r="H16" i="149"/>
  <c r="I16" i="149"/>
  <c r="AB16" i="149" s="1"/>
  <c r="B17" i="149"/>
  <c r="C17" i="149"/>
  <c r="D17" i="149"/>
  <c r="E17" i="149"/>
  <c r="F17" i="149"/>
  <c r="G17" i="149"/>
  <c r="H17" i="149"/>
  <c r="I17" i="149"/>
  <c r="B18" i="149"/>
  <c r="C18" i="149"/>
  <c r="D18" i="149"/>
  <c r="E18" i="149"/>
  <c r="F18" i="149"/>
  <c r="G18" i="149"/>
  <c r="H18" i="149"/>
  <c r="I18" i="149"/>
  <c r="B19" i="149"/>
  <c r="C19" i="149"/>
  <c r="D19" i="149"/>
  <c r="E19" i="149"/>
  <c r="F19" i="149"/>
  <c r="G19" i="149"/>
  <c r="H19" i="149"/>
  <c r="I19" i="149"/>
  <c r="B20" i="149"/>
  <c r="C20" i="149"/>
  <c r="D20" i="149"/>
  <c r="E20" i="149"/>
  <c r="F20" i="149"/>
  <c r="G20" i="149"/>
  <c r="H20" i="149"/>
  <c r="I20" i="149"/>
  <c r="B21" i="149"/>
  <c r="C21" i="149"/>
  <c r="D21" i="149"/>
  <c r="E21" i="149"/>
  <c r="F21" i="149"/>
  <c r="G21" i="149"/>
  <c r="H21" i="149"/>
  <c r="I21" i="149"/>
  <c r="B22" i="149"/>
  <c r="C22" i="149"/>
  <c r="D22" i="149"/>
  <c r="E22" i="149"/>
  <c r="F22" i="149"/>
  <c r="G22" i="149"/>
  <c r="H22" i="149"/>
  <c r="I22" i="149"/>
  <c r="B23" i="149"/>
  <c r="C23" i="149"/>
  <c r="D23" i="149"/>
  <c r="E23" i="149"/>
  <c r="F23" i="149"/>
  <c r="G23" i="149"/>
  <c r="H23" i="149"/>
  <c r="I23" i="149"/>
  <c r="B24" i="149"/>
  <c r="C24" i="149"/>
  <c r="D24" i="149"/>
  <c r="E24" i="149"/>
  <c r="F24" i="149"/>
  <c r="G24" i="149"/>
  <c r="H24" i="149"/>
  <c r="I24" i="149"/>
  <c r="B25" i="149"/>
  <c r="C25" i="149"/>
  <c r="D25" i="149"/>
  <c r="E25" i="149"/>
  <c r="F25" i="149"/>
  <c r="G25" i="149"/>
  <c r="H25" i="149"/>
  <c r="I25" i="149"/>
  <c r="B26" i="149"/>
  <c r="C26" i="149"/>
  <c r="D26" i="149"/>
  <c r="E26" i="149"/>
  <c r="F26" i="149"/>
  <c r="G26" i="149"/>
  <c r="H26" i="149"/>
  <c r="I26" i="149"/>
  <c r="B27" i="149"/>
  <c r="C27" i="149"/>
  <c r="D27" i="149"/>
  <c r="E27" i="149"/>
  <c r="F27" i="149"/>
  <c r="G27" i="149"/>
  <c r="H27" i="149"/>
  <c r="I27" i="149"/>
  <c r="C42" i="148"/>
  <c r="C43" i="148"/>
  <c r="C44" i="148"/>
  <c r="C45" i="148"/>
  <c r="E45" i="148" s="1"/>
  <c r="B16" i="148"/>
  <c r="C16" i="148"/>
  <c r="M16" i="148" s="1"/>
  <c r="D16" i="148"/>
  <c r="E16" i="148"/>
  <c r="R16" i="148" s="1"/>
  <c r="F16" i="148"/>
  <c r="G16" i="148"/>
  <c r="W16" i="148" s="1"/>
  <c r="H16" i="148"/>
  <c r="I16" i="148"/>
  <c r="AB16" i="148" s="1"/>
  <c r="B17" i="148"/>
  <c r="C17" i="148"/>
  <c r="D17" i="148"/>
  <c r="E17" i="148"/>
  <c r="F17" i="148"/>
  <c r="G17" i="148"/>
  <c r="H17" i="148"/>
  <c r="I17" i="148"/>
  <c r="B18" i="148"/>
  <c r="C18" i="148"/>
  <c r="D18" i="148"/>
  <c r="E18" i="148"/>
  <c r="F18" i="148"/>
  <c r="G18" i="148"/>
  <c r="H18" i="148"/>
  <c r="I18" i="148"/>
  <c r="B19" i="148"/>
  <c r="C19" i="148"/>
  <c r="D19" i="148"/>
  <c r="E19" i="148"/>
  <c r="F19" i="148"/>
  <c r="G19" i="148"/>
  <c r="H19" i="148"/>
  <c r="I19" i="148"/>
  <c r="B20" i="148"/>
  <c r="C20" i="148"/>
  <c r="D20" i="148"/>
  <c r="E20" i="148"/>
  <c r="F20" i="148"/>
  <c r="G20" i="148"/>
  <c r="H20" i="148"/>
  <c r="I20" i="148"/>
  <c r="B21" i="148"/>
  <c r="C21" i="148"/>
  <c r="D21" i="148"/>
  <c r="E21" i="148"/>
  <c r="F21" i="148"/>
  <c r="G21" i="148"/>
  <c r="H21" i="148"/>
  <c r="I21" i="148"/>
  <c r="B22" i="148"/>
  <c r="C22" i="148"/>
  <c r="D22" i="148"/>
  <c r="E22" i="148"/>
  <c r="F22" i="148"/>
  <c r="G22" i="148"/>
  <c r="H22" i="148"/>
  <c r="I22" i="148"/>
  <c r="B23" i="148"/>
  <c r="C23" i="148"/>
  <c r="D23" i="148"/>
  <c r="E23" i="148"/>
  <c r="F23" i="148"/>
  <c r="G23" i="148"/>
  <c r="H23" i="148"/>
  <c r="I23" i="148"/>
  <c r="B24" i="148"/>
  <c r="C24" i="148"/>
  <c r="D24" i="148"/>
  <c r="E24" i="148"/>
  <c r="F24" i="148"/>
  <c r="G24" i="148"/>
  <c r="H24" i="148"/>
  <c r="I24" i="148"/>
  <c r="B25" i="148"/>
  <c r="C25" i="148"/>
  <c r="D25" i="148"/>
  <c r="E25" i="148"/>
  <c r="F25" i="148"/>
  <c r="G25" i="148"/>
  <c r="H25" i="148"/>
  <c r="I25" i="148"/>
  <c r="B26" i="148"/>
  <c r="C26" i="148"/>
  <c r="D26" i="148"/>
  <c r="E26" i="148"/>
  <c r="F26" i="148"/>
  <c r="G26" i="148"/>
  <c r="H26" i="148"/>
  <c r="I26" i="148"/>
  <c r="B27" i="148"/>
  <c r="C27" i="148"/>
  <c r="D27" i="148"/>
  <c r="E27" i="148"/>
  <c r="F27" i="148"/>
  <c r="G27" i="148"/>
  <c r="H27" i="148"/>
  <c r="I27" i="148"/>
  <c r="C42" i="147"/>
  <c r="C43" i="147"/>
  <c r="C44" i="147"/>
  <c r="C45" i="147"/>
  <c r="B16" i="147"/>
  <c r="C16" i="147"/>
  <c r="D16" i="147"/>
  <c r="E16" i="147"/>
  <c r="F16" i="147"/>
  <c r="G16" i="147"/>
  <c r="H16" i="147"/>
  <c r="I16" i="147"/>
  <c r="B17" i="147"/>
  <c r="C17" i="147"/>
  <c r="D17" i="147"/>
  <c r="E17" i="147"/>
  <c r="F17" i="147"/>
  <c r="G17" i="147"/>
  <c r="H17" i="147"/>
  <c r="I17" i="147"/>
  <c r="B18" i="147"/>
  <c r="C18" i="147"/>
  <c r="D18" i="147"/>
  <c r="E18" i="147"/>
  <c r="F18" i="147"/>
  <c r="G18" i="147"/>
  <c r="H18" i="147"/>
  <c r="I18" i="147"/>
  <c r="B19" i="147"/>
  <c r="C19" i="147"/>
  <c r="D19" i="147"/>
  <c r="E19" i="147"/>
  <c r="F19" i="147"/>
  <c r="G19" i="147"/>
  <c r="H19" i="147"/>
  <c r="I19" i="147"/>
  <c r="B20" i="147"/>
  <c r="C20" i="147"/>
  <c r="D20" i="147"/>
  <c r="E20" i="147"/>
  <c r="F20" i="147"/>
  <c r="G20" i="147"/>
  <c r="H20" i="147"/>
  <c r="I20" i="147"/>
  <c r="B21" i="147"/>
  <c r="C21" i="147"/>
  <c r="D21" i="147"/>
  <c r="E21" i="147"/>
  <c r="F21" i="147"/>
  <c r="G21" i="147"/>
  <c r="H21" i="147"/>
  <c r="I21" i="147"/>
  <c r="B22" i="147"/>
  <c r="C22" i="147"/>
  <c r="D22" i="147"/>
  <c r="E22" i="147"/>
  <c r="F22" i="147"/>
  <c r="G22" i="147"/>
  <c r="H22" i="147"/>
  <c r="I22" i="147"/>
  <c r="B23" i="147"/>
  <c r="C23" i="147"/>
  <c r="D23" i="147"/>
  <c r="E23" i="147"/>
  <c r="F23" i="147"/>
  <c r="G23" i="147"/>
  <c r="H23" i="147"/>
  <c r="I23" i="147"/>
  <c r="B24" i="147"/>
  <c r="C24" i="147"/>
  <c r="D24" i="147"/>
  <c r="E24" i="147"/>
  <c r="F24" i="147"/>
  <c r="G24" i="147"/>
  <c r="H24" i="147"/>
  <c r="I24" i="147"/>
  <c r="B25" i="147"/>
  <c r="C25" i="147"/>
  <c r="D25" i="147"/>
  <c r="E25" i="147"/>
  <c r="F25" i="147"/>
  <c r="G25" i="147"/>
  <c r="H25" i="147"/>
  <c r="I25" i="147"/>
  <c r="B26" i="147"/>
  <c r="C26" i="147"/>
  <c r="D26" i="147"/>
  <c r="E26" i="147"/>
  <c r="F26" i="147"/>
  <c r="G26" i="147"/>
  <c r="H26" i="147"/>
  <c r="I26" i="147"/>
  <c r="B27" i="147"/>
  <c r="C27" i="147"/>
  <c r="D27" i="147"/>
  <c r="E27" i="147"/>
  <c r="F27" i="147"/>
  <c r="G27" i="147"/>
  <c r="H27" i="147"/>
  <c r="I27" i="147"/>
  <c r="C42" i="146"/>
  <c r="C43" i="146"/>
  <c r="C44" i="146"/>
  <c r="C45" i="146"/>
  <c r="B16" i="146"/>
  <c r="C16" i="146"/>
  <c r="M16" i="146" s="1"/>
  <c r="D16" i="146"/>
  <c r="E16" i="146"/>
  <c r="R16" i="146" s="1"/>
  <c r="F16" i="146"/>
  <c r="G16" i="146"/>
  <c r="W16" i="146" s="1"/>
  <c r="W17" i="146" s="1"/>
  <c r="H16" i="146"/>
  <c r="I16" i="146"/>
  <c r="AA16" i="146" s="1"/>
  <c r="B17" i="146"/>
  <c r="C17" i="146"/>
  <c r="D17" i="146"/>
  <c r="E17" i="146"/>
  <c r="F17" i="146"/>
  <c r="G17" i="146"/>
  <c r="H17" i="146"/>
  <c r="I17" i="146"/>
  <c r="B18" i="146"/>
  <c r="C18" i="146"/>
  <c r="D18" i="146"/>
  <c r="E18" i="146"/>
  <c r="F18" i="146"/>
  <c r="G18" i="146"/>
  <c r="H18" i="146"/>
  <c r="I18" i="146"/>
  <c r="B19" i="146"/>
  <c r="C19" i="146"/>
  <c r="D19" i="146"/>
  <c r="E19" i="146"/>
  <c r="F19" i="146"/>
  <c r="G19" i="146"/>
  <c r="H19" i="146"/>
  <c r="I19" i="146"/>
  <c r="B20" i="146"/>
  <c r="C20" i="146"/>
  <c r="D20" i="146"/>
  <c r="E20" i="146"/>
  <c r="F20" i="146"/>
  <c r="G20" i="146"/>
  <c r="H20" i="146"/>
  <c r="I20" i="146"/>
  <c r="B21" i="146"/>
  <c r="C21" i="146"/>
  <c r="D21" i="146"/>
  <c r="E21" i="146"/>
  <c r="F21" i="146"/>
  <c r="G21" i="146"/>
  <c r="H21" i="146"/>
  <c r="I21" i="146"/>
  <c r="B22" i="146"/>
  <c r="C22" i="146"/>
  <c r="D22" i="146"/>
  <c r="E22" i="146"/>
  <c r="F22" i="146"/>
  <c r="G22" i="146"/>
  <c r="H22" i="146"/>
  <c r="I22" i="146"/>
  <c r="B23" i="146"/>
  <c r="C23" i="146"/>
  <c r="D23" i="146"/>
  <c r="E23" i="146"/>
  <c r="F23" i="146"/>
  <c r="G23" i="146"/>
  <c r="H23" i="146"/>
  <c r="I23" i="146"/>
  <c r="B24" i="146"/>
  <c r="C24" i="146"/>
  <c r="D24" i="146"/>
  <c r="E24" i="146"/>
  <c r="F24" i="146"/>
  <c r="G24" i="146"/>
  <c r="H24" i="146"/>
  <c r="I24" i="146"/>
  <c r="B25" i="146"/>
  <c r="C25" i="146"/>
  <c r="D25" i="146"/>
  <c r="E25" i="146"/>
  <c r="F25" i="146"/>
  <c r="G25" i="146"/>
  <c r="H25" i="146"/>
  <c r="I25" i="146"/>
  <c r="B26" i="146"/>
  <c r="C26" i="146"/>
  <c r="D26" i="146"/>
  <c r="E26" i="146"/>
  <c r="F26" i="146"/>
  <c r="G26" i="146"/>
  <c r="H26" i="146"/>
  <c r="I26" i="146"/>
  <c r="B27" i="146"/>
  <c r="C27" i="146"/>
  <c r="D27" i="146"/>
  <c r="E27" i="146"/>
  <c r="F27" i="146"/>
  <c r="G27" i="146"/>
  <c r="H27" i="146"/>
  <c r="I27" i="146"/>
  <c r="C42" i="145"/>
  <c r="C43" i="145"/>
  <c r="C44" i="145"/>
  <c r="C45" i="145"/>
  <c r="B16" i="145"/>
  <c r="C16" i="145"/>
  <c r="M16" i="145" s="1"/>
  <c r="M17" i="145" s="1"/>
  <c r="D16" i="145"/>
  <c r="E16" i="145"/>
  <c r="Q16" i="145" s="1"/>
  <c r="F16" i="145"/>
  <c r="G16" i="145"/>
  <c r="H16" i="145"/>
  <c r="I16" i="145"/>
  <c r="B17" i="145"/>
  <c r="C17" i="145"/>
  <c r="D17" i="145"/>
  <c r="E17" i="145"/>
  <c r="F17" i="145"/>
  <c r="G17" i="145"/>
  <c r="H17" i="145"/>
  <c r="I17" i="145"/>
  <c r="B18" i="145"/>
  <c r="C18" i="145"/>
  <c r="D18" i="145"/>
  <c r="E18" i="145"/>
  <c r="F18" i="145"/>
  <c r="G18" i="145"/>
  <c r="H18" i="145"/>
  <c r="I18" i="145"/>
  <c r="B19" i="145"/>
  <c r="C19" i="145"/>
  <c r="D19" i="145"/>
  <c r="E19" i="145"/>
  <c r="F19" i="145"/>
  <c r="G19" i="145"/>
  <c r="H19" i="145"/>
  <c r="I19" i="145"/>
  <c r="B20" i="145"/>
  <c r="C20" i="145"/>
  <c r="D20" i="145"/>
  <c r="E20" i="145"/>
  <c r="F20" i="145"/>
  <c r="G20" i="145"/>
  <c r="H20" i="145"/>
  <c r="I20" i="145"/>
  <c r="B21" i="145"/>
  <c r="C21" i="145"/>
  <c r="D21" i="145"/>
  <c r="E21" i="145"/>
  <c r="F21" i="145"/>
  <c r="G21" i="145"/>
  <c r="H21" i="145"/>
  <c r="I21" i="145"/>
  <c r="B22" i="145"/>
  <c r="C22" i="145"/>
  <c r="D22" i="145"/>
  <c r="E22" i="145"/>
  <c r="F22" i="145"/>
  <c r="G22" i="145"/>
  <c r="H22" i="145"/>
  <c r="I22" i="145"/>
  <c r="B23" i="145"/>
  <c r="C23" i="145"/>
  <c r="D23" i="145"/>
  <c r="E23" i="145"/>
  <c r="F23" i="145"/>
  <c r="G23" i="145"/>
  <c r="H23" i="145"/>
  <c r="I23" i="145"/>
  <c r="B24" i="145"/>
  <c r="C24" i="145"/>
  <c r="D24" i="145"/>
  <c r="E24" i="145"/>
  <c r="F24" i="145"/>
  <c r="G24" i="145"/>
  <c r="H24" i="145"/>
  <c r="I24" i="145"/>
  <c r="B25" i="145"/>
  <c r="C25" i="145"/>
  <c r="D25" i="145"/>
  <c r="E25" i="145"/>
  <c r="F25" i="145"/>
  <c r="G25" i="145"/>
  <c r="H25" i="145"/>
  <c r="I25" i="145"/>
  <c r="B26" i="145"/>
  <c r="C26" i="145"/>
  <c r="D26" i="145"/>
  <c r="E26" i="145"/>
  <c r="F26" i="145"/>
  <c r="G26" i="145"/>
  <c r="H26" i="145"/>
  <c r="I26" i="145"/>
  <c r="B27" i="145"/>
  <c r="C27" i="145"/>
  <c r="D27" i="145"/>
  <c r="E27" i="145"/>
  <c r="F27" i="145"/>
  <c r="G27" i="145"/>
  <c r="H27" i="145"/>
  <c r="I27" i="145"/>
  <c r="C42" i="144"/>
  <c r="C43" i="144"/>
  <c r="C44" i="144"/>
  <c r="C45" i="144"/>
  <c r="E45" i="144" s="1"/>
  <c r="B16" i="144"/>
  <c r="C16" i="144"/>
  <c r="M16" i="144" s="1"/>
  <c r="M17" i="144" s="1"/>
  <c r="D16" i="144"/>
  <c r="E16" i="144"/>
  <c r="R16" i="144" s="1"/>
  <c r="F16" i="144"/>
  <c r="G16" i="144"/>
  <c r="W16" i="144" s="1"/>
  <c r="H16" i="144"/>
  <c r="I16" i="144"/>
  <c r="AB16" i="144" s="1"/>
  <c r="B17" i="144"/>
  <c r="C17" i="144"/>
  <c r="D17" i="144"/>
  <c r="E17" i="144"/>
  <c r="F17" i="144"/>
  <c r="G17" i="144"/>
  <c r="H17" i="144"/>
  <c r="I17" i="144"/>
  <c r="B18" i="144"/>
  <c r="C18" i="144"/>
  <c r="D18" i="144"/>
  <c r="E18" i="144"/>
  <c r="F18" i="144"/>
  <c r="G18" i="144"/>
  <c r="H18" i="144"/>
  <c r="I18" i="144"/>
  <c r="B19" i="144"/>
  <c r="C19" i="144"/>
  <c r="D19" i="144"/>
  <c r="E19" i="144"/>
  <c r="F19" i="144"/>
  <c r="G19" i="144"/>
  <c r="H19" i="144"/>
  <c r="I19" i="144"/>
  <c r="B20" i="144"/>
  <c r="C20" i="144"/>
  <c r="D20" i="144"/>
  <c r="E20" i="144"/>
  <c r="F20" i="144"/>
  <c r="G20" i="144"/>
  <c r="H20" i="144"/>
  <c r="I20" i="144"/>
  <c r="B21" i="144"/>
  <c r="C21" i="144"/>
  <c r="D21" i="144"/>
  <c r="E21" i="144"/>
  <c r="F21" i="144"/>
  <c r="G21" i="144"/>
  <c r="H21" i="144"/>
  <c r="I21" i="144"/>
  <c r="B22" i="144"/>
  <c r="C22" i="144"/>
  <c r="D22" i="144"/>
  <c r="E22" i="144"/>
  <c r="F22" i="144"/>
  <c r="G22" i="144"/>
  <c r="H22" i="144"/>
  <c r="I22" i="144"/>
  <c r="B23" i="144"/>
  <c r="C23" i="144"/>
  <c r="D23" i="144"/>
  <c r="E23" i="144"/>
  <c r="F23" i="144"/>
  <c r="G23" i="144"/>
  <c r="H23" i="144"/>
  <c r="I23" i="144"/>
  <c r="B24" i="144"/>
  <c r="C24" i="144"/>
  <c r="D24" i="144"/>
  <c r="E24" i="144"/>
  <c r="F24" i="144"/>
  <c r="G24" i="144"/>
  <c r="H24" i="144"/>
  <c r="I24" i="144"/>
  <c r="B25" i="144"/>
  <c r="C25" i="144"/>
  <c r="D25" i="144"/>
  <c r="E25" i="144"/>
  <c r="F25" i="144"/>
  <c r="G25" i="144"/>
  <c r="H25" i="144"/>
  <c r="I25" i="144"/>
  <c r="B26" i="144"/>
  <c r="C26" i="144"/>
  <c r="D26" i="144"/>
  <c r="E26" i="144"/>
  <c r="F26" i="144"/>
  <c r="G26" i="144"/>
  <c r="H26" i="144"/>
  <c r="I26" i="144"/>
  <c r="B27" i="144"/>
  <c r="C27" i="144"/>
  <c r="D27" i="144"/>
  <c r="E27" i="144"/>
  <c r="F27" i="144"/>
  <c r="G27" i="144"/>
  <c r="H27" i="144"/>
  <c r="I27" i="144"/>
  <c r="C42" i="143"/>
  <c r="C43" i="143"/>
  <c r="C44" i="143"/>
  <c r="C45" i="143"/>
  <c r="B16" i="143"/>
  <c r="C16" i="143"/>
  <c r="D16" i="143"/>
  <c r="E16" i="143"/>
  <c r="F16" i="143"/>
  <c r="G16" i="143"/>
  <c r="H16" i="143"/>
  <c r="I16" i="143"/>
  <c r="B17" i="143"/>
  <c r="C17" i="143"/>
  <c r="D17" i="143"/>
  <c r="E17" i="143"/>
  <c r="F17" i="143"/>
  <c r="G17" i="143"/>
  <c r="H17" i="143"/>
  <c r="I17" i="143"/>
  <c r="B18" i="143"/>
  <c r="C18" i="143"/>
  <c r="D18" i="143"/>
  <c r="E18" i="143"/>
  <c r="F18" i="143"/>
  <c r="G18" i="143"/>
  <c r="H18" i="143"/>
  <c r="I18" i="143"/>
  <c r="B19" i="143"/>
  <c r="C19" i="143"/>
  <c r="D19" i="143"/>
  <c r="E19" i="143"/>
  <c r="F19" i="143"/>
  <c r="G19" i="143"/>
  <c r="H19" i="143"/>
  <c r="I19" i="143"/>
  <c r="B20" i="143"/>
  <c r="C20" i="143"/>
  <c r="D20" i="143"/>
  <c r="E20" i="143"/>
  <c r="F20" i="143"/>
  <c r="G20" i="143"/>
  <c r="H20" i="143"/>
  <c r="I20" i="143"/>
  <c r="B21" i="143"/>
  <c r="C21" i="143"/>
  <c r="D21" i="143"/>
  <c r="E21" i="143"/>
  <c r="F21" i="143"/>
  <c r="G21" i="143"/>
  <c r="H21" i="143"/>
  <c r="I21" i="143"/>
  <c r="B22" i="143"/>
  <c r="C22" i="143"/>
  <c r="D22" i="143"/>
  <c r="E22" i="143"/>
  <c r="F22" i="143"/>
  <c r="G22" i="143"/>
  <c r="H22" i="143"/>
  <c r="I22" i="143"/>
  <c r="B23" i="143"/>
  <c r="C23" i="143"/>
  <c r="D23" i="143"/>
  <c r="E23" i="143"/>
  <c r="F23" i="143"/>
  <c r="G23" i="143"/>
  <c r="H23" i="143"/>
  <c r="I23" i="143"/>
  <c r="B24" i="143"/>
  <c r="C24" i="143"/>
  <c r="D24" i="143"/>
  <c r="E24" i="143"/>
  <c r="F24" i="143"/>
  <c r="G24" i="143"/>
  <c r="H24" i="143"/>
  <c r="I24" i="143"/>
  <c r="B25" i="143"/>
  <c r="C25" i="143"/>
  <c r="D25" i="143"/>
  <c r="E25" i="143"/>
  <c r="F25" i="143"/>
  <c r="G25" i="143"/>
  <c r="H25" i="143"/>
  <c r="I25" i="143"/>
  <c r="B26" i="143"/>
  <c r="C26" i="143"/>
  <c r="D26" i="143"/>
  <c r="E26" i="143"/>
  <c r="F26" i="143"/>
  <c r="G26" i="143"/>
  <c r="H26" i="143"/>
  <c r="I26" i="143"/>
  <c r="B27" i="143"/>
  <c r="C27" i="143"/>
  <c r="D27" i="143"/>
  <c r="E27" i="143"/>
  <c r="F27" i="143"/>
  <c r="G27" i="143"/>
  <c r="H27" i="143"/>
  <c r="I27" i="143"/>
  <c r="C42" i="142"/>
  <c r="C43" i="142"/>
  <c r="C44" i="142"/>
  <c r="C45" i="142"/>
  <c r="B16" i="142"/>
  <c r="C16" i="142"/>
  <c r="L16" i="142" s="1"/>
  <c r="D16" i="142"/>
  <c r="E16" i="142"/>
  <c r="Q16" i="142" s="1"/>
  <c r="F16" i="142"/>
  <c r="G16" i="142"/>
  <c r="V16" i="142" s="1"/>
  <c r="X17" i="142" s="1"/>
  <c r="H16" i="142"/>
  <c r="I16" i="142"/>
  <c r="AA16" i="142" s="1"/>
  <c r="B17" i="142"/>
  <c r="C17" i="142"/>
  <c r="D17" i="142"/>
  <c r="E17" i="142"/>
  <c r="F17" i="142"/>
  <c r="G17" i="142"/>
  <c r="H17" i="142"/>
  <c r="I17" i="142"/>
  <c r="B18" i="142"/>
  <c r="C18" i="142"/>
  <c r="D18" i="142"/>
  <c r="E18" i="142"/>
  <c r="F18" i="142"/>
  <c r="G18" i="142"/>
  <c r="H18" i="142"/>
  <c r="I18" i="142"/>
  <c r="B19" i="142"/>
  <c r="C19" i="142"/>
  <c r="D19" i="142"/>
  <c r="E19" i="142"/>
  <c r="F19" i="142"/>
  <c r="G19" i="142"/>
  <c r="H19" i="142"/>
  <c r="I19" i="142"/>
  <c r="B20" i="142"/>
  <c r="C20" i="142"/>
  <c r="D20" i="142"/>
  <c r="E20" i="142"/>
  <c r="F20" i="142"/>
  <c r="G20" i="142"/>
  <c r="H20" i="142"/>
  <c r="I20" i="142"/>
  <c r="B21" i="142"/>
  <c r="C21" i="142"/>
  <c r="D21" i="142"/>
  <c r="E21" i="142"/>
  <c r="F21" i="142"/>
  <c r="G21" i="142"/>
  <c r="H21" i="142"/>
  <c r="I21" i="142"/>
  <c r="B22" i="142"/>
  <c r="C22" i="142"/>
  <c r="D22" i="142"/>
  <c r="E22" i="142"/>
  <c r="F22" i="142"/>
  <c r="G22" i="142"/>
  <c r="H22" i="142"/>
  <c r="I22" i="142"/>
  <c r="B23" i="142"/>
  <c r="C23" i="142"/>
  <c r="D23" i="142"/>
  <c r="E23" i="142"/>
  <c r="F23" i="142"/>
  <c r="G23" i="142"/>
  <c r="H23" i="142"/>
  <c r="I23" i="142"/>
  <c r="B24" i="142"/>
  <c r="C24" i="142"/>
  <c r="D24" i="142"/>
  <c r="E24" i="142"/>
  <c r="F24" i="142"/>
  <c r="G24" i="142"/>
  <c r="H24" i="142"/>
  <c r="I24" i="142"/>
  <c r="B25" i="142"/>
  <c r="C25" i="142"/>
  <c r="D25" i="142"/>
  <c r="E25" i="142"/>
  <c r="F25" i="142"/>
  <c r="G25" i="142"/>
  <c r="H25" i="142"/>
  <c r="I25" i="142"/>
  <c r="B26" i="142"/>
  <c r="C26" i="142"/>
  <c r="D26" i="142"/>
  <c r="E26" i="142"/>
  <c r="F26" i="142"/>
  <c r="G26" i="142"/>
  <c r="H26" i="142"/>
  <c r="I26" i="142"/>
  <c r="B27" i="142"/>
  <c r="C27" i="142"/>
  <c r="D27" i="142"/>
  <c r="E27" i="142"/>
  <c r="F27" i="142"/>
  <c r="G27" i="142"/>
  <c r="H27" i="142"/>
  <c r="I27" i="142"/>
  <c r="C42" i="141"/>
  <c r="C43" i="141"/>
  <c r="E44" i="141" s="1"/>
  <c r="C44" i="141"/>
  <c r="C45" i="141"/>
  <c r="B16" i="141"/>
  <c r="C16" i="141"/>
  <c r="D16" i="141"/>
  <c r="E16" i="141"/>
  <c r="Q16" i="141" s="1"/>
  <c r="F16" i="141"/>
  <c r="G16" i="141"/>
  <c r="H16" i="141"/>
  <c r="I16" i="141"/>
  <c r="B17" i="141"/>
  <c r="C17" i="141"/>
  <c r="D17" i="141"/>
  <c r="E17" i="141"/>
  <c r="F17" i="141"/>
  <c r="G17" i="141"/>
  <c r="H17" i="141"/>
  <c r="I17" i="141"/>
  <c r="B18" i="141"/>
  <c r="C18" i="141"/>
  <c r="D18" i="141"/>
  <c r="E18" i="141"/>
  <c r="F18" i="141"/>
  <c r="G18" i="141"/>
  <c r="H18" i="141"/>
  <c r="I18" i="141"/>
  <c r="B19" i="141"/>
  <c r="C19" i="141"/>
  <c r="D19" i="141"/>
  <c r="E19" i="141"/>
  <c r="F19" i="141"/>
  <c r="G19" i="141"/>
  <c r="H19" i="141"/>
  <c r="I19" i="141"/>
  <c r="B20" i="141"/>
  <c r="C20" i="141"/>
  <c r="D20" i="141"/>
  <c r="E20" i="141"/>
  <c r="F20" i="141"/>
  <c r="G20" i="141"/>
  <c r="H20" i="141"/>
  <c r="I20" i="141"/>
  <c r="B21" i="141"/>
  <c r="C21" i="141"/>
  <c r="D21" i="141"/>
  <c r="E21" i="141"/>
  <c r="F21" i="141"/>
  <c r="G21" i="141"/>
  <c r="H21" i="141"/>
  <c r="I21" i="141"/>
  <c r="B22" i="141"/>
  <c r="C22" i="141"/>
  <c r="D22" i="141"/>
  <c r="E22" i="141"/>
  <c r="F22" i="141"/>
  <c r="G22" i="141"/>
  <c r="H22" i="141"/>
  <c r="I22" i="141"/>
  <c r="B23" i="141"/>
  <c r="C23" i="141"/>
  <c r="D23" i="141"/>
  <c r="E23" i="141"/>
  <c r="F23" i="141"/>
  <c r="G23" i="141"/>
  <c r="H23" i="141"/>
  <c r="I23" i="141"/>
  <c r="B24" i="141"/>
  <c r="C24" i="141"/>
  <c r="D24" i="141"/>
  <c r="E24" i="141"/>
  <c r="F24" i="141"/>
  <c r="G24" i="141"/>
  <c r="H24" i="141"/>
  <c r="I24" i="141"/>
  <c r="B25" i="141"/>
  <c r="C25" i="141"/>
  <c r="D25" i="141"/>
  <c r="E25" i="141"/>
  <c r="F25" i="141"/>
  <c r="G25" i="141"/>
  <c r="H25" i="141"/>
  <c r="I25" i="141"/>
  <c r="B26" i="141"/>
  <c r="C26" i="141"/>
  <c r="D26" i="141"/>
  <c r="E26" i="141"/>
  <c r="F26" i="141"/>
  <c r="G26" i="141"/>
  <c r="H26" i="141"/>
  <c r="I26" i="141"/>
  <c r="B27" i="141"/>
  <c r="C27" i="141"/>
  <c r="D27" i="141"/>
  <c r="E27" i="141"/>
  <c r="F27" i="141"/>
  <c r="G27" i="141"/>
  <c r="H27" i="141"/>
  <c r="I27" i="141"/>
  <c r="C42" i="140"/>
  <c r="C43" i="140"/>
  <c r="C44" i="140"/>
  <c r="C45" i="140"/>
  <c r="E45" i="140" s="1"/>
  <c r="B16" i="140"/>
  <c r="C16" i="140"/>
  <c r="M16" i="140" s="1"/>
  <c r="M17" i="140" s="1"/>
  <c r="D16" i="140"/>
  <c r="E16" i="140"/>
  <c r="R16" i="140" s="1"/>
  <c r="F16" i="140"/>
  <c r="G16" i="140"/>
  <c r="W16" i="140" s="1"/>
  <c r="H16" i="140"/>
  <c r="I16" i="140"/>
  <c r="AB16" i="140" s="1"/>
  <c r="B17" i="140"/>
  <c r="C17" i="140"/>
  <c r="D17" i="140"/>
  <c r="E17" i="140"/>
  <c r="F17" i="140"/>
  <c r="G17" i="140"/>
  <c r="H17" i="140"/>
  <c r="I17" i="140"/>
  <c r="B18" i="140"/>
  <c r="C18" i="140"/>
  <c r="D18" i="140"/>
  <c r="E18" i="140"/>
  <c r="F18" i="140"/>
  <c r="G18" i="140"/>
  <c r="H18" i="140"/>
  <c r="I18" i="140"/>
  <c r="B19" i="140"/>
  <c r="C19" i="140"/>
  <c r="D19" i="140"/>
  <c r="E19" i="140"/>
  <c r="F19" i="140"/>
  <c r="G19" i="140"/>
  <c r="H19" i="140"/>
  <c r="I19" i="140"/>
  <c r="B20" i="140"/>
  <c r="C20" i="140"/>
  <c r="D20" i="140"/>
  <c r="E20" i="140"/>
  <c r="F20" i="140"/>
  <c r="G20" i="140"/>
  <c r="H20" i="140"/>
  <c r="I20" i="140"/>
  <c r="B21" i="140"/>
  <c r="C21" i="140"/>
  <c r="D21" i="140"/>
  <c r="E21" i="140"/>
  <c r="F21" i="140"/>
  <c r="G21" i="140"/>
  <c r="H21" i="140"/>
  <c r="I21" i="140"/>
  <c r="B22" i="140"/>
  <c r="C22" i="140"/>
  <c r="D22" i="140"/>
  <c r="E22" i="140"/>
  <c r="F22" i="140"/>
  <c r="G22" i="140"/>
  <c r="H22" i="140"/>
  <c r="I22" i="140"/>
  <c r="B23" i="140"/>
  <c r="C23" i="140"/>
  <c r="D23" i="140"/>
  <c r="E23" i="140"/>
  <c r="F23" i="140"/>
  <c r="G23" i="140"/>
  <c r="H23" i="140"/>
  <c r="I23" i="140"/>
  <c r="B24" i="140"/>
  <c r="C24" i="140"/>
  <c r="D24" i="140"/>
  <c r="E24" i="140"/>
  <c r="F24" i="140"/>
  <c r="G24" i="140"/>
  <c r="H24" i="140"/>
  <c r="I24" i="140"/>
  <c r="B25" i="140"/>
  <c r="C25" i="140"/>
  <c r="D25" i="140"/>
  <c r="E25" i="140"/>
  <c r="F25" i="140"/>
  <c r="G25" i="140"/>
  <c r="H25" i="140"/>
  <c r="I25" i="140"/>
  <c r="B26" i="140"/>
  <c r="C26" i="140"/>
  <c r="D26" i="140"/>
  <c r="E26" i="140"/>
  <c r="F26" i="140"/>
  <c r="G26" i="140"/>
  <c r="H26" i="140"/>
  <c r="I26" i="140"/>
  <c r="B27" i="140"/>
  <c r="C27" i="140"/>
  <c r="D27" i="140"/>
  <c r="E27" i="140"/>
  <c r="F27" i="140"/>
  <c r="G27" i="140"/>
  <c r="H27" i="140"/>
  <c r="I27" i="140"/>
  <c r="C42" i="139"/>
  <c r="C43" i="139"/>
  <c r="C44" i="139"/>
  <c r="C45" i="139"/>
  <c r="B16" i="139"/>
  <c r="C16" i="139"/>
  <c r="D16" i="139"/>
  <c r="E16" i="139"/>
  <c r="F16" i="139"/>
  <c r="G16" i="139"/>
  <c r="H16" i="139"/>
  <c r="I16" i="139"/>
  <c r="B17" i="139"/>
  <c r="C17" i="139"/>
  <c r="D17" i="139"/>
  <c r="E17" i="139"/>
  <c r="F17" i="139"/>
  <c r="G17" i="139"/>
  <c r="H17" i="139"/>
  <c r="I17" i="139"/>
  <c r="B18" i="139"/>
  <c r="C18" i="139"/>
  <c r="D18" i="139"/>
  <c r="E18" i="139"/>
  <c r="F18" i="139"/>
  <c r="G18" i="139"/>
  <c r="H18" i="139"/>
  <c r="I18" i="139"/>
  <c r="B19" i="139"/>
  <c r="C19" i="139"/>
  <c r="D19" i="139"/>
  <c r="E19" i="139"/>
  <c r="F19" i="139"/>
  <c r="G19" i="139"/>
  <c r="H19" i="139"/>
  <c r="I19" i="139"/>
  <c r="B20" i="139"/>
  <c r="C20" i="139"/>
  <c r="D20" i="139"/>
  <c r="E20" i="139"/>
  <c r="F20" i="139"/>
  <c r="G20" i="139"/>
  <c r="H20" i="139"/>
  <c r="I20" i="139"/>
  <c r="B21" i="139"/>
  <c r="C21" i="139"/>
  <c r="D21" i="139"/>
  <c r="E21" i="139"/>
  <c r="F21" i="139"/>
  <c r="G21" i="139"/>
  <c r="H21" i="139"/>
  <c r="I21" i="139"/>
  <c r="B22" i="139"/>
  <c r="C22" i="139"/>
  <c r="D22" i="139"/>
  <c r="E22" i="139"/>
  <c r="F22" i="139"/>
  <c r="G22" i="139"/>
  <c r="H22" i="139"/>
  <c r="I22" i="139"/>
  <c r="B23" i="139"/>
  <c r="C23" i="139"/>
  <c r="D23" i="139"/>
  <c r="E23" i="139"/>
  <c r="F23" i="139"/>
  <c r="G23" i="139"/>
  <c r="H23" i="139"/>
  <c r="I23" i="139"/>
  <c r="B24" i="139"/>
  <c r="C24" i="139"/>
  <c r="D24" i="139"/>
  <c r="E24" i="139"/>
  <c r="F24" i="139"/>
  <c r="G24" i="139"/>
  <c r="H24" i="139"/>
  <c r="I24" i="139"/>
  <c r="B25" i="139"/>
  <c r="C25" i="139"/>
  <c r="D25" i="139"/>
  <c r="E25" i="139"/>
  <c r="F25" i="139"/>
  <c r="G25" i="139"/>
  <c r="H25" i="139"/>
  <c r="I25" i="139"/>
  <c r="B26" i="139"/>
  <c r="C26" i="139"/>
  <c r="D26" i="139"/>
  <c r="E26" i="139"/>
  <c r="F26" i="139"/>
  <c r="G26" i="139"/>
  <c r="H26" i="139"/>
  <c r="I26" i="139"/>
  <c r="B27" i="139"/>
  <c r="C27" i="139"/>
  <c r="D27" i="139"/>
  <c r="E27" i="139"/>
  <c r="F27" i="139"/>
  <c r="G27" i="139"/>
  <c r="H27" i="139"/>
  <c r="I27" i="139"/>
  <c r="C42" i="138"/>
  <c r="C43" i="138"/>
  <c r="C44" i="138"/>
  <c r="C45" i="138"/>
  <c r="B16" i="138"/>
  <c r="C16" i="138"/>
  <c r="M16" i="138" s="1"/>
  <c r="D16" i="138"/>
  <c r="E16" i="138"/>
  <c r="F16" i="138"/>
  <c r="G16" i="138"/>
  <c r="H16" i="138"/>
  <c r="I16" i="138"/>
  <c r="AB16" i="138" s="1"/>
  <c r="B17" i="138"/>
  <c r="C17" i="138"/>
  <c r="D17" i="138"/>
  <c r="E17" i="138"/>
  <c r="F17" i="138"/>
  <c r="G17" i="138"/>
  <c r="H17" i="138"/>
  <c r="I17" i="138"/>
  <c r="B18" i="138"/>
  <c r="C18" i="138"/>
  <c r="D18" i="138"/>
  <c r="E18" i="138"/>
  <c r="F18" i="138"/>
  <c r="G18" i="138"/>
  <c r="H18" i="138"/>
  <c r="I18" i="138"/>
  <c r="B19" i="138"/>
  <c r="C19" i="138"/>
  <c r="D19" i="138"/>
  <c r="E19" i="138"/>
  <c r="F19" i="138"/>
  <c r="G19" i="138"/>
  <c r="H19" i="138"/>
  <c r="I19" i="138"/>
  <c r="B20" i="138"/>
  <c r="C20" i="138"/>
  <c r="D20" i="138"/>
  <c r="E20" i="138"/>
  <c r="F20" i="138"/>
  <c r="G20" i="138"/>
  <c r="H20" i="138"/>
  <c r="I20" i="138"/>
  <c r="B21" i="138"/>
  <c r="C21" i="138"/>
  <c r="D21" i="138"/>
  <c r="E21" i="138"/>
  <c r="F21" i="138"/>
  <c r="G21" i="138"/>
  <c r="H21" i="138"/>
  <c r="I21" i="138"/>
  <c r="B22" i="138"/>
  <c r="C22" i="138"/>
  <c r="D22" i="138"/>
  <c r="E22" i="138"/>
  <c r="F22" i="138"/>
  <c r="G22" i="138"/>
  <c r="H22" i="138"/>
  <c r="I22" i="138"/>
  <c r="B23" i="138"/>
  <c r="C23" i="138"/>
  <c r="D23" i="138"/>
  <c r="E23" i="138"/>
  <c r="F23" i="138"/>
  <c r="G23" i="138"/>
  <c r="H23" i="138"/>
  <c r="I23" i="138"/>
  <c r="B24" i="138"/>
  <c r="C24" i="138"/>
  <c r="D24" i="138"/>
  <c r="E24" i="138"/>
  <c r="F24" i="138"/>
  <c r="G24" i="138"/>
  <c r="H24" i="138"/>
  <c r="I24" i="138"/>
  <c r="B25" i="138"/>
  <c r="C25" i="138"/>
  <c r="D25" i="138"/>
  <c r="E25" i="138"/>
  <c r="F25" i="138"/>
  <c r="G25" i="138"/>
  <c r="H25" i="138"/>
  <c r="I25" i="138"/>
  <c r="B26" i="138"/>
  <c r="C26" i="138"/>
  <c r="D26" i="138"/>
  <c r="E26" i="138"/>
  <c r="F26" i="138"/>
  <c r="G26" i="138"/>
  <c r="H26" i="138"/>
  <c r="I26" i="138"/>
  <c r="B27" i="138"/>
  <c r="C27" i="138"/>
  <c r="D27" i="138"/>
  <c r="E27" i="138"/>
  <c r="F27" i="138"/>
  <c r="G27" i="138"/>
  <c r="H27" i="138"/>
  <c r="I27" i="138"/>
  <c r="C42" i="137"/>
  <c r="C43" i="137"/>
  <c r="C44" i="137"/>
  <c r="C45" i="137"/>
  <c r="B16" i="137"/>
  <c r="C16" i="137"/>
  <c r="M16" i="137" s="1"/>
  <c r="M17" i="137" s="1"/>
  <c r="D16" i="137"/>
  <c r="E16" i="137"/>
  <c r="R16" i="137" s="1"/>
  <c r="F16" i="137"/>
  <c r="G16" i="137"/>
  <c r="W16" i="137" s="1"/>
  <c r="W17" i="137" s="1"/>
  <c r="H16" i="137"/>
  <c r="I16" i="137"/>
  <c r="AB16" i="137" s="1"/>
  <c r="B17" i="137"/>
  <c r="C17" i="137"/>
  <c r="D17" i="137"/>
  <c r="E17" i="137"/>
  <c r="F17" i="137"/>
  <c r="G17" i="137"/>
  <c r="H17" i="137"/>
  <c r="I17" i="137"/>
  <c r="B18" i="137"/>
  <c r="C18" i="137"/>
  <c r="D18" i="137"/>
  <c r="E18" i="137"/>
  <c r="F18" i="137"/>
  <c r="G18" i="137"/>
  <c r="H18" i="137"/>
  <c r="I18" i="137"/>
  <c r="B19" i="137"/>
  <c r="C19" i="137"/>
  <c r="D19" i="137"/>
  <c r="E19" i="137"/>
  <c r="F19" i="137"/>
  <c r="G19" i="137"/>
  <c r="H19" i="137"/>
  <c r="I19" i="137"/>
  <c r="B20" i="137"/>
  <c r="C20" i="137"/>
  <c r="D20" i="137"/>
  <c r="E20" i="137"/>
  <c r="F20" i="137"/>
  <c r="G20" i="137"/>
  <c r="H20" i="137"/>
  <c r="I20" i="137"/>
  <c r="B21" i="137"/>
  <c r="C21" i="137"/>
  <c r="D21" i="137"/>
  <c r="E21" i="137"/>
  <c r="F21" i="137"/>
  <c r="G21" i="137"/>
  <c r="H21" i="137"/>
  <c r="I21" i="137"/>
  <c r="B22" i="137"/>
  <c r="C22" i="137"/>
  <c r="D22" i="137"/>
  <c r="E22" i="137"/>
  <c r="F22" i="137"/>
  <c r="G22" i="137"/>
  <c r="H22" i="137"/>
  <c r="I22" i="137"/>
  <c r="B23" i="137"/>
  <c r="C23" i="137"/>
  <c r="D23" i="137"/>
  <c r="E23" i="137"/>
  <c r="F23" i="137"/>
  <c r="G23" i="137"/>
  <c r="H23" i="137"/>
  <c r="I23" i="137"/>
  <c r="B24" i="137"/>
  <c r="C24" i="137"/>
  <c r="D24" i="137"/>
  <c r="E24" i="137"/>
  <c r="F24" i="137"/>
  <c r="G24" i="137"/>
  <c r="H24" i="137"/>
  <c r="I24" i="137"/>
  <c r="B25" i="137"/>
  <c r="C25" i="137"/>
  <c r="D25" i="137"/>
  <c r="E25" i="137"/>
  <c r="F25" i="137"/>
  <c r="G25" i="137"/>
  <c r="H25" i="137"/>
  <c r="I25" i="137"/>
  <c r="B26" i="137"/>
  <c r="C26" i="137"/>
  <c r="D26" i="137"/>
  <c r="E26" i="137"/>
  <c r="F26" i="137"/>
  <c r="G26" i="137"/>
  <c r="H26" i="137"/>
  <c r="I26" i="137"/>
  <c r="B27" i="137"/>
  <c r="C27" i="137"/>
  <c r="D27" i="137"/>
  <c r="E27" i="137"/>
  <c r="F27" i="137"/>
  <c r="G27" i="137"/>
  <c r="H27" i="137"/>
  <c r="I27" i="137"/>
  <c r="C42" i="136"/>
  <c r="C43" i="136"/>
  <c r="C44" i="136"/>
  <c r="C45" i="136"/>
  <c r="E45" i="136" s="1"/>
  <c r="B16" i="136"/>
  <c r="C16" i="136"/>
  <c r="M16" i="136" s="1"/>
  <c r="M17" i="136" s="1"/>
  <c r="D16" i="136"/>
  <c r="E16" i="136"/>
  <c r="R16" i="136" s="1"/>
  <c r="F16" i="136"/>
  <c r="G16" i="136"/>
  <c r="W16" i="136" s="1"/>
  <c r="H16" i="136"/>
  <c r="I16" i="136"/>
  <c r="B17" i="136"/>
  <c r="C17" i="136"/>
  <c r="D17" i="136"/>
  <c r="E17" i="136"/>
  <c r="F17" i="136"/>
  <c r="G17" i="136"/>
  <c r="H17" i="136"/>
  <c r="I17" i="136"/>
  <c r="B18" i="136"/>
  <c r="C18" i="136"/>
  <c r="D18" i="136"/>
  <c r="E18" i="136"/>
  <c r="F18" i="136"/>
  <c r="G18" i="136"/>
  <c r="H18" i="136"/>
  <c r="I18" i="136"/>
  <c r="B19" i="136"/>
  <c r="C19" i="136"/>
  <c r="D19" i="136"/>
  <c r="E19" i="136"/>
  <c r="F19" i="136"/>
  <c r="G19" i="136"/>
  <c r="H19" i="136"/>
  <c r="I19" i="136"/>
  <c r="B20" i="136"/>
  <c r="C20" i="136"/>
  <c r="D20" i="136"/>
  <c r="E20" i="136"/>
  <c r="F20" i="136"/>
  <c r="G20" i="136"/>
  <c r="H20" i="136"/>
  <c r="I20" i="136"/>
  <c r="B21" i="136"/>
  <c r="C21" i="136"/>
  <c r="D21" i="136"/>
  <c r="E21" i="136"/>
  <c r="F21" i="136"/>
  <c r="G21" i="136"/>
  <c r="H21" i="136"/>
  <c r="I21" i="136"/>
  <c r="B22" i="136"/>
  <c r="C22" i="136"/>
  <c r="D22" i="136"/>
  <c r="E22" i="136"/>
  <c r="F22" i="136"/>
  <c r="G22" i="136"/>
  <c r="H22" i="136"/>
  <c r="I22" i="136"/>
  <c r="B23" i="136"/>
  <c r="C23" i="136"/>
  <c r="D23" i="136"/>
  <c r="E23" i="136"/>
  <c r="F23" i="136"/>
  <c r="G23" i="136"/>
  <c r="H23" i="136"/>
  <c r="I23" i="136"/>
  <c r="B24" i="136"/>
  <c r="C24" i="136"/>
  <c r="D24" i="136"/>
  <c r="E24" i="136"/>
  <c r="F24" i="136"/>
  <c r="G24" i="136"/>
  <c r="H24" i="136"/>
  <c r="I24" i="136"/>
  <c r="B25" i="136"/>
  <c r="C25" i="136"/>
  <c r="D25" i="136"/>
  <c r="E25" i="136"/>
  <c r="F25" i="136"/>
  <c r="G25" i="136"/>
  <c r="H25" i="136"/>
  <c r="I25" i="136"/>
  <c r="B26" i="136"/>
  <c r="C26" i="136"/>
  <c r="D26" i="136"/>
  <c r="E26" i="136"/>
  <c r="F26" i="136"/>
  <c r="G26" i="136"/>
  <c r="H26" i="136"/>
  <c r="I26" i="136"/>
  <c r="B27" i="136"/>
  <c r="C27" i="136"/>
  <c r="D27" i="136"/>
  <c r="E27" i="136"/>
  <c r="F27" i="136"/>
  <c r="G27" i="136"/>
  <c r="H27" i="136"/>
  <c r="I27" i="136"/>
  <c r="C42" i="135"/>
  <c r="C43" i="135"/>
  <c r="C44" i="135"/>
  <c r="C45" i="135"/>
  <c r="B16" i="135"/>
  <c r="C16" i="135"/>
  <c r="M16" i="135" s="1"/>
  <c r="D16" i="135"/>
  <c r="E16" i="135"/>
  <c r="R16" i="135" s="1"/>
  <c r="F16" i="135"/>
  <c r="G16" i="135"/>
  <c r="H16" i="135"/>
  <c r="I16" i="135"/>
  <c r="B17" i="135"/>
  <c r="C17" i="135"/>
  <c r="D17" i="135"/>
  <c r="E17" i="135"/>
  <c r="F17" i="135"/>
  <c r="G17" i="135"/>
  <c r="H17" i="135"/>
  <c r="I17" i="135"/>
  <c r="B18" i="135"/>
  <c r="C18" i="135"/>
  <c r="D18" i="135"/>
  <c r="E18" i="135"/>
  <c r="F18" i="135"/>
  <c r="G18" i="135"/>
  <c r="H18" i="135"/>
  <c r="I18" i="135"/>
  <c r="B19" i="135"/>
  <c r="C19" i="135"/>
  <c r="D19" i="135"/>
  <c r="E19" i="135"/>
  <c r="F19" i="135"/>
  <c r="G19" i="135"/>
  <c r="H19" i="135"/>
  <c r="I19" i="135"/>
  <c r="B20" i="135"/>
  <c r="C20" i="135"/>
  <c r="D20" i="135"/>
  <c r="E20" i="135"/>
  <c r="F20" i="135"/>
  <c r="G20" i="135"/>
  <c r="H20" i="135"/>
  <c r="I20" i="135"/>
  <c r="B21" i="135"/>
  <c r="C21" i="135"/>
  <c r="D21" i="135"/>
  <c r="E21" i="135"/>
  <c r="F21" i="135"/>
  <c r="G21" i="135"/>
  <c r="H21" i="135"/>
  <c r="I21" i="135"/>
  <c r="B22" i="135"/>
  <c r="C22" i="135"/>
  <c r="D22" i="135"/>
  <c r="E22" i="135"/>
  <c r="F22" i="135"/>
  <c r="G22" i="135"/>
  <c r="H22" i="135"/>
  <c r="I22" i="135"/>
  <c r="B23" i="135"/>
  <c r="C23" i="135"/>
  <c r="D23" i="135"/>
  <c r="E23" i="135"/>
  <c r="F23" i="135"/>
  <c r="G23" i="135"/>
  <c r="H23" i="135"/>
  <c r="I23" i="135"/>
  <c r="B24" i="135"/>
  <c r="C24" i="135"/>
  <c r="D24" i="135"/>
  <c r="E24" i="135"/>
  <c r="F24" i="135"/>
  <c r="G24" i="135"/>
  <c r="H24" i="135"/>
  <c r="I24" i="135"/>
  <c r="B25" i="135"/>
  <c r="C25" i="135"/>
  <c r="D25" i="135"/>
  <c r="E25" i="135"/>
  <c r="F25" i="135"/>
  <c r="G25" i="135"/>
  <c r="H25" i="135"/>
  <c r="I25" i="135"/>
  <c r="B26" i="135"/>
  <c r="C26" i="135"/>
  <c r="D26" i="135"/>
  <c r="E26" i="135"/>
  <c r="F26" i="135"/>
  <c r="G26" i="135"/>
  <c r="H26" i="135"/>
  <c r="I26" i="135"/>
  <c r="B27" i="135"/>
  <c r="C27" i="135"/>
  <c r="D27" i="135"/>
  <c r="E27" i="135"/>
  <c r="F27" i="135"/>
  <c r="G27" i="135"/>
  <c r="H27" i="135"/>
  <c r="I27" i="135"/>
  <c r="C42" i="134"/>
  <c r="C43" i="134"/>
  <c r="C44" i="134"/>
  <c r="C45" i="134"/>
  <c r="B16" i="134"/>
  <c r="C16" i="134"/>
  <c r="D16" i="134"/>
  <c r="E16" i="134"/>
  <c r="F16" i="134"/>
  <c r="G16" i="134"/>
  <c r="H16" i="134"/>
  <c r="I16" i="134"/>
  <c r="AB16" i="134" s="1"/>
  <c r="B17" i="134"/>
  <c r="C17" i="134"/>
  <c r="D17" i="134"/>
  <c r="E17" i="134"/>
  <c r="F17" i="134"/>
  <c r="G17" i="134"/>
  <c r="H17" i="134"/>
  <c r="I17" i="134"/>
  <c r="B18" i="134"/>
  <c r="C18" i="134"/>
  <c r="D18" i="134"/>
  <c r="E18" i="134"/>
  <c r="F18" i="134"/>
  <c r="G18" i="134"/>
  <c r="H18" i="134"/>
  <c r="I18" i="134"/>
  <c r="B19" i="134"/>
  <c r="C19" i="134"/>
  <c r="D19" i="134"/>
  <c r="E19" i="134"/>
  <c r="F19" i="134"/>
  <c r="G19" i="134"/>
  <c r="H19" i="134"/>
  <c r="I19" i="134"/>
  <c r="B20" i="134"/>
  <c r="C20" i="134"/>
  <c r="D20" i="134"/>
  <c r="E20" i="134"/>
  <c r="F20" i="134"/>
  <c r="G20" i="134"/>
  <c r="H20" i="134"/>
  <c r="I20" i="134"/>
  <c r="B21" i="134"/>
  <c r="C21" i="134"/>
  <c r="D21" i="134"/>
  <c r="E21" i="134"/>
  <c r="F21" i="134"/>
  <c r="G21" i="134"/>
  <c r="H21" i="134"/>
  <c r="I21" i="134"/>
  <c r="B22" i="134"/>
  <c r="C22" i="134"/>
  <c r="D22" i="134"/>
  <c r="E22" i="134"/>
  <c r="F22" i="134"/>
  <c r="G22" i="134"/>
  <c r="H22" i="134"/>
  <c r="I22" i="134"/>
  <c r="B23" i="134"/>
  <c r="C23" i="134"/>
  <c r="D23" i="134"/>
  <c r="E23" i="134"/>
  <c r="F23" i="134"/>
  <c r="G23" i="134"/>
  <c r="H23" i="134"/>
  <c r="I23" i="134"/>
  <c r="B24" i="134"/>
  <c r="C24" i="134"/>
  <c r="D24" i="134"/>
  <c r="E24" i="134"/>
  <c r="F24" i="134"/>
  <c r="G24" i="134"/>
  <c r="H24" i="134"/>
  <c r="I24" i="134"/>
  <c r="B25" i="134"/>
  <c r="C25" i="134"/>
  <c r="D25" i="134"/>
  <c r="E25" i="134"/>
  <c r="F25" i="134"/>
  <c r="G25" i="134"/>
  <c r="H25" i="134"/>
  <c r="I25" i="134"/>
  <c r="B26" i="134"/>
  <c r="C26" i="134"/>
  <c r="D26" i="134"/>
  <c r="E26" i="134"/>
  <c r="F26" i="134"/>
  <c r="G26" i="134"/>
  <c r="H26" i="134"/>
  <c r="I26" i="134"/>
  <c r="B27" i="134"/>
  <c r="C27" i="134"/>
  <c r="D27" i="134"/>
  <c r="E27" i="134"/>
  <c r="F27" i="134"/>
  <c r="G27" i="134"/>
  <c r="H27" i="134"/>
  <c r="I27" i="134"/>
  <c r="C42" i="133"/>
  <c r="C43" i="133"/>
  <c r="C44" i="133"/>
  <c r="C45" i="133"/>
  <c r="B16" i="133"/>
  <c r="C16" i="133"/>
  <c r="M16" i="133" s="1"/>
  <c r="M17" i="133" s="1"/>
  <c r="D16" i="133"/>
  <c r="E16" i="133"/>
  <c r="R16" i="133" s="1"/>
  <c r="F16" i="133"/>
  <c r="G16" i="133"/>
  <c r="W16" i="133" s="1"/>
  <c r="H16" i="133"/>
  <c r="I16" i="133"/>
  <c r="AB16" i="133" s="1"/>
  <c r="B17" i="133"/>
  <c r="C17" i="133"/>
  <c r="D17" i="133"/>
  <c r="E17" i="133"/>
  <c r="F17" i="133"/>
  <c r="G17" i="133"/>
  <c r="H17" i="133"/>
  <c r="I17" i="133"/>
  <c r="B18" i="133"/>
  <c r="C18" i="133"/>
  <c r="D18" i="133"/>
  <c r="E18" i="133"/>
  <c r="F18" i="133"/>
  <c r="G18" i="133"/>
  <c r="H18" i="133"/>
  <c r="I18" i="133"/>
  <c r="B19" i="133"/>
  <c r="C19" i="133"/>
  <c r="D19" i="133"/>
  <c r="E19" i="133"/>
  <c r="F19" i="133"/>
  <c r="G19" i="133"/>
  <c r="H19" i="133"/>
  <c r="I19" i="133"/>
  <c r="B20" i="133"/>
  <c r="C20" i="133"/>
  <c r="D20" i="133"/>
  <c r="E20" i="133"/>
  <c r="F20" i="133"/>
  <c r="G20" i="133"/>
  <c r="H20" i="133"/>
  <c r="I20" i="133"/>
  <c r="B21" i="133"/>
  <c r="C21" i="133"/>
  <c r="D21" i="133"/>
  <c r="E21" i="133"/>
  <c r="F21" i="133"/>
  <c r="G21" i="133"/>
  <c r="H21" i="133"/>
  <c r="I21" i="133"/>
  <c r="B22" i="133"/>
  <c r="C22" i="133"/>
  <c r="D22" i="133"/>
  <c r="E22" i="133"/>
  <c r="F22" i="133"/>
  <c r="G22" i="133"/>
  <c r="H22" i="133"/>
  <c r="I22" i="133"/>
  <c r="B23" i="133"/>
  <c r="C23" i="133"/>
  <c r="D23" i="133"/>
  <c r="E23" i="133"/>
  <c r="F23" i="133"/>
  <c r="G23" i="133"/>
  <c r="H23" i="133"/>
  <c r="I23" i="133"/>
  <c r="B24" i="133"/>
  <c r="C24" i="133"/>
  <c r="D24" i="133"/>
  <c r="E24" i="133"/>
  <c r="F24" i="133"/>
  <c r="G24" i="133"/>
  <c r="H24" i="133"/>
  <c r="I24" i="133"/>
  <c r="B25" i="133"/>
  <c r="C25" i="133"/>
  <c r="D25" i="133"/>
  <c r="E25" i="133"/>
  <c r="F25" i="133"/>
  <c r="G25" i="133"/>
  <c r="H25" i="133"/>
  <c r="I25" i="133"/>
  <c r="B26" i="133"/>
  <c r="C26" i="133"/>
  <c r="D26" i="133"/>
  <c r="E26" i="133"/>
  <c r="F26" i="133"/>
  <c r="G26" i="133"/>
  <c r="H26" i="133"/>
  <c r="I26" i="133"/>
  <c r="B27" i="133"/>
  <c r="C27" i="133"/>
  <c r="D27" i="133"/>
  <c r="E27" i="133"/>
  <c r="F27" i="133"/>
  <c r="G27" i="133"/>
  <c r="H27" i="133"/>
  <c r="I27" i="133"/>
  <c r="C42" i="132"/>
  <c r="C43" i="132"/>
  <c r="C44" i="132"/>
  <c r="C45" i="132"/>
  <c r="E45" i="132" s="1"/>
  <c r="B16" i="132"/>
  <c r="C16" i="132"/>
  <c r="M16" i="132" s="1"/>
  <c r="M17" i="132" s="1"/>
  <c r="D16" i="132"/>
  <c r="E16" i="132"/>
  <c r="R16" i="132" s="1"/>
  <c r="F16" i="132"/>
  <c r="G16" i="132"/>
  <c r="H16" i="132"/>
  <c r="I16" i="132"/>
  <c r="B17" i="132"/>
  <c r="C17" i="132"/>
  <c r="D17" i="132"/>
  <c r="E17" i="132"/>
  <c r="F17" i="132"/>
  <c r="G17" i="132"/>
  <c r="H17" i="132"/>
  <c r="I17" i="132"/>
  <c r="B18" i="132"/>
  <c r="C18" i="132"/>
  <c r="D18" i="132"/>
  <c r="E18" i="132"/>
  <c r="F18" i="132"/>
  <c r="G18" i="132"/>
  <c r="H18" i="132"/>
  <c r="I18" i="132"/>
  <c r="B19" i="132"/>
  <c r="C19" i="132"/>
  <c r="D19" i="132"/>
  <c r="E19" i="132"/>
  <c r="F19" i="132"/>
  <c r="G19" i="132"/>
  <c r="H19" i="132"/>
  <c r="I19" i="132"/>
  <c r="B20" i="132"/>
  <c r="C20" i="132"/>
  <c r="D20" i="132"/>
  <c r="E20" i="132"/>
  <c r="F20" i="132"/>
  <c r="G20" i="132"/>
  <c r="H20" i="132"/>
  <c r="I20" i="132"/>
  <c r="B21" i="132"/>
  <c r="C21" i="132"/>
  <c r="D21" i="132"/>
  <c r="E21" i="132"/>
  <c r="F21" i="132"/>
  <c r="G21" i="132"/>
  <c r="H21" i="132"/>
  <c r="I21" i="132"/>
  <c r="B22" i="132"/>
  <c r="C22" i="132"/>
  <c r="D22" i="132"/>
  <c r="E22" i="132"/>
  <c r="F22" i="132"/>
  <c r="G22" i="132"/>
  <c r="H22" i="132"/>
  <c r="I22" i="132"/>
  <c r="B23" i="132"/>
  <c r="C23" i="132"/>
  <c r="D23" i="132"/>
  <c r="E23" i="132"/>
  <c r="F23" i="132"/>
  <c r="G23" i="132"/>
  <c r="H23" i="132"/>
  <c r="I23" i="132"/>
  <c r="B24" i="132"/>
  <c r="C24" i="132"/>
  <c r="D24" i="132"/>
  <c r="E24" i="132"/>
  <c r="F24" i="132"/>
  <c r="G24" i="132"/>
  <c r="H24" i="132"/>
  <c r="I24" i="132"/>
  <c r="B25" i="132"/>
  <c r="C25" i="132"/>
  <c r="D25" i="132"/>
  <c r="E25" i="132"/>
  <c r="F25" i="132"/>
  <c r="G25" i="132"/>
  <c r="H25" i="132"/>
  <c r="I25" i="132"/>
  <c r="B26" i="132"/>
  <c r="C26" i="132"/>
  <c r="D26" i="132"/>
  <c r="E26" i="132"/>
  <c r="F26" i="132"/>
  <c r="G26" i="132"/>
  <c r="H26" i="132"/>
  <c r="I26" i="132"/>
  <c r="B27" i="132"/>
  <c r="C27" i="132"/>
  <c r="D27" i="132"/>
  <c r="E27" i="132"/>
  <c r="F27" i="132"/>
  <c r="G27" i="132"/>
  <c r="H27" i="132"/>
  <c r="I27" i="132"/>
  <c r="C42" i="131"/>
  <c r="C43" i="131"/>
  <c r="C44" i="131"/>
  <c r="C45" i="131"/>
  <c r="B16" i="131"/>
  <c r="C16" i="131"/>
  <c r="M16" i="131" s="1"/>
  <c r="D16" i="131"/>
  <c r="E16" i="131"/>
  <c r="F16" i="131"/>
  <c r="G16" i="131"/>
  <c r="H16" i="131"/>
  <c r="I16" i="131"/>
  <c r="B17" i="131"/>
  <c r="C17" i="131"/>
  <c r="D17" i="131"/>
  <c r="E17" i="131"/>
  <c r="F17" i="131"/>
  <c r="G17" i="131"/>
  <c r="H17" i="131"/>
  <c r="I17" i="131"/>
  <c r="B18" i="131"/>
  <c r="C18" i="131"/>
  <c r="D18" i="131"/>
  <c r="E18" i="131"/>
  <c r="F18" i="131"/>
  <c r="G18" i="131"/>
  <c r="H18" i="131"/>
  <c r="I18" i="131"/>
  <c r="B19" i="131"/>
  <c r="C19" i="131"/>
  <c r="D19" i="131"/>
  <c r="E19" i="131"/>
  <c r="F19" i="131"/>
  <c r="G19" i="131"/>
  <c r="H19" i="131"/>
  <c r="I19" i="131"/>
  <c r="B20" i="131"/>
  <c r="C20" i="131"/>
  <c r="D20" i="131"/>
  <c r="E20" i="131"/>
  <c r="F20" i="131"/>
  <c r="G20" i="131"/>
  <c r="H20" i="131"/>
  <c r="I20" i="131"/>
  <c r="B21" i="131"/>
  <c r="C21" i="131"/>
  <c r="D21" i="131"/>
  <c r="E21" i="131"/>
  <c r="F21" i="131"/>
  <c r="G21" i="131"/>
  <c r="H21" i="131"/>
  <c r="I21" i="131"/>
  <c r="B22" i="131"/>
  <c r="C22" i="131"/>
  <c r="D22" i="131"/>
  <c r="E22" i="131"/>
  <c r="F22" i="131"/>
  <c r="G22" i="131"/>
  <c r="H22" i="131"/>
  <c r="I22" i="131"/>
  <c r="B23" i="131"/>
  <c r="C23" i="131"/>
  <c r="D23" i="131"/>
  <c r="E23" i="131"/>
  <c r="F23" i="131"/>
  <c r="G23" i="131"/>
  <c r="H23" i="131"/>
  <c r="I23" i="131"/>
  <c r="B24" i="131"/>
  <c r="C24" i="131"/>
  <c r="D24" i="131"/>
  <c r="E24" i="131"/>
  <c r="F24" i="131"/>
  <c r="G24" i="131"/>
  <c r="H24" i="131"/>
  <c r="I24" i="131"/>
  <c r="B25" i="131"/>
  <c r="C25" i="131"/>
  <c r="D25" i="131"/>
  <c r="E25" i="131"/>
  <c r="F25" i="131"/>
  <c r="G25" i="131"/>
  <c r="H25" i="131"/>
  <c r="I25" i="131"/>
  <c r="B26" i="131"/>
  <c r="C26" i="131"/>
  <c r="D26" i="131"/>
  <c r="E26" i="131"/>
  <c r="F26" i="131"/>
  <c r="G26" i="131"/>
  <c r="H26" i="131"/>
  <c r="I26" i="131"/>
  <c r="B27" i="131"/>
  <c r="C27" i="131"/>
  <c r="D27" i="131"/>
  <c r="E27" i="131"/>
  <c r="F27" i="131"/>
  <c r="G27" i="131"/>
  <c r="H27" i="131"/>
  <c r="I27" i="131"/>
  <c r="C42" i="130"/>
  <c r="C43" i="130"/>
  <c r="C44" i="130"/>
  <c r="C45" i="130"/>
  <c r="B16" i="130"/>
  <c r="C16" i="130"/>
  <c r="D16" i="130"/>
  <c r="E16" i="130"/>
  <c r="F16" i="130"/>
  <c r="G16" i="130"/>
  <c r="H16" i="130"/>
  <c r="I16" i="130"/>
  <c r="AB16" i="130" s="1"/>
  <c r="B17" i="130"/>
  <c r="C17" i="130"/>
  <c r="D17" i="130"/>
  <c r="E17" i="130"/>
  <c r="F17" i="130"/>
  <c r="G17" i="130"/>
  <c r="H17" i="130"/>
  <c r="I17" i="130"/>
  <c r="B18" i="130"/>
  <c r="C18" i="130"/>
  <c r="D18" i="130"/>
  <c r="E18" i="130"/>
  <c r="F18" i="130"/>
  <c r="G18" i="130"/>
  <c r="H18" i="130"/>
  <c r="I18" i="130"/>
  <c r="B19" i="130"/>
  <c r="C19" i="130"/>
  <c r="D19" i="130"/>
  <c r="E19" i="130"/>
  <c r="F19" i="130"/>
  <c r="G19" i="130"/>
  <c r="H19" i="130"/>
  <c r="I19" i="130"/>
  <c r="B20" i="130"/>
  <c r="C20" i="130"/>
  <c r="D20" i="130"/>
  <c r="E20" i="130"/>
  <c r="F20" i="130"/>
  <c r="G20" i="130"/>
  <c r="H20" i="130"/>
  <c r="I20" i="130"/>
  <c r="B21" i="130"/>
  <c r="C21" i="130"/>
  <c r="D21" i="130"/>
  <c r="E21" i="130"/>
  <c r="F21" i="130"/>
  <c r="G21" i="130"/>
  <c r="H21" i="130"/>
  <c r="I21" i="130"/>
  <c r="B22" i="130"/>
  <c r="C22" i="130"/>
  <c r="D22" i="130"/>
  <c r="E22" i="130"/>
  <c r="F22" i="130"/>
  <c r="G22" i="130"/>
  <c r="H22" i="130"/>
  <c r="I22" i="130"/>
  <c r="B23" i="130"/>
  <c r="C23" i="130"/>
  <c r="D23" i="130"/>
  <c r="E23" i="130"/>
  <c r="F23" i="130"/>
  <c r="G23" i="130"/>
  <c r="H23" i="130"/>
  <c r="I23" i="130"/>
  <c r="B24" i="130"/>
  <c r="C24" i="130"/>
  <c r="D24" i="130"/>
  <c r="E24" i="130"/>
  <c r="F24" i="130"/>
  <c r="G24" i="130"/>
  <c r="H24" i="130"/>
  <c r="I24" i="130"/>
  <c r="B25" i="130"/>
  <c r="C25" i="130"/>
  <c r="D25" i="130"/>
  <c r="E25" i="130"/>
  <c r="F25" i="130"/>
  <c r="G25" i="130"/>
  <c r="H25" i="130"/>
  <c r="I25" i="130"/>
  <c r="B26" i="130"/>
  <c r="C26" i="130"/>
  <c r="D26" i="130"/>
  <c r="E26" i="130"/>
  <c r="F26" i="130"/>
  <c r="G26" i="130"/>
  <c r="H26" i="130"/>
  <c r="I26" i="130"/>
  <c r="B27" i="130"/>
  <c r="C27" i="130"/>
  <c r="D27" i="130"/>
  <c r="E27" i="130"/>
  <c r="F27" i="130"/>
  <c r="G27" i="130"/>
  <c r="H27" i="130"/>
  <c r="I27" i="130"/>
  <c r="C42" i="129"/>
  <c r="C43" i="129"/>
  <c r="C44" i="129"/>
  <c r="C45" i="129"/>
  <c r="B16" i="129"/>
  <c r="C16" i="129"/>
  <c r="M16" i="129" s="1"/>
  <c r="M17" i="129" s="1"/>
  <c r="D16" i="129"/>
  <c r="E16" i="129"/>
  <c r="R16" i="129" s="1"/>
  <c r="F16" i="129"/>
  <c r="G16" i="129"/>
  <c r="W16" i="129" s="1"/>
  <c r="H16" i="129"/>
  <c r="I16" i="129"/>
  <c r="AB16" i="129" s="1"/>
  <c r="B17" i="129"/>
  <c r="C17" i="129"/>
  <c r="D17" i="129"/>
  <c r="E17" i="129"/>
  <c r="F17" i="129"/>
  <c r="G17" i="129"/>
  <c r="H17" i="129"/>
  <c r="I17" i="129"/>
  <c r="B18" i="129"/>
  <c r="C18" i="129"/>
  <c r="D18" i="129"/>
  <c r="E18" i="129"/>
  <c r="F18" i="129"/>
  <c r="G18" i="129"/>
  <c r="H18" i="129"/>
  <c r="I18" i="129"/>
  <c r="B19" i="129"/>
  <c r="C19" i="129"/>
  <c r="D19" i="129"/>
  <c r="E19" i="129"/>
  <c r="F19" i="129"/>
  <c r="G19" i="129"/>
  <c r="H19" i="129"/>
  <c r="I19" i="129"/>
  <c r="B20" i="129"/>
  <c r="C20" i="129"/>
  <c r="D20" i="129"/>
  <c r="E20" i="129"/>
  <c r="F20" i="129"/>
  <c r="G20" i="129"/>
  <c r="H20" i="129"/>
  <c r="I20" i="129"/>
  <c r="B21" i="129"/>
  <c r="C21" i="129"/>
  <c r="D21" i="129"/>
  <c r="E21" i="129"/>
  <c r="F21" i="129"/>
  <c r="G21" i="129"/>
  <c r="H21" i="129"/>
  <c r="I21" i="129"/>
  <c r="B22" i="129"/>
  <c r="C22" i="129"/>
  <c r="D22" i="129"/>
  <c r="E22" i="129"/>
  <c r="F22" i="129"/>
  <c r="G22" i="129"/>
  <c r="H22" i="129"/>
  <c r="I22" i="129"/>
  <c r="B23" i="129"/>
  <c r="C23" i="129"/>
  <c r="D23" i="129"/>
  <c r="E23" i="129"/>
  <c r="F23" i="129"/>
  <c r="G23" i="129"/>
  <c r="H23" i="129"/>
  <c r="I23" i="129"/>
  <c r="B24" i="129"/>
  <c r="C24" i="129"/>
  <c r="D24" i="129"/>
  <c r="E24" i="129"/>
  <c r="F24" i="129"/>
  <c r="G24" i="129"/>
  <c r="H24" i="129"/>
  <c r="I24" i="129"/>
  <c r="B25" i="129"/>
  <c r="C25" i="129"/>
  <c r="D25" i="129"/>
  <c r="E25" i="129"/>
  <c r="F25" i="129"/>
  <c r="G25" i="129"/>
  <c r="H25" i="129"/>
  <c r="I25" i="129"/>
  <c r="B26" i="129"/>
  <c r="C26" i="129"/>
  <c r="D26" i="129"/>
  <c r="E26" i="129"/>
  <c r="F26" i="129"/>
  <c r="G26" i="129"/>
  <c r="H26" i="129"/>
  <c r="I26" i="129"/>
  <c r="B27" i="129"/>
  <c r="C27" i="129"/>
  <c r="D27" i="129"/>
  <c r="E27" i="129"/>
  <c r="F27" i="129"/>
  <c r="G27" i="129"/>
  <c r="H27" i="129"/>
  <c r="I27" i="129"/>
  <c r="C42" i="128"/>
  <c r="C43" i="128"/>
  <c r="E44" i="128" s="1"/>
  <c r="C44" i="128"/>
  <c r="C45" i="128"/>
  <c r="E45" i="128" s="1"/>
  <c r="B16" i="128"/>
  <c r="C16" i="128"/>
  <c r="L16" i="128" s="1"/>
  <c r="L17" i="128" s="1"/>
  <c r="D16" i="128"/>
  <c r="E16" i="128"/>
  <c r="Q16" i="128" s="1"/>
  <c r="F16" i="128"/>
  <c r="G16" i="128"/>
  <c r="H16" i="128"/>
  <c r="I16" i="128"/>
  <c r="B17" i="128"/>
  <c r="C17" i="128"/>
  <c r="D17" i="128"/>
  <c r="E17" i="128"/>
  <c r="F17" i="128"/>
  <c r="G17" i="128"/>
  <c r="H17" i="128"/>
  <c r="I17" i="128"/>
  <c r="B18" i="128"/>
  <c r="C18" i="128"/>
  <c r="D18" i="128"/>
  <c r="E18" i="128"/>
  <c r="F18" i="128"/>
  <c r="G18" i="128"/>
  <c r="H18" i="128"/>
  <c r="I18" i="128"/>
  <c r="B19" i="128"/>
  <c r="C19" i="128"/>
  <c r="D19" i="128"/>
  <c r="E19" i="128"/>
  <c r="F19" i="128"/>
  <c r="G19" i="128"/>
  <c r="H19" i="128"/>
  <c r="I19" i="128"/>
  <c r="B20" i="128"/>
  <c r="C20" i="128"/>
  <c r="D20" i="128"/>
  <c r="E20" i="128"/>
  <c r="F20" i="128"/>
  <c r="G20" i="128"/>
  <c r="H20" i="128"/>
  <c r="I20" i="128"/>
  <c r="B21" i="128"/>
  <c r="C21" i="128"/>
  <c r="D21" i="128"/>
  <c r="E21" i="128"/>
  <c r="F21" i="128"/>
  <c r="G21" i="128"/>
  <c r="H21" i="128"/>
  <c r="I21" i="128"/>
  <c r="B22" i="128"/>
  <c r="C22" i="128"/>
  <c r="D22" i="128"/>
  <c r="E22" i="128"/>
  <c r="F22" i="128"/>
  <c r="G22" i="128"/>
  <c r="H22" i="128"/>
  <c r="I22" i="128"/>
  <c r="B23" i="128"/>
  <c r="C23" i="128"/>
  <c r="D23" i="128"/>
  <c r="E23" i="128"/>
  <c r="F23" i="128"/>
  <c r="G23" i="128"/>
  <c r="H23" i="128"/>
  <c r="I23" i="128"/>
  <c r="B24" i="128"/>
  <c r="C24" i="128"/>
  <c r="D24" i="128"/>
  <c r="E24" i="128"/>
  <c r="F24" i="128"/>
  <c r="G24" i="128"/>
  <c r="H24" i="128"/>
  <c r="I24" i="128"/>
  <c r="B25" i="128"/>
  <c r="C25" i="128"/>
  <c r="D25" i="128"/>
  <c r="E25" i="128"/>
  <c r="F25" i="128"/>
  <c r="G25" i="128"/>
  <c r="H25" i="128"/>
  <c r="I25" i="128"/>
  <c r="B26" i="128"/>
  <c r="C26" i="128"/>
  <c r="D26" i="128"/>
  <c r="E26" i="128"/>
  <c r="F26" i="128"/>
  <c r="G26" i="128"/>
  <c r="H26" i="128"/>
  <c r="I26" i="128"/>
  <c r="B27" i="128"/>
  <c r="C27" i="128"/>
  <c r="D27" i="128"/>
  <c r="E27" i="128"/>
  <c r="F27" i="128"/>
  <c r="G27" i="128"/>
  <c r="H27" i="128"/>
  <c r="I27" i="128"/>
  <c r="C42" i="127"/>
  <c r="C43" i="127"/>
  <c r="C44" i="127"/>
  <c r="C45" i="127"/>
  <c r="B16" i="127"/>
  <c r="C16" i="127"/>
  <c r="L16" i="127" s="1"/>
  <c r="D16" i="127"/>
  <c r="E16" i="127"/>
  <c r="F16" i="127"/>
  <c r="G16" i="127"/>
  <c r="H16" i="127"/>
  <c r="I16" i="127"/>
  <c r="B17" i="127"/>
  <c r="C17" i="127"/>
  <c r="D17" i="127"/>
  <c r="E17" i="127"/>
  <c r="F17" i="127"/>
  <c r="G17" i="127"/>
  <c r="H17" i="127"/>
  <c r="I17" i="127"/>
  <c r="B18" i="127"/>
  <c r="C18" i="127"/>
  <c r="D18" i="127"/>
  <c r="E18" i="127"/>
  <c r="F18" i="127"/>
  <c r="G18" i="127"/>
  <c r="H18" i="127"/>
  <c r="I18" i="127"/>
  <c r="B19" i="127"/>
  <c r="C19" i="127"/>
  <c r="D19" i="127"/>
  <c r="E19" i="127"/>
  <c r="F19" i="127"/>
  <c r="G19" i="127"/>
  <c r="H19" i="127"/>
  <c r="I19" i="127"/>
  <c r="B20" i="127"/>
  <c r="C20" i="127"/>
  <c r="D20" i="127"/>
  <c r="E20" i="127"/>
  <c r="F20" i="127"/>
  <c r="G20" i="127"/>
  <c r="H20" i="127"/>
  <c r="I20" i="127"/>
  <c r="B21" i="127"/>
  <c r="C21" i="127"/>
  <c r="D21" i="127"/>
  <c r="E21" i="127"/>
  <c r="F21" i="127"/>
  <c r="G21" i="127"/>
  <c r="H21" i="127"/>
  <c r="I21" i="127"/>
  <c r="B22" i="127"/>
  <c r="C22" i="127"/>
  <c r="D22" i="127"/>
  <c r="E22" i="127"/>
  <c r="F22" i="127"/>
  <c r="G22" i="127"/>
  <c r="H22" i="127"/>
  <c r="I22" i="127"/>
  <c r="B23" i="127"/>
  <c r="C23" i="127"/>
  <c r="D23" i="127"/>
  <c r="E23" i="127"/>
  <c r="F23" i="127"/>
  <c r="G23" i="127"/>
  <c r="H23" i="127"/>
  <c r="I23" i="127"/>
  <c r="B24" i="127"/>
  <c r="C24" i="127"/>
  <c r="D24" i="127"/>
  <c r="E24" i="127"/>
  <c r="F24" i="127"/>
  <c r="G24" i="127"/>
  <c r="H24" i="127"/>
  <c r="I24" i="127"/>
  <c r="B25" i="127"/>
  <c r="C25" i="127"/>
  <c r="D25" i="127"/>
  <c r="E25" i="127"/>
  <c r="F25" i="127"/>
  <c r="G25" i="127"/>
  <c r="H25" i="127"/>
  <c r="I25" i="127"/>
  <c r="B26" i="127"/>
  <c r="C26" i="127"/>
  <c r="D26" i="127"/>
  <c r="E26" i="127"/>
  <c r="F26" i="127"/>
  <c r="G26" i="127"/>
  <c r="H26" i="127"/>
  <c r="I26" i="127"/>
  <c r="B27" i="127"/>
  <c r="C27" i="127"/>
  <c r="D27" i="127"/>
  <c r="E27" i="127"/>
  <c r="F27" i="127"/>
  <c r="G27" i="127"/>
  <c r="H27" i="127"/>
  <c r="I27" i="127"/>
  <c r="C42" i="126"/>
  <c r="C43" i="126"/>
  <c r="C44" i="126"/>
  <c r="C45" i="126"/>
  <c r="B16" i="126"/>
  <c r="C16" i="126"/>
  <c r="D16" i="126"/>
  <c r="E16" i="126"/>
  <c r="F16" i="126"/>
  <c r="G16" i="126"/>
  <c r="H16" i="126"/>
  <c r="I16" i="126"/>
  <c r="AB16" i="126" s="1"/>
  <c r="B17" i="126"/>
  <c r="C17" i="126"/>
  <c r="D17" i="126"/>
  <c r="E17" i="126"/>
  <c r="F17" i="126"/>
  <c r="G17" i="126"/>
  <c r="H17" i="126"/>
  <c r="I17" i="126"/>
  <c r="B18" i="126"/>
  <c r="C18" i="126"/>
  <c r="D18" i="126"/>
  <c r="E18" i="126"/>
  <c r="F18" i="126"/>
  <c r="G18" i="126"/>
  <c r="H18" i="126"/>
  <c r="I18" i="126"/>
  <c r="B19" i="126"/>
  <c r="C19" i="126"/>
  <c r="D19" i="126"/>
  <c r="E19" i="126"/>
  <c r="F19" i="126"/>
  <c r="G19" i="126"/>
  <c r="H19" i="126"/>
  <c r="I19" i="126"/>
  <c r="B20" i="126"/>
  <c r="C20" i="126"/>
  <c r="D20" i="126"/>
  <c r="E20" i="126"/>
  <c r="F20" i="126"/>
  <c r="G20" i="126"/>
  <c r="H20" i="126"/>
  <c r="I20" i="126"/>
  <c r="B21" i="126"/>
  <c r="C21" i="126"/>
  <c r="D21" i="126"/>
  <c r="E21" i="126"/>
  <c r="F21" i="126"/>
  <c r="G21" i="126"/>
  <c r="H21" i="126"/>
  <c r="I21" i="126"/>
  <c r="B22" i="126"/>
  <c r="C22" i="126"/>
  <c r="D22" i="126"/>
  <c r="E22" i="126"/>
  <c r="F22" i="126"/>
  <c r="G22" i="126"/>
  <c r="H22" i="126"/>
  <c r="I22" i="126"/>
  <c r="B23" i="126"/>
  <c r="C23" i="126"/>
  <c r="D23" i="126"/>
  <c r="E23" i="126"/>
  <c r="F23" i="126"/>
  <c r="G23" i="126"/>
  <c r="H23" i="126"/>
  <c r="I23" i="126"/>
  <c r="B24" i="126"/>
  <c r="C24" i="126"/>
  <c r="D24" i="126"/>
  <c r="E24" i="126"/>
  <c r="F24" i="126"/>
  <c r="G24" i="126"/>
  <c r="H24" i="126"/>
  <c r="I24" i="126"/>
  <c r="B25" i="126"/>
  <c r="C25" i="126"/>
  <c r="D25" i="126"/>
  <c r="E25" i="126"/>
  <c r="F25" i="126"/>
  <c r="G25" i="126"/>
  <c r="H25" i="126"/>
  <c r="I25" i="126"/>
  <c r="B26" i="126"/>
  <c r="C26" i="126"/>
  <c r="D26" i="126"/>
  <c r="E26" i="126"/>
  <c r="F26" i="126"/>
  <c r="G26" i="126"/>
  <c r="H26" i="126"/>
  <c r="I26" i="126"/>
  <c r="B27" i="126"/>
  <c r="C27" i="126"/>
  <c r="D27" i="126"/>
  <c r="E27" i="126"/>
  <c r="F27" i="126"/>
  <c r="G27" i="126"/>
  <c r="H27" i="126"/>
  <c r="I27" i="126"/>
  <c r="C42" i="125"/>
  <c r="C43" i="125"/>
  <c r="E44" i="125" s="1"/>
  <c r="C44" i="125"/>
  <c r="C45" i="125"/>
  <c r="B16" i="125"/>
  <c r="C16" i="125"/>
  <c r="L16" i="125" s="1"/>
  <c r="N17" i="125" s="1"/>
  <c r="P17" i="125" s="1"/>
  <c r="D16" i="125"/>
  <c r="E16" i="125"/>
  <c r="R16" i="125" s="1"/>
  <c r="F16" i="125"/>
  <c r="G16" i="125"/>
  <c r="V16" i="125" s="1"/>
  <c r="X17" i="125" s="1"/>
  <c r="H16" i="125"/>
  <c r="I16" i="125"/>
  <c r="AA16" i="125" s="1"/>
  <c r="B17" i="125"/>
  <c r="C17" i="125"/>
  <c r="D17" i="125"/>
  <c r="E17" i="125"/>
  <c r="F17" i="125"/>
  <c r="G17" i="125"/>
  <c r="H17" i="125"/>
  <c r="I17" i="125"/>
  <c r="B18" i="125"/>
  <c r="C18" i="125"/>
  <c r="D18" i="125"/>
  <c r="E18" i="125"/>
  <c r="F18" i="125"/>
  <c r="G18" i="125"/>
  <c r="H18" i="125"/>
  <c r="I18" i="125"/>
  <c r="B19" i="125"/>
  <c r="C19" i="125"/>
  <c r="D19" i="125"/>
  <c r="E19" i="125"/>
  <c r="F19" i="125"/>
  <c r="G19" i="125"/>
  <c r="H19" i="125"/>
  <c r="I19" i="125"/>
  <c r="B20" i="125"/>
  <c r="C20" i="125"/>
  <c r="D20" i="125"/>
  <c r="E20" i="125"/>
  <c r="F20" i="125"/>
  <c r="G20" i="125"/>
  <c r="H20" i="125"/>
  <c r="I20" i="125"/>
  <c r="B21" i="125"/>
  <c r="C21" i="125"/>
  <c r="D21" i="125"/>
  <c r="E21" i="125"/>
  <c r="F21" i="125"/>
  <c r="G21" i="125"/>
  <c r="H21" i="125"/>
  <c r="I21" i="125"/>
  <c r="B22" i="125"/>
  <c r="C22" i="125"/>
  <c r="D22" i="125"/>
  <c r="E22" i="125"/>
  <c r="F22" i="125"/>
  <c r="G22" i="125"/>
  <c r="H22" i="125"/>
  <c r="I22" i="125"/>
  <c r="B23" i="125"/>
  <c r="C23" i="125"/>
  <c r="D23" i="125"/>
  <c r="E23" i="125"/>
  <c r="F23" i="125"/>
  <c r="G23" i="125"/>
  <c r="H23" i="125"/>
  <c r="I23" i="125"/>
  <c r="B24" i="125"/>
  <c r="C24" i="125"/>
  <c r="D24" i="125"/>
  <c r="E24" i="125"/>
  <c r="F24" i="125"/>
  <c r="G24" i="125"/>
  <c r="H24" i="125"/>
  <c r="I24" i="125"/>
  <c r="B25" i="125"/>
  <c r="C25" i="125"/>
  <c r="D25" i="125"/>
  <c r="E25" i="125"/>
  <c r="F25" i="125"/>
  <c r="G25" i="125"/>
  <c r="H25" i="125"/>
  <c r="I25" i="125"/>
  <c r="B26" i="125"/>
  <c r="C26" i="125"/>
  <c r="D26" i="125"/>
  <c r="E26" i="125"/>
  <c r="F26" i="125"/>
  <c r="G26" i="125"/>
  <c r="H26" i="125"/>
  <c r="I26" i="125"/>
  <c r="B27" i="125"/>
  <c r="C27" i="125"/>
  <c r="D27" i="125"/>
  <c r="E27" i="125"/>
  <c r="F27" i="125"/>
  <c r="G27" i="125"/>
  <c r="H27" i="125"/>
  <c r="I27" i="125"/>
  <c r="C42" i="124"/>
  <c r="C43" i="124"/>
  <c r="C44" i="124"/>
  <c r="C45" i="124"/>
  <c r="E45" i="124" s="1"/>
  <c r="B16" i="124"/>
  <c r="C16" i="124"/>
  <c r="L16" i="124" s="1"/>
  <c r="L17" i="124" s="1"/>
  <c r="D16" i="124"/>
  <c r="E16" i="124"/>
  <c r="F16" i="124"/>
  <c r="G16" i="124"/>
  <c r="V16" i="124" s="1"/>
  <c r="H16" i="124"/>
  <c r="I16" i="124"/>
  <c r="AA16" i="124" s="1"/>
  <c r="B17" i="124"/>
  <c r="C17" i="124"/>
  <c r="D17" i="124"/>
  <c r="E17" i="124"/>
  <c r="F17" i="124"/>
  <c r="G17" i="124"/>
  <c r="H17" i="124"/>
  <c r="I17" i="124"/>
  <c r="B18" i="124"/>
  <c r="C18" i="124"/>
  <c r="D18" i="124"/>
  <c r="E18" i="124"/>
  <c r="F18" i="124"/>
  <c r="G18" i="124"/>
  <c r="H18" i="124"/>
  <c r="I18" i="124"/>
  <c r="B19" i="124"/>
  <c r="C19" i="124"/>
  <c r="D19" i="124"/>
  <c r="E19" i="124"/>
  <c r="F19" i="124"/>
  <c r="G19" i="124"/>
  <c r="H19" i="124"/>
  <c r="I19" i="124"/>
  <c r="B20" i="124"/>
  <c r="C20" i="124"/>
  <c r="D20" i="124"/>
  <c r="E20" i="124"/>
  <c r="F20" i="124"/>
  <c r="G20" i="124"/>
  <c r="H20" i="124"/>
  <c r="I20" i="124"/>
  <c r="B21" i="124"/>
  <c r="C21" i="124"/>
  <c r="D21" i="124"/>
  <c r="E21" i="124"/>
  <c r="F21" i="124"/>
  <c r="G21" i="124"/>
  <c r="H21" i="124"/>
  <c r="I21" i="124"/>
  <c r="B22" i="124"/>
  <c r="C22" i="124"/>
  <c r="D22" i="124"/>
  <c r="E22" i="124"/>
  <c r="F22" i="124"/>
  <c r="G22" i="124"/>
  <c r="H22" i="124"/>
  <c r="I22" i="124"/>
  <c r="B23" i="124"/>
  <c r="C23" i="124"/>
  <c r="D23" i="124"/>
  <c r="E23" i="124"/>
  <c r="F23" i="124"/>
  <c r="G23" i="124"/>
  <c r="H23" i="124"/>
  <c r="I23" i="124"/>
  <c r="B24" i="124"/>
  <c r="C24" i="124"/>
  <c r="D24" i="124"/>
  <c r="E24" i="124"/>
  <c r="F24" i="124"/>
  <c r="G24" i="124"/>
  <c r="H24" i="124"/>
  <c r="I24" i="124"/>
  <c r="B25" i="124"/>
  <c r="C25" i="124"/>
  <c r="D25" i="124"/>
  <c r="E25" i="124"/>
  <c r="F25" i="124"/>
  <c r="G25" i="124"/>
  <c r="H25" i="124"/>
  <c r="I25" i="124"/>
  <c r="B26" i="124"/>
  <c r="C26" i="124"/>
  <c r="D26" i="124"/>
  <c r="E26" i="124"/>
  <c r="F26" i="124"/>
  <c r="G26" i="124"/>
  <c r="H26" i="124"/>
  <c r="I26" i="124"/>
  <c r="B27" i="124"/>
  <c r="C27" i="124"/>
  <c r="D27" i="124"/>
  <c r="E27" i="124"/>
  <c r="F27" i="124"/>
  <c r="G27" i="124"/>
  <c r="H27" i="124"/>
  <c r="I27" i="124"/>
  <c r="C42" i="123"/>
  <c r="C43" i="123"/>
  <c r="C44" i="123"/>
  <c r="C45" i="123"/>
  <c r="B16" i="123"/>
  <c r="C16" i="123"/>
  <c r="D16" i="123"/>
  <c r="E16" i="123"/>
  <c r="F16" i="123"/>
  <c r="G16" i="123"/>
  <c r="H16" i="123"/>
  <c r="I16" i="123"/>
  <c r="B17" i="123"/>
  <c r="C17" i="123"/>
  <c r="D17" i="123"/>
  <c r="E17" i="123"/>
  <c r="F17" i="123"/>
  <c r="G17" i="123"/>
  <c r="H17" i="123"/>
  <c r="I17" i="123"/>
  <c r="B18" i="123"/>
  <c r="C18" i="123"/>
  <c r="D18" i="123"/>
  <c r="E18" i="123"/>
  <c r="F18" i="123"/>
  <c r="G18" i="123"/>
  <c r="H18" i="123"/>
  <c r="I18" i="123"/>
  <c r="B19" i="123"/>
  <c r="C19" i="123"/>
  <c r="D19" i="123"/>
  <c r="E19" i="123"/>
  <c r="F19" i="123"/>
  <c r="G19" i="123"/>
  <c r="H19" i="123"/>
  <c r="I19" i="123"/>
  <c r="B20" i="123"/>
  <c r="C20" i="123"/>
  <c r="D20" i="123"/>
  <c r="E20" i="123"/>
  <c r="F20" i="123"/>
  <c r="G20" i="123"/>
  <c r="H20" i="123"/>
  <c r="I20" i="123"/>
  <c r="B21" i="123"/>
  <c r="C21" i="123"/>
  <c r="D21" i="123"/>
  <c r="E21" i="123"/>
  <c r="F21" i="123"/>
  <c r="G21" i="123"/>
  <c r="H21" i="123"/>
  <c r="I21" i="123"/>
  <c r="B22" i="123"/>
  <c r="C22" i="123"/>
  <c r="D22" i="123"/>
  <c r="E22" i="123"/>
  <c r="F22" i="123"/>
  <c r="G22" i="123"/>
  <c r="H22" i="123"/>
  <c r="I22" i="123"/>
  <c r="B23" i="123"/>
  <c r="C23" i="123"/>
  <c r="D23" i="123"/>
  <c r="E23" i="123"/>
  <c r="F23" i="123"/>
  <c r="G23" i="123"/>
  <c r="H23" i="123"/>
  <c r="I23" i="123"/>
  <c r="B24" i="123"/>
  <c r="C24" i="123"/>
  <c r="D24" i="123"/>
  <c r="E24" i="123"/>
  <c r="F24" i="123"/>
  <c r="G24" i="123"/>
  <c r="H24" i="123"/>
  <c r="I24" i="123"/>
  <c r="B25" i="123"/>
  <c r="C25" i="123"/>
  <c r="D25" i="123"/>
  <c r="E25" i="123"/>
  <c r="F25" i="123"/>
  <c r="G25" i="123"/>
  <c r="H25" i="123"/>
  <c r="I25" i="123"/>
  <c r="B26" i="123"/>
  <c r="C26" i="123"/>
  <c r="D26" i="123"/>
  <c r="E26" i="123"/>
  <c r="F26" i="123"/>
  <c r="G26" i="123"/>
  <c r="H26" i="123"/>
  <c r="I26" i="123"/>
  <c r="B27" i="123"/>
  <c r="C27" i="123"/>
  <c r="D27" i="123"/>
  <c r="E27" i="123"/>
  <c r="F27" i="123"/>
  <c r="G27" i="123"/>
  <c r="H27" i="123"/>
  <c r="I27" i="123"/>
  <c r="C42" i="122"/>
  <c r="C43" i="122"/>
  <c r="C44" i="122"/>
  <c r="C45" i="122"/>
  <c r="B16" i="122"/>
  <c r="C16" i="122"/>
  <c r="D16" i="122"/>
  <c r="E16" i="122"/>
  <c r="F16" i="122"/>
  <c r="G16" i="122"/>
  <c r="H16" i="122"/>
  <c r="I16" i="122"/>
  <c r="AB16" i="122" s="1"/>
  <c r="B17" i="122"/>
  <c r="C17" i="122"/>
  <c r="D17" i="122"/>
  <c r="E17" i="122"/>
  <c r="F17" i="122"/>
  <c r="G17" i="122"/>
  <c r="H17" i="122"/>
  <c r="I17" i="122"/>
  <c r="B18" i="122"/>
  <c r="C18" i="122"/>
  <c r="D18" i="122"/>
  <c r="E18" i="122"/>
  <c r="F18" i="122"/>
  <c r="G18" i="122"/>
  <c r="H18" i="122"/>
  <c r="I18" i="122"/>
  <c r="B19" i="122"/>
  <c r="C19" i="122"/>
  <c r="D19" i="122"/>
  <c r="E19" i="122"/>
  <c r="F19" i="122"/>
  <c r="G19" i="122"/>
  <c r="H19" i="122"/>
  <c r="I19" i="122"/>
  <c r="B20" i="122"/>
  <c r="C20" i="122"/>
  <c r="D20" i="122"/>
  <c r="E20" i="122"/>
  <c r="F20" i="122"/>
  <c r="G20" i="122"/>
  <c r="H20" i="122"/>
  <c r="I20" i="122"/>
  <c r="B21" i="122"/>
  <c r="C21" i="122"/>
  <c r="D21" i="122"/>
  <c r="E21" i="122"/>
  <c r="F21" i="122"/>
  <c r="G21" i="122"/>
  <c r="H21" i="122"/>
  <c r="I21" i="122"/>
  <c r="B22" i="122"/>
  <c r="C22" i="122"/>
  <c r="D22" i="122"/>
  <c r="E22" i="122"/>
  <c r="F22" i="122"/>
  <c r="G22" i="122"/>
  <c r="H22" i="122"/>
  <c r="I22" i="122"/>
  <c r="B23" i="122"/>
  <c r="C23" i="122"/>
  <c r="D23" i="122"/>
  <c r="E23" i="122"/>
  <c r="F23" i="122"/>
  <c r="G23" i="122"/>
  <c r="H23" i="122"/>
  <c r="I23" i="122"/>
  <c r="B24" i="122"/>
  <c r="C24" i="122"/>
  <c r="D24" i="122"/>
  <c r="E24" i="122"/>
  <c r="F24" i="122"/>
  <c r="G24" i="122"/>
  <c r="H24" i="122"/>
  <c r="I24" i="122"/>
  <c r="B25" i="122"/>
  <c r="C25" i="122"/>
  <c r="D25" i="122"/>
  <c r="E25" i="122"/>
  <c r="F25" i="122"/>
  <c r="G25" i="122"/>
  <c r="H25" i="122"/>
  <c r="I25" i="122"/>
  <c r="B26" i="122"/>
  <c r="C26" i="122"/>
  <c r="D26" i="122"/>
  <c r="E26" i="122"/>
  <c r="F26" i="122"/>
  <c r="G26" i="122"/>
  <c r="H26" i="122"/>
  <c r="I26" i="122"/>
  <c r="B27" i="122"/>
  <c r="C27" i="122"/>
  <c r="D27" i="122"/>
  <c r="E27" i="122"/>
  <c r="F27" i="122"/>
  <c r="G27" i="122"/>
  <c r="H27" i="122"/>
  <c r="I27" i="122"/>
  <c r="C42" i="119"/>
  <c r="C43" i="119"/>
  <c r="E44" i="119" s="1"/>
  <c r="C44" i="119"/>
  <c r="C45" i="119"/>
  <c r="B16" i="119"/>
  <c r="C16" i="119"/>
  <c r="D16" i="119"/>
  <c r="E16" i="119"/>
  <c r="R16" i="119" s="1"/>
  <c r="F16" i="119"/>
  <c r="G16" i="119"/>
  <c r="H16" i="119"/>
  <c r="I16" i="119"/>
  <c r="B17" i="119"/>
  <c r="C17" i="119"/>
  <c r="D17" i="119"/>
  <c r="E17" i="119"/>
  <c r="F17" i="119"/>
  <c r="G17" i="119"/>
  <c r="H17" i="119"/>
  <c r="I17" i="119"/>
  <c r="B18" i="119"/>
  <c r="C18" i="119"/>
  <c r="D18" i="119"/>
  <c r="E18" i="119"/>
  <c r="F18" i="119"/>
  <c r="G18" i="119"/>
  <c r="H18" i="119"/>
  <c r="I18" i="119"/>
  <c r="B19" i="119"/>
  <c r="C19" i="119"/>
  <c r="D19" i="119"/>
  <c r="E19" i="119"/>
  <c r="F19" i="119"/>
  <c r="G19" i="119"/>
  <c r="H19" i="119"/>
  <c r="I19" i="119"/>
  <c r="B20" i="119"/>
  <c r="C20" i="119"/>
  <c r="D20" i="119"/>
  <c r="E20" i="119"/>
  <c r="F20" i="119"/>
  <c r="G20" i="119"/>
  <c r="H20" i="119"/>
  <c r="I20" i="119"/>
  <c r="B21" i="119"/>
  <c r="C21" i="119"/>
  <c r="D21" i="119"/>
  <c r="E21" i="119"/>
  <c r="F21" i="119"/>
  <c r="G21" i="119"/>
  <c r="H21" i="119"/>
  <c r="I21" i="119"/>
  <c r="B22" i="119"/>
  <c r="C22" i="119"/>
  <c r="D22" i="119"/>
  <c r="E22" i="119"/>
  <c r="F22" i="119"/>
  <c r="G22" i="119"/>
  <c r="H22" i="119"/>
  <c r="I22" i="119"/>
  <c r="B23" i="119"/>
  <c r="C23" i="119"/>
  <c r="D23" i="119"/>
  <c r="E23" i="119"/>
  <c r="F23" i="119"/>
  <c r="G23" i="119"/>
  <c r="H23" i="119"/>
  <c r="I23" i="119"/>
  <c r="B24" i="119"/>
  <c r="C24" i="119"/>
  <c r="D24" i="119"/>
  <c r="E24" i="119"/>
  <c r="F24" i="119"/>
  <c r="G24" i="119"/>
  <c r="H24" i="119"/>
  <c r="I24" i="119"/>
  <c r="B25" i="119"/>
  <c r="C25" i="119"/>
  <c r="D25" i="119"/>
  <c r="E25" i="119"/>
  <c r="F25" i="119"/>
  <c r="G25" i="119"/>
  <c r="H25" i="119"/>
  <c r="I25" i="119"/>
  <c r="B26" i="119"/>
  <c r="C26" i="119"/>
  <c r="D26" i="119"/>
  <c r="E26" i="119"/>
  <c r="F26" i="119"/>
  <c r="G26" i="119"/>
  <c r="H26" i="119"/>
  <c r="I26" i="119"/>
  <c r="B27" i="119"/>
  <c r="C27" i="119"/>
  <c r="D27" i="119"/>
  <c r="E27" i="119"/>
  <c r="F27" i="119"/>
  <c r="G27" i="119"/>
  <c r="H27" i="119"/>
  <c r="I27" i="119"/>
  <c r="C42" i="118"/>
  <c r="C43" i="118"/>
  <c r="E43" i="118" s="1"/>
  <c r="C44" i="118"/>
  <c r="C45" i="118"/>
  <c r="E46" i="118" s="1"/>
  <c r="B16" i="118"/>
  <c r="C16" i="118"/>
  <c r="M16" i="118" s="1"/>
  <c r="M17" i="118" s="1"/>
  <c r="D16" i="118"/>
  <c r="E16" i="118"/>
  <c r="R16" i="118" s="1"/>
  <c r="F16" i="118"/>
  <c r="G16" i="118"/>
  <c r="H16" i="118"/>
  <c r="I16" i="118"/>
  <c r="B17" i="118"/>
  <c r="C17" i="118"/>
  <c r="D17" i="118"/>
  <c r="E17" i="118"/>
  <c r="F17" i="118"/>
  <c r="G17" i="118"/>
  <c r="H17" i="118"/>
  <c r="I17" i="118"/>
  <c r="B18" i="118"/>
  <c r="C18" i="118"/>
  <c r="D18" i="118"/>
  <c r="E18" i="118"/>
  <c r="F18" i="118"/>
  <c r="G18" i="118"/>
  <c r="H18" i="118"/>
  <c r="I18" i="118"/>
  <c r="B19" i="118"/>
  <c r="C19" i="118"/>
  <c r="D19" i="118"/>
  <c r="E19" i="118"/>
  <c r="F19" i="118"/>
  <c r="G19" i="118"/>
  <c r="H19" i="118"/>
  <c r="I19" i="118"/>
  <c r="B20" i="118"/>
  <c r="C20" i="118"/>
  <c r="D20" i="118"/>
  <c r="E20" i="118"/>
  <c r="F20" i="118"/>
  <c r="G20" i="118"/>
  <c r="H20" i="118"/>
  <c r="I20" i="118"/>
  <c r="B21" i="118"/>
  <c r="C21" i="118"/>
  <c r="D21" i="118"/>
  <c r="E21" i="118"/>
  <c r="F21" i="118"/>
  <c r="G21" i="118"/>
  <c r="H21" i="118"/>
  <c r="I21" i="118"/>
  <c r="B22" i="118"/>
  <c r="C22" i="118"/>
  <c r="D22" i="118"/>
  <c r="E22" i="118"/>
  <c r="F22" i="118"/>
  <c r="G22" i="118"/>
  <c r="H22" i="118"/>
  <c r="I22" i="118"/>
  <c r="B23" i="118"/>
  <c r="C23" i="118"/>
  <c r="D23" i="118"/>
  <c r="E23" i="118"/>
  <c r="F23" i="118"/>
  <c r="G23" i="118"/>
  <c r="H23" i="118"/>
  <c r="I23" i="118"/>
  <c r="B24" i="118"/>
  <c r="C24" i="118"/>
  <c r="D24" i="118"/>
  <c r="E24" i="118"/>
  <c r="F24" i="118"/>
  <c r="G24" i="118"/>
  <c r="H24" i="118"/>
  <c r="I24" i="118"/>
  <c r="B25" i="118"/>
  <c r="C25" i="118"/>
  <c r="D25" i="118"/>
  <c r="E25" i="118"/>
  <c r="F25" i="118"/>
  <c r="G25" i="118"/>
  <c r="H25" i="118"/>
  <c r="I25" i="118"/>
  <c r="B26" i="118"/>
  <c r="C26" i="118"/>
  <c r="D26" i="118"/>
  <c r="E26" i="118"/>
  <c r="F26" i="118"/>
  <c r="G26" i="118"/>
  <c r="H26" i="118"/>
  <c r="I26" i="118"/>
  <c r="B27" i="118"/>
  <c r="C27" i="118"/>
  <c r="D27" i="118"/>
  <c r="E27" i="118"/>
  <c r="F27" i="118"/>
  <c r="G27" i="118"/>
  <c r="H27" i="118"/>
  <c r="I27" i="118"/>
  <c r="C42" i="117"/>
  <c r="C43" i="117"/>
  <c r="E43" i="117" s="1"/>
  <c r="C44" i="117"/>
  <c r="C45" i="117"/>
  <c r="B16" i="117"/>
  <c r="C16" i="117"/>
  <c r="D16" i="117"/>
  <c r="E16" i="117"/>
  <c r="F16" i="117"/>
  <c r="G16" i="117"/>
  <c r="H16" i="117"/>
  <c r="I16" i="117"/>
  <c r="B17" i="117"/>
  <c r="C17" i="117"/>
  <c r="D17" i="117"/>
  <c r="E17" i="117"/>
  <c r="F17" i="117"/>
  <c r="G17" i="117"/>
  <c r="H17" i="117"/>
  <c r="I17" i="117"/>
  <c r="B18" i="117"/>
  <c r="C18" i="117"/>
  <c r="D18" i="117"/>
  <c r="E18" i="117"/>
  <c r="F18" i="117"/>
  <c r="G18" i="117"/>
  <c r="H18" i="117"/>
  <c r="I18" i="117"/>
  <c r="B19" i="117"/>
  <c r="C19" i="117"/>
  <c r="D19" i="117"/>
  <c r="E19" i="117"/>
  <c r="F19" i="117"/>
  <c r="G19" i="117"/>
  <c r="H19" i="117"/>
  <c r="I19" i="117"/>
  <c r="B20" i="117"/>
  <c r="C20" i="117"/>
  <c r="D20" i="117"/>
  <c r="E20" i="117"/>
  <c r="F20" i="117"/>
  <c r="G20" i="117"/>
  <c r="H20" i="117"/>
  <c r="I20" i="117"/>
  <c r="B21" i="117"/>
  <c r="C21" i="117"/>
  <c r="D21" i="117"/>
  <c r="E21" i="117"/>
  <c r="F21" i="117"/>
  <c r="G21" i="117"/>
  <c r="H21" i="117"/>
  <c r="I21" i="117"/>
  <c r="B22" i="117"/>
  <c r="C22" i="117"/>
  <c r="D22" i="117"/>
  <c r="E22" i="117"/>
  <c r="F22" i="117"/>
  <c r="G22" i="117"/>
  <c r="H22" i="117"/>
  <c r="I22" i="117"/>
  <c r="B23" i="117"/>
  <c r="C23" i="117"/>
  <c r="D23" i="117"/>
  <c r="E23" i="117"/>
  <c r="F23" i="117"/>
  <c r="G23" i="117"/>
  <c r="H23" i="117"/>
  <c r="I23" i="117"/>
  <c r="B24" i="117"/>
  <c r="C24" i="117"/>
  <c r="D24" i="117"/>
  <c r="E24" i="117"/>
  <c r="F24" i="117"/>
  <c r="G24" i="117"/>
  <c r="H24" i="117"/>
  <c r="I24" i="117"/>
  <c r="B25" i="117"/>
  <c r="C25" i="117"/>
  <c r="D25" i="117"/>
  <c r="E25" i="117"/>
  <c r="F25" i="117"/>
  <c r="G25" i="117"/>
  <c r="H25" i="117"/>
  <c r="I25" i="117"/>
  <c r="B26" i="117"/>
  <c r="C26" i="117"/>
  <c r="D26" i="117"/>
  <c r="E26" i="117"/>
  <c r="F26" i="117"/>
  <c r="G26" i="117"/>
  <c r="H26" i="117"/>
  <c r="I26" i="117"/>
  <c r="B27" i="117"/>
  <c r="C27" i="117"/>
  <c r="D27" i="117"/>
  <c r="E27" i="117"/>
  <c r="F27" i="117"/>
  <c r="G27" i="117"/>
  <c r="H27" i="117"/>
  <c r="I27" i="117"/>
  <c r="C42" i="116"/>
  <c r="C43" i="116"/>
  <c r="C44" i="116"/>
  <c r="C45" i="116"/>
  <c r="B16" i="116"/>
  <c r="C16" i="116"/>
  <c r="L16" i="116" s="1"/>
  <c r="D16" i="116"/>
  <c r="E16" i="116"/>
  <c r="Q16" i="116" s="1"/>
  <c r="F16" i="116"/>
  <c r="G16" i="116"/>
  <c r="V16" i="116" s="1"/>
  <c r="X17" i="116" s="1"/>
  <c r="H16" i="116"/>
  <c r="I16" i="116"/>
  <c r="AB16" i="116" s="1"/>
  <c r="B17" i="116"/>
  <c r="C17" i="116"/>
  <c r="D17" i="116"/>
  <c r="E17" i="116"/>
  <c r="F17" i="116"/>
  <c r="G17" i="116"/>
  <c r="H17" i="116"/>
  <c r="I17" i="116"/>
  <c r="B18" i="116"/>
  <c r="C18" i="116"/>
  <c r="D18" i="116"/>
  <c r="E18" i="116"/>
  <c r="F18" i="116"/>
  <c r="G18" i="116"/>
  <c r="H18" i="116"/>
  <c r="I18" i="116"/>
  <c r="B19" i="116"/>
  <c r="C19" i="116"/>
  <c r="D19" i="116"/>
  <c r="E19" i="116"/>
  <c r="F19" i="116"/>
  <c r="G19" i="116"/>
  <c r="H19" i="116"/>
  <c r="I19" i="116"/>
  <c r="B20" i="116"/>
  <c r="C20" i="116"/>
  <c r="D20" i="116"/>
  <c r="E20" i="116"/>
  <c r="F20" i="116"/>
  <c r="G20" i="116"/>
  <c r="H20" i="116"/>
  <c r="I20" i="116"/>
  <c r="B21" i="116"/>
  <c r="C21" i="116"/>
  <c r="D21" i="116"/>
  <c r="E21" i="116"/>
  <c r="F21" i="116"/>
  <c r="G21" i="116"/>
  <c r="H21" i="116"/>
  <c r="I21" i="116"/>
  <c r="B22" i="116"/>
  <c r="C22" i="116"/>
  <c r="D22" i="116"/>
  <c r="E22" i="116"/>
  <c r="F22" i="116"/>
  <c r="G22" i="116"/>
  <c r="H22" i="116"/>
  <c r="I22" i="116"/>
  <c r="B23" i="116"/>
  <c r="C23" i="116"/>
  <c r="D23" i="116"/>
  <c r="E23" i="116"/>
  <c r="F23" i="116"/>
  <c r="G23" i="116"/>
  <c r="H23" i="116"/>
  <c r="I23" i="116"/>
  <c r="B24" i="116"/>
  <c r="C24" i="116"/>
  <c r="D24" i="116"/>
  <c r="E24" i="116"/>
  <c r="F24" i="116"/>
  <c r="G24" i="116"/>
  <c r="H24" i="116"/>
  <c r="I24" i="116"/>
  <c r="B25" i="116"/>
  <c r="C25" i="116"/>
  <c r="D25" i="116"/>
  <c r="E25" i="116"/>
  <c r="F25" i="116"/>
  <c r="G25" i="116"/>
  <c r="H25" i="116"/>
  <c r="I25" i="116"/>
  <c r="B26" i="116"/>
  <c r="C26" i="116"/>
  <c r="D26" i="116"/>
  <c r="E26" i="116"/>
  <c r="F26" i="116"/>
  <c r="G26" i="116"/>
  <c r="H26" i="116"/>
  <c r="I26" i="116"/>
  <c r="B27" i="116"/>
  <c r="C27" i="116"/>
  <c r="D27" i="116"/>
  <c r="E27" i="116"/>
  <c r="F27" i="116"/>
  <c r="G27" i="116"/>
  <c r="H27" i="116"/>
  <c r="I27" i="116"/>
  <c r="C42" i="115"/>
  <c r="C43" i="115"/>
  <c r="E44" i="115" s="1"/>
  <c r="C44" i="115"/>
  <c r="C45" i="115"/>
  <c r="B16" i="115"/>
  <c r="C16" i="115"/>
  <c r="D16" i="115"/>
  <c r="E16" i="115"/>
  <c r="R16" i="115" s="1"/>
  <c r="F16" i="115"/>
  <c r="G16" i="115"/>
  <c r="H16" i="115"/>
  <c r="I16" i="115"/>
  <c r="B17" i="115"/>
  <c r="C17" i="115"/>
  <c r="D17" i="115"/>
  <c r="E17" i="115"/>
  <c r="F17" i="115"/>
  <c r="G17" i="115"/>
  <c r="H17" i="115"/>
  <c r="I17" i="115"/>
  <c r="B18" i="115"/>
  <c r="C18" i="115"/>
  <c r="D18" i="115"/>
  <c r="E18" i="115"/>
  <c r="F18" i="115"/>
  <c r="G18" i="115"/>
  <c r="H18" i="115"/>
  <c r="I18" i="115"/>
  <c r="B19" i="115"/>
  <c r="C19" i="115"/>
  <c r="D19" i="115"/>
  <c r="E19" i="115"/>
  <c r="F19" i="115"/>
  <c r="G19" i="115"/>
  <c r="H19" i="115"/>
  <c r="I19" i="115"/>
  <c r="B20" i="115"/>
  <c r="C20" i="115"/>
  <c r="D20" i="115"/>
  <c r="E20" i="115"/>
  <c r="F20" i="115"/>
  <c r="G20" i="115"/>
  <c r="H20" i="115"/>
  <c r="I20" i="115"/>
  <c r="B21" i="115"/>
  <c r="C21" i="115"/>
  <c r="D21" i="115"/>
  <c r="E21" i="115"/>
  <c r="F21" i="115"/>
  <c r="G21" i="115"/>
  <c r="H21" i="115"/>
  <c r="I21" i="115"/>
  <c r="B22" i="115"/>
  <c r="C22" i="115"/>
  <c r="D22" i="115"/>
  <c r="E22" i="115"/>
  <c r="F22" i="115"/>
  <c r="G22" i="115"/>
  <c r="H22" i="115"/>
  <c r="I22" i="115"/>
  <c r="B23" i="115"/>
  <c r="C23" i="115"/>
  <c r="D23" i="115"/>
  <c r="E23" i="115"/>
  <c r="F23" i="115"/>
  <c r="G23" i="115"/>
  <c r="H23" i="115"/>
  <c r="I23" i="115"/>
  <c r="B24" i="115"/>
  <c r="C24" i="115"/>
  <c r="D24" i="115"/>
  <c r="E24" i="115"/>
  <c r="F24" i="115"/>
  <c r="G24" i="115"/>
  <c r="H24" i="115"/>
  <c r="I24" i="115"/>
  <c r="B25" i="115"/>
  <c r="C25" i="115"/>
  <c r="D25" i="115"/>
  <c r="E25" i="115"/>
  <c r="F25" i="115"/>
  <c r="G25" i="115"/>
  <c r="H25" i="115"/>
  <c r="I25" i="115"/>
  <c r="B26" i="115"/>
  <c r="C26" i="115"/>
  <c r="D26" i="115"/>
  <c r="E26" i="115"/>
  <c r="F26" i="115"/>
  <c r="G26" i="115"/>
  <c r="H26" i="115"/>
  <c r="I26" i="115"/>
  <c r="B27" i="115"/>
  <c r="C27" i="115"/>
  <c r="D27" i="115"/>
  <c r="E27" i="115"/>
  <c r="F27" i="115"/>
  <c r="G27" i="115"/>
  <c r="H27" i="115"/>
  <c r="I27" i="115"/>
  <c r="C42" i="114"/>
  <c r="C43" i="114"/>
  <c r="C44" i="114"/>
  <c r="C45" i="114"/>
  <c r="E46" i="114" s="1"/>
  <c r="B16" i="114"/>
  <c r="C16" i="114"/>
  <c r="L16" i="114" s="1"/>
  <c r="L17" i="114" s="1"/>
  <c r="D16" i="114"/>
  <c r="E16" i="114"/>
  <c r="F16" i="114"/>
  <c r="G16" i="114"/>
  <c r="H16" i="114"/>
  <c r="I16" i="114"/>
  <c r="B17" i="114"/>
  <c r="C17" i="114"/>
  <c r="D17" i="114"/>
  <c r="E17" i="114"/>
  <c r="F17" i="114"/>
  <c r="G17" i="114"/>
  <c r="H17" i="114"/>
  <c r="I17" i="114"/>
  <c r="B18" i="114"/>
  <c r="C18" i="114"/>
  <c r="D18" i="114"/>
  <c r="E18" i="114"/>
  <c r="F18" i="114"/>
  <c r="G18" i="114"/>
  <c r="H18" i="114"/>
  <c r="I18" i="114"/>
  <c r="B19" i="114"/>
  <c r="C19" i="114"/>
  <c r="D19" i="114"/>
  <c r="E19" i="114"/>
  <c r="F19" i="114"/>
  <c r="G19" i="114"/>
  <c r="H19" i="114"/>
  <c r="I19" i="114"/>
  <c r="B20" i="114"/>
  <c r="C20" i="114"/>
  <c r="D20" i="114"/>
  <c r="E20" i="114"/>
  <c r="F20" i="114"/>
  <c r="G20" i="114"/>
  <c r="H20" i="114"/>
  <c r="I20" i="114"/>
  <c r="B21" i="114"/>
  <c r="C21" i="114"/>
  <c r="D21" i="114"/>
  <c r="E21" i="114"/>
  <c r="F21" i="114"/>
  <c r="G21" i="114"/>
  <c r="H21" i="114"/>
  <c r="I21" i="114"/>
  <c r="B22" i="114"/>
  <c r="C22" i="114"/>
  <c r="D22" i="114"/>
  <c r="E22" i="114"/>
  <c r="F22" i="114"/>
  <c r="G22" i="114"/>
  <c r="H22" i="114"/>
  <c r="I22" i="114"/>
  <c r="B23" i="114"/>
  <c r="C23" i="114"/>
  <c r="D23" i="114"/>
  <c r="E23" i="114"/>
  <c r="F23" i="114"/>
  <c r="G23" i="114"/>
  <c r="H23" i="114"/>
  <c r="I23" i="114"/>
  <c r="B24" i="114"/>
  <c r="C24" i="114"/>
  <c r="D24" i="114"/>
  <c r="E24" i="114"/>
  <c r="F24" i="114"/>
  <c r="G24" i="114"/>
  <c r="H24" i="114"/>
  <c r="I24" i="114"/>
  <c r="B25" i="114"/>
  <c r="C25" i="114"/>
  <c r="D25" i="114"/>
  <c r="E25" i="114"/>
  <c r="F25" i="114"/>
  <c r="G25" i="114"/>
  <c r="H25" i="114"/>
  <c r="I25" i="114"/>
  <c r="B26" i="114"/>
  <c r="C26" i="114"/>
  <c r="D26" i="114"/>
  <c r="E26" i="114"/>
  <c r="F26" i="114"/>
  <c r="G26" i="114"/>
  <c r="H26" i="114"/>
  <c r="I26" i="114"/>
  <c r="B27" i="114"/>
  <c r="C27" i="114"/>
  <c r="D27" i="114"/>
  <c r="E27" i="114"/>
  <c r="F27" i="114"/>
  <c r="G27" i="114"/>
  <c r="H27" i="114"/>
  <c r="I27" i="114"/>
  <c r="C42" i="113"/>
  <c r="C43" i="113"/>
  <c r="C44" i="113"/>
  <c r="C45" i="113"/>
  <c r="B16" i="113"/>
  <c r="C16" i="113"/>
  <c r="D16" i="113"/>
  <c r="E16" i="113"/>
  <c r="F16" i="113"/>
  <c r="G16" i="113"/>
  <c r="W16" i="113" s="1"/>
  <c r="H16" i="113"/>
  <c r="I16" i="113"/>
  <c r="AB16" i="113" s="1"/>
  <c r="B17" i="113"/>
  <c r="C17" i="113"/>
  <c r="D17" i="113"/>
  <c r="E17" i="113"/>
  <c r="F17" i="113"/>
  <c r="G17" i="113"/>
  <c r="H17" i="113"/>
  <c r="I17" i="113"/>
  <c r="B18" i="113"/>
  <c r="C18" i="113"/>
  <c r="D18" i="113"/>
  <c r="E18" i="113"/>
  <c r="F18" i="113"/>
  <c r="G18" i="113"/>
  <c r="H18" i="113"/>
  <c r="I18" i="113"/>
  <c r="B19" i="113"/>
  <c r="C19" i="113"/>
  <c r="D19" i="113"/>
  <c r="E19" i="113"/>
  <c r="F19" i="113"/>
  <c r="G19" i="113"/>
  <c r="H19" i="113"/>
  <c r="I19" i="113"/>
  <c r="B20" i="113"/>
  <c r="C20" i="113"/>
  <c r="D20" i="113"/>
  <c r="E20" i="113"/>
  <c r="F20" i="113"/>
  <c r="G20" i="113"/>
  <c r="H20" i="113"/>
  <c r="I20" i="113"/>
  <c r="B21" i="113"/>
  <c r="C21" i="113"/>
  <c r="D21" i="113"/>
  <c r="E21" i="113"/>
  <c r="F21" i="113"/>
  <c r="G21" i="113"/>
  <c r="H21" i="113"/>
  <c r="I21" i="113"/>
  <c r="B22" i="113"/>
  <c r="C22" i="113"/>
  <c r="D22" i="113"/>
  <c r="E22" i="113"/>
  <c r="F22" i="113"/>
  <c r="G22" i="113"/>
  <c r="H22" i="113"/>
  <c r="I22" i="113"/>
  <c r="B23" i="113"/>
  <c r="C23" i="113"/>
  <c r="D23" i="113"/>
  <c r="E23" i="113"/>
  <c r="F23" i="113"/>
  <c r="G23" i="113"/>
  <c r="H23" i="113"/>
  <c r="I23" i="113"/>
  <c r="B24" i="113"/>
  <c r="C24" i="113"/>
  <c r="D24" i="113"/>
  <c r="E24" i="113"/>
  <c r="F24" i="113"/>
  <c r="G24" i="113"/>
  <c r="H24" i="113"/>
  <c r="I24" i="113"/>
  <c r="B25" i="113"/>
  <c r="C25" i="113"/>
  <c r="D25" i="113"/>
  <c r="E25" i="113"/>
  <c r="F25" i="113"/>
  <c r="G25" i="113"/>
  <c r="H25" i="113"/>
  <c r="I25" i="113"/>
  <c r="B26" i="113"/>
  <c r="C26" i="113"/>
  <c r="D26" i="113"/>
  <c r="E26" i="113"/>
  <c r="F26" i="113"/>
  <c r="G26" i="113"/>
  <c r="H26" i="113"/>
  <c r="I26" i="113"/>
  <c r="B27" i="113"/>
  <c r="C27" i="113"/>
  <c r="D27" i="113"/>
  <c r="E27" i="113"/>
  <c r="F27" i="113"/>
  <c r="G27" i="113"/>
  <c r="H27" i="113"/>
  <c r="I27" i="113"/>
  <c r="C42" i="112"/>
  <c r="C43" i="112"/>
  <c r="C44" i="112"/>
  <c r="C45" i="112"/>
  <c r="B16" i="112"/>
  <c r="C16" i="112"/>
  <c r="M16" i="112" s="1"/>
  <c r="D16" i="112"/>
  <c r="E16" i="112"/>
  <c r="Q16" i="112" s="1"/>
  <c r="F16" i="112"/>
  <c r="G16" i="112"/>
  <c r="W16" i="112" s="1"/>
  <c r="W17" i="112" s="1"/>
  <c r="H16" i="112"/>
  <c r="I16" i="112"/>
  <c r="AB16" i="112" s="1"/>
  <c r="B17" i="112"/>
  <c r="C17" i="112"/>
  <c r="D17" i="112"/>
  <c r="E17" i="112"/>
  <c r="F17" i="112"/>
  <c r="G17" i="112"/>
  <c r="H17" i="112"/>
  <c r="I17" i="112"/>
  <c r="B18" i="112"/>
  <c r="C18" i="112"/>
  <c r="D18" i="112"/>
  <c r="E18" i="112"/>
  <c r="F18" i="112"/>
  <c r="G18" i="112"/>
  <c r="H18" i="112"/>
  <c r="I18" i="112"/>
  <c r="B19" i="112"/>
  <c r="C19" i="112"/>
  <c r="D19" i="112"/>
  <c r="E19" i="112"/>
  <c r="F19" i="112"/>
  <c r="G19" i="112"/>
  <c r="H19" i="112"/>
  <c r="I19" i="112"/>
  <c r="B20" i="112"/>
  <c r="C20" i="112"/>
  <c r="D20" i="112"/>
  <c r="E20" i="112"/>
  <c r="F20" i="112"/>
  <c r="G20" i="112"/>
  <c r="H20" i="112"/>
  <c r="I20" i="112"/>
  <c r="B21" i="112"/>
  <c r="C21" i="112"/>
  <c r="D21" i="112"/>
  <c r="E21" i="112"/>
  <c r="F21" i="112"/>
  <c r="G21" i="112"/>
  <c r="H21" i="112"/>
  <c r="I21" i="112"/>
  <c r="B22" i="112"/>
  <c r="C22" i="112"/>
  <c r="D22" i="112"/>
  <c r="E22" i="112"/>
  <c r="F22" i="112"/>
  <c r="G22" i="112"/>
  <c r="H22" i="112"/>
  <c r="I22" i="112"/>
  <c r="B23" i="112"/>
  <c r="C23" i="112"/>
  <c r="D23" i="112"/>
  <c r="E23" i="112"/>
  <c r="F23" i="112"/>
  <c r="G23" i="112"/>
  <c r="H23" i="112"/>
  <c r="I23" i="112"/>
  <c r="B24" i="112"/>
  <c r="C24" i="112"/>
  <c r="D24" i="112"/>
  <c r="E24" i="112"/>
  <c r="F24" i="112"/>
  <c r="G24" i="112"/>
  <c r="H24" i="112"/>
  <c r="I24" i="112"/>
  <c r="B25" i="112"/>
  <c r="C25" i="112"/>
  <c r="D25" i="112"/>
  <c r="E25" i="112"/>
  <c r="F25" i="112"/>
  <c r="G25" i="112"/>
  <c r="H25" i="112"/>
  <c r="I25" i="112"/>
  <c r="B26" i="112"/>
  <c r="C26" i="112"/>
  <c r="D26" i="112"/>
  <c r="E26" i="112"/>
  <c r="F26" i="112"/>
  <c r="G26" i="112"/>
  <c r="H26" i="112"/>
  <c r="I26" i="112"/>
  <c r="B27" i="112"/>
  <c r="C27" i="112"/>
  <c r="D27" i="112"/>
  <c r="E27" i="112"/>
  <c r="F27" i="112"/>
  <c r="G27" i="112"/>
  <c r="H27" i="112"/>
  <c r="I27" i="112"/>
  <c r="C42" i="111"/>
  <c r="C43" i="111"/>
  <c r="E44" i="111" s="1"/>
  <c r="C44" i="111"/>
  <c r="C45" i="111"/>
  <c r="B16" i="111"/>
  <c r="C16" i="111"/>
  <c r="L16" i="111" s="1"/>
  <c r="N17" i="111" s="1"/>
  <c r="P17" i="111" s="1"/>
  <c r="D16" i="111"/>
  <c r="E16" i="111"/>
  <c r="R16" i="111" s="1"/>
  <c r="F16" i="111"/>
  <c r="G16" i="111"/>
  <c r="H16" i="111"/>
  <c r="I16" i="111"/>
  <c r="B17" i="111"/>
  <c r="C17" i="111"/>
  <c r="D17" i="111"/>
  <c r="E17" i="111"/>
  <c r="F17" i="111"/>
  <c r="G17" i="111"/>
  <c r="H17" i="111"/>
  <c r="I17" i="111"/>
  <c r="B18" i="111"/>
  <c r="C18" i="111"/>
  <c r="D18" i="111"/>
  <c r="E18" i="111"/>
  <c r="F18" i="111"/>
  <c r="G18" i="111"/>
  <c r="H18" i="111"/>
  <c r="I18" i="111"/>
  <c r="B19" i="111"/>
  <c r="C19" i="111"/>
  <c r="D19" i="111"/>
  <c r="E19" i="111"/>
  <c r="F19" i="111"/>
  <c r="G19" i="111"/>
  <c r="H19" i="111"/>
  <c r="I19" i="111"/>
  <c r="B20" i="111"/>
  <c r="C20" i="111"/>
  <c r="D20" i="111"/>
  <c r="E20" i="111"/>
  <c r="F20" i="111"/>
  <c r="G20" i="111"/>
  <c r="H20" i="111"/>
  <c r="I20" i="111"/>
  <c r="B21" i="111"/>
  <c r="C21" i="111"/>
  <c r="D21" i="111"/>
  <c r="E21" i="111"/>
  <c r="F21" i="111"/>
  <c r="G21" i="111"/>
  <c r="H21" i="111"/>
  <c r="I21" i="111"/>
  <c r="B22" i="111"/>
  <c r="C22" i="111"/>
  <c r="D22" i="111"/>
  <c r="E22" i="111"/>
  <c r="F22" i="111"/>
  <c r="G22" i="111"/>
  <c r="H22" i="111"/>
  <c r="I22" i="111"/>
  <c r="B23" i="111"/>
  <c r="C23" i="111"/>
  <c r="D23" i="111"/>
  <c r="E23" i="111"/>
  <c r="F23" i="111"/>
  <c r="G23" i="111"/>
  <c r="H23" i="111"/>
  <c r="I23" i="111"/>
  <c r="B24" i="111"/>
  <c r="C24" i="111"/>
  <c r="D24" i="111"/>
  <c r="E24" i="111"/>
  <c r="F24" i="111"/>
  <c r="G24" i="111"/>
  <c r="H24" i="111"/>
  <c r="I24" i="111"/>
  <c r="B25" i="111"/>
  <c r="C25" i="111"/>
  <c r="D25" i="111"/>
  <c r="E25" i="111"/>
  <c r="F25" i="111"/>
  <c r="G25" i="111"/>
  <c r="H25" i="111"/>
  <c r="I25" i="111"/>
  <c r="B26" i="111"/>
  <c r="C26" i="111"/>
  <c r="D26" i="111"/>
  <c r="E26" i="111"/>
  <c r="F26" i="111"/>
  <c r="G26" i="111"/>
  <c r="H26" i="111"/>
  <c r="I26" i="111"/>
  <c r="B27" i="111"/>
  <c r="C27" i="111"/>
  <c r="D27" i="111"/>
  <c r="E27" i="111"/>
  <c r="F27" i="111"/>
  <c r="G27" i="111"/>
  <c r="H27" i="111"/>
  <c r="I27" i="111"/>
  <c r="C42" i="110"/>
  <c r="C43" i="110"/>
  <c r="E43" i="110" s="1"/>
  <c r="C44" i="110"/>
  <c r="C45" i="110"/>
  <c r="E45" i="110" s="1"/>
  <c r="B16" i="110"/>
  <c r="C16" i="110"/>
  <c r="D16" i="110"/>
  <c r="E16" i="110"/>
  <c r="F16" i="110"/>
  <c r="G16" i="110"/>
  <c r="H16" i="110"/>
  <c r="I16" i="110"/>
  <c r="B17" i="110"/>
  <c r="C17" i="110"/>
  <c r="D17" i="110"/>
  <c r="E17" i="110"/>
  <c r="F17" i="110"/>
  <c r="G17" i="110"/>
  <c r="H17" i="110"/>
  <c r="I17" i="110"/>
  <c r="B18" i="110"/>
  <c r="C18" i="110"/>
  <c r="D18" i="110"/>
  <c r="E18" i="110"/>
  <c r="F18" i="110"/>
  <c r="G18" i="110"/>
  <c r="H18" i="110"/>
  <c r="I18" i="110"/>
  <c r="B19" i="110"/>
  <c r="C19" i="110"/>
  <c r="D19" i="110"/>
  <c r="E19" i="110"/>
  <c r="F19" i="110"/>
  <c r="G19" i="110"/>
  <c r="H19" i="110"/>
  <c r="I19" i="110"/>
  <c r="B20" i="110"/>
  <c r="C20" i="110"/>
  <c r="D20" i="110"/>
  <c r="E20" i="110"/>
  <c r="F20" i="110"/>
  <c r="G20" i="110"/>
  <c r="H20" i="110"/>
  <c r="I20" i="110"/>
  <c r="B21" i="110"/>
  <c r="C21" i="110"/>
  <c r="D21" i="110"/>
  <c r="E21" i="110"/>
  <c r="F21" i="110"/>
  <c r="G21" i="110"/>
  <c r="H21" i="110"/>
  <c r="I21" i="110"/>
  <c r="B22" i="110"/>
  <c r="C22" i="110"/>
  <c r="D22" i="110"/>
  <c r="E22" i="110"/>
  <c r="F22" i="110"/>
  <c r="G22" i="110"/>
  <c r="H22" i="110"/>
  <c r="I22" i="110"/>
  <c r="B23" i="110"/>
  <c r="C23" i="110"/>
  <c r="D23" i="110"/>
  <c r="E23" i="110"/>
  <c r="F23" i="110"/>
  <c r="G23" i="110"/>
  <c r="H23" i="110"/>
  <c r="I23" i="110"/>
  <c r="B24" i="110"/>
  <c r="C24" i="110"/>
  <c r="D24" i="110"/>
  <c r="E24" i="110"/>
  <c r="F24" i="110"/>
  <c r="G24" i="110"/>
  <c r="H24" i="110"/>
  <c r="I24" i="110"/>
  <c r="B25" i="110"/>
  <c r="C25" i="110"/>
  <c r="D25" i="110"/>
  <c r="E25" i="110"/>
  <c r="F25" i="110"/>
  <c r="G25" i="110"/>
  <c r="H25" i="110"/>
  <c r="I25" i="110"/>
  <c r="B26" i="110"/>
  <c r="C26" i="110"/>
  <c r="D26" i="110"/>
  <c r="E26" i="110"/>
  <c r="F26" i="110"/>
  <c r="G26" i="110"/>
  <c r="H26" i="110"/>
  <c r="I26" i="110"/>
  <c r="B27" i="110"/>
  <c r="C27" i="110"/>
  <c r="D27" i="110"/>
  <c r="E27" i="110"/>
  <c r="F27" i="110"/>
  <c r="G27" i="110"/>
  <c r="H27" i="110"/>
  <c r="I27" i="110"/>
  <c r="C42" i="109"/>
  <c r="C43" i="109"/>
  <c r="C44" i="109"/>
  <c r="C45" i="109"/>
  <c r="B16" i="109"/>
  <c r="C16" i="109"/>
  <c r="M16" i="109" s="1"/>
  <c r="D16" i="109"/>
  <c r="E16" i="109"/>
  <c r="R16" i="109" s="1"/>
  <c r="F16" i="109"/>
  <c r="G16" i="109"/>
  <c r="W16" i="109" s="1"/>
  <c r="H16" i="109"/>
  <c r="I16" i="109"/>
  <c r="AB16" i="109" s="1"/>
  <c r="B17" i="109"/>
  <c r="C17" i="109"/>
  <c r="D17" i="109"/>
  <c r="E17" i="109"/>
  <c r="F17" i="109"/>
  <c r="G17" i="109"/>
  <c r="H17" i="109"/>
  <c r="I17" i="109"/>
  <c r="B18" i="109"/>
  <c r="C18" i="109"/>
  <c r="D18" i="109"/>
  <c r="E18" i="109"/>
  <c r="F18" i="109"/>
  <c r="G18" i="109"/>
  <c r="H18" i="109"/>
  <c r="I18" i="109"/>
  <c r="B19" i="109"/>
  <c r="C19" i="109"/>
  <c r="D19" i="109"/>
  <c r="E19" i="109"/>
  <c r="F19" i="109"/>
  <c r="G19" i="109"/>
  <c r="H19" i="109"/>
  <c r="I19" i="109"/>
  <c r="B20" i="109"/>
  <c r="C20" i="109"/>
  <c r="D20" i="109"/>
  <c r="E20" i="109"/>
  <c r="F20" i="109"/>
  <c r="G20" i="109"/>
  <c r="H20" i="109"/>
  <c r="I20" i="109"/>
  <c r="B21" i="109"/>
  <c r="C21" i="109"/>
  <c r="D21" i="109"/>
  <c r="E21" i="109"/>
  <c r="F21" i="109"/>
  <c r="G21" i="109"/>
  <c r="H21" i="109"/>
  <c r="I21" i="109"/>
  <c r="B22" i="109"/>
  <c r="C22" i="109"/>
  <c r="D22" i="109"/>
  <c r="E22" i="109"/>
  <c r="F22" i="109"/>
  <c r="G22" i="109"/>
  <c r="H22" i="109"/>
  <c r="I22" i="109"/>
  <c r="B23" i="109"/>
  <c r="C23" i="109"/>
  <c r="D23" i="109"/>
  <c r="E23" i="109"/>
  <c r="F23" i="109"/>
  <c r="G23" i="109"/>
  <c r="H23" i="109"/>
  <c r="I23" i="109"/>
  <c r="B24" i="109"/>
  <c r="C24" i="109"/>
  <c r="D24" i="109"/>
  <c r="E24" i="109"/>
  <c r="F24" i="109"/>
  <c r="G24" i="109"/>
  <c r="H24" i="109"/>
  <c r="I24" i="109"/>
  <c r="B25" i="109"/>
  <c r="C25" i="109"/>
  <c r="D25" i="109"/>
  <c r="E25" i="109"/>
  <c r="F25" i="109"/>
  <c r="G25" i="109"/>
  <c r="H25" i="109"/>
  <c r="I25" i="109"/>
  <c r="B26" i="109"/>
  <c r="C26" i="109"/>
  <c r="D26" i="109"/>
  <c r="E26" i="109"/>
  <c r="F26" i="109"/>
  <c r="G26" i="109"/>
  <c r="H26" i="109"/>
  <c r="I26" i="109"/>
  <c r="B27" i="109"/>
  <c r="C27" i="109"/>
  <c r="D27" i="109"/>
  <c r="E27" i="109"/>
  <c r="F27" i="109"/>
  <c r="G27" i="109"/>
  <c r="H27" i="109"/>
  <c r="I27" i="109"/>
  <c r="C42" i="108"/>
  <c r="C43" i="108"/>
  <c r="C44" i="108"/>
  <c r="C45" i="108"/>
  <c r="B16" i="108"/>
  <c r="C16" i="108"/>
  <c r="M16" i="108" s="1"/>
  <c r="D16" i="108"/>
  <c r="E16" i="108"/>
  <c r="R16" i="108" s="1"/>
  <c r="F16" i="108"/>
  <c r="G16" i="108"/>
  <c r="W16" i="108" s="1"/>
  <c r="H16" i="108"/>
  <c r="I16" i="108"/>
  <c r="AB16" i="108" s="1"/>
  <c r="B17" i="108"/>
  <c r="C17" i="108"/>
  <c r="D17" i="108"/>
  <c r="E17" i="108"/>
  <c r="F17" i="108"/>
  <c r="G17" i="108"/>
  <c r="H17" i="108"/>
  <c r="I17" i="108"/>
  <c r="B18" i="108"/>
  <c r="C18" i="108"/>
  <c r="D18" i="108"/>
  <c r="E18" i="108"/>
  <c r="F18" i="108"/>
  <c r="G18" i="108"/>
  <c r="H18" i="108"/>
  <c r="I18" i="108"/>
  <c r="B19" i="108"/>
  <c r="C19" i="108"/>
  <c r="D19" i="108"/>
  <c r="E19" i="108"/>
  <c r="F19" i="108"/>
  <c r="G19" i="108"/>
  <c r="H19" i="108"/>
  <c r="I19" i="108"/>
  <c r="B20" i="108"/>
  <c r="C20" i="108"/>
  <c r="D20" i="108"/>
  <c r="E20" i="108"/>
  <c r="F20" i="108"/>
  <c r="G20" i="108"/>
  <c r="H20" i="108"/>
  <c r="I20" i="108"/>
  <c r="B21" i="108"/>
  <c r="C21" i="108"/>
  <c r="D21" i="108"/>
  <c r="E21" i="108"/>
  <c r="F21" i="108"/>
  <c r="G21" i="108"/>
  <c r="H21" i="108"/>
  <c r="I21" i="108"/>
  <c r="B22" i="108"/>
  <c r="C22" i="108"/>
  <c r="D22" i="108"/>
  <c r="E22" i="108"/>
  <c r="F22" i="108"/>
  <c r="G22" i="108"/>
  <c r="H22" i="108"/>
  <c r="I22" i="108"/>
  <c r="B23" i="108"/>
  <c r="C23" i="108"/>
  <c r="D23" i="108"/>
  <c r="E23" i="108"/>
  <c r="F23" i="108"/>
  <c r="G23" i="108"/>
  <c r="H23" i="108"/>
  <c r="I23" i="108"/>
  <c r="B24" i="108"/>
  <c r="C24" i="108"/>
  <c r="D24" i="108"/>
  <c r="E24" i="108"/>
  <c r="F24" i="108"/>
  <c r="G24" i="108"/>
  <c r="H24" i="108"/>
  <c r="I24" i="108"/>
  <c r="B25" i="108"/>
  <c r="C25" i="108"/>
  <c r="D25" i="108"/>
  <c r="E25" i="108"/>
  <c r="F25" i="108"/>
  <c r="G25" i="108"/>
  <c r="H25" i="108"/>
  <c r="I25" i="108"/>
  <c r="B26" i="108"/>
  <c r="C26" i="108"/>
  <c r="D26" i="108"/>
  <c r="E26" i="108"/>
  <c r="F26" i="108"/>
  <c r="G26" i="108"/>
  <c r="H26" i="108"/>
  <c r="I26" i="108"/>
  <c r="B27" i="108"/>
  <c r="C27" i="108"/>
  <c r="D27" i="108"/>
  <c r="E27" i="108"/>
  <c r="F27" i="108"/>
  <c r="G27" i="108"/>
  <c r="H27" i="108"/>
  <c r="I27" i="108"/>
  <c r="C42" i="107"/>
  <c r="C43" i="107"/>
  <c r="E44" i="107" s="1"/>
  <c r="C44" i="107"/>
  <c r="C45" i="107"/>
  <c r="B16" i="107"/>
  <c r="C16" i="107"/>
  <c r="D16" i="107"/>
  <c r="E16" i="107"/>
  <c r="R16" i="107" s="1"/>
  <c r="F16" i="107"/>
  <c r="G16" i="107"/>
  <c r="H16" i="107"/>
  <c r="I16" i="107"/>
  <c r="B17" i="107"/>
  <c r="C17" i="107"/>
  <c r="D17" i="107"/>
  <c r="E17" i="107"/>
  <c r="F17" i="107"/>
  <c r="G17" i="107"/>
  <c r="H17" i="107"/>
  <c r="I17" i="107"/>
  <c r="B18" i="107"/>
  <c r="C18" i="107"/>
  <c r="D18" i="107"/>
  <c r="E18" i="107"/>
  <c r="F18" i="107"/>
  <c r="G18" i="107"/>
  <c r="H18" i="107"/>
  <c r="I18" i="107"/>
  <c r="B19" i="107"/>
  <c r="C19" i="107"/>
  <c r="D19" i="107"/>
  <c r="E19" i="107"/>
  <c r="F19" i="107"/>
  <c r="G19" i="107"/>
  <c r="H19" i="107"/>
  <c r="I19" i="107"/>
  <c r="B20" i="107"/>
  <c r="C20" i="107"/>
  <c r="D20" i="107"/>
  <c r="E20" i="107"/>
  <c r="F20" i="107"/>
  <c r="G20" i="107"/>
  <c r="H20" i="107"/>
  <c r="I20" i="107"/>
  <c r="B21" i="107"/>
  <c r="C21" i="107"/>
  <c r="D21" i="107"/>
  <c r="E21" i="107"/>
  <c r="F21" i="107"/>
  <c r="G21" i="107"/>
  <c r="H21" i="107"/>
  <c r="I21" i="107"/>
  <c r="B22" i="107"/>
  <c r="C22" i="107"/>
  <c r="D22" i="107"/>
  <c r="E22" i="107"/>
  <c r="F22" i="107"/>
  <c r="G22" i="107"/>
  <c r="H22" i="107"/>
  <c r="I22" i="107"/>
  <c r="B23" i="107"/>
  <c r="C23" i="107"/>
  <c r="D23" i="107"/>
  <c r="E23" i="107"/>
  <c r="F23" i="107"/>
  <c r="G23" i="107"/>
  <c r="H23" i="107"/>
  <c r="I23" i="107"/>
  <c r="B24" i="107"/>
  <c r="C24" i="107"/>
  <c r="D24" i="107"/>
  <c r="E24" i="107"/>
  <c r="F24" i="107"/>
  <c r="G24" i="107"/>
  <c r="H24" i="107"/>
  <c r="I24" i="107"/>
  <c r="B25" i="107"/>
  <c r="C25" i="107"/>
  <c r="D25" i="107"/>
  <c r="E25" i="107"/>
  <c r="F25" i="107"/>
  <c r="G25" i="107"/>
  <c r="H25" i="107"/>
  <c r="I25" i="107"/>
  <c r="B26" i="107"/>
  <c r="C26" i="107"/>
  <c r="D26" i="107"/>
  <c r="E26" i="107"/>
  <c r="F26" i="107"/>
  <c r="G26" i="107"/>
  <c r="H26" i="107"/>
  <c r="I26" i="107"/>
  <c r="B27" i="107"/>
  <c r="C27" i="107"/>
  <c r="D27" i="107"/>
  <c r="E27" i="107"/>
  <c r="F27" i="107"/>
  <c r="G27" i="107"/>
  <c r="H27" i="107"/>
  <c r="I27" i="107"/>
  <c r="C42" i="106"/>
  <c r="C43" i="106"/>
  <c r="E43" i="106" s="1"/>
  <c r="C44" i="106"/>
  <c r="C45" i="106"/>
  <c r="E46" i="106" s="1"/>
  <c r="B16" i="106"/>
  <c r="C16" i="106"/>
  <c r="D16" i="106"/>
  <c r="E16" i="106"/>
  <c r="F16" i="106"/>
  <c r="G16" i="106"/>
  <c r="W16" i="106" s="1"/>
  <c r="H16" i="106"/>
  <c r="I16" i="106"/>
  <c r="AA16" i="106" s="1"/>
  <c r="B17" i="106"/>
  <c r="C17" i="106"/>
  <c r="D17" i="106"/>
  <c r="E17" i="106"/>
  <c r="F17" i="106"/>
  <c r="G17" i="106"/>
  <c r="H17" i="106"/>
  <c r="I17" i="106"/>
  <c r="B18" i="106"/>
  <c r="C18" i="106"/>
  <c r="D18" i="106"/>
  <c r="E18" i="106"/>
  <c r="F18" i="106"/>
  <c r="G18" i="106"/>
  <c r="H18" i="106"/>
  <c r="I18" i="106"/>
  <c r="B19" i="106"/>
  <c r="C19" i="106"/>
  <c r="D19" i="106"/>
  <c r="E19" i="106"/>
  <c r="F19" i="106"/>
  <c r="G19" i="106"/>
  <c r="H19" i="106"/>
  <c r="I19" i="106"/>
  <c r="B20" i="106"/>
  <c r="C20" i="106"/>
  <c r="D20" i="106"/>
  <c r="E20" i="106"/>
  <c r="F20" i="106"/>
  <c r="G20" i="106"/>
  <c r="H20" i="106"/>
  <c r="I20" i="106"/>
  <c r="B21" i="106"/>
  <c r="C21" i="106"/>
  <c r="D21" i="106"/>
  <c r="E21" i="106"/>
  <c r="F21" i="106"/>
  <c r="G21" i="106"/>
  <c r="H21" i="106"/>
  <c r="I21" i="106"/>
  <c r="B22" i="106"/>
  <c r="C22" i="106"/>
  <c r="D22" i="106"/>
  <c r="E22" i="106"/>
  <c r="F22" i="106"/>
  <c r="G22" i="106"/>
  <c r="H22" i="106"/>
  <c r="I22" i="106"/>
  <c r="B23" i="106"/>
  <c r="C23" i="106"/>
  <c r="D23" i="106"/>
  <c r="E23" i="106"/>
  <c r="F23" i="106"/>
  <c r="G23" i="106"/>
  <c r="H23" i="106"/>
  <c r="I23" i="106"/>
  <c r="B24" i="106"/>
  <c r="C24" i="106"/>
  <c r="D24" i="106"/>
  <c r="E24" i="106"/>
  <c r="F24" i="106"/>
  <c r="G24" i="106"/>
  <c r="H24" i="106"/>
  <c r="I24" i="106"/>
  <c r="B25" i="106"/>
  <c r="C25" i="106"/>
  <c r="D25" i="106"/>
  <c r="E25" i="106"/>
  <c r="F25" i="106"/>
  <c r="G25" i="106"/>
  <c r="H25" i="106"/>
  <c r="I25" i="106"/>
  <c r="B26" i="106"/>
  <c r="C26" i="106"/>
  <c r="D26" i="106"/>
  <c r="E26" i="106"/>
  <c r="F26" i="106"/>
  <c r="G26" i="106"/>
  <c r="H26" i="106"/>
  <c r="I26" i="106"/>
  <c r="B27" i="106"/>
  <c r="C27" i="106"/>
  <c r="D27" i="106"/>
  <c r="E27" i="106"/>
  <c r="F27" i="106"/>
  <c r="G27" i="106"/>
  <c r="H27" i="106"/>
  <c r="I27" i="106"/>
  <c r="C42" i="105"/>
  <c r="C43" i="105"/>
  <c r="C44" i="105"/>
  <c r="C45" i="105"/>
  <c r="B16" i="105"/>
  <c r="C16" i="105"/>
  <c r="M16" i="105" s="1"/>
  <c r="D16" i="105"/>
  <c r="E16" i="105"/>
  <c r="Q16" i="105" s="1"/>
  <c r="F16" i="105"/>
  <c r="G16" i="105"/>
  <c r="V16" i="105" s="1"/>
  <c r="H16" i="105"/>
  <c r="I16" i="105"/>
  <c r="AB16" i="105" s="1"/>
  <c r="B17" i="105"/>
  <c r="C17" i="105"/>
  <c r="D17" i="105"/>
  <c r="E17" i="105"/>
  <c r="F17" i="105"/>
  <c r="G17" i="105"/>
  <c r="H17" i="105"/>
  <c r="I17" i="105"/>
  <c r="B18" i="105"/>
  <c r="C18" i="105"/>
  <c r="D18" i="105"/>
  <c r="E18" i="105"/>
  <c r="F18" i="105"/>
  <c r="G18" i="105"/>
  <c r="H18" i="105"/>
  <c r="I18" i="105"/>
  <c r="B19" i="105"/>
  <c r="C19" i="105"/>
  <c r="D19" i="105"/>
  <c r="E19" i="105"/>
  <c r="F19" i="105"/>
  <c r="G19" i="105"/>
  <c r="H19" i="105"/>
  <c r="I19" i="105"/>
  <c r="B20" i="105"/>
  <c r="C20" i="105"/>
  <c r="D20" i="105"/>
  <c r="E20" i="105"/>
  <c r="F20" i="105"/>
  <c r="G20" i="105"/>
  <c r="H20" i="105"/>
  <c r="I20" i="105"/>
  <c r="B21" i="105"/>
  <c r="C21" i="105"/>
  <c r="D21" i="105"/>
  <c r="E21" i="105"/>
  <c r="F21" i="105"/>
  <c r="G21" i="105"/>
  <c r="H21" i="105"/>
  <c r="I21" i="105"/>
  <c r="B22" i="105"/>
  <c r="C22" i="105"/>
  <c r="D22" i="105"/>
  <c r="E22" i="105"/>
  <c r="F22" i="105"/>
  <c r="G22" i="105"/>
  <c r="H22" i="105"/>
  <c r="I22" i="105"/>
  <c r="B23" i="105"/>
  <c r="C23" i="105"/>
  <c r="D23" i="105"/>
  <c r="E23" i="105"/>
  <c r="F23" i="105"/>
  <c r="G23" i="105"/>
  <c r="H23" i="105"/>
  <c r="I23" i="105"/>
  <c r="B24" i="105"/>
  <c r="C24" i="105"/>
  <c r="D24" i="105"/>
  <c r="E24" i="105"/>
  <c r="F24" i="105"/>
  <c r="G24" i="105"/>
  <c r="H24" i="105"/>
  <c r="I24" i="105"/>
  <c r="B25" i="105"/>
  <c r="C25" i="105"/>
  <c r="D25" i="105"/>
  <c r="E25" i="105"/>
  <c r="F25" i="105"/>
  <c r="G25" i="105"/>
  <c r="H25" i="105"/>
  <c r="I25" i="105"/>
  <c r="B26" i="105"/>
  <c r="C26" i="105"/>
  <c r="D26" i="105"/>
  <c r="E26" i="105"/>
  <c r="F26" i="105"/>
  <c r="G26" i="105"/>
  <c r="H26" i="105"/>
  <c r="I26" i="105"/>
  <c r="B27" i="105"/>
  <c r="C27" i="105"/>
  <c r="D27" i="105"/>
  <c r="E27" i="105"/>
  <c r="F27" i="105"/>
  <c r="G27" i="105"/>
  <c r="H27" i="105"/>
  <c r="I27" i="105"/>
  <c r="C42" i="104"/>
  <c r="C43" i="104"/>
  <c r="C44" i="104"/>
  <c r="C45" i="104"/>
  <c r="B16" i="104"/>
  <c r="C16" i="104"/>
  <c r="L16" i="104" s="1"/>
  <c r="D16" i="104"/>
  <c r="E16" i="104"/>
  <c r="F16" i="104"/>
  <c r="G16" i="104"/>
  <c r="V16" i="104" s="1"/>
  <c r="X17" i="104" s="1"/>
  <c r="H16" i="104"/>
  <c r="I16" i="104"/>
  <c r="AB16" i="104" s="1"/>
  <c r="B17" i="104"/>
  <c r="C17" i="104"/>
  <c r="D17" i="104"/>
  <c r="E17" i="104"/>
  <c r="F17" i="104"/>
  <c r="G17" i="104"/>
  <c r="H17" i="104"/>
  <c r="I17" i="104"/>
  <c r="B18" i="104"/>
  <c r="C18" i="104"/>
  <c r="D18" i="104"/>
  <c r="E18" i="104"/>
  <c r="F18" i="104"/>
  <c r="G18" i="104"/>
  <c r="H18" i="104"/>
  <c r="I18" i="104"/>
  <c r="B19" i="104"/>
  <c r="C19" i="104"/>
  <c r="D19" i="104"/>
  <c r="E19" i="104"/>
  <c r="F19" i="104"/>
  <c r="G19" i="104"/>
  <c r="H19" i="104"/>
  <c r="I19" i="104"/>
  <c r="B20" i="104"/>
  <c r="C20" i="104"/>
  <c r="D20" i="104"/>
  <c r="E20" i="104"/>
  <c r="F20" i="104"/>
  <c r="G20" i="104"/>
  <c r="H20" i="104"/>
  <c r="I20" i="104"/>
  <c r="B21" i="104"/>
  <c r="C21" i="104"/>
  <c r="D21" i="104"/>
  <c r="E21" i="104"/>
  <c r="F21" i="104"/>
  <c r="G21" i="104"/>
  <c r="H21" i="104"/>
  <c r="I21" i="104"/>
  <c r="B22" i="104"/>
  <c r="C22" i="104"/>
  <c r="D22" i="104"/>
  <c r="E22" i="104"/>
  <c r="F22" i="104"/>
  <c r="G22" i="104"/>
  <c r="H22" i="104"/>
  <c r="I22" i="104"/>
  <c r="B23" i="104"/>
  <c r="C23" i="104"/>
  <c r="D23" i="104"/>
  <c r="E23" i="104"/>
  <c r="F23" i="104"/>
  <c r="G23" i="104"/>
  <c r="H23" i="104"/>
  <c r="I23" i="104"/>
  <c r="B24" i="104"/>
  <c r="C24" i="104"/>
  <c r="D24" i="104"/>
  <c r="E24" i="104"/>
  <c r="F24" i="104"/>
  <c r="G24" i="104"/>
  <c r="H24" i="104"/>
  <c r="I24" i="104"/>
  <c r="B25" i="104"/>
  <c r="C25" i="104"/>
  <c r="D25" i="104"/>
  <c r="E25" i="104"/>
  <c r="F25" i="104"/>
  <c r="G25" i="104"/>
  <c r="H25" i="104"/>
  <c r="I25" i="104"/>
  <c r="B26" i="104"/>
  <c r="C26" i="104"/>
  <c r="D26" i="104"/>
  <c r="E26" i="104"/>
  <c r="F26" i="104"/>
  <c r="G26" i="104"/>
  <c r="H26" i="104"/>
  <c r="I26" i="104"/>
  <c r="B27" i="104"/>
  <c r="C27" i="104"/>
  <c r="D27" i="104"/>
  <c r="E27" i="104"/>
  <c r="F27" i="104"/>
  <c r="G27" i="104"/>
  <c r="H27" i="104"/>
  <c r="I27" i="104"/>
  <c r="C42" i="103"/>
  <c r="C43" i="103"/>
  <c r="E44" i="103" s="1"/>
  <c r="C44" i="103"/>
  <c r="C45" i="103"/>
  <c r="B16" i="103"/>
  <c r="C16" i="103"/>
  <c r="D16" i="103"/>
  <c r="E16" i="103"/>
  <c r="Q16" i="103" s="1"/>
  <c r="F16" i="103"/>
  <c r="G16" i="103"/>
  <c r="H16" i="103"/>
  <c r="I16" i="103"/>
  <c r="B17" i="103"/>
  <c r="C17" i="103"/>
  <c r="D17" i="103"/>
  <c r="E17" i="103"/>
  <c r="F17" i="103"/>
  <c r="G17" i="103"/>
  <c r="H17" i="103"/>
  <c r="I17" i="103"/>
  <c r="B18" i="103"/>
  <c r="C18" i="103"/>
  <c r="D18" i="103"/>
  <c r="E18" i="103"/>
  <c r="F18" i="103"/>
  <c r="G18" i="103"/>
  <c r="H18" i="103"/>
  <c r="I18" i="103"/>
  <c r="B19" i="103"/>
  <c r="C19" i="103"/>
  <c r="D19" i="103"/>
  <c r="E19" i="103"/>
  <c r="F19" i="103"/>
  <c r="G19" i="103"/>
  <c r="H19" i="103"/>
  <c r="I19" i="103"/>
  <c r="B20" i="103"/>
  <c r="C20" i="103"/>
  <c r="D20" i="103"/>
  <c r="E20" i="103"/>
  <c r="F20" i="103"/>
  <c r="G20" i="103"/>
  <c r="H20" i="103"/>
  <c r="I20" i="103"/>
  <c r="B21" i="103"/>
  <c r="C21" i="103"/>
  <c r="D21" i="103"/>
  <c r="E21" i="103"/>
  <c r="F21" i="103"/>
  <c r="G21" i="103"/>
  <c r="H21" i="103"/>
  <c r="I21" i="103"/>
  <c r="B22" i="103"/>
  <c r="C22" i="103"/>
  <c r="D22" i="103"/>
  <c r="E22" i="103"/>
  <c r="F22" i="103"/>
  <c r="G22" i="103"/>
  <c r="H22" i="103"/>
  <c r="I22" i="103"/>
  <c r="B23" i="103"/>
  <c r="C23" i="103"/>
  <c r="D23" i="103"/>
  <c r="E23" i="103"/>
  <c r="F23" i="103"/>
  <c r="G23" i="103"/>
  <c r="H23" i="103"/>
  <c r="I23" i="103"/>
  <c r="B24" i="103"/>
  <c r="C24" i="103"/>
  <c r="D24" i="103"/>
  <c r="E24" i="103"/>
  <c r="F24" i="103"/>
  <c r="G24" i="103"/>
  <c r="H24" i="103"/>
  <c r="I24" i="103"/>
  <c r="B25" i="103"/>
  <c r="C25" i="103"/>
  <c r="D25" i="103"/>
  <c r="E25" i="103"/>
  <c r="F25" i="103"/>
  <c r="G25" i="103"/>
  <c r="H25" i="103"/>
  <c r="I25" i="103"/>
  <c r="B26" i="103"/>
  <c r="C26" i="103"/>
  <c r="D26" i="103"/>
  <c r="E26" i="103"/>
  <c r="F26" i="103"/>
  <c r="G26" i="103"/>
  <c r="H26" i="103"/>
  <c r="I26" i="103"/>
  <c r="B27" i="103"/>
  <c r="C27" i="103"/>
  <c r="D27" i="103"/>
  <c r="E27" i="103"/>
  <c r="F27" i="103"/>
  <c r="G27" i="103"/>
  <c r="H27" i="103"/>
  <c r="I27" i="103"/>
  <c r="C42" i="53"/>
  <c r="C43" i="53"/>
  <c r="E43" i="53" s="1"/>
  <c r="C44" i="53"/>
  <c r="C45" i="53"/>
  <c r="E46" i="53" s="1"/>
  <c r="B16" i="53"/>
  <c r="C16" i="53"/>
  <c r="D16" i="53"/>
  <c r="E16" i="53"/>
  <c r="F16" i="53"/>
  <c r="G16" i="53"/>
  <c r="W16" i="53" s="1"/>
  <c r="H16" i="53"/>
  <c r="I16" i="53"/>
  <c r="B17" i="53"/>
  <c r="C17" i="53"/>
  <c r="D17" i="53"/>
  <c r="E17" i="53"/>
  <c r="F17" i="53"/>
  <c r="G17" i="53"/>
  <c r="H17" i="53"/>
  <c r="I17" i="53"/>
  <c r="B18" i="53"/>
  <c r="C18" i="53"/>
  <c r="D18" i="53"/>
  <c r="E18" i="53"/>
  <c r="F18" i="53"/>
  <c r="G18" i="53"/>
  <c r="H18" i="53"/>
  <c r="I18" i="53"/>
  <c r="B19" i="53"/>
  <c r="C19" i="53"/>
  <c r="D19" i="53"/>
  <c r="E19" i="53"/>
  <c r="F19" i="53"/>
  <c r="G19" i="53"/>
  <c r="H19" i="53"/>
  <c r="I19" i="53"/>
  <c r="B20" i="53"/>
  <c r="C20" i="53"/>
  <c r="D20" i="53"/>
  <c r="E20" i="53"/>
  <c r="F20" i="53"/>
  <c r="G20" i="53"/>
  <c r="H20" i="53"/>
  <c r="I20" i="53"/>
  <c r="B21" i="53"/>
  <c r="C21" i="53"/>
  <c r="D21" i="53"/>
  <c r="E21" i="53"/>
  <c r="F21" i="53"/>
  <c r="G21" i="53"/>
  <c r="H21" i="53"/>
  <c r="I21" i="53"/>
  <c r="B22" i="53"/>
  <c r="C22" i="53"/>
  <c r="D22" i="53"/>
  <c r="E22" i="53"/>
  <c r="F22" i="53"/>
  <c r="G22" i="53"/>
  <c r="H22" i="53"/>
  <c r="I22" i="53"/>
  <c r="B23" i="53"/>
  <c r="C23" i="53"/>
  <c r="D23" i="53"/>
  <c r="E23" i="53"/>
  <c r="F23" i="53"/>
  <c r="G23" i="53"/>
  <c r="H23" i="53"/>
  <c r="I23" i="53"/>
  <c r="B24" i="53"/>
  <c r="C24" i="53"/>
  <c r="D24" i="53"/>
  <c r="E24" i="53"/>
  <c r="F24" i="53"/>
  <c r="G24" i="53"/>
  <c r="H24" i="53"/>
  <c r="I24" i="53"/>
  <c r="B25" i="53"/>
  <c r="C25" i="53"/>
  <c r="D25" i="53"/>
  <c r="E25" i="53"/>
  <c r="F25" i="53"/>
  <c r="G25" i="53"/>
  <c r="H25" i="53"/>
  <c r="I25" i="53"/>
  <c r="B26" i="53"/>
  <c r="C26" i="53"/>
  <c r="D26" i="53"/>
  <c r="E26" i="53"/>
  <c r="F26" i="53"/>
  <c r="G26" i="53"/>
  <c r="H26" i="53"/>
  <c r="I26" i="53"/>
  <c r="B27" i="53"/>
  <c r="C27" i="53"/>
  <c r="D27" i="53"/>
  <c r="E27" i="53"/>
  <c r="F27" i="53"/>
  <c r="G27" i="53"/>
  <c r="H27" i="53"/>
  <c r="I27" i="53"/>
  <c r="AN246" i="152"/>
  <c r="AM246" i="152"/>
  <c r="AL246" i="152"/>
  <c r="B51" i="151"/>
  <c r="A109" i="151"/>
  <c r="G46" i="151"/>
  <c r="E46" i="151"/>
  <c r="B46" i="151"/>
  <c r="D45" i="151"/>
  <c r="D44" i="151"/>
  <c r="D43" i="151"/>
  <c r="AB16" i="151"/>
  <c r="AB17" i="151" s="1"/>
  <c r="AB18" i="151" s="1"/>
  <c r="AB19" i="151" s="1"/>
  <c r="AB20" i="151" s="1"/>
  <c r="AB21" i="151" s="1"/>
  <c r="AB22" i="151" s="1"/>
  <c r="AB23" i="151" s="1"/>
  <c r="AB24" i="151" s="1"/>
  <c r="AB25" i="151" s="1"/>
  <c r="AB26" i="151" s="1"/>
  <c r="W16" i="151"/>
  <c r="W17" i="151" s="1"/>
  <c r="W18" i="151" s="1"/>
  <c r="W19" i="151" s="1"/>
  <c r="W20" i="151" s="1"/>
  <c r="W21" i="151" s="1"/>
  <c r="W22" i="151" s="1"/>
  <c r="W23" i="151" s="1"/>
  <c r="W24" i="151" s="1"/>
  <c r="W25" i="151" s="1"/>
  <c r="W26" i="151" s="1"/>
  <c r="M16" i="151"/>
  <c r="M17" i="151" s="1"/>
  <c r="M18" i="151" s="1"/>
  <c r="M19" i="151" s="1"/>
  <c r="M20" i="151" s="1"/>
  <c r="M21" i="151" s="1"/>
  <c r="M22" i="151" s="1"/>
  <c r="M23" i="151" s="1"/>
  <c r="M24" i="151" s="1"/>
  <c r="M25" i="151" s="1"/>
  <c r="M26" i="151" s="1"/>
  <c r="AK12" i="151"/>
  <c r="AK13" i="151" s="1"/>
  <c r="B9" i="151"/>
  <c r="B8" i="151"/>
  <c r="E7" i="151"/>
  <c r="D7" i="151"/>
  <c r="AL3" i="151"/>
  <c r="AL2" i="151"/>
  <c r="AG2" i="151"/>
  <c r="AL1" i="151"/>
  <c r="AK1" i="151"/>
  <c r="AK2" i="151" s="1"/>
  <c r="AG1" i="151"/>
  <c r="B51" i="150"/>
  <c r="A109" i="150"/>
  <c r="G46" i="150"/>
  <c r="B46" i="150"/>
  <c r="D45" i="150"/>
  <c r="D44" i="150"/>
  <c r="D43" i="150"/>
  <c r="V16" i="150"/>
  <c r="X17" i="150" s="1"/>
  <c r="Q16" i="150"/>
  <c r="S17" i="150" s="1"/>
  <c r="U17" i="150" s="1"/>
  <c r="L16" i="150"/>
  <c r="AK12" i="150"/>
  <c r="AK13" i="150" s="1"/>
  <c r="B9" i="150"/>
  <c r="B8" i="150"/>
  <c r="E7" i="150"/>
  <c r="D7" i="150"/>
  <c r="AL3" i="150"/>
  <c r="AL2" i="150"/>
  <c r="AG2" i="150"/>
  <c r="AL1" i="150"/>
  <c r="AK1" i="150"/>
  <c r="AK2" i="150" s="1"/>
  <c r="AG1" i="150"/>
  <c r="B51" i="149"/>
  <c r="A109" i="149"/>
  <c r="G46" i="149"/>
  <c r="B46" i="149"/>
  <c r="E45" i="149"/>
  <c r="D45" i="149"/>
  <c r="E44" i="149"/>
  <c r="D44" i="149"/>
  <c r="D43" i="149"/>
  <c r="AA16" i="149"/>
  <c r="AC17" i="149" s="1"/>
  <c r="AE17" i="149" s="1"/>
  <c r="V16" i="149"/>
  <c r="X17" i="149" s="1"/>
  <c r="L16" i="149"/>
  <c r="N17" i="149" s="1"/>
  <c r="P17" i="149" s="1"/>
  <c r="AK12" i="149"/>
  <c r="AK13" i="149" s="1"/>
  <c r="B9" i="149"/>
  <c r="B8" i="149"/>
  <c r="E7" i="149"/>
  <c r="D7" i="149"/>
  <c r="AL3" i="149"/>
  <c r="AL2" i="149"/>
  <c r="AG2" i="149"/>
  <c r="AL1" i="149"/>
  <c r="AK1" i="149"/>
  <c r="AK2" i="149" s="1"/>
  <c r="AG1" i="149"/>
  <c r="B51" i="148"/>
  <c r="A109" i="148"/>
  <c r="G46" i="148"/>
  <c r="B46" i="148"/>
  <c r="D45" i="148"/>
  <c r="D44" i="148"/>
  <c r="D43" i="148"/>
  <c r="AA16" i="148"/>
  <c r="V16" i="148"/>
  <c r="X17" i="148" s="1"/>
  <c r="Q16" i="148"/>
  <c r="S17" i="148" s="1"/>
  <c r="U17" i="148" s="1"/>
  <c r="L16" i="148"/>
  <c r="L17" i="148" s="1"/>
  <c r="N18" i="148" s="1"/>
  <c r="AK12" i="148"/>
  <c r="AK13" i="148" s="1"/>
  <c r="B9" i="148"/>
  <c r="B8" i="148"/>
  <c r="E7" i="148"/>
  <c r="D7" i="148"/>
  <c r="AL3" i="148"/>
  <c r="AL2" i="148"/>
  <c r="AG2" i="148"/>
  <c r="AL1" i="148"/>
  <c r="AK1" i="148"/>
  <c r="AK2" i="148" s="1"/>
  <c r="AG1" i="148"/>
  <c r="B51" i="147"/>
  <c r="A109" i="147"/>
  <c r="G46" i="147"/>
  <c r="B46" i="147"/>
  <c r="D45" i="147"/>
  <c r="D44" i="147"/>
  <c r="D43" i="147"/>
  <c r="AA16" i="147"/>
  <c r="AA17" i="147" s="1"/>
  <c r="AC18" i="147" s="1"/>
  <c r="V16" i="147"/>
  <c r="X17" i="147" s="1"/>
  <c r="Q16" i="147"/>
  <c r="L16" i="147"/>
  <c r="N17" i="147" s="1"/>
  <c r="P17" i="147" s="1"/>
  <c r="AK12" i="147"/>
  <c r="AK13" i="147" s="1"/>
  <c r="B9" i="147"/>
  <c r="B8" i="147"/>
  <c r="E7" i="147"/>
  <c r="D7" i="147"/>
  <c r="AL3" i="147"/>
  <c r="AL2" i="147"/>
  <c r="AG2" i="147"/>
  <c r="AL1" i="147"/>
  <c r="AK1" i="147"/>
  <c r="AK2" i="147" s="1"/>
  <c r="AG1" i="147"/>
  <c r="B51" i="146"/>
  <c r="A109" i="146"/>
  <c r="G46" i="146"/>
  <c r="B46" i="146"/>
  <c r="D45" i="146"/>
  <c r="D44" i="146"/>
  <c r="D43" i="146"/>
  <c r="V16" i="146"/>
  <c r="X17" i="146" s="1"/>
  <c r="Q16" i="146"/>
  <c r="S17" i="146" s="1"/>
  <c r="U17" i="146" s="1"/>
  <c r="L16" i="146"/>
  <c r="N17" i="146" s="1"/>
  <c r="AK12" i="146"/>
  <c r="AK13" i="146" s="1"/>
  <c r="B9" i="146"/>
  <c r="B8" i="146"/>
  <c r="E7" i="146"/>
  <c r="D7" i="146"/>
  <c r="AL3" i="146"/>
  <c r="AL2" i="146"/>
  <c r="AG2" i="146"/>
  <c r="AL1" i="146"/>
  <c r="AK1" i="146"/>
  <c r="AK2" i="146" s="1"/>
  <c r="AG1" i="146"/>
  <c r="B51" i="145"/>
  <c r="A109" i="145"/>
  <c r="G46" i="145"/>
  <c r="B46" i="145"/>
  <c r="E45" i="145"/>
  <c r="D45" i="145"/>
  <c r="E44" i="145"/>
  <c r="D44" i="145"/>
  <c r="D43" i="145"/>
  <c r="AA16" i="145"/>
  <c r="AC17" i="145" s="1"/>
  <c r="AE17" i="145" s="1"/>
  <c r="V16" i="145"/>
  <c r="X17" i="145" s="1"/>
  <c r="L16" i="145"/>
  <c r="N17" i="145" s="1"/>
  <c r="P17" i="145" s="1"/>
  <c r="AK12" i="145"/>
  <c r="AK13" i="145" s="1"/>
  <c r="B9" i="145"/>
  <c r="B8" i="145"/>
  <c r="E7" i="145"/>
  <c r="D7" i="145"/>
  <c r="AL3" i="145"/>
  <c r="AL2" i="145"/>
  <c r="AG2" i="145"/>
  <c r="AL1" i="145"/>
  <c r="AK1" i="145"/>
  <c r="AK2" i="145" s="1"/>
  <c r="AG1" i="145"/>
  <c r="B51" i="144"/>
  <c r="A109" i="144"/>
  <c r="G46" i="144"/>
  <c r="B46" i="144"/>
  <c r="D45" i="144"/>
  <c r="D44" i="144"/>
  <c r="D43" i="144"/>
  <c r="AA16" i="144"/>
  <c r="V16" i="144"/>
  <c r="X17" i="144" s="1"/>
  <c r="Q16" i="144"/>
  <c r="S17" i="144" s="1"/>
  <c r="U17" i="144" s="1"/>
  <c r="L16" i="144"/>
  <c r="L17" i="144" s="1"/>
  <c r="N18" i="144" s="1"/>
  <c r="AK12" i="144"/>
  <c r="AK13" i="144" s="1"/>
  <c r="B9" i="144"/>
  <c r="B8" i="144"/>
  <c r="E7" i="144"/>
  <c r="D7" i="144"/>
  <c r="AL3" i="144"/>
  <c r="AL2" i="144"/>
  <c r="AG2" i="144"/>
  <c r="AL1" i="144"/>
  <c r="AK1" i="144"/>
  <c r="AK2" i="144" s="1"/>
  <c r="AG1" i="144"/>
  <c r="B51" i="143"/>
  <c r="A109" i="143"/>
  <c r="G46" i="143"/>
  <c r="B46" i="143"/>
  <c r="D45" i="143"/>
  <c r="D44" i="143"/>
  <c r="D43" i="143"/>
  <c r="AA16" i="143"/>
  <c r="AA17" i="143" s="1"/>
  <c r="V16" i="143"/>
  <c r="X17" i="143" s="1"/>
  <c r="Q16" i="143"/>
  <c r="L16" i="143"/>
  <c r="N17" i="143" s="1"/>
  <c r="AK12" i="143"/>
  <c r="AK13" i="143" s="1"/>
  <c r="B9" i="143"/>
  <c r="B8" i="143"/>
  <c r="E7" i="143"/>
  <c r="D7" i="143"/>
  <c r="AL3" i="143"/>
  <c r="AL2" i="143"/>
  <c r="AG2" i="143"/>
  <c r="AL1" i="143"/>
  <c r="AK1" i="143"/>
  <c r="AK2" i="143" s="1"/>
  <c r="AK4" i="143" s="1"/>
  <c r="AG1" i="143"/>
  <c r="B51" i="142"/>
  <c r="A109" i="142"/>
  <c r="G46" i="142"/>
  <c r="B46" i="142"/>
  <c r="D45" i="142"/>
  <c r="D44" i="142"/>
  <c r="D43" i="142"/>
  <c r="W16" i="142"/>
  <c r="R16" i="142"/>
  <c r="R17" i="142" s="1"/>
  <c r="R18" i="142" s="1"/>
  <c r="R19" i="142" s="1"/>
  <c r="R20" i="142" s="1"/>
  <c r="R21" i="142" s="1"/>
  <c r="R22" i="142" s="1"/>
  <c r="R23" i="142" s="1"/>
  <c r="R24" i="142" s="1"/>
  <c r="R25" i="142" s="1"/>
  <c r="R26" i="142" s="1"/>
  <c r="M16" i="142"/>
  <c r="M17" i="142" s="1"/>
  <c r="M18" i="142" s="1"/>
  <c r="M19" i="142" s="1"/>
  <c r="M20" i="142" s="1"/>
  <c r="M21" i="142" s="1"/>
  <c r="M22" i="142" s="1"/>
  <c r="M23" i="142" s="1"/>
  <c r="M24" i="142" s="1"/>
  <c r="M25" i="142" s="1"/>
  <c r="M26" i="142" s="1"/>
  <c r="AK12" i="142"/>
  <c r="AK13" i="142" s="1"/>
  <c r="B9" i="142"/>
  <c r="B8" i="142"/>
  <c r="E7" i="142"/>
  <c r="D7" i="142"/>
  <c r="AL3" i="142"/>
  <c r="AL2" i="142"/>
  <c r="AG2" i="142"/>
  <c r="AL1" i="142"/>
  <c r="AK1" i="142"/>
  <c r="AK2" i="142" s="1"/>
  <c r="AG1" i="142"/>
  <c r="B51" i="141"/>
  <c r="A109" i="141"/>
  <c r="G46" i="141"/>
  <c r="B46" i="141"/>
  <c r="D45" i="141"/>
  <c r="D44" i="141"/>
  <c r="D43" i="141"/>
  <c r="AB16" i="141"/>
  <c r="W16" i="141"/>
  <c r="W17" i="141" s="1"/>
  <c r="W18" i="141" s="1"/>
  <c r="W19" i="141" s="1"/>
  <c r="W20" i="141" s="1"/>
  <c r="W21" i="141" s="1"/>
  <c r="W22" i="141" s="1"/>
  <c r="W23" i="141" s="1"/>
  <c r="W24" i="141" s="1"/>
  <c r="W25" i="141" s="1"/>
  <c r="W26" i="141" s="1"/>
  <c r="R16" i="141"/>
  <c r="R17" i="141" s="1"/>
  <c r="R18" i="141" s="1"/>
  <c r="R19" i="141" s="1"/>
  <c r="R20" i="141" s="1"/>
  <c r="R21" i="141" s="1"/>
  <c r="R22" i="141" s="1"/>
  <c r="R23" i="141" s="1"/>
  <c r="R24" i="141" s="1"/>
  <c r="R25" i="141" s="1"/>
  <c r="R26" i="141" s="1"/>
  <c r="L16" i="141"/>
  <c r="AK12" i="141"/>
  <c r="AK13" i="141" s="1"/>
  <c r="B9" i="141"/>
  <c r="B8" i="141"/>
  <c r="E7" i="141"/>
  <c r="D7" i="141"/>
  <c r="AL3" i="141"/>
  <c r="AL2" i="141"/>
  <c r="AG2" i="141"/>
  <c r="AL1" i="141"/>
  <c r="AK1" i="141"/>
  <c r="AK2" i="141" s="1"/>
  <c r="AG1" i="141"/>
  <c r="B51" i="140"/>
  <c r="A109" i="140"/>
  <c r="G46" i="140"/>
  <c r="B46" i="140"/>
  <c r="D45" i="140"/>
  <c r="D44" i="140"/>
  <c r="D43" i="140"/>
  <c r="AA16" i="140"/>
  <c r="V16" i="140"/>
  <c r="Q16" i="140"/>
  <c r="S17" i="140" s="1"/>
  <c r="U17" i="140" s="1"/>
  <c r="L16" i="140"/>
  <c r="L17" i="140" s="1"/>
  <c r="N18" i="140" s="1"/>
  <c r="AK12" i="140"/>
  <c r="AK13" i="140" s="1"/>
  <c r="B9" i="140"/>
  <c r="B8" i="140"/>
  <c r="E7" i="140"/>
  <c r="D7" i="140"/>
  <c r="AL3" i="140"/>
  <c r="AL2" i="140"/>
  <c r="AG2" i="140"/>
  <c r="AL1" i="140"/>
  <c r="AK1" i="140"/>
  <c r="AK2" i="140" s="1"/>
  <c r="AG1" i="140"/>
  <c r="B51" i="139"/>
  <c r="A109" i="139"/>
  <c r="G46" i="139"/>
  <c r="B46" i="139"/>
  <c r="D45" i="139"/>
  <c r="D44" i="139"/>
  <c r="D43" i="139"/>
  <c r="AA16" i="139"/>
  <c r="AC17" i="139" s="1"/>
  <c r="AE17" i="139" s="1"/>
  <c r="V16" i="139"/>
  <c r="X17" i="139" s="1"/>
  <c r="Q16" i="139"/>
  <c r="L16" i="139"/>
  <c r="N17" i="139" s="1"/>
  <c r="AK12" i="139"/>
  <c r="AK13" i="139" s="1"/>
  <c r="B9" i="139"/>
  <c r="B8" i="139"/>
  <c r="E7" i="139"/>
  <c r="D7" i="139"/>
  <c r="AL3" i="139"/>
  <c r="AL2" i="139"/>
  <c r="AG2" i="139"/>
  <c r="AL1" i="139"/>
  <c r="AK1" i="139"/>
  <c r="AK2" i="139" s="1"/>
  <c r="AG1" i="139"/>
  <c r="B51" i="138"/>
  <c r="A109" i="138"/>
  <c r="G46" i="138"/>
  <c r="B46" i="138"/>
  <c r="D45" i="138"/>
  <c r="D44" i="138"/>
  <c r="D43" i="138"/>
  <c r="V16" i="138"/>
  <c r="X17" i="138" s="1"/>
  <c r="Q16" i="138"/>
  <c r="S17" i="138" s="1"/>
  <c r="U17" i="138" s="1"/>
  <c r="L16" i="138"/>
  <c r="L17" i="138" s="1"/>
  <c r="N18" i="138" s="1"/>
  <c r="AK12" i="138"/>
  <c r="AK13" i="138" s="1"/>
  <c r="B9" i="138"/>
  <c r="B8" i="138"/>
  <c r="E7" i="138"/>
  <c r="D7" i="138"/>
  <c r="AL3" i="138"/>
  <c r="AL2" i="138"/>
  <c r="AG2" i="138"/>
  <c r="AL1" i="138"/>
  <c r="AK1" i="138"/>
  <c r="AK2" i="138" s="1"/>
  <c r="AG1" i="138"/>
  <c r="B51" i="137"/>
  <c r="A109" i="137"/>
  <c r="G46" i="137"/>
  <c r="B46" i="137"/>
  <c r="E45" i="137"/>
  <c r="F45" i="137" s="1"/>
  <c r="D45" i="137"/>
  <c r="E44" i="137"/>
  <c r="D44" i="137"/>
  <c r="D43" i="137"/>
  <c r="AA16" i="137"/>
  <c r="V16" i="137"/>
  <c r="X17" i="137" s="1"/>
  <c r="L16" i="137"/>
  <c r="L17" i="137" s="1"/>
  <c r="N18" i="137" s="1"/>
  <c r="AK12" i="137"/>
  <c r="AK13" i="137" s="1"/>
  <c r="B9" i="137"/>
  <c r="B8" i="137"/>
  <c r="E7" i="137"/>
  <c r="D7" i="137"/>
  <c r="AL3" i="137"/>
  <c r="AL2" i="137"/>
  <c r="AG2" i="137"/>
  <c r="AL1" i="137"/>
  <c r="AK1" i="137"/>
  <c r="AK2" i="137" s="1"/>
  <c r="AG1" i="137"/>
  <c r="B51" i="136"/>
  <c r="A109" i="136"/>
  <c r="G46" i="136"/>
  <c r="B46" i="136"/>
  <c r="D45" i="136"/>
  <c r="D44" i="136"/>
  <c r="D43" i="136"/>
  <c r="AA16" i="136"/>
  <c r="V16" i="136"/>
  <c r="X17" i="136" s="1"/>
  <c r="Q16" i="136"/>
  <c r="Q17" i="136" s="1"/>
  <c r="L16" i="136"/>
  <c r="N17" i="136" s="1"/>
  <c r="P17" i="136" s="1"/>
  <c r="AK12" i="136"/>
  <c r="AK13" i="136" s="1"/>
  <c r="B9" i="136"/>
  <c r="B8" i="136"/>
  <c r="E7" i="136"/>
  <c r="D7" i="136"/>
  <c r="AL3" i="136"/>
  <c r="AL2" i="136"/>
  <c r="AG2" i="136"/>
  <c r="AL1" i="136"/>
  <c r="AK1" i="136"/>
  <c r="AK2" i="136" s="1"/>
  <c r="AG1" i="136"/>
  <c r="B51" i="135"/>
  <c r="A109" i="135"/>
  <c r="G46" i="135"/>
  <c r="B46" i="135"/>
  <c r="D45" i="135"/>
  <c r="D44" i="135"/>
  <c r="D43" i="135"/>
  <c r="AA16" i="135"/>
  <c r="AC17" i="135" s="1"/>
  <c r="AE17" i="135" s="1"/>
  <c r="V16" i="135"/>
  <c r="X17" i="135" s="1"/>
  <c r="Q16" i="135"/>
  <c r="AK12" i="135"/>
  <c r="AK13" i="135" s="1"/>
  <c r="B9" i="135"/>
  <c r="B8" i="135"/>
  <c r="E7" i="135"/>
  <c r="D7" i="135"/>
  <c r="AL3" i="135"/>
  <c r="AL2" i="135"/>
  <c r="AG2" i="135"/>
  <c r="AL1" i="135"/>
  <c r="AK1" i="135"/>
  <c r="AK2" i="135" s="1"/>
  <c r="AG1" i="135"/>
  <c r="B51" i="134"/>
  <c r="A109" i="134"/>
  <c r="G46" i="134"/>
  <c r="B46" i="134"/>
  <c r="D45" i="134"/>
  <c r="E44" i="134"/>
  <c r="D44" i="134"/>
  <c r="E43" i="134"/>
  <c r="D43" i="134"/>
  <c r="W16" i="134"/>
  <c r="W17" i="134" s="1"/>
  <c r="W18" i="134" s="1"/>
  <c r="W19" i="134" s="1"/>
  <c r="W20" i="134" s="1"/>
  <c r="W21" i="134" s="1"/>
  <c r="W22" i="134" s="1"/>
  <c r="W23" i="134" s="1"/>
  <c r="W24" i="134" s="1"/>
  <c r="W25" i="134" s="1"/>
  <c r="W26" i="134" s="1"/>
  <c r="R16" i="134"/>
  <c r="R17" i="134" s="1"/>
  <c r="R18" i="134" s="1"/>
  <c r="R19" i="134" s="1"/>
  <c r="R20" i="134" s="1"/>
  <c r="R21" i="134" s="1"/>
  <c r="R22" i="134" s="1"/>
  <c r="R23" i="134" s="1"/>
  <c r="R24" i="134" s="1"/>
  <c r="R25" i="134" s="1"/>
  <c r="R26" i="134" s="1"/>
  <c r="M16" i="134"/>
  <c r="M17" i="134" s="1"/>
  <c r="M18" i="134" s="1"/>
  <c r="M19" i="134" s="1"/>
  <c r="M20" i="134" s="1"/>
  <c r="M21" i="134" s="1"/>
  <c r="M22" i="134" s="1"/>
  <c r="M23" i="134" s="1"/>
  <c r="M24" i="134" s="1"/>
  <c r="M25" i="134" s="1"/>
  <c r="M26" i="134" s="1"/>
  <c r="AK12" i="134"/>
  <c r="AK13" i="134" s="1"/>
  <c r="B9" i="134"/>
  <c r="B8" i="134"/>
  <c r="E7" i="134"/>
  <c r="D7" i="134"/>
  <c r="AL3" i="134"/>
  <c r="AL2" i="134"/>
  <c r="AG2" i="134"/>
  <c r="AL1" i="134"/>
  <c r="AK1" i="134"/>
  <c r="AK2" i="134" s="1"/>
  <c r="AG1" i="134"/>
  <c r="B51" i="133"/>
  <c r="A109" i="133"/>
  <c r="G46" i="133"/>
  <c r="E46" i="133"/>
  <c r="B46" i="133"/>
  <c r="E45" i="133"/>
  <c r="D45" i="133"/>
  <c r="E44" i="133"/>
  <c r="D44" i="133"/>
  <c r="D43" i="133"/>
  <c r="AA16" i="133"/>
  <c r="V16" i="133"/>
  <c r="L16" i="133"/>
  <c r="L17" i="133" s="1"/>
  <c r="N18" i="133" s="1"/>
  <c r="AK12" i="133"/>
  <c r="AK13" i="133" s="1"/>
  <c r="B9" i="133"/>
  <c r="B8" i="133"/>
  <c r="E7" i="133"/>
  <c r="D7" i="133"/>
  <c r="AL3" i="133"/>
  <c r="AL2" i="133"/>
  <c r="AG2" i="133"/>
  <c r="AL1" i="133"/>
  <c r="AK1" i="133"/>
  <c r="AK2" i="133" s="1"/>
  <c r="AG1" i="133"/>
  <c r="B51" i="132"/>
  <c r="A109" i="132"/>
  <c r="G46" i="132"/>
  <c r="B46" i="132"/>
  <c r="D45" i="132"/>
  <c r="D44" i="132"/>
  <c r="D43" i="132"/>
  <c r="AA16" i="132"/>
  <c r="Q16" i="132"/>
  <c r="S17" i="132" s="1"/>
  <c r="L16" i="132"/>
  <c r="N17" i="132" s="1"/>
  <c r="AK12" i="132"/>
  <c r="AK13" i="132" s="1"/>
  <c r="B9" i="132"/>
  <c r="B8" i="132"/>
  <c r="E7" i="132"/>
  <c r="D7" i="132"/>
  <c r="AL3" i="132"/>
  <c r="AL2" i="132"/>
  <c r="AG2" i="132"/>
  <c r="AL1" i="132"/>
  <c r="AK1" i="132"/>
  <c r="AK2" i="132" s="1"/>
  <c r="AG1" i="132"/>
  <c r="B51" i="131"/>
  <c r="A109" i="131"/>
  <c r="G46" i="131"/>
  <c r="B46" i="131"/>
  <c r="D45" i="131"/>
  <c r="D44" i="131"/>
  <c r="D43" i="131"/>
  <c r="AA16" i="131"/>
  <c r="AA17" i="131" s="1"/>
  <c r="AC18" i="131" s="1"/>
  <c r="AE18" i="131" s="1"/>
  <c r="V16" i="131"/>
  <c r="X17" i="131" s="1"/>
  <c r="Q16" i="131"/>
  <c r="L16" i="131"/>
  <c r="N17" i="131" s="1"/>
  <c r="P17" i="131" s="1"/>
  <c r="AK12" i="131"/>
  <c r="AK13" i="131" s="1"/>
  <c r="B9" i="131"/>
  <c r="B8" i="131"/>
  <c r="E7" i="131"/>
  <c r="D7" i="131"/>
  <c r="AL3" i="131"/>
  <c r="AL2" i="131"/>
  <c r="AG2" i="131"/>
  <c r="AL1" i="131"/>
  <c r="AK1" i="131"/>
  <c r="AK2" i="131" s="1"/>
  <c r="AG1" i="131"/>
  <c r="B51" i="130"/>
  <c r="A109" i="130"/>
  <c r="G46" i="130"/>
  <c r="B46" i="130"/>
  <c r="D45" i="130"/>
  <c r="D44" i="130"/>
  <c r="E43" i="130"/>
  <c r="D43" i="130"/>
  <c r="W16" i="130"/>
  <c r="W17" i="130" s="1"/>
  <c r="W18" i="130" s="1"/>
  <c r="W19" i="130" s="1"/>
  <c r="W20" i="130" s="1"/>
  <c r="W21" i="130" s="1"/>
  <c r="W22" i="130" s="1"/>
  <c r="W23" i="130" s="1"/>
  <c r="W24" i="130" s="1"/>
  <c r="W25" i="130" s="1"/>
  <c r="W26" i="130" s="1"/>
  <c r="R16" i="130"/>
  <c r="R17" i="130" s="1"/>
  <c r="R18" i="130" s="1"/>
  <c r="R19" i="130" s="1"/>
  <c r="R20" i="130" s="1"/>
  <c r="R21" i="130" s="1"/>
  <c r="R22" i="130" s="1"/>
  <c r="R23" i="130" s="1"/>
  <c r="R24" i="130" s="1"/>
  <c r="R25" i="130" s="1"/>
  <c r="R26" i="130" s="1"/>
  <c r="M16" i="130"/>
  <c r="M17" i="130" s="1"/>
  <c r="M18" i="130" s="1"/>
  <c r="M19" i="130" s="1"/>
  <c r="M20" i="130" s="1"/>
  <c r="M21" i="130" s="1"/>
  <c r="M22" i="130" s="1"/>
  <c r="M23" i="130" s="1"/>
  <c r="M24" i="130" s="1"/>
  <c r="M25" i="130" s="1"/>
  <c r="M26" i="130" s="1"/>
  <c r="AK12" i="130"/>
  <c r="AK13" i="130" s="1"/>
  <c r="B9" i="130"/>
  <c r="B8" i="130"/>
  <c r="E7" i="130"/>
  <c r="D7" i="130"/>
  <c r="AL3" i="130"/>
  <c r="AL2" i="130"/>
  <c r="AG2" i="130"/>
  <c r="AL1" i="130"/>
  <c r="AK1" i="130"/>
  <c r="AK2" i="130" s="1"/>
  <c r="AG1" i="130"/>
  <c r="B51" i="129"/>
  <c r="A109" i="129"/>
  <c r="G46" i="129"/>
  <c r="E46" i="129"/>
  <c r="B46" i="129"/>
  <c r="E45" i="129"/>
  <c r="D45" i="129"/>
  <c r="E44" i="129"/>
  <c r="D44" i="129"/>
  <c r="D43" i="129"/>
  <c r="AA16" i="129"/>
  <c r="AA17" i="129" s="1"/>
  <c r="AC18" i="129" s="1"/>
  <c r="V16" i="129"/>
  <c r="L16" i="129"/>
  <c r="L17" i="129" s="1"/>
  <c r="AK12" i="129"/>
  <c r="AK13" i="129" s="1"/>
  <c r="B9" i="129"/>
  <c r="B8" i="129"/>
  <c r="E7" i="129"/>
  <c r="D7" i="129"/>
  <c r="AL3" i="129"/>
  <c r="AL2" i="129"/>
  <c r="AG2" i="129"/>
  <c r="AL1" i="129"/>
  <c r="AK1" i="129"/>
  <c r="AK2" i="129" s="1"/>
  <c r="AG1" i="129"/>
  <c r="B51" i="128"/>
  <c r="A109" i="128"/>
  <c r="G46" i="128"/>
  <c r="B46" i="128"/>
  <c r="D45" i="128"/>
  <c r="D44" i="128"/>
  <c r="D43" i="128"/>
  <c r="AB16" i="128"/>
  <c r="W16" i="128"/>
  <c r="W17" i="128" s="1"/>
  <c r="W18" i="128" s="1"/>
  <c r="W19" i="128" s="1"/>
  <c r="W20" i="128" s="1"/>
  <c r="W21" i="128" s="1"/>
  <c r="W22" i="128" s="1"/>
  <c r="W23" i="128" s="1"/>
  <c r="W24" i="128" s="1"/>
  <c r="W25" i="128" s="1"/>
  <c r="W26" i="128" s="1"/>
  <c r="R16" i="128"/>
  <c r="R17" i="128" s="1"/>
  <c r="R18" i="128" s="1"/>
  <c r="R19" i="128" s="1"/>
  <c r="R20" i="128" s="1"/>
  <c r="R21" i="128" s="1"/>
  <c r="R22" i="128" s="1"/>
  <c r="R23" i="128" s="1"/>
  <c r="R24" i="128" s="1"/>
  <c r="R25" i="128" s="1"/>
  <c r="R26" i="128" s="1"/>
  <c r="M16" i="128"/>
  <c r="M17" i="128" s="1"/>
  <c r="M18" i="128" s="1"/>
  <c r="M19" i="128" s="1"/>
  <c r="M20" i="128" s="1"/>
  <c r="M21" i="128" s="1"/>
  <c r="M22" i="128" s="1"/>
  <c r="M23" i="128" s="1"/>
  <c r="M24" i="128" s="1"/>
  <c r="M25" i="128" s="1"/>
  <c r="M26" i="128" s="1"/>
  <c r="AK12" i="128"/>
  <c r="AK13" i="128" s="1"/>
  <c r="B9" i="128"/>
  <c r="B8" i="128"/>
  <c r="E7" i="128"/>
  <c r="D7" i="128"/>
  <c r="AL3" i="128"/>
  <c r="AL2" i="128"/>
  <c r="AG2" i="128"/>
  <c r="AL1" i="128"/>
  <c r="AK1" i="128"/>
  <c r="AK2" i="128" s="1"/>
  <c r="AG1" i="128"/>
  <c r="B51" i="127"/>
  <c r="A109" i="127"/>
  <c r="G46" i="127"/>
  <c r="E46" i="127"/>
  <c r="B46" i="127"/>
  <c r="E45" i="127"/>
  <c r="D45" i="127"/>
  <c r="E44" i="127"/>
  <c r="D44" i="127"/>
  <c r="E43" i="127"/>
  <c r="D43" i="127"/>
  <c r="AB16" i="127"/>
  <c r="W16" i="127"/>
  <c r="W17" i="127" s="1"/>
  <c r="W18" i="127" s="1"/>
  <c r="W19" i="127" s="1"/>
  <c r="W20" i="127" s="1"/>
  <c r="W21" i="127" s="1"/>
  <c r="W22" i="127" s="1"/>
  <c r="W23" i="127" s="1"/>
  <c r="W24" i="127" s="1"/>
  <c r="W25" i="127" s="1"/>
  <c r="W26" i="127" s="1"/>
  <c r="R16" i="127"/>
  <c r="AK12" i="127"/>
  <c r="AK13" i="127" s="1"/>
  <c r="B9" i="127"/>
  <c r="B8" i="127"/>
  <c r="E7" i="127"/>
  <c r="D7" i="127"/>
  <c r="AL3" i="127"/>
  <c r="AL2" i="127"/>
  <c r="AG2" i="127"/>
  <c r="AL1" i="127"/>
  <c r="AK1" i="127"/>
  <c r="AK2" i="127" s="1"/>
  <c r="AG1" i="127"/>
  <c r="B51" i="126"/>
  <c r="A109" i="126"/>
  <c r="G46" i="126"/>
  <c r="E46" i="126"/>
  <c r="B46" i="126"/>
  <c r="E45" i="126"/>
  <c r="D45" i="126"/>
  <c r="D44" i="126"/>
  <c r="D43" i="126"/>
  <c r="V16" i="126"/>
  <c r="X17" i="126" s="1"/>
  <c r="Q16" i="126"/>
  <c r="S17" i="126" s="1"/>
  <c r="L16" i="126"/>
  <c r="N17" i="126" s="1"/>
  <c r="O17" i="126" s="1"/>
  <c r="AK12" i="126"/>
  <c r="AK13" i="126" s="1"/>
  <c r="B9" i="126"/>
  <c r="B8" i="126"/>
  <c r="E7" i="126"/>
  <c r="D7" i="126"/>
  <c r="AL3" i="126"/>
  <c r="AL2" i="126"/>
  <c r="AG2" i="126"/>
  <c r="AL1" i="126"/>
  <c r="AK1" i="126"/>
  <c r="AK2" i="126" s="1"/>
  <c r="AG1" i="126"/>
  <c r="B51" i="125"/>
  <c r="A109" i="125"/>
  <c r="G46" i="125"/>
  <c r="B46" i="125"/>
  <c r="D45" i="125"/>
  <c r="D44" i="125"/>
  <c r="D43" i="125"/>
  <c r="AB16" i="125"/>
  <c r="AB17" i="125" s="1"/>
  <c r="AB18" i="125" s="1"/>
  <c r="AB19" i="125" s="1"/>
  <c r="AB20" i="125" s="1"/>
  <c r="AB21" i="125" s="1"/>
  <c r="AB22" i="125" s="1"/>
  <c r="AB23" i="125" s="1"/>
  <c r="AB24" i="125" s="1"/>
  <c r="AB25" i="125" s="1"/>
  <c r="AB26" i="125" s="1"/>
  <c r="W16" i="125"/>
  <c r="W17" i="125" s="1"/>
  <c r="W18" i="125" s="1"/>
  <c r="W19" i="125" s="1"/>
  <c r="W20" i="125" s="1"/>
  <c r="W21" i="125" s="1"/>
  <c r="W22" i="125" s="1"/>
  <c r="W23" i="125" s="1"/>
  <c r="W24" i="125" s="1"/>
  <c r="W25" i="125" s="1"/>
  <c r="W26" i="125" s="1"/>
  <c r="M16" i="125"/>
  <c r="M17" i="125" s="1"/>
  <c r="M18" i="125" s="1"/>
  <c r="M19" i="125" s="1"/>
  <c r="M20" i="125" s="1"/>
  <c r="M21" i="125" s="1"/>
  <c r="M22" i="125" s="1"/>
  <c r="M23" i="125" s="1"/>
  <c r="M24" i="125" s="1"/>
  <c r="M25" i="125" s="1"/>
  <c r="M26" i="125" s="1"/>
  <c r="AK12" i="125"/>
  <c r="AK13" i="125" s="1"/>
  <c r="B9" i="125"/>
  <c r="B8" i="125"/>
  <c r="E7" i="125"/>
  <c r="D7" i="125"/>
  <c r="AL3" i="125"/>
  <c r="AL2" i="125"/>
  <c r="AG2" i="125"/>
  <c r="AL1" i="125"/>
  <c r="AK1" i="125"/>
  <c r="AK2" i="125" s="1"/>
  <c r="AG1" i="125"/>
  <c r="B51" i="124"/>
  <c r="A109" i="124"/>
  <c r="G46" i="124"/>
  <c r="B46" i="124"/>
  <c r="D45" i="124"/>
  <c r="D44" i="124"/>
  <c r="D43" i="124"/>
  <c r="AB16" i="124"/>
  <c r="W16" i="124"/>
  <c r="W17" i="124" s="1"/>
  <c r="W18" i="124" s="1"/>
  <c r="W19" i="124" s="1"/>
  <c r="W20" i="124" s="1"/>
  <c r="W21" i="124" s="1"/>
  <c r="W22" i="124" s="1"/>
  <c r="W23" i="124" s="1"/>
  <c r="W24" i="124" s="1"/>
  <c r="W25" i="124" s="1"/>
  <c r="W26" i="124" s="1"/>
  <c r="R16" i="124"/>
  <c r="R17" i="124" s="1"/>
  <c r="R18" i="124" s="1"/>
  <c r="R19" i="124" s="1"/>
  <c r="R20" i="124" s="1"/>
  <c r="R21" i="124" s="1"/>
  <c r="R22" i="124" s="1"/>
  <c r="R23" i="124" s="1"/>
  <c r="R24" i="124" s="1"/>
  <c r="R25" i="124" s="1"/>
  <c r="R26" i="124" s="1"/>
  <c r="AK12" i="124"/>
  <c r="AK13" i="124" s="1"/>
  <c r="B9" i="124"/>
  <c r="B8" i="124"/>
  <c r="E7" i="124"/>
  <c r="D7" i="124"/>
  <c r="AL3" i="124"/>
  <c r="AL2" i="124"/>
  <c r="AG2" i="124"/>
  <c r="AL1" i="124"/>
  <c r="AK1" i="124"/>
  <c r="AK2" i="124" s="1"/>
  <c r="AG1" i="124"/>
  <c r="B51" i="123"/>
  <c r="A109" i="123"/>
  <c r="G46" i="123"/>
  <c r="E46" i="123"/>
  <c r="B46" i="123"/>
  <c r="E45" i="123"/>
  <c r="D45" i="123"/>
  <c r="E44" i="123"/>
  <c r="D44" i="123"/>
  <c r="E43" i="123"/>
  <c r="D43" i="123"/>
  <c r="AB16" i="123"/>
  <c r="AB17" i="123" s="1"/>
  <c r="AB18" i="123" s="1"/>
  <c r="AB19" i="123" s="1"/>
  <c r="AB20" i="123" s="1"/>
  <c r="AB21" i="123" s="1"/>
  <c r="AB22" i="123" s="1"/>
  <c r="AB23" i="123" s="1"/>
  <c r="AB24" i="123" s="1"/>
  <c r="AB25" i="123" s="1"/>
  <c r="AB26" i="123" s="1"/>
  <c r="W16" i="123"/>
  <c r="W17" i="123" s="1"/>
  <c r="W18" i="123" s="1"/>
  <c r="W19" i="123" s="1"/>
  <c r="W20" i="123" s="1"/>
  <c r="W21" i="123" s="1"/>
  <c r="W22" i="123" s="1"/>
  <c r="W23" i="123" s="1"/>
  <c r="W24" i="123" s="1"/>
  <c r="W25" i="123" s="1"/>
  <c r="W26" i="123" s="1"/>
  <c r="R16" i="123"/>
  <c r="M16" i="123"/>
  <c r="M17" i="123" s="1"/>
  <c r="M18" i="123" s="1"/>
  <c r="M19" i="123" s="1"/>
  <c r="M20" i="123" s="1"/>
  <c r="M21" i="123" s="1"/>
  <c r="M22" i="123" s="1"/>
  <c r="M23" i="123" s="1"/>
  <c r="M24" i="123" s="1"/>
  <c r="M25" i="123" s="1"/>
  <c r="M26" i="123" s="1"/>
  <c r="AK12" i="123"/>
  <c r="AK13" i="123" s="1"/>
  <c r="B9" i="123"/>
  <c r="B8" i="123"/>
  <c r="E7" i="123"/>
  <c r="D7" i="123"/>
  <c r="AL3" i="123"/>
  <c r="AL2" i="123"/>
  <c r="AG2" i="123"/>
  <c r="AL1" i="123"/>
  <c r="AK1" i="123"/>
  <c r="AK2" i="123" s="1"/>
  <c r="AG1" i="123"/>
  <c r="B51" i="122"/>
  <c r="A109" i="122"/>
  <c r="G46" i="122"/>
  <c r="E46" i="122"/>
  <c r="B46" i="122"/>
  <c r="E45" i="122"/>
  <c r="D45" i="122"/>
  <c r="E44" i="122"/>
  <c r="D44" i="122"/>
  <c r="D43" i="122"/>
  <c r="W16" i="122"/>
  <c r="W17" i="122" s="1"/>
  <c r="W18" i="122" s="1"/>
  <c r="W19" i="122" s="1"/>
  <c r="W20" i="122" s="1"/>
  <c r="W21" i="122" s="1"/>
  <c r="W22" i="122" s="1"/>
  <c r="W23" i="122" s="1"/>
  <c r="W24" i="122" s="1"/>
  <c r="W25" i="122" s="1"/>
  <c r="W26" i="122" s="1"/>
  <c r="R16" i="122"/>
  <c r="R17" i="122" s="1"/>
  <c r="R18" i="122" s="1"/>
  <c r="R19" i="122" s="1"/>
  <c r="R20" i="122" s="1"/>
  <c r="R21" i="122" s="1"/>
  <c r="R22" i="122" s="1"/>
  <c r="R23" i="122" s="1"/>
  <c r="R24" i="122" s="1"/>
  <c r="R25" i="122" s="1"/>
  <c r="R26" i="122" s="1"/>
  <c r="M16" i="122"/>
  <c r="M17" i="122" s="1"/>
  <c r="M18" i="122" s="1"/>
  <c r="M19" i="122" s="1"/>
  <c r="M20" i="122" s="1"/>
  <c r="M21" i="122" s="1"/>
  <c r="M22" i="122" s="1"/>
  <c r="M23" i="122" s="1"/>
  <c r="M24" i="122" s="1"/>
  <c r="M25" i="122" s="1"/>
  <c r="M26" i="122" s="1"/>
  <c r="AK12" i="122"/>
  <c r="AK13" i="122" s="1"/>
  <c r="B9" i="122"/>
  <c r="B8" i="122"/>
  <c r="E7" i="122"/>
  <c r="D7" i="122"/>
  <c r="AL3" i="122"/>
  <c r="AL2" i="122"/>
  <c r="AG2" i="122"/>
  <c r="AL1" i="122"/>
  <c r="AK1" i="122"/>
  <c r="AK2" i="122" s="1"/>
  <c r="AG1" i="122"/>
  <c r="B51" i="121"/>
  <c r="A109" i="121"/>
  <c r="G46" i="121"/>
  <c r="B46" i="121"/>
  <c r="D45" i="121"/>
  <c r="D44" i="121"/>
  <c r="D43" i="121"/>
  <c r="AK12" i="121"/>
  <c r="AK13" i="121" s="1"/>
  <c r="B9" i="121"/>
  <c r="B8" i="121"/>
  <c r="E7" i="121"/>
  <c r="D7" i="121"/>
  <c r="AL3" i="121"/>
  <c r="AL2" i="121"/>
  <c r="AG2" i="121"/>
  <c r="AL1" i="121"/>
  <c r="AK1" i="121"/>
  <c r="AK2" i="121" s="1"/>
  <c r="AG1" i="121"/>
  <c r="B51" i="120"/>
  <c r="A109" i="120"/>
  <c r="G46" i="120"/>
  <c r="B46" i="120"/>
  <c r="D45" i="120"/>
  <c r="D44" i="120"/>
  <c r="D43" i="120"/>
  <c r="AK12" i="120"/>
  <c r="AK13" i="120" s="1"/>
  <c r="B9" i="120"/>
  <c r="B8" i="120"/>
  <c r="E7" i="120"/>
  <c r="D7" i="120"/>
  <c r="AL3" i="120"/>
  <c r="AL2" i="120"/>
  <c r="AG2" i="120"/>
  <c r="AL1" i="120"/>
  <c r="AK1" i="120"/>
  <c r="AK2" i="120" s="1"/>
  <c r="AG1" i="120"/>
  <c r="B51" i="119"/>
  <c r="A109" i="119"/>
  <c r="G46" i="119"/>
  <c r="B46" i="119"/>
  <c r="D45" i="119"/>
  <c r="D44" i="119"/>
  <c r="D43" i="119"/>
  <c r="AB16" i="119"/>
  <c r="AB17" i="119" s="1"/>
  <c r="AB18" i="119" s="1"/>
  <c r="AB19" i="119" s="1"/>
  <c r="AB20" i="119" s="1"/>
  <c r="AB21" i="119" s="1"/>
  <c r="AB22" i="119" s="1"/>
  <c r="AB23" i="119" s="1"/>
  <c r="AB24" i="119" s="1"/>
  <c r="AB25" i="119" s="1"/>
  <c r="AB26" i="119" s="1"/>
  <c r="W16" i="119"/>
  <c r="W17" i="119" s="1"/>
  <c r="W18" i="119" s="1"/>
  <c r="W19" i="119" s="1"/>
  <c r="W20" i="119" s="1"/>
  <c r="W21" i="119" s="1"/>
  <c r="W22" i="119" s="1"/>
  <c r="W23" i="119" s="1"/>
  <c r="W24" i="119" s="1"/>
  <c r="W25" i="119" s="1"/>
  <c r="W26" i="119" s="1"/>
  <c r="M16" i="119"/>
  <c r="M17" i="119" s="1"/>
  <c r="M18" i="119" s="1"/>
  <c r="M19" i="119" s="1"/>
  <c r="M20" i="119" s="1"/>
  <c r="M21" i="119" s="1"/>
  <c r="M22" i="119" s="1"/>
  <c r="M23" i="119" s="1"/>
  <c r="M24" i="119" s="1"/>
  <c r="M25" i="119" s="1"/>
  <c r="M26" i="119" s="1"/>
  <c r="AK12" i="119"/>
  <c r="AK13" i="119" s="1"/>
  <c r="B9" i="119"/>
  <c r="B8" i="119"/>
  <c r="E7" i="119"/>
  <c r="D7" i="119"/>
  <c r="AL3" i="119"/>
  <c r="AL2" i="119"/>
  <c r="AG2" i="119"/>
  <c r="AL1" i="119"/>
  <c r="AK1" i="119"/>
  <c r="AK2" i="119" s="1"/>
  <c r="AG1" i="119"/>
  <c r="B51" i="118"/>
  <c r="A109" i="118"/>
  <c r="G46" i="118"/>
  <c r="B46" i="118"/>
  <c r="D45" i="118"/>
  <c r="D44" i="118"/>
  <c r="D43" i="118"/>
  <c r="AA16" i="118"/>
  <c r="Q16" i="118"/>
  <c r="S17" i="118" s="1"/>
  <c r="L16" i="118"/>
  <c r="N17" i="118" s="1"/>
  <c r="P17" i="118" s="1"/>
  <c r="AK12" i="118"/>
  <c r="AK13" i="118" s="1"/>
  <c r="B9" i="118"/>
  <c r="B8" i="118"/>
  <c r="E7" i="118"/>
  <c r="D7" i="118"/>
  <c r="AL3" i="118"/>
  <c r="AL2" i="118"/>
  <c r="AG2" i="118"/>
  <c r="AL1" i="118"/>
  <c r="AK1" i="118"/>
  <c r="AK2" i="118" s="1"/>
  <c r="AG1" i="118"/>
  <c r="B51" i="117"/>
  <c r="A109" i="117"/>
  <c r="G46" i="117"/>
  <c r="B46" i="117"/>
  <c r="D45" i="117"/>
  <c r="D44" i="117"/>
  <c r="D43" i="117"/>
  <c r="AA16" i="117"/>
  <c r="AC17" i="117" s="1"/>
  <c r="AE17" i="117" s="1"/>
  <c r="V16" i="117"/>
  <c r="X17" i="117" s="1"/>
  <c r="Q16" i="117"/>
  <c r="AK12" i="117"/>
  <c r="AK13" i="117" s="1"/>
  <c r="B9" i="117"/>
  <c r="B8" i="117"/>
  <c r="E7" i="117"/>
  <c r="D7" i="117"/>
  <c r="AL3" i="117"/>
  <c r="AL2" i="117"/>
  <c r="AG2" i="117"/>
  <c r="AL1" i="117"/>
  <c r="AK1" i="117"/>
  <c r="AK2" i="117" s="1"/>
  <c r="AG1" i="117"/>
  <c r="B51" i="116"/>
  <c r="A109" i="116"/>
  <c r="G46" i="116"/>
  <c r="B46" i="116"/>
  <c r="D45" i="116"/>
  <c r="D44" i="116"/>
  <c r="D43" i="116"/>
  <c r="W16" i="116"/>
  <c r="R16" i="116"/>
  <c r="R17" i="116" s="1"/>
  <c r="R18" i="116" s="1"/>
  <c r="R19" i="116" s="1"/>
  <c r="R20" i="116" s="1"/>
  <c r="R21" i="116" s="1"/>
  <c r="R22" i="116" s="1"/>
  <c r="R23" i="116" s="1"/>
  <c r="R24" i="116" s="1"/>
  <c r="R25" i="116" s="1"/>
  <c r="R26" i="116" s="1"/>
  <c r="M16" i="116"/>
  <c r="M17" i="116" s="1"/>
  <c r="M18" i="116" s="1"/>
  <c r="M19" i="116" s="1"/>
  <c r="M20" i="116" s="1"/>
  <c r="M21" i="116" s="1"/>
  <c r="M22" i="116" s="1"/>
  <c r="M23" i="116" s="1"/>
  <c r="M24" i="116" s="1"/>
  <c r="M25" i="116" s="1"/>
  <c r="M26" i="116" s="1"/>
  <c r="AK12" i="116"/>
  <c r="AK13" i="116" s="1"/>
  <c r="B9" i="116"/>
  <c r="B8" i="116"/>
  <c r="E7" i="116"/>
  <c r="D7" i="116"/>
  <c r="AL3" i="116"/>
  <c r="AL2" i="116"/>
  <c r="AG2" i="116"/>
  <c r="AL1" i="116"/>
  <c r="AK1" i="116"/>
  <c r="AK2" i="116" s="1"/>
  <c r="AG1" i="116"/>
  <c r="B51" i="115"/>
  <c r="A109" i="115"/>
  <c r="G46" i="115"/>
  <c r="B46" i="115"/>
  <c r="D45" i="115"/>
  <c r="D44" i="115"/>
  <c r="D43" i="115"/>
  <c r="AB16" i="115"/>
  <c r="W16" i="115"/>
  <c r="W17" i="115" s="1"/>
  <c r="W18" i="115" s="1"/>
  <c r="W19" i="115" s="1"/>
  <c r="W20" i="115" s="1"/>
  <c r="W21" i="115" s="1"/>
  <c r="W22" i="115" s="1"/>
  <c r="W23" i="115" s="1"/>
  <c r="W24" i="115" s="1"/>
  <c r="W25" i="115" s="1"/>
  <c r="W26" i="115" s="1"/>
  <c r="M16" i="115"/>
  <c r="AK12" i="115"/>
  <c r="AK13" i="115" s="1"/>
  <c r="B9" i="115"/>
  <c r="B8" i="115"/>
  <c r="E7" i="115"/>
  <c r="D7" i="115"/>
  <c r="AL3" i="115"/>
  <c r="AL2" i="115"/>
  <c r="AG2" i="115"/>
  <c r="AL1" i="115"/>
  <c r="AK1" i="115"/>
  <c r="AK2" i="115" s="1"/>
  <c r="AG1" i="115"/>
  <c r="B51" i="114"/>
  <c r="A109" i="114"/>
  <c r="G46" i="114"/>
  <c r="B46" i="114"/>
  <c r="D45" i="114"/>
  <c r="E44" i="114"/>
  <c r="D44" i="114"/>
  <c r="E43" i="114"/>
  <c r="D43" i="114"/>
  <c r="AB16" i="114"/>
  <c r="W16" i="114"/>
  <c r="R16" i="114"/>
  <c r="R17" i="114" s="1"/>
  <c r="R18" i="114" s="1"/>
  <c r="R19" i="114" s="1"/>
  <c r="R20" i="114" s="1"/>
  <c r="R21" i="114" s="1"/>
  <c r="R22" i="114" s="1"/>
  <c r="R23" i="114" s="1"/>
  <c r="R24" i="114" s="1"/>
  <c r="R25" i="114" s="1"/>
  <c r="R26" i="114" s="1"/>
  <c r="AK12" i="114"/>
  <c r="AK13" i="114" s="1"/>
  <c r="B9" i="114"/>
  <c r="B8" i="114"/>
  <c r="E7" i="114"/>
  <c r="D7" i="114"/>
  <c r="AL3" i="114"/>
  <c r="AL2" i="114"/>
  <c r="AG2" i="114"/>
  <c r="AL1" i="114"/>
  <c r="AK1" i="114"/>
  <c r="AK2" i="114" s="1"/>
  <c r="AG1" i="114"/>
  <c r="B51" i="113"/>
  <c r="A109" i="113"/>
  <c r="G46" i="113"/>
  <c r="E46" i="113"/>
  <c r="B46" i="113"/>
  <c r="E45" i="113"/>
  <c r="D45" i="113"/>
  <c r="E44" i="113"/>
  <c r="D44" i="113"/>
  <c r="E43" i="113"/>
  <c r="D43" i="113"/>
  <c r="AA16" i="113"/>
  <c r="AA17" i="113" s="1"/>
  <c r="V16" i="113"/>
  <c r="X17" i="113" s="1"/>
  <c r="Q16" i="113"/>
  <c r="L16" i="113"/>
  <c r="L17" i="113" s="1"/>
  <c r="N18" i="113" s="1"/>
  <c r="AK12" i="113"/>
  <c r="AK13" i="113" s="1"/>
  <c r="B9" i="113"/>
  <c r="B8" i="113"/>
  <c r="E7" i="113"/>
  <c r="D7" i="113"/>
  <c r="AL3" i="113"/>
  <c r="AL2" i="113"/>
  <c r="AG2" i="113"/>
  <c r="AL1" i="113"/>
  <c r="AK1" i="113"/>
  <c r="AK2" i="113" s="1"/>
  <c r="AK4" i="113" s="1"/>
  <c r="AG1" i="113"/>
  <c r="B51" i="112"/>
  <c r="A109" i="112"/>
  <c r="G46" i="112"/>
  <c r="B46" i="112"/>
  <c r="E45" i="112"/>
  <c r="D45" i="112"/>
  <c r="D44" i="112"/>
  <c r="E43" i="112"/>
  <c r="D43" i="112"/>
  <c r="R16" i="112"/>
  <c r="R17" i="112" s="1"/>
  <c r="R18" i="112" s="1"/>
  <c r="R19" i="112" s="1"/>
  <c r="R20" i="112" s="1"/>
  <c r="R21" i="112" s="1"/>
  <c r="R22" i="112" s="1"/>
  <c r="R23" i="112" s="1"/>
  <c r="R24" i="112" s="1"/>
  <c r="R25" i="112" s="1"/>
  <c r="R26" i="112" s="1"/>
  <c r="L16" i="112"/>
  <c r="N17" i="112" s="1"/>
  <c r="P17" i="112" s="1"/>
  <c r="AK12" i="112"/>
  <c r="AK13" i="112" s="1"/>
  <c r="B9" i="112"/>
  <c r="B8" i="112"/>
  <c r="E7" i="112"/>
  <c r="D7" i="112"/>
  <c r="AL3" i="112"/>
  <c r="AL2" i="112"/>
  <c r="AG2" i="112"/>
  <c r="AL1" i="112"/>
  <c r="AK1" i="112"/>
  <c r="AK2" i="112" s="1"/>
  <c r="AG1" i="112"/>
  <c r="B51" i="111"/>
  <c r="A109" i="111"/>
  <c r="G46" i="111"/>
  <c r="B46" i="111"/>
  <c r="D45" i="111"/>
  <c r="D44" i="111"/>
  <c r="D43" i="111"/>
  <c r="AB16" i="111"/>
  <c r="W16" i="111"/>
  <c r="W17" i="111" s="1"/>
  <c r="W18" i="111" s="1"/>
  <c r="W19" i="111" s="1"/>
  <c r="W20" i="111" s="1"/>
  <c r="W21" i="111" s="1"/>
  <c r="W22" i="111" s="1"/>
  <c r="W23" i="111" s="1"/>
  <c r="W24" i="111" s="1"/>
  <c r="W25" i="111" s="1"/>
  <c r="W26" i="111" s="1"/>
  <c r="AK12" i="111"/>
  <c r="AK13" i="111" s="1"/>
  <c r="B9" i="111"/>
  <c r="B8" i="111"/>
  <c r="E7" i="111"/>
  <c r="D7" i="111"/>
  <c r="AL3" i="111"/>
  <c r="AL2" i="111"/>
  <c r="AG2" i="111"/>
  <c r="AL1" i="111"/>
  <c r="AK1" i="111"/>
  <c r="AK2" i="111" s="1"/>
  <c r="AG1" i="111"/>
  <c r="B51" i="110"/>
  <c r="A109" i="110"/>
  <c r="G46" i="110"/>
  <c r="B46" i="110"/>
  <c r="D45" i="110"/>
  <c r="D44" i="110"/>
  <c r="D43" i="110"/>
  <c r="AB16" i="110"/>
  <c r="W16" i="110"/>
  <c r="W17" i="110" s="1"/>
  <c r="W18" i="110" s="1"/>
  <c r="W19" i="110" s="1"/>
  <c r="W20" i="110" s="1"/>
  <c r="W21" i="110" s="1"/>
  <c r="W22" i="110" s="1"/>
  <c r="W23" i="110" s="1"/>
  <c r="W24" i="110" s="1"/>
  <c r="W25" i="110" s="1"/>
  <c r="W26" i="110" s="1"/>
  <c r="R16" i="110"/>
  <c r="R17" i="110" s="1"/>
  <c r="R18" i="110" s="1"/>
  <c r="R19" i="110" s="1"/>
  <c r="R20" i="110" s="1"/>
  <c r="R21" i="110" s="1"/>
  <c r="R22" i="110" s="1"/>
  <c r="R23" i="110" s="1"/>
  <c r="R24" i="110" s="1"/>
  <c r="R25" i="110" s="1"/>
  <c r="R26" i="110" s="1"/>
  <c r="M16" i="110"/>
  <c r="M17" i="110" s="1"/>
  <c r="M18" i="110" s="1"/>
  <c r="M19" i="110" s="1"/>
  <c r="M20" i="110" s="1"/>
  <c r="M21" i="110" s="1"/>
  <c r="M22" i="110" s="1"/>
  <c r="M23" i="110" s="1"/>
  <c r="M24" i="110" s="1"/>
  <c r="M25" i="110" s="1"/>
  <c r="M26" i="110" s="1"/>
  <c r="AK12" i="110"/>
  <c r="AK13" i="110" s="1"/>
  <c r="B9" i="110"/>
  <c r="B8" i="110"/>
  <c r="E7" i="110"/>
  <c r="D7" i="110"/>
  <c r="AL3" i="110"/>
  <c r="AL2" i="110"/>
  <c r="AG2" i="110"/>
  <c r="AL1" i="110"/>
  <c r="AK1" i="110"/>
  <c r="AK2" i="110" s="1"/>
  <c r="AG1" i="110"/>
  <c r="B51" i="109"/>
  <c r="A109" i="109"/>
  <c r="G46" i="109"/>
  <c r="E46" i="109"/>
  <c r="B46" i="109"/>
  <c r="E45" i="109"/>
  <c r="D45" i="109"/>
  <c r="D44" i="109"/>
  <c r="E43" i="109"/>
  <c r="D43" i="109"/>
  <c r="AA16" i="109"/>
  <c r="V16" i="109"/>
  <c r="Q16" i="109"/>
  <c r="L16" i="109"/>
  <c r="N17" i="109" s="1"/>
  <c r="P17" i="109" s="1"/>
  <c r="AK12" i="109"/>
  <c r="AK13" i="109" s="1"/>
  <c r="B9" i="109"/>
  <c r="B8" i="109"/>
  <c r="E7" i="109"/>
  <c r="D7" i="109"/>
  <c r="AL3" i="109"/>
  <c r="AL2" i="109"/>
  <c r="AG2" i="109"/>
  <c r="AL1" i="109"/>
  <c r="AK1" i="109"/>
  <c r="AK2" i="109" s="1"/>
  <c r="AG1" i="109"/>
  <c r="B51" i="108"/>
  <c r="A109" i="108"/>
  <c r="G46" i="108"/>
  <c r="B46" i="108"/>
  <c r="D45" i="108"/>
  <c r="D44" i="108"/>
  <c r="D43" i="108"/>
  <c r="V16" i="108"/>
  <c r="L16" i="108"/>
  <c r="N17" i="108" s="1"/>
  <c r="P17" i="108" s="1"/>
  <c r="AK12" i="108"/>
  <c r="AK13" i="108" s="1"/>
  <c r="B9" i="108"/>
  <c r="B8" i="108"/>
  <c r="E7" i="108"/>
  <c r="D7" i="108"/>
  <c r="AL3" i="108"/>
  <c r="AL2" i="108"/>
  <c r="AG2" i="108"/>
  <c r="AL1" i="108"/>
  <c r="AK1" i="108"/>
  <c r="AK2" i="108" s="1"/>
  <c r="AG1" i="108"/>
  <c r="B51" i="107"/>
  <c r="A109" i="107"/>
  <c r="G46" i="107"/>
  <c r="B46" i="107"/>
  <c r="D45" i="107"/>
  <c r="D44" i="107"/>
  <c r="D43" i="107"/>
  <c r="AA16" i="107"/>
  <c r="AC17" i="107" s="1"/>
  <c r="AE17" i="107" s="1"/>
  <c r="V16" i="107"/>
  <c r="X17" i="107" s="1"/>
  <c r="L16" i="107"/>
  <c r="N17" i="107" s="1"/>
  <c r="P17" i="107" s="1"/>
  <c r="AK12" i="107"/>
  <c r="AK13" i="107" s="1"/>
  <c r="B9" i="107"/>
  <c r="B8" i="107"/>
  <c r="E7" i="107"/>
  <c r="D7" i="107"/>
  <c r="AL3" i="107"/>
  <c r="AL2" i="107"/>
  <c r="AG2" i="107"/>
  <c r="AL1" i="107"/>
  <c r="AK1" i="107"/>
  <c r="AK2" i="107" s="1"/>
  <c r="AG1" i="107"/>
  <c r="B51" i="106"/>
  <c r="A109" i="106"/>
  <c r="G46" i="106"/>
  <c r="B46" i="106"/>
  <c r="D45" i="106"/>
  <c r="D44" i="106"/>
  <c r="D43" i="106"/>
  <c r="AB16" i="106"/>
  <c r="R16" i="106"/>
  <c r="M16" i="106"/>
  <c r="M17" i="106" s="1"/>
  <c r="M18" i="106" s="1"/>
  <c r="M19" i="106" s="1"/>
  <c r="M20" i="106" s="1"/>
  <c r="M21" i="106" s="1"/>
  <c r="M22" i="106" s="1"/>
  <c r="M23" i="106" s="1"/>
  <c r="M24" i="106" s="1"/>
  <c r="M25" i="106" s="1"/>
  <c r="M26" i="106" s="1"/>
  <c r="AK12" i="106"/>
  <c r="AK13" i="106" s="1"/>
  <c r="B9" i="106"/>
  <c r="B8" i="106"/>
  <c r="E7" i="106"/>
  <c r="D7" i="106"/>
  <c r="AL3" i="106"/>
  <c r="AL2" i="106"/>
  <c r="AG2" i="106"/>
  <c r="AL1" i="106"/>
  <c r="AK1" i="106"/>
  <c r="AK2" i="106" s="1"/>
  <c r="AG1" i="106"/>
  <c r="B51" i="105"/>
  <c r="A109" i="105"/>
  <c r="G46" i="105"/>
  <c r="E46" i="105"/>
  <c r="B46" i="105"/>
  <c r="E45" i="105"/>
  <c r="D45" i="105"/>
  <c r="E44" i="105"/>
  <c r="D44" i="105"/>
  <c r="E43" i="105"/>
  <c r="D43" i="105"/>
  <c r="R16" i="105"/>
  <c r="AK12" i="105"/>
  <c r="AK13" i="105" s="1"/>
  <c r="B9" i="105"/>
  <c r="B8" i="105"/>
  <c r="E7" i="105"/>
  <c r="D7" i="105"/>
  <c r="AL3" i="105"/>
  <c r="AL2" i="105"/>
  <c r="AG2" i="105"/>
  <c r="AL1" i="105"/>
  <c r="AK1" i="105"/>
  <c r="AK2" i="105" s="1"/>
  <c r="AG1" i="105"/>
  <c r="B51" i="104"/>
  <c r="A109" i="104"/>
  <c r="G46" i="104"/>
  <c r="E46" i="104"/>
  <c r="B46" i="104"/>
  <c r="E45" i="104"/>
  <c r="D45" i="104"/>
  <c r="D44" i="104"/>
  <c r="E43" i="104"/>
  <c r="D43" i="104"/>
  <c r="W16" i="104"/>
  <c r="W17" i="104" s="1"/>
  <c r="W18" i="104" s="1"/>
  <c r="W19" i="104" s="1"/>
  <c r="W20" i="104" s="1"/>
  <c r="W21" i="104" s="1"/>
  <c r="W22" i="104" s="1"/>
  <c r="W23" i="104" s="1"/>
  <c r="W24" i="104" s="1"/>
  <c r="W25" i="104" s="1"/>
  <c r="W26" i="104" s="1"/>
  <c r="R16" i="104"/>
  <c r="R17" i="104" s="1"/>
  <c r="R18" i="104" s="1"/>
  <c r="R19" i="104" s="1"/>
  <c r="R20" i="104" s="1"/>
  <c r="R21" i="104" s="1"/>
  <c r="R22" i="104" s="1"/>
  <c r="R23" i="104" s="1"/>
  <c r="R24" i="104" s="1"/>
  <c r="R25" i="104" s="1"/>
  <c r="R26" i="104" s="1"/>
  <c r="AK12" i="104"/>
  <c r="AK13" i="104" s="1"/>
  <c r="B9" i="104"/>
  <c r="B8" i="104"/>
  <c r="E7" i="104"/>
  <c r="D7" i="104"/>
  <c r="AL3" i="104"/>
  <c r="AL2" i="104"/>
  <c r="AG2" i="104"/>
  <c r="AL1" i="104"/>
  <c r="AK1" i="104"/>
  <c r="AK2" i="104" s="1"/>
  <c r="AG1" i="104"/>
  <c r="B51" i="103"/>
  <c r="A109" i="103"/>
  <c r="G46" i="103"/>
  <c r="B46" i="103"/>
  <c r="D45" i="103"/>
  <c r="D44" i="103"/>
  <c r="D43" i="103"/>
  <c r="AB16" i="103"/>
  <c r="W16" i="103"/>
  <c r="M16" i="103"/>
  <c r="M17" i="103" s="1"/>
  <c r="M18" i="103" s="1"/>
  <c r="M19" i="103" s="1"/>
  <c r="M20" i="103" s="1"/>
  <c r="M21" i="103" s="1"/>
  <c r="M22" i="103" s="1"/>
  <c r="M23" i="103" s="1"/>
  <c r="M24" i="103" s="1"/>
  <c r="M25" i="103" s="1"/>
  <c r="M26" i="103" s="1"/>
  <c r="AK12" i="103"/>
  <c r="AK13" i="103" s="1"/>
  <c r="B9" i="103"/>
  <c r="B8" i="103"/>
  <c r="E7" i="103"/>
  <c r="D7" i="103"/>
  <c r="AL3" i="103"/>
  <c r="AL2" i="103"/>
  <c r="AG2" i="103"/>
  <c r="AL1" i="103"/>
  <c r="AK1" i="103"/>
  <c r="AK2" i="103" s="1"/>
  <c r="AG1" i="103"/>
  <c r="AL3" i="53"/>
  <c r="AL2" i="53"/>
  <c r="AL1" i="53"/>
  <c r="AK12" i="53"/>
  <c r="AK13" i="53" s="1"/>
  <c r="AK1" i="53"/>
  <c r="AK2" i="53" s="1"/>
  <c r="AG2" i="53"/>
  <c r="AG1" i="53"/>
  <c r="A109" i="53"/>
  <c r="B51" i="53"/>
  <c r="G46" i="53"/>
  <c r="B46" i="53"/>
  <c r="D45" i="53"/>
  <c r="D44" i="53"/>
  <c r="D43" i="53"/>
  <c r="AB16" i="53"/>
  <c r="R16" i="53"/>
  <c r="R17" i="53" s="1"/>
  <c r="R18" i="53" s="1"/>
  <c r="R19" i="53" s="1"/>
  <c r="R20" i="53" s="1"/>
  <c r="R21" i="53" s="1"/>
  <c r="R22" i="53" s="1"/>
  <c r="R23" i="53" s="1"/>
  <c r="R24" i="53" s="1"/>
  <c r="R25" i="53" s="1"/>
  <c r="R26" i="53" s="1"/>
  <c r="M16" i="53"/>
  <c r="Y3" i="52"/>
  <c r="Y4" i="52"/>
  <c r="Y5" i="52"/>
  <c r="Y6" i="52"/>
  <c r="Y7" i="52"/>
  <c r="Y8" i="52"/>
  <c r="Y9" i="52"/>
  <c r="Y2" i="52"/>
  <c r="K13" i="52"/>
  <c r="K14" i="52"/>
  <c r="K15" i="52"/>
  <c r="K16" i="52"/>
  <c r="K17" i="52"/>
  <c r="K18" i="52"/>
  <c r="K19" i="52"/>
  <c r="K20" i="52"/>
  <c r="K21" i="52"/>
  <c r="K22" i="52"/>
  <c r="K23" i="52"/>
  <c r="K24" i="52"/>
  <c r="K25" i="52"/>
  <c r="K26" i="52"/>
  <c r="K27" i="52"/>
  <c r="K28" i="52"/>
  <c r="K29" i="52"/>
  <c r="K30" i="52"/>
  <c r="K31" i="52"/>
  <c r="K32" i="52"/>
  <c r="K33" i="52"/>
  <c r="K34" i="52"/>
  <c r="K35" i="52"/>
  <c r="K36" i="52"/>
  <c r="K37" i="52"/>
  <c r="K38" i="52"/>
  <c r="K12" i="52"/>
  <c r="J13" i="52"/>
  <c r="J14" i="52"/>
  <c r="J15" i="52"/>
  <c r="J16" i="52"/>
  <c r="J17" i="52"/>
  <c r="J18" i="52"/>
  <c r="J19" i="52"/>
  <c r="J20" i="52"/>
  <c r="J21" i="52"/>
  <c r="J22" i="52"/>
  <c r="J23" i="52"/>
  <c r="J24" i="52"/>
  <c r="J25" i="52"/>
  <c r="J26" i="52"/>
  <c r="J27" i="52"/>
  <c r="J28" i="52"/>
  <c r="J29" i="52"/>
  <c r="J30" i="52"/>
  <c r="J31" i="52"/>
  <c r="J32" i="52"/>
  <c r="J33" i="52"/>
  <c r="J34" i="52"/>
  <c r="J35" i="52"/>
  <c r="J36" i="52"/>
  <c r="J37" i="52"/>
  <c r="J38" i="52"/>
  <c r="J12" i="52"/>
  <c r="I13" i="52"/>
  <c r="I14" i="52"/>
  <c r="I15" i="52"/>
  <c r="I16" i="52"/>
  <c r="I17" i="52"/>
  <c r="I18" i="52"/>
  <c r="I19" i="52"/>
  <c r="I20" i="52"/>
  <c r="I21" i="52"/>
  <c r="I22" i="52"/>
  <c r="I23" i="52"/>
  <c r="I24" i="52"/>
  <c r="I25" i="52"/>
  <c r="I26" i="52"/>
  <c r="I27" i="52"/>
  <c r="I28" i="52"/>
  <c r="I29" i="52"/>
  <c r="I30" i="52"/>
  <c r="I31" i="52"/>
  <c r="I32" i="52"/>
  <c r="I33" i="52"/>
  <c r="I34" i="52"/>
  <c r="I35" i="52"/>
  <c r="I36" i="52"/>
  <c r="I37" i="52"/>
  <c r="I38" i="52"/>
  <c r="I12" i="52"/>
  <c r="H13" i="52"/>
  <c r="H14" i="52"/>
  <c r="H15" i="52"/>
  <c r="H16" i="52"/>
  <c r="H17" i="52"/>
  <c r="H18" i="52"/>
  <c r="H19" i="52"/>
  <c r="H20" i="52"/>
  <c r="H21" i="52"/>
  <c r="H22" i="52"/>
  <c r="H23" i="52"/>
  <c r="H24" i="52"/>
  <c r="H25" i="52"/>
  <c r="H26" i="52"/>
  <c r="H27" i="52"/>
  <c r="H28" i="52"/>
  <c r="H29" i="52"/>
  <c r="H30" i="52"/>
  <c r="H31" i="52"/>
  <c r="H32" i="52"/>
  <c r="H33" i="52"/>
  <c r="H34" i="52"/>
  <c r="H35" i="52"/>
  <c r="H36" i="52"/>
  <c r="H37" i="52"/>
  <c r="H38" i="52"/>
  <c r="H12" i="52"/>
  <c r="E13" i="52"/>
  <c r="E14" i="52"/>
  <c r="E15" i="52"/>
  <c r="E16" i="52"/>
  <c r="E17" i="52"/>
  <c r="E18" i="52"/>
  <c r="E19" i="52"/>
  <c r="E20" i="52"/>
  <c r="E21" i="52"/>
  <c r="E22" i="52"/>
  <c r="E23" i="52"/>
  <c r="E24" i="52"/>
  <c r="E25" i="52"/>
  <c r="E26" i="52"/>
  <c r="E27" i="52"/>
  <c r="E28" i="52"/>
  <c r="E29" i="52"/>
  <c r="E30" i="52"/>
  <c r="E31" i="52"/>
  <c r="E32" i="52"/>
  <c r="E33" i="52"/>
  <c r="E34" i="52"/>
  <c r="E35" i="52"/>
  <c r="E12" i="52"/>
  <c r="A13" i="52"/>
  <c r="B13" i="52" s="1"/>
  <c r="D13" i="52" s="1"/>
  <c r="A14" i="52"/>
  <c r="B14" i="52" s="1"/>
  <c r="D14" i="52" s="1"/>
  <c r="A15" i="52"/>
  <c r="C15" i="52" s="1"/>
  <c r="A16" i="52"/>
  <c r="B16" i="52" s="1"/>
  <c r="D16" i="52" s="1"/>
  <c r="A17" i="52"/>
  <c r="B17" i="52" s="1"/>
  <c r="D17" i="52" s="1"/>
  <c r="A18" i="52"/>
  <c r="B18" i="52" s="1"/>
  <c r="D18" i="52" s="1"/>
  <c r="A19" i="52"/>
  <c r="C19" i="52" s="1"/>
  <c r="A20" i="52"/>
  <c r="C20" i="52" s="1"/>
  <c r="A21" i="52"/>
  <c r="C21" i="52" s="1"/>
  <c r="A22" i="52"/>
  <c r="C22" i="52" s="1"/>
  <c r="A23" i="52"/>
  <c r="C23" i="52" s="1"/>
  <c r="A24" i="52"/>
  <c r="C24" i="52" s="1"/>
  <c r="A25" i="52"/>
  <c r="C25" i="52" s="1"/>
  <c r="A26" i="52"/>
  <c r="C26" i="52" s="1"/>
  <c r="A27" i="52"/>
  <c r="B27" i="52" s="1"/>
  <c r="D27" i="52" s="1"/>
  <c r="A28" i="52"/>
  <c r="B28" i="52" s="1"/>
  <c r="D28" i="52" s="1"/>
  <c r="A29" i="52"/>
  <c r="C29" i="52" s="1"/>
  <c r="A30" i="52"/>
  <c r="B30" i="52" s="1"/>
  <c r="D30" i="52" s="1"/>
  <c r="A31" i="52"/>
  <c r="C31" i="52" s="1"/>
  <c r="A32" i="52"/>
  <c r="B32" i="52" s="1"/>
  <c r="D32" i="52" s="1"/>
  <c r="A33" i="52"/>
  <c r="B33" i="52" s="1"/>
  <c r="D33" i="52" s="1"/>
  <c r="A34" i="52"/>
  <c r="B34" i="52" s="1"/>
  <c r="D34" i="52" s="1"/>
  <c r="A35" i="52"/>
  <c r="C35" i="52" s="1"/>
  <c r="A12" i="52"/>
  <c r="B12" i="52" s="1"/>
  <c r="D12" i="52" s="1"/>
  <c r="E5" i="52"/>
  <c r="E4" i="52"/>
  <c r="B5" i="52"/>
  <c r="E45" i="116" l="1"/>
  <c r="R17" i="118"/>
  <c r="AC17" i="125"/>
  <c r="AE17" i="125" s="1"/>
  <c r="S17" i="128"/>
  <c r="U17" i="128" s="1"/>
  <c r="AB17" i="129"/>
  <c r="R17" i="132"/>
  <c r="R17" i="136"/>
  <c r="R17" i="140"/>
  <c r="R17" i="144"/>
  <c r="R17" i="148"/>
  <c r="AB17" i="149"/>
  <c r="E43" i="143"/>
  <c r="M17" i="148"/>
  <c r="M18" i="148" s="1"/>
  <c r="M19" i="148" s="1"/>
  <c r="M20" i="148" s="1"/>
  <c r="M21" i="148" s="1"/>
  <c r="M22" i="148" s="1"/>
  <c r="M23" i="148" s="1"/>
  <c r="M24" i="148" s="1"/>
  <c r="M25" i="148" s="1"/>
  <c r="M26" i="148" s="1"/>
  <c r="W17" i="149"/>
  <c r="W18" i="149" s="1"/>
  <c r="W19" i="149" s="1"/>
  <c r="W20" i="149" s="1"/>
  <c r="W21" i="149" s="1"/>
  <c r="W22" i="149" s="1"/>
  <c r="W23" i="149" s="1"/>
  <c r="W24" i="149" s="1"/>
  <c r="W25" i="149" s="1"/>
  <c r="W26" i="149" s="1"/>
  <c r="E43" i="151"/>
  <c r="E45" i="103"/>
  <c r="E45" i="107"/>
  <c r="E45" i="111"/>
  <c r="E45" i="115"/>
  <c r="E45" i="119"/>
  <c r="E45" i="125"/>
  <c r="AM7" i="146"/>
  <c r="AN7" i="146" s="1"/>
  <c r="E45" i="147"/>
  <c r="AM7" i="114"/>
  <c r="AN7" i="114" s="1"/>
  <c r="AM7" i="126"/>
  <c r="AN7" i="126" s="1"/>
  <c r="AM7" i="138"/>
  <c r="AN7" i="138" s="1"/>
  <c r="AM7" i="149"/>
  <c r="AN7" i="149" s="1"/>
  <c r="E44" i="109"/>
  <c r="E44" i="131"/>
  <c r="F44" i="131" s="1"/>
  <c r="E44" i="135"/>
  <c r="E44" i="139"/>
  <c r="E44" i="147"/>
  <c r="AM7" i="147"/>
  <c r="AN7" i="147" s="1"/>
  <c r="W17" i="103"/>
  <c r="W18" i="103" s="1"/>
  <c r="W19" i="103" s="1"/>
  <c r="W20" i="103" s="1"/>
  <c r="W21" i="103" s="1"/>
  <c r="W22" i="103" s="1"/>
  <c r="W23" i="103" s="1"/>
  <c r="W24" i="103" s="1"/>
  <c r="W25" i="103" s="1"/>
  <c r="W26" i="103" s="1"/>
  <c r="M17" i="53"/>
  <c r="M18" i="53" s="1"/>
  <c r="M19" i="53" s="1"/>
  <c r="M20" i="53" s="1"/>
  <c r="M21" i="53" s="1"/>
  <c r="M22" i="53" s="1"/>
  <c r="M23" i="53" s="1"/>
  <c r="M24" i="53" s="1"/>
  <c r="M25" i="53" s="1"/>
  <c r="M26" i="53" s="1"/>
  <c r="AM7" i="110"/>
  <c r="AN7" i="110" s="1"/>
  <c r="AM7" i="113"/>
  <c r="AN7" i="113" s="1"/>
  <c r="E45" i="141"/>
  <c r="E44" i="151"/>
  <c r="AC17" i="106"/>
  <c r="AE17" i="106" s="1"/>
  <c r="E46" i="108"/>
  <c r="E46" i="130"/>
  <c r="E46" i="134"/>
  <c r="E46" i="138"/>
  <c r="E46" i="142"/>
  <c r="E46" i="146"/>
  <c r="E46" i="150"/>
  <c r="AM7" i="111"/>
  <c r="AN7" i="111" s="1"/>
  <c r="N17" i="150"/>
  <c r="P17" i="150" s="1"/>
  <c r="E43" i="122"/>
  <c r="E43" i="126"/>
  <c r="E43" i="138"/>
  <c r="E43" i="142"/>
  <c r="E43" i="146"/>
  <c r="E43" i="150"/>
  <c r="D32" i="53"/>
  <c r="D34" i="103"/>
  <c r="D32" i="106"/>
  <c r="D34" i="107"/>
  <c r="D32" i="110"/>
  <c r="D34" i="111"/>
  <c r="D32" i="114"/>
  <c r="D34" i="115"/>
  <c r="E46" i="117"/>
  <c r="R18" i="118"/>
  <c r="R19" i="118" s="1"/>
  <c r="R20" i="118" s="1"/>
  <c r="R21" i="118" s="1"/>
  <c r="R22" i="118" s="1"/>
  <c r="R23" i="118" s="1"/>
  <c r="R24" i="118" s="1"/>
  <c r="R25" i="118" s="1"/>
  <c r="R26" i="118" s="1"/>
  <c r="D34" i="119"/>
  <c r="D32" i="124"/>
  <c r="AB18" i="129"/>
  <c r="AB19" i="129" s="1"/>
  <c r="AB20" i="129" s="1"/>
  <c r="AB21" i="129" s="1"/>
  <c r="AB22" i="129" s="1"/>
  <c r="AB23" i="129" s="1"/>
  <c r="AB24" i="129" s="1"/>
  <c r="AB25" i="129" s="1"/>
  <c r="AB26" i="129" s="1"/>
  <c r="E46" i="131"/>
  <c r="F46" i="131" s="1"/>
  <c r="R18" i="132"/>
  <c r="R19" i="132" s="1"/>
  <c r="R20" i="132" s="1"/>
  <c r="R21" i="132" s="1"/>
  <c r="R22" i="132" s="1"/>
  <c r="R23" i="132" s="1"/>
  <c r="R24" i="132" s="1"/>
  <c r="R25" i="132" s="1"/>
  <c r="R26" i="132" s="1"/>
  <c r="E46" i="135"/>
  <c r="R18" i="136"/>
  <c r="R19" i="136" s="1"/>
  <c r="R20" i="136" s="1"/>
  <c r="R21" i="136" s="1"/>
  <c r="R22" i="136" s="1"/>
  <c r="R23" i="136" s="1"/>
  <c r="R24" i="136" s="1"/>
  <c r="R25" i="136" s="1"/>
  <c r="R26" i="136" s="1"/>
  <c r="E46" i="139"/>
  <c r="F46" i="139" s="1"/>
  <c r="R18" i="140"/>
  <c r="R19" i="140" s="1"/>
  <c r="R20" i="140" s="1"/>
  <c r="R21" i="140" s="1"/>
  <c r="R22" i="140" s="1"/>
  <c r="R23" i="140" s="1"/>
  <c r="R24" i="140" s="1"/>
  <c r="R25" i="140" s="1"/>
  <c r="R26" i="140" s="1"/>
  <c r="D34" i="141"/>
  <c r="E46" i="143"/>
  <c r="R18" i="144"/>
  <c r="R19" i="144" s="1"/>
  <c r="R20" i="144" s="1"/>
  <c r="R21" i="144" s="1"/>
  <c r="R22" i="144" s="1"/>
  <c r="R23" i="144" s="1"/>
  <c r="R24" i="144" s="1"/>
  <c r="R25" i="144" s="1"/>
  <c r="R26" i="144" s="1"/>
  <c r="D34" i="145"/>
  <c r="R18" i="148"/>
  <c r="R19" i="148" s="1"/>
  <c r="R20" i="148" s="1"/>
  <c r="R21" i="148" s="1"/>
  <c r="R22" i="148" s="1"/>
  <c r="R23" i="148" s="1"/>
  <c r="R24" i="148" s="1"/>
  <c r="R25" i="148" s="1"/>
  <c r="R26" i="148" s="1"/>
  <c r="AB18" i="149"/>
  <c r="AB19" i="149" s="1"/>
  <c r="AB20" i="149" s="1"/>
  <c r="AB21" i="149" s="1"/>
  <c r="AB22" i="149" s="1"/>
  <c r="AB23" i="149" s="1"/>
  <c r="AB24" i="149" s="1"/>
  <c r="AB25" i="149" s="1"/>
  <c r="AB26" i="149" s="1"/>
  <c r="AM7" i="107"/>
  <c r="AN7" i="107" s="1"/>
  <c r="D31" i="53"/>
  <c r="D33" i="103"/>
  <c r="D31" i="106"/>
  <c r="D33" i="107"/>
  <c r="D31" i="110"/>
  <c r="D33" i="111"/>
  <c r="N18" i="114"/>
  <c r="D33" i="115"/>
  <c r="M18" i="118"/>
  <c r="M19" i="118" s="1"/>
  <c r="M20" i="118" s="1"/>
  <c r="M21" i="118" s="1"/>
  <c r="M22" i="118" s="1"/>
  <c r="M23" i="118" s="1"/>
  <c r="M24" i="118" s="1"/>
  <c r="M25" i="118" s="1"/>
  <c r="M26" i="118" s="1"/>
  <c r="D33" i="119"/>
  <c r="N18" i="124"/>
  <c r="N18" i="128"/>
  <c r="O18" i="128" s="1"/>
  <c r="M18" i="132"/>
  <c r="M19" i="132" s="1"/>
  <c r="M20" i="132" s="1"/>
  <c r="M21" i="132" s="1"/>
  <c r="M22" i="132" s="1"/>
  <c r="M23" i="132" s="1"/>
  <c r="M24" i="132" s="1"/>
  <c r="M25" i="132" s="1"/>
  <c r="M26" i="132" s="1"/>
  <c r="M18" i="136"/>
  <c r="M19" i="136" s="1"/>
  <c r="M20" i="136" s="1"/>
  <c r="M21" i="136" s="1"/>
  <c r="M22" i="136" s="1"/>
  <c r="M23" i="136" s="1"/>
  <c r="M24" i="136" s="1"/>
  <c r="M25" i="136" s="1"/>
  <c r="M26" i="136" s="1"/>
  <c r="W18" i="137"/>
  <c r="W19" i="137" s="1"/>
  <c r="W20" i="137" s="1"/>
  <c r="W21" i="137" s="1"/>
  <c r="W22" i="137" s="1"/>
  <c r="W23" i="137" s="1"/>
  <c r="W24" i="137" s="1"/>
  <c r="W25" i="137" s="1"/>
  <c r="W26" i="137" s="1"/>
  <c r="M18" i="140"/>
  <c r="M19" i="140" s="1"/>
  <c r="M20" i="140" s="1"/>
  <c r="M21" i="140" s="1"/>
  <c r="M22" i="140" s="1"/>
  <c r="M23" i="140" s="1"/>
  <c r="M24" i="140" s="1"/>
  <c r="M25" i="140" s="1"/>
  <c r="M26" i="140" s="1"/>
  <c r="D33" i="141"/>
  <c r="M18" i="144"/>
  <c r="M19" i="144" s="1"/>
  <c r="M20" i="144" s="1"/>
  <c r="M21" i="144" s="1"/>
  <c r="M22" i="144" s="1"/>
  <c r="M23" i="144" s="1"/>
  <c r="M24" i="144" s="1"/>
  <c r="M25" i="144" s="1"/>
  <c r="M26" i="144" s="1"/>
  <c r="D33" i="145"/>
  <c r="S17" i="103"/>
  <c r="U17" i="103" s="1"/>
  <c r="AB17" i="104"/>
  <c r="AB18" i="104" s="1"/>
  <c r="AB19" i="104" s="1"/>
  <c r="AB20" i="104" s="1"/>
  <c r="AB21" i="104" s="1"/>
  <c r="AB22" i="104" s="1"/>
  <c r="AB23" i="104" s="1"/>
  <c r="AB24" i="104" s="1"/>
  <c r="AB25" i="104" s="1"/>
  <c r="AB26" i="104" s="1"/>
  <c r="R17" i="107"/>
  <c r="R18" i="107" s="1"/>
  <c r="R19" i="107" s="1"/>
  <c r="R20" i="107" s="1"/>
  <c r="R21" i="107" s="1"/>
  <c r="R22" i="107" s="1"/>
  <c r="R23" i="107" s="1"/>
  <c r="R24" i="107" s="1"/>
  <c r="R25" i="107" s="1"/>
  <c r="R26" i="107" s="1"/>
  <c r="R17" i="111"/>
  <c r="AB17" i="112"/>
  <c r="AB18" i="112" s="1"/>
  <c r="AB19" i="112" s="1"/>
  <c r="AB20" i="112" s="1"/>
  <c r="AB21" i="112" s="1"/>
  <c r="AB22" i="112" s="1"/>
  <c r="AB23" i="112" s="1"/>
  <c r="AB24" i="112" s="1"/>
  <c r="AB25" i="112" s="1"/>
  <c r="AB26" i="112" s="1"/>
  <c r="R17" i="115"/>
  <c r="AB17" i="116"/>
  <c r="AB18" i="116" s="1"/>
  <c r="AB19" i="116" s="1"/>
  <c r="AB20" i="116" s="1"/>
  <c r="AB21" i="116" s="1"/>
  <c r="AB22" i="116" s="1"/>
  <c r="AB23" i="116" s="1"/>
  <c r="AB24" i="116" s="1"/>
  <c r="AB25" i="116" s="1"/>
  <c r="AB26" i="116" s="1"/>
  <c r="R17" i="119"/>
  <c r="R18" i="119" s="1"/>
  <c r="R19" i="119" s="1"/>
  <c r="R20" i="119" s="1"/>
  <c r="R21" i="119" s="1"/>
  <c r="R22" i="119" s="1"/>
  <c r="R23" i="119" s="1"/>
  <c r="R24" i="119" s="1"/>
  <c r="R25" i="119" s="1"/>
  <c r="R26" i="119" s="1"/>
  <c r="R17" i="125"/>
  <c r="R18" i="125" s="1"/>
  <c r="R19" i="125" s="1"/>
  <c r="R20" i="125" s="1"/>
  <c r="R21" i="125" s="1"/>
  <c r="R22" i="125" s="1"/>
  <c r="R23" i="125" s="1"/>
  <c r="R24" i="125" s="1"/>
  <c r="R25" i="125" s="1"/>
  <c r="R26" i="125" s="1"/>
  <c r="AB17" i="126"/>
  <c r="AB18" i="126" s="1"/>
  <c r="AB19" i="126" s="1"/>
  <c r="AB20" i="126" s="1"/>
  <c r="AB21" i="126" s="1"/>
  <c r="AB22" i="126" s="1"/>
  <c r="AB23" i="126" s="1"/>
  <c r="AB24" i="126" s="1"/>
  <c r="AB25" i="126" s="1"/>
  <c r="AB26" i="126" s="1"/>
  <c r="R17" i="129"/>
  <c r="R18" i="129" s="1"/>
  <c r="R19" i="129" s="1"/>
  <c r="R20" i="129" s="1"/>
  <c r="R21" i="129" s="1"/>
  <c r="R22" i="129" s="1"/>
  <c r="R23" i="129" s="1"/>
  <c r="R24" i="129" s="1"/>
  <c r="R25" i="129" s="1"/>
  <c r="R26" i="129" s="1"/>
  <c r="AB17" i="130"/>
  <c r="AB18" i="130" s="1"/>
  <c r="AB19" i="130" s="1"/>
  <c r="AB20" i="130" s="1"/>
  <c r="AB21" i="130" s="1"/>
  <c r="AB22" i="130" s="1"/>
  <c r="AB23" i="130" s="1"/>
  <c r="AB24" i="130" s="1"/>
  <c r="AB25" i="130" s="1"/>
  <c r="AB26" i="130" s="1"/>
  <c r="R17" i="133"/>
  <c r="R18" i="133" s="1"/>
  <c r="R19" i="133" s="1"/>
  <c r="R20" i="133" s="1"/>
  <c r="R21" i="133" s="1"/>
  <c r="R22" i="133" s="1"/>
  <c r="R23" i="133" s="1"/>
  <c r="R24" i="133" s="1"/>
  <c r="R25" i="133" s="1"/>
  <c r="R26" i="133" s="1"/>
  <c r="AB17" i="134"/>
  <c r="AB18" i="134" s="1"/>
  <c r="AB19" i="134" s="1"/>
  <c r="AB20" i="134" s="1"/>
  <c r="AB21" i="134" s="1"/>
  <c r="AB22" i="134" s="1"/>
  <c r="AB23" i="134" s="1"/>
  <c r="AB24" i="134" s="1"/>
  <c r="AB25" i="134" s="1"/>
  <c r="AB26" i="134" s="1"/>
  <c r="F45" i="136"/>
  <c r="R17" i="137"/>
  <c r="AB17" i="138"/>
  <c r="F46" i="127"/>
  <c r="D31" i="103"/>
  <c r="D31" i="107"/>
  <c r="W18" i="112"/>
  <c r="W19" i="112" s="1"/>
  <c r="W20" i="112" s="1"/>
  <c r="W21" i="112" s="1"/>
  <c r="W22" i="112" s="1"/>
  <c r="W23" i="112" s="1"/>
  <c r="W24" i="112" s="1"/>
  <c r="W25" i="112" s="1"/>
  <c r="W26" i="112" s="1"/>
  <c r="D31" i="115"/>
  <c r="D31" i="119"/>
  <c r="D33" i="122"/>
  <c r="D33" i="126"/>
  <c r="M18" i="129"/>
  <c r="M19" i="129" s="1"/>
  <c r="M20" i="129" s="1"/>
  <c r="M21" i="129" s="1"/>
  <c r="M22" i="129" s="1"/>
  <c r="M23" i="129" s="1"/>
  <c r="M24" i="129" s="1"/>
  <c r="M25" i="129" s="1"/>
  <c r="M26" i="129" s="1"/>
  <c r="D33" i="130"/>
  <c r="M18" i="133"/>
  <c r="M19" i="133" s="1"/>
  <c r="M20" i="133" s="1"/>
  <c r="M21" i="133" s="1"/>
  <c r="M22" i="133" s="1"/>
  <c r="M23" i="133" s="1"/>
  <c r="M24" i="133" s="1"/>
  <c r="M25" i="133" s="1"/>
  <c r="M26" i="133" s="1"/>
  <c r="D33" i="134"/>
  <c r="M18" i="137"/>
  <c r="M19" i="137" s="1"/>
  <c r="M20" i="137" s="1"/>
  <c r="M21" i="137" s="1"/>
  <c r="M22" i="137" s="1"/>
  <c r="M23" i="137" s="1"/>
  <c r="M24" i="137" s="1"/>
  <c r="M25" i="137" s="1"/>
  <c r="M26" i="137" s="1"/>
  <c r="D33" i="138"/>
  <c r="D31" i="141"/>
  <c r="M18" i="145"/>
  <c r="M19" i="145" s="1"/>
  <c r="M20" i="145" s="1"/>
  <c r="M21" i="145" s="1"/>
  <c r="M22" i="145" s="1"/>
  <c r="M23" i="145" s="1"/>
  <c r="M24" i="145" s="1"/>
  <c r="M25" i="145" s="1"/>
  <c r="M26" i="145" s="1"/>
  <c r="W18" i="146"/>
  <c r="W19" i="146" s="1"/>
  <c r="W20" i="146" s="1"/>
  <c r="W21" i="146" s="1"/>
  <c r="W22" i="146" s="1"/>
  <c r="W23" i="146" s="1"/>
  <c r="W24" i="146" s="1"/>
  <c r="W25" i="146" s="1"/>
  <c r="W26" i="146" s="1"/>
  <c r="M18" i="149"/>
  <c r="M19" i="149" s="1"/>
  <c r="M20" i="149" s="1"/>
  <c r="M21" i="149" s="1"/>
  <c r="M22" i="149" s="1"/>
  <c r="M23" i="149" s="1"/>
  <c r="M24" i="149" s="1"/>
  <c r="M25" i="149" s="1"/>
  <c r="M26" i="149" s="1"/>
  <c r="D33" i="150"/>
  <c r="B704" i="152"/>
  <c r="D32" i="104"/>
  <c r="AB17" i="105"/>
  <c r="AB18" i="105" s="1"/>
  <c r="AB19" i="105" s="1"/>
  <c r="AB20" i="105" s="1"/>
  <c r="AB21" i="105" s="1"/>
  <c r="AB22" i="105" s="1"/>
  <c r="AB23" i="105" s="1"/>
  <c r="AB24" i="105" s="1"/>
  <c r="AB25" i="105" s="1"/>
  <c r="AB26" i="105" s="1"/>
  <c r="R17" i="108"/>
  <c r="R18" i="108" s="1"/>
  <c r="R19" i="108" s="1"/>
  <c r="R20" i="108" s="1"/>
  <c r="R21" i="108" s="1"/>
  <c r="R22" i="108" s="1"/>
  <c r="R23" i="108" s="1"/>
  <c r="R24" i="108" s="1"/>
  <c r="R25" i="108" s="1"/>
  <c r="R26" i="108" s="1"/>
  <c r="S17" i="112"/>
  <c r="U17" i="112" s="1"/>
  <c r="S17" i="116"/>
  <c r="U17" i="116" s="1"/>
  <c r="D34" i="117"/>
  <c r="D32" i="122"/>
  <c r="D34" i="123"/>
  <c r="D32" i="126"/>
  <c r="D34" i="127"/>
  <c r="D32" i="130"/>
  <c r="D34" i="131"/>
  <c r="D32" i="134"/>
  <c r="D34" i="135"/>
  <c r="D32" i="138"/>
  <c r="D34" i="139"/>
  <c r="S17" i="142"/>
  <c r="D34" i="143"/>
  <c r="R17" i="146"/>
  <c r="R18" i="146" s="1"/>
  <c r="R19" i="146" s="1"/>
  <c r="R20" i="146" s="1"/>
  <c r="R21" i="146" s="1"/>
  <c r="R22" i="146" s="1"/>
  <c r="R23" i="146" s="1"/>
  <c r="R24" i="146" s="1"/>
  <c r="R25" i="146" s="1"/>
  <c r="R26" i="146" s="1"/>
  <c r="D34" i="147"/>
  <c r="D32" i="150"/>
  <c r="D34" i="151"/>
  <c r="AM7" i="151"/>
  <c r="AN7" i="151" s="1"/>
  <c r="L17" i="104"/>
  <c r="N18" i="104" s="1"/>
  <c r="X17" i="105"/>
  <c r="Z17" i="105" s="1"/>
  <c r="M17" i="108"/>
  <c r="M18" i="108" s="1"/>
  <c r="M19" i="108" s="1"/>
  <c r="M20" i="108" s="1"/>
  <c r="M21" i="108" s="1"/>
  <c r="M22" i="108" s="1"/>
  <c r="M23" i="108" s="1"/>
  <c r="M24" i="108" s="1"/>
  <c r="M25" i="108" s="1"/>
  <c r="M26" i="108" s="1"/>
  <c r="M17" i="112"/>
  <c r="M18" i="112" s="1"/>
  <c r="M19" i="112" s="1"/>
  <c r="M20" i="112" s="1"/>
  <c r="M21" i="112" s="1"/>
  <c r="M22" i="112" s="1"/>
  <c r="M23" i="112" s="1"/>
  <c r="M24" i="112" s="1"/>
  <c r="M25" i="112" s="1"/>
  <c r="M26" i="112" s="1"/>
  <c r="W17" i="113"/>
  <c r="W18" i="113" s="1"/>
  <c r="W19" i="113" s="1"/>
  <c r="W20" i="113" s="1"/>
  <c r="W21" i="113" s="1"/>
  <c r="W22" i="113" s="1"/>
  <c r="W23" i="113" s="1"/>
  <c r="W24" i="113" s="1"/>
  <c r="W25" i="113" s="1"/>
  <c r="W26" i="113" s="1"/>
  <c r="L17" i="116"/>
  <c r="N18" i="116" s="1"/>
  <c r="D33" i="117"/>
  <c r="D31" i="122"/>
  <c r="D33" i="123"/>
  <c r="D31" i="126"/>
  <c r="D33" i="127"/>
  <c r="D31" i="130"/>
  <c r="D33" i="131"/>
  <c r="D31" i="134"/>
  <c r="D33" i="135"/>
  <c r="M17" i="138"/>
  <c r="M18" i="138" s="1"/>
  <c r="M19" i="138" s="1"/>
  <c r="M20" i="138" s="1"/>
  <c r="M21" i="138" s="1"/>
  <c r="M22" i="138" s="1"/>
  <c r="M23" i="138" s="1"/>
  <c r="M24" i="138" s="1"/>
  <c r="M25" i="138" s="1"/>
  <c r="M26" i="138" s="1"/>
  <c r="D33" i="139"/>
  <c r="N17" i="142"/>
  <c r="O17" i="142" s="1"/>
  <c r="D33" i="143"/>
  <c r="M17" i="146"/>
  <c r="M18" i="146" s="1"/>
  <c r="M19" i="146" s="1"/>
  <c r="M20" i="146" s="1"/>
  <c r="M21" i="146" s="1"/>
  <c r="M22" i="146" s="1"/>
  <c r="M23" i="146" s="1"/>
  <c r="M24" i="146" s="1"/>
  <c r="M25" i="146" s="1"/>
  <c r="M26" i="146" s="1"/>
  <c r="D33" i="147"/>
  <c r="D31" i="150"/>
  <c r="X17" i="151"/>
  <c r="Z17" i="151" s="1"/>
  <c r="D34" i="53"/>
  <c r="D34" i="110"/>
  <c r="D32" i="113"/>
  <c r="D34" i="114"/>
  <c r="D32" i="117"/>
  <c r="D34" i="118"/>
  <c r="D32" i="123"/>
  <c r="D32" i="127"/>
  <c r="D34" i="128"/>
  <c r="D32" i="131"/>
  <c r="D34" i="132"/>
  <c r="D34" i="136"/>
  <c r="D32" i="139"/>
  <c r="D32" i="143"/>
  <c r="D32" i="147"/>
  <c r="AO246" i="152"/>
  <c r="W17" i="53"/>
  <c r="W18" i="53" s="1"/>
  <c r="W19" i="53" s="1"/>
  <c r="W20" i="53" s="1"/>
  <c r="W21" i="53" s="1"/>
  <c r="W22" i="53" s="1"/>
  <c r="W23" i="53" s="1"/>
  <c r="W24" i="53" s="1"/>
  <c r="W25" i="53" s="1"/>
  <c r="W26" i="53" s="1"/>
  <c r="E44" i="104"/>
  <c r="M17" i="105"/>
  <c r="M18" i="105" s="1"/>
  <c r="M19" i="105" s="1"/>
  <c r="M20" i="105" s="1"/>
  <c r="M21" i="105" s="1"/>
  <c r="M22" i="105" s="1"/>
  <c r="M23" i="105" s="1"/>
  <c r="M24" i="105" s="1"/>
  <c r="M25" i="105" s="1"/>
  <c r="M26" i="105" s="1"/>
  <c r="E44" i="108"/>
  <c r="M17" i="109"/>
  <c r="M18" i="109" s="1"/>
  <c r="M19" i="109" s="1"/>
  <c r="M20" i="109" s="1"/>
  <c r="M21" i="109" s="1"/>
  <c r="M22" i="109" s="1"/>
  <c r="M23" i="109" s="1"/>
  <c r="M24" i="109" s="1"/>
  <c r="M25" i="109" s="1"/>
  <c r="M26" i="109" s="1"/>
  <c r="D33" i="110"/>
  <c r="E44" i="112"/>
  <c r="D31" i="113"/>
  <c r="D33" i="114"/>
  <c r="E44" i="116"/>
  <c r="D31" i="117"/>
  <c r="D33" i="118"/>
  <c r="D31" i="123"/>
  <c r="X17" i="124"/>
  <c r="L17" i="127"/>
  <c r="N18" i="127" s="1"/>
  <c r="D33" i="128"/>
  <c r="M17" i="131"/>
  <c r="M18" i="131" s="1"/>
  <c r="M19" i="131" s="1"/>
  <c r="M20" i="131" s="1"/>
  <c r="M21" i="131" s="1"/>
  <c r="M22" i="131" s="1"/>
  <c r="M23" i="131" s="1"/>
  <c r="M24" i="131" s="1"/>
  <c r="M25" i="131" s="1"/>
  <c r="M26" i="131" s="1"/>
  <c r="D33" i="132"/>
  <c r="M17" i="135"/>
  <c r="M18" i="135" s="1"/>
  <c r="M19" i="135" s="1"/>
  <c r="M20" i="135" s="1"/>
  <c r="M21" i="135" s="1"/>
  <c r="M22" i="135" s="1"/>
  <c r="M23" i="135" s="1"/>
  <c r="M24" i="135" s="1"/>
  <c r="M25" i="135" s="1"/>
  <c r="M26" i="135" s="1"/>
  <c r="W17" i="136"/>
  <c r="W18" i="136" s="1"/>
  <c r="W19" i="136" s="1"/>
  <c r="W20" i="136" s="1"/>
  <c r="W21" i="136" s="1"/>
  <c r="W22" i="136" s="1"/>
  <c r="W23" i="136" s="1"/>
  <c r="W24" i="136" s="1"/>
  <c r="W25" i="136" s="1"/>
  <c r="W26" i="136" s="1"/>
  <c r="D31" i="139"/>
  <c r="D31" i="143"/>
  <c r="W17" i="144"/>
  <c r="W18" i="144" s="1"/>
  <c r="W19" i="144" s="1"/>
  <c r="W20" i="144" s="1"/>
  <c r="W21" i="144" s="1"/>
  <c r="W22" i="144" s="1"/>
  <c r="W23" i="144" s="1"/>
  <c r="W24" i="144" s="1"/>
  <c r="W25" i="144" s="1"/>
  <c r="W26" i="144" s="1"/>
  <c r="D31" i="147"/>
  <c r="W17" i="148"/>
  <c r="W18" i="148" s="1"/>
  <c r="W19" i="148" s="1"/>
  <c r="W20" i="148" s="1"/>
  <c r="W21" i="148" s="1"/>
  <c r="W22" i="148" s="1"/>
  <c r="W23" i="148" s="1"/>
  <c r="W24" i="148" s="1"/>
  <c r="W25" i="148" s="1"/>
  <c r="W26" i="148" s="1"/>
  <c r="N17" i="151"/>
  <c r="P17" i="151" s="1"/>
  <c r="M16" i="104"/>
  <c r="M17" i="104" s="1"/>
  <c r="M18" i="104" s="1"/>
  <c r="M19" i="104" s="1"/>
  <c r="M20" i="104" s="1"/>
  <c r="M21" i="104" s="1"/>
  <c r="M22" i="104" s="1"/>
  <c r="M23" i="104" s="1"/>
  <c r="M24" i="104" s="1"/>
  <c r="M25" i="104" s="1"/>
  <c r="M26" i="104" s="1"/>
  <c r="W16" i="105"/>
  <c r="W17" i="105" s="1"/>
  <c r="W18" i="105" s="1"/>
  <c r="W19" i="105" s="1"/>
  <c r="W20" i="105" s="1"/>
  <c r="W21" i="105" s="1"/>
  <c r="W22" i="105" s="1"/>
  <c r="W23" i="105" s="1"/>
  <c r="W24" i="105" s="1"/>
  <c r="W25" i="105" s="1"/>
  <c r="W26" i="105" s="1"/>
  <c r="M16" i="111"/>
  <c r="M17" i="111" s="1"/>
  <c r="M18" i="111" s="1"/>
  <c r="M19" i="111" s="1"/>
  <c r="M20" i="111" s="1"/>
  <c r="M21" i="111" s="1"/>
  <c r="M22" i="111" s="1"/>
  <c r="M23" i="111" s="1"/>
  <c r="M24" i="111" s="1"/>
  <c r="M25" i="111" s="1"/>
  <c r="M26" i="111" s="1"/>
  <c r="D31" i="104"/>
  <c r="D31" i="108"/>
  <c r="D31" i="112"/>
  <c r="D31" i="116"/>
  <c r="D31" i="124"/>
  <c r="D31" i="128"/>
  <c r="D31" i="132"/>
  <c r="D31" i="136"/>
  <c r="D31" i="140"/>
  <c r="D31" i="144"/>
  <c r="D31" i="148"/>
  <c r="E46" i="110"/>
  <c r="M16" i="114"/>
  <c r="M17" i="114" s="1"/>
  <c r="M18" i="114" s="1"/>
  <c r="M19" i="114" s="1"/>
  <c r="M20" i="114" s="1"/>
  <c r="M21" i="114" s="1"/>
  <c r="M22" i="114" s="1"/>
  <c r="M23" i="114" s="1"/>
  <c r="M24" i="114" s="1"/>
  <c r="M25" i="114" s="1"/>
  <c r="M26" i="114" s="1"/>
  <c r="AB17" i="115"/>
  <c r="AB18" i="115" s="1"/>
  <c r="AB19" i="115" s="1"/>
  <c r="AB20" i="115" s="1"/>
  <c r="AB21" i="115" s="1"/>
  <c r="AB22" i="115" s="1"/>
  <c r="AB23" i="115" s="1"/>
  <c r="AB24" i="115" s="1"/>
  <c r="AB25" i="115" s="1"/>
  <c r="AB26" i="115" s="1"/>
  <c r="L16" i="117"/>
  <c r="N17" i="117" s="1"/>
  <c r="P17" i="117" s="1"/>
  <c r="V16" i="118"/>
  <c r="X17" i="118" s="1"/>
  <c r="M16" i="124"/>
  <c r="M17" i="124" s="1"/>
  <c r="M18" i="124" s="1"/>
  <c r="M19" i="124" s="1"/>
  <c r="M20" i="124" s="1"/>
  <c r="M21" i="124" s="1"/>
  <c r="M22" i="124" s="1"/>
  <c r="M23" i="124" s="1"/>
  <c r="M24" i="124" s="1"/>
  <c r="M25" i="124" s="1"/>
  <c r="M26" i="124" s="1"/>
  <c r="M16" i="127"/>
  <c r="M17" i="127" s="1"/>
  <c r="M18" i="127" s="1"/>
  <c r="M19" i="127" s="1"/>
  <c r="M20" i="127" s="1"/>
  <c r="M21" i="127" s="1"/>
  <c r="M22" i="127" s="1"/>
  <c r="M23" i="127" s="1"/>
  <c r="M24" i="127" s="1"/>
  <c r="M25" i="127" s="1"/>
  <c r="M26" i="127" s="1"/>
  <c r="V16" i="132"/>
  <c r="X17" i="132" s="1"/>
  <c r="Y17" i="132" s="1"/>
  <c r="N17" i="141"/>
  <c r="P17" i="141" s="1"/>
  <c r="W17" i="142"/>
  <c r="W18" i="142" s="1"/>
  <c r="W19" i="142" s="1"/>
  <c r="W20" i="142" s="1"/>
  <c r="W21" i="142" s="1"/>
  <c r="W22" i="142" s="1"/>
  <c r="W23" i="142" s="1"/>
  <c r="W24" i="142" s="1"/>
  <c r="W25" i="142" s="1"/>
  <c r="W26" i="142" s="1"/>
  <c r="Q16" i="104"/>
  <c r="S17" i="104" s="1"/>
  <c r="E43" i="108"/>
  <c r="V16" i="111"/>
  <c r="X17" i="111" s="1"/>
  <c r="Q16" i="114"/>
  <c r="S17" i="114" s="1"/>
  <c r="U17" i="114" s="1"/>
  <c r="E46" i="116"/>
  <c r="M16" i="117"/>
  <c r="M17" i="117" s="1"/>
  <c r="M18" i="117" s="1"/>
  <c r="M19" i="117" s="1"/>
  <c r="M20" i="117" s="1"/>
  <c r="M21" i="117" s="1"/>
  <c r="M22" i="117" s="1"/>
  <c r="M23" i="117" s="1"/>
  <c r="M24" i="117" s="1"/>
  <c r="M25" i="117" s="1"/>
  <c r="M26" i="117" s="1"/>
  <c r="W16" i="118"/>
  <c r="W17" i="118" s="1"/>
  <c r="W18" i="118" s="1"/>
  <c r="W19" i="118" s="1"/>
  <c r="W20" i="118" s="1"/>
  <c r="W21" i="118" s="1"/>
  <c r="W22" i="118" s="1"/>
  <c r="W23" i="118" s="1"/>
  <c r="W24" i="118" s="1"/>
  <c r="W25" i="118" s="1"/>
  <c r="W26" i="118" s="1"/>
  <c r="L16" i="123"/>
  <c r="L17" i="123" s="1"/>
  <c r="N18" i="123" s="1"/>
  <c r="P18" i="123" s="1"/>
  <c r="Q16" i="124"/>
  <c r="S17" i="124" s="1"/>
  <c r="U17" i="124" s="1"/>
  <c r="Q16" i="127"/>
  <c r="S17" i="127" s="1"/>
  <c r="V16" i="128"/>
  <c r="X17" i="128" s="1"/>
  <c r="R16" i="131"/>
  <c r="R17" i="131" s="1"/>
  <c r="R18" i="131" s="1"/>
  <c r="R19" i="131" s="1"/>
  <c r="R20" i="131" s="1"/>
  <c r="R21" i="131" s="1"/>
  <c r="R22" i="131" s="1"/>
  <c r="R23" i="131" s="1"/>
  <c r="R24" i="131" s="1"/>
  <c r="R25" i="131" s="1"/>
  <c r="R26" i="131" s="1"/>
  <c r="W16" i="132"/>
  <c r="W17" i="132" s="1"/>
  <c r="W18" i="132" s="1"/>
  <c r="W19" i="132" s="1"/>
  <c r="W20" i="132" s="1"/>
  <c r="W21" i="132" s="1"/>
  <c r="W22" i="132" s="1"/>
  <c r="W23" i="132" s="1"/>
  <c r="W24" i="132" s="1"/>
  <c r="W25" i="132" s="1"/>
  <c r="W26" i="132" s="1"/>
  <c r="L16" i="134"/>
  <c r="N17" i="134" s="1"/>
  <c r="P17" i="134" s="1"/>
  <c r="W16" i="135"/>
  <c r="W17" i="135" s="1"/>
  <c r="W18" i="135" s="1"/>
  <c r="W19" i="135" s="1"/>
  <c r="W20" i="135" s="1"/>
  <c r="W21" i="135" s="1"/>
  <c r="W22" i="135" s="1"/>
  <c r="W23" i="135" s="1"/>
  <c r="W24" i="135" s="1"/>
  <c r="W25" i="135" s="1"/>
  <c r="W26" i="135" s="1"/>
  <c r="AB16" i="136"/>
  <c r="R16" i="138"/>
  <c r="R17" i="138" s="1"/>
  <c r="R18" i="138" s="1"/>
  <c r="R19" i="138" s="1"/>
  <c r="R20" i="138" s="1"/>
  <c r="R21" i="138" s="1"/>
  <c r="R22" i="138" s="1"/>
  <c r="R23" i="138" s="1"/>
  <c r="R24" i="138" s="1"/>
  <c r="R25" i="138" s="1"/>
  <c r="R26" i="138" s="1"/>
  <c r="E43" i="139"/>
  <c r="M16" i="141"/>
  <c r="M17" i="141" s="1"/>
  <c r="M18" i="141" s="1"/>
  <c r="M19" i="141" s="1"/>
  <c r="M20" i="141" s="1"/>
  <c r="M21" i="141" s="1"/>
  <c r="M22" i="141" s="1"/>
  <c r="M23" i="141" s="1"/>
  <c r="M24" i="141" s="1"/>
  <c r="M25" i="141" s="1"/>
  <c r="M26" i="141" s="1"/>
  <c r="AB16" i="142"/>
  <c r="E44" i="143"/>
  <c r="W16" i="145"/>
  <c r="W17" i="145" s="1"/>
  <c r="W18" i="145" s="1"/>
  <c r="W19" i="145" s="1"/>
  <c r="W20" i="145" s="1"/>
  <c r="W21" i="145" s="1"/>
  <c r="W22" i="145" s="1"/>
  <c r="W23" i="145" s="1"/>
  <c r="W24" i="145" s="1"/>
  <c r="W25" i="145" s="1"/>
  <c r="W26" i="145" s="1"/>
  <c r="E46" i="147"/>
  <c r="AA16" i="151"/>
  <c r="AC17" i="151" s="1"/>
  <c r="AE17" i="151" s="1"/>
  <c r="E44" i="117"/>
  <c r="F44" i="117" s="1"/>
  <c r="D32" i="108"/>
  <c r="D32" i="112"/>
  <c r="D32" i="116"/>
  <c r="D32" i="128"/>
  <c r="D32" i="132"/>
  <c r="D32" i="136"/>
  <c r="D32" i="140"/>
  <c r="D32" i="144"/>
  <c r="D32" i="148"/>
  <c r="D33" i="104"/>
  <c r="D33" i="108"/>
  <c r="D33" i="112"/>
  <c r="D33" i="116"/>
  <c r="D33" i="124"/>
  <c r="D33" i="136"/>
  <c r="D33" i="140"/>
  <c r="D33" i="144"/>
  <c r="D33" i="148"/>
  <c r="L16" i="53"/>
  <c r="L17" i="53" s="1"/>
  <c r="M16" i="107"/>
  <c r="M17" i="107" s="1"/>
  <c r="M18" i="107" s="1"/>
  <c r="M19" i="107" s="1"/>
  <c r="M20" i="107" s="1"/>
  <c r="M21" i="107" s="1"/>
  <c r="M22" i="107" s="1"/>
  <c r="M23" i="107" s="1"/>
  <c r="M24" i="107" s="1"/>
  <c r="M25" i="107" s="1"/>
  <c r="M26" i="107" s="1"/>
  <c r="L16" i="110"/>
  <c r="L17" i="110" s="1"/>
  <c r="N18" i="110" s="1"/>
  <c r="AA16" i="111"/>
  <c r="AC17" i="111" s="1"/>
  <c r="AD17" i="111" s="1"/>
  <c r="M16" i="113"/>
  <c r="M17" i="113" s="1"/>
  <c r="M18" i="113" s="1"/>
  <c r="M19" i="113" s="1"/>
  <c r="M20" i="113" s="1"/>
  <c r="M21" i="113" s="1"/>
  <c r="M22" i="113" s="1"/>
  <c r="M23" i="113" s="1"/>
  <c r="M24" i="113" s="1"/>
  <c r="M25" i="113" s="1"/>
  <c r="M26" i="113" s="1"/>
  <c r="V16" i="114"/>
  <c r="R16" i="117"/>
  <c r="R17" i="117" s="1"/>
  <c r="R18" i="117" s="1"/>
  <c r="R19" i="117" s="1"/>
  <c r="R20" i="117" s="1"/>
  <c r="R21" i="117" s="1"/>
  <c r="R22" i="117" s="1"/>
  <c r="R23" i="117" s="1"/>
  <c r="R24" i="117" s="1"/>
  <c r="R25" i="117" s="1"/>
  <c r="R26" i="117" s="1"/>
  <c r="AB16" i="118"/>
  <c r="Q16" i="123"/>
  <c r="V16" i="127"/>
  <c r="X17" i="127" s="1"/>
  <c r="AA16" i="128"/>
  <c r="AC17" i="128" s="1"/>
  <c r="L16" i="130"/>
  <c r="N17" i="130" s="1"/>
  <c r="P17" i="130" s="1"/>
  <c r="W16" i="131"/>
  <c r="W17" i="131" s="1"/>
  <c r="W18" i="131" s="1"/>
  <c r="W19" i="131" s="1"/>
  <c r="W20" i="131" s="1"/>
  <c r="W21" i="131" s="1"/>
  <c r="W22" i="131" s="1"/>
  <c r="W23" i="131" s="1"/>
  <c r="W24" i="131" s="1"/>
  <c r="W25" i="131" s="1"/>
  <c r="W26" i="131" s="1"/>
  <c r="AB16" i="132"/>
  <c r="AB17" i="132" s="1"/>
  <c r="AB18" i="132" s="1"/>
  <c r="AB19" i="132" s="1"/>
  <c r="AB20" i="132" s="1"/>
  <c r="AB21" i="132" s="1"/>
  <c r="AB22" i="132" s="1"/>
  <c r="AB23" i="132" s="1"/>
  <c r="AB24" i="132" s="1"/>
  <c r="AB25" i="132" s="1"/>
  <c r="AB26" i="132" s="1"/>
  <c r="Q16" i="134"/>
  <c r="S17" i="134" s="1"/>
  <c r="U17" i="134" s="1"/>
  <c r="AB16" i="135"/>
  <c r="AB17" i="135" s="1"/>
  <c r="AB18" i="135" s="1"/>
  <c r="AB19" i="135" s="1"/>
  <c r="AB20" i="135" s="1"/>
  <c r="AB21" i="135" s="1"/>
  <c r="AB22" i="135" s="1"/>
  <c r="AB23" i="135" s="1"/>
  <c r="AB24" i="135" s="1"/>
  <c r="AB25" i="135" s="1"/>
  <c r="AB26" i="135" s="1"/>
  <c r="W16" i="138"/>
  <c r="W17" i="138" s="1"/>
  <c r="W18" i="138" s="1"/>
  <c r="W19" i="138" s="1"/>
  <c r="W20" i="138" s="1"/>
  <c r="W21" i="138" s="1"/>
  <c r="W22" i="138" s="1"/>
  <c r="W23" i="138" s="1"/>
  <c r="W24" i="138" s="1"/>
  <c r="W25" i="138" s="1"/>
  <c r="W26" i="138" s="1"/>
  <c r="V16" i="141"/>
  <c r="X17" i="141" s="1"/>
  <c r="E45" i="143"/>
  <c r="AB16" i="145"/>
  <c r="AB17" i="145" s="1"/>
  <c r="AB18" i="145" s="1"/>
  <c r="AB19" i="145" s="1"/>
  <c r="AB20" i="145" s="1"/>
  <c r="AB21" i="145" s="1"/>
  <c r="AB22" i="145" s="1"/>
  <c r="AB23" i="145" s="1"/>
  <c r="AB24" i="145" s="1"/>
  <c r="AB25" i="145" s="1"/>
  <c r="AB26" i="145" s="1"/>
  <c r="M16" i="147"/>
  <c r="M17" i="147" s="1"/>
  <c r="M18" i="147" s="1"/>
  <c r="M19" i="147" s="1"/>
  <c r="M20" i="147" s="1"/>
  <c r="M21" i="147" s="1"/>
  <c r="M22" i="147" s="1"/>
  <c r="M23" i="147" s="1"/>
  <c r="M24" i="147" s="1"/>
  <c r="M25" i="147" s="1"/>
  <c r="M26" i="147" s="1"/>
  <c r="D34" i="104"/>
  <c r="D34" i="108"/>
  <c r="D34" i="112"/>
  <c r="D34" i="116"/>
  <c r="D34" i="124"/>
  <c r="D34" i="140"/>
  <c r="D34" i="144"/>
  <c r="D34" i="148"/>
  <c r="R18" i="115"/>
  <c r="R19" i="115" s="1"/>
  <c r="R20" i="115" s="1"/>
  <c r="R21" i="115" s="1"/>
  <c r="R22" i="115" s="1"/>
  <c r="R23" i="115" s="1"/>
  <c r="R24" i="115" s="1"/>
  <c r="R25" i="115" s="1"/>
  <c r="R26" i="115" s="1"/>
  <c r="D31" i="105"/>
  <c r="D31" i="109"/>
  <c r="D31" i="125"/>
  <c r="D31" i="129"/>
  <c r="D31" i="133"/>
  <c r="D31" i="137"/>
  <c r="D31" i="145"/>
  <c r="D31" i="149"/>
  <c r="R18" i="111"/>
  <c r="R19" i="111" s="1"/>
  <c r="R20" i="111" s="1"/>
  <c r="R21" i="111" s="1"/>
  <c r="R22" i="111" s="1"/>
  <c r="R23" i="111" s="1"/>
  <c r="R24" i="111" s="1"/>
  <c r="R25" i="111" s="1"/>
  <c r="R26" i="111" s="1"/>
  <c r="R18" i="137"/>
  <c r="R19" i="137" s="1"/>
  <c r="R20" i="137" s="1"/>
  <c r="R21" i="137" s="1"/>
  <c r="R22" i="137" s="1"/>
  <c r="R23" i="137" s="1"/>
  <c r="R24" i="137" s="1"/>
  <c r="R25" i="137" s="1"/>
  <c r="R26" i="137" s="1"/>
  <c r="AB18" i="138"/>
  <c r="AB19" i="138" s="1"/>
  <c r="AB20" i="138" s="1"/>
  <c r="AB21" i="138" s="1"/>
  <c r="AB22" i="138" s="1"/>
  <c r="AB23" i="138" s="1"/>
  <c r="AB24" i="138" s="1"/>
  <c r="AB25" i="138" s="1"/>
  <c r="AB26" i="138" s="1"/>
  <c r="S17" i="141"/>
  <c r="U17" i="141" s="1"/>
  <c r="Q17" i="145"/>
  <c r="S18" i="145" s="1"/>
  <c r="U18" i="145" s="1"/>
  <c r="AC17" i="146"/>
  <c r="AE17" i="146" s="1"/>
  <c r="Q16" i="53"/>
  <c r="S17" i="53" s="1"/>
  <c r="L16" i="103"/>
  <c r="L17" i="103" s="1"/>
  <c r="N18" i="103" s="1"/>
  <c r="W16" i="107"/>
  <c r="W17" i="107" s="1"/>
  <c r="W18" i="107" s="1"/>
  <c r="W19" i="107" s="1"/>
  <c r="W20" i="107" s="1"/>
  <c r="W21" i="107" s="1"/>
  <c r="W22" i="107" s="1"/>
  <c r="W23" i="107" s="1"/>
  <c r="W24" i="107" s="1"/>
  <c r="W25" i="107" s="1"/>
  <c r="W26" i="107" s="1"/>
  <c r="E45" i="108"/>
  <c r="Q16" i="110"/>
  <c r="R16" i="113"/>
  <c r="AA16" i="114"/>
  <c r="AC17" i="114" s="1"/>
  <c r="W16" i="117"/>
  <c r="W17" i="117" s="1"/>
  <c r="W18" i="117" s="1"/>
  <c r="W19" i="117" s="1"/>
  <c r="W20" i="117" s="1"/>
  <c r="W21" i="117" s="1"/>
  <c r="W22" i="117" s="1"/>
  <c r="W23" i="117" s="1"/>
  <c r="W24" i="117" s="1"/>
  <c r="W25" i="117" s="1"/>
  <c r="W26" i="117" s="1"/>
  <c r="L16" i="122"/>
  <c r="N17" i="122" s="1"/>
  <c r="P17" i="122" s="1"/>
  <c r="V16" i="123"/>
  <c r="X17" i="123" s="1"/>
  <c r="M16" i="126"/>
  <c r="M17" i="126" s="1"/>
  <c r="M18" i="126" s="1"/>
  <c r="M19" i="126" s="1"/>
  <c r="M20" i="126" s="1"/>
  <c r="M21" i="126" s="1"/>
  <c r="M22" i="126" s="1"/>
  <c r="M23" i="126" s="1"/>
  <c r="M24" i="126" s="1"/>
  <c r="M25" i="126" s="1"/>
  <c r="M26" i="126" s="1"/>
  <c r="AA16" i="127"/>
  <c r="Q16" i="130"/>
  <c r="Q17" i="130" s="1"/>
  <c r="S18" i="130" s="1"/>
  <c r="AB16" i="131"/>
  <c r="AB17" i="131" s="1"/>
  <c r="AB18" i="131" s="1"/>
  <c r="AB19" i="131" s="1"/>
  <c r="AB20" i="131" s="1"/>
  <c r="AB21" i="131" s="1"/>
  <c r="AB22" i="131" s="1"/>
  <c r="AB23" i="131" s="1"/>
  <c r="AB24" i="131" s="1"/>
  <c r="AB25" i="131" s="1"/>
  <c r="AB26" i="131" s="1"/>
  <c r="V16" i="134"/>
  <c r="X17" i="134" s="1"/>
  <c r="Z17" i="134" s="1"/>
  <c r="E43" i="135"/>
  <c r="E45" i="139"/>
  <c r="AA16" i="141"/>
  <c r="R16" i="147"/>
  <c r="R17" i="147" s="1"/>
  <c r="R18" i="147" s="1"/>
  <c r="R19" i="147" s="1"/>
  <c r="R20" i="147" s="1"/>
  <c r="R21" i="147" s="1"/>
  <c r="R22" i="147" s="1"/>
  <c r="R23" i="147" s="1"/>
  <c r="R24" i="147" s="1"/>
  <c r="R25" i="147" s="1"/>
  <c r="R26" i="147" s="1"/>
  <c r="M16" i="150"/>
  <c r="M17" i="150" s="1"/>
  <c r="M18" i="150" s="1"/>
  <c r="M19" i="150" s="1"/>
  <c r="M20" i="150" s="1"/>
  <c r="M21" i="150" s="1"/>
  <c r="M22" i="150" s="1"/>
  <c r="M23" i="150" s="1"/>
  <c r="M24" i="150" s="1"/>
  <c r="M25" i="150" s="1"/>
  <c r="M26" i="150" s="1"/>
  <c r="E44" i="53"/>
  <c r="E44" i="106"/>
  <c r="E44" i="110"/>
  <c r="F44" i="110" s="1"/>
  <c r="E44" i="118"/>
  <c r="E44" i="124"/>
  <c r="E44" i="132"/>
  <c r="E44" i="136"/>
  <c r="F44" i="136" s="1"/>
  <c r="E44" i="140"/>
  <c r="E44" i="144"/>
  <c r="F44" i="144" s="1"/>
  <c r="E44" i="148"/>
  <c r="F44" i="148" s="1"/>
  <c r="D32" i="105"/>
  <c r="D32" i="109"/>
  <c r="D32" i="125"/>
  <c r="D32" i="129"/>
  <c r="D32" i="133"/>
  <c r="D32" i="137"/>
  <c r="D32" i="141"/>
  <c r="D32" i="145"/>
  <c r="D32" i="149"/>
  <c r="D33" i="105"/>
  <c r="D33" i="109"/>
  <c r="D33" i="113"/>
  <c r="D33" i="125"/>
  <c r="D33" i="129"/>
  <c r="D33" i="133"/>
  <c r="D33" i="137"/>
  <c r="D33" i="149"/>
  <c r="V16" i="53"/>
  <c r="X17" i="53" s="1"/>
  <c r="V16" i="103"/>
  <c r="X17" i="103" s="1"/>
  <c r="L16" i="106"/>
  <c r="L17" i="106" s="1"/>
  <c r="N18" i="106" s="1"/>
  <c r="AB16" i="107"/>
  <c r="V16" i="110"/>
  <c r="X17" i="110" s="1"/>
  <c r="AB16" i="117"/>
  <c r="AB17" i="117" s="1"/>
  <c r="AB18" i="117" s="1"/>
  <c r="AB19" i="117" s="1"/>
  <c r="AB20" i="117" s="1"/>
  <c r="AB21" i="117" s="1"/>
  <c r="AB22" i="117" s="1"/>
  <c r="AB23" i="117" s="1"/>
  <c r="AB24" i="117" s="1"/>
  <c r="AB25" i="117" s="1"/>
  <c r="AB26" i="117" s="1"/>
  <c r="L16" i="119"/>
  <c r="N17" i="119" s="1"/>
  <c r="P17" i="119" s="1"/>
  <c r="Q16" i="122"/>
  <c r="Q17" i="122" s="1"/>
  <c r="S18" i="122" s="1"/>
  <c r="T18" i="122" s="1"/>
  <c r="AA16" i="123"/>
  <c r="AC17" i="123" s="1"/>
  <c r="AE17" i="123" s="1"/>
  <c r="R16" i="126"/>
  <c r="R17" i="126" s="1"/>
  <c r="R18" i="126" s="1"/>
  <c r="R19" i="126" s="1"/>
  <c r="R20" i="126" s="1"/>
  <c r="R21" i="126" s="1"/>
  <c r="R22" i="126" s="1"/>
  <c r="R23" i="126" s="1"/>
  <c r="R24" i="126" s="1"/>
  <c r="R25" i="126" s="1"/>
  <c r="R26" i="126" s="1"/>
  <c r="V16" i="130"/>
  <c r="X17" i="130" s="1"/>
  <c r="E43" i="131"/>
  <c r="M16" i="143"/>
  <c r="M17" i="143" s="1"/>
  <c r="M18" i="143" s="1"/>
  <c r="M19" i="143" s="1"/>
  <c r="M20" i="143" s="1"/>
  <c r="M21" i="143" s="1"/>
  <c r="M22" i="143" s="1"/>
  <c r="M23" i="143" s="1"/>
  <c r="M24" i="143" s="1"/>
  <c r="M25" i="143" s="1"/>
  <c r="M26" i="143" s="1"/>
  <c r="W16" i="147"/>
  <c r="W17" i="147" s="1"/>
  <c r="W18" i="147" s="1"/>
  <c r="W19" i="147" s="1"/>
  <c r="W20" i="147" s="1"/>
  <c r="W21" i="147" s="1"/>
  <c r="W22" i="147" s="1"/>
  <c r="W23" i="147" s="1"/>
  <c r="W24" i="147" s="1"/>
  <c r="W25" i="147" s="1"/>
  <c r="W26" i="147" s="1"/>
  <c r="R16" i="150"/>
  <c r="R17" i="150" s="1"/>
  <c r="R18" i="150" s="1"/>
  <c r="R19" i="150" s="1"/>
  <c r="R20" i="150" s="1"/>
  <c r="R21" i="150" s="1"/>
  <c r="R22" i="150" s="1"/>
  <c r="R23" i="150" s="1"/>
  <c r="R24" i="150" s="1"/>
  <c r="R25" i="150" s="1"/>
  <c r="R26" i="150" s="1"/>
  <c r="E43" i="124"/>
  <c r="F43" i="124" s="1"/>
  <c r="E43" i="136"/>
  <c r="D34" i="105"/>
  <c r="D34" i="109"/>
  <c r="D34" i="113"/>
  <c r="D34" i="125"/>
  <c r="D34" i="129"/>
  <c r="D34" i="133"/>
  <c r="D34" i="137"/>
  <c r="D34" i="149"/>
  <c r="D31" i="114"/>
  <c r="D31" i="118"/>
  <c r="D31" i="138"/>
  <c r="D31" i="142"/>
  <c r="D31" i="146"/>
  <c r="AA16" i="53"/>
  <c r="AA17" i="53" s="1"/>
  <c r="AA16" i="103"/>
  <c r="AC17" i="103" s="1"/>
  <c r="Q16" i="106"/>
  <c r="E43" i="107"/>
  <c r="AA16" i="110"/>
  <c r="AA17" i="110" s="1"/>
  <c r="V16" i="119"/>
  <c r="X17" i="119" s="1"/>
  <c r="Z17" i="119" s="1"/>
  <c r="V16" i="122"/>
  <c r="X17" i="122" s="1"/>
  <c r="W16" i="126"/>
  <c r="W17" i="126" s="1"/>
  <c r="W18" i="126" s="1"/>
  <c r="W19" i="126" s="1"/>
  <c r="W20" i="126" s="1"/>
  <c r="W21" i="126" s="1"/>
  <c r="W22" i="126" s="1"/>
  <c r="W23" i="126" s="1"/>
  <c r="W24" i="126" s="1"/>
  <c r="W25" i="126" s="1"/>
  <c r="W26" i="126" s="1"/>
  <c r="E45" i="135"/>
  <c r="M16" i="139"/>
  <c r="M17" i="139" s="1"/>
  <c r="M18" i="139" s="1"/>
  <c r="M19" i="139" s="1"/>
  <c r="M20" i="139" s="1"/>
  <c r="M21" i="139" s="1"/>
  <c r="M22" i="139" s="1"/>
  <c r="M23" i="139" s="1"/>
  <c r="M24" i="139" s="1"/>
  <c r="M25" i="139" s="1"/>
  <c r="M26" i="139" s="1"/>
  <c r="R16" i="143"/>
  <c r="R17" i="143" s="1"/>
  <c r="R18" i="143" s="1"/>
  <c r="R19" i="143" s="1"/>
  <c r="R20" i="143" s="1"/>
  <c r="R21" i="143" s="1"/>
  <c r="R22" i="143" s="1"/>
  <c r="R23" i="143" s="1"/>
  <c r="R24" i="143" s="1"/>
  <c r="R25" i="143" s="1"/>
  <c r="R26" i="143" s="1"/>
  <c r="AB16" i="147"/>
  <c r="AB17" i="147" s="1"/>
  <c r="AB18" i="147" s="1"/>
  <c r="AB19" i="147" s="1"/>
  <c r="AB20" i="147" s="1"/>
  <c r="AB21" i="147" s="1"/>
  <c r="AB22" i="147" s="1"/>
  <c r="AB23" i="147" s="1"/>
  <c r="AB24" i="147" s="1"/>
  <c r="AB25" i="147" s="1"/>
  <c r="AB26" i="147" s="1"/>
  <c r="W16" i="150"/>
  <c r="W17" i="150" s="1"/>
  <c r="W18" i="150" s="1"/>
  <c r="W19" i="150" s="1"/>
  <c r="W20" i="150" s="1"/>
  <c r="W21" i="150" s="1"/>
  <c r="W22" i="150" s="1"/>
  <c r="W23" i="150" s="1"/>
  <c r="W24" i="150" s="1"/>
  <c r="W25" i="150" s="1"/>
  <c r="W26" i="150" s="1"/>
  <c r="D32" i="118"/>
  <c r="D32" i="142"/>
  <c r="D32" i="146"/>
  <c r="D33" i="53"/>
  <c r="D33" i="106"/>
  <c r="D33" i="142"/>
  <c r="D33" i="146"/>
  <c r="L16" i="105"/>
  <c r="L17" i="105" s="1"/>
  <c r="V16" i="106"/>
  <c r="X17" i="106" s="1"/>
  <c r="Z17" i="106" s="1"/>
  <c r="V16" i="112"/>
  <c r="X17" i="112" s="1"/>
  <c r="L16" i="115"/>
  <c r="N17" i="115" s="1"/>
  <c r="P17" i="115" s="1"/>
  <c r="AA16" i="119"/>
  <c r="AC17" i="119" s="1"/>
  <c r="AE17" i="119" s="1"/>
  <c r="E45" i="131"/>
  <c r="R16" i="139"/>
  <c r="R17" i="139" s="1"/>
  <c r="R18" i="139" s="1"/>
  <c r="R19" i="139" s="1"/>
  <c r="R20" i="139" s="1"/>
  <c r="R21" i="139" s="1"/>
  <c r="R22" i="139" s="1"/>
  <c r="R23" i="139" s="1"/>
  <c r="R24" i="139" s="1"/>
  <c r="R25" i="139" s="1"/>
  <c r="R26" i="139" s="1"/>
  <c r="W16" i="143"/>
  <c r="W17" i="143" s="1"/>
  <c r="W18" i="143" s="1"/>
  <c r="W19" i="143" s="1"/>
  <c r="W20" i="143" s="1"/>
  <c r="W21" i="143" s="1"/>
  <c r="W22" i="143" s="1"/>
  <c r="W23" i="143" s="1"/>
  <c r="W24" i="143" s="1"/>
  <c r="W25" i="143" s="1"/>
  <c r="W26" i="143" s="1"/>
  <c r="E43" i="147"/>
  <c r="F43" i="147" s="1"/>
  <c r="E43" i="115"/>
  <c r="D34" i="106"/>
  <c r="D34" i="122"/>
  <c r="D34" i="126"/>
  <c r="D34" i="130"/>
  <c r="D34" i="134"/>
  <c r="D34" i="138"/>
  <c r="D34" i="142"/>
  <c r="D34" i="146"/>
  <c r="D34" i="150"/>
  <c r="D31" i="111"/>
  <c r="D31" i="127"/>
  <c r="D31" i="131"/>
  <c r="D31" i="135"/>
  <c r="D31" i="151"/>
  <c r="W17" i="116"/>
  <c r="W18" i="116" s="1"/>
  <c r="W19" i="116" s="1"/>
  <c r="W20" i="116" s="1"/>
  <c r="W21" i="116" s="1"/>
  <c r="W22" i="116" s="1"/>
  <c r="W23" i="116" s="1"/>
  <c r="W24" i="116" s="1"/>
  <c r="W25" i="116" s="1"/>
  <c r="W26" i="116" s="1"/>
  <c r="M17" i="115"/>
  <c r="M18" i="115" s="1"/>
  <c r="M19" i="115" s="1"/>
  <c r="M20" i="115" s="1"/>
  <c r="M21" i="115" s="1"/>
  <c r="M22" i="115" s="1"/>
  <c r="M23" i="115" s="1"/>
  <c r="M24" i="115" s="1"/>
  <c r="M25" i="115" s="1"/>
  <c r="M26" i="115" s="1"/>
  <c r="L16" i="135"/>
  <c r="N17" i="135" s="1"/>
  <c r="P17" i="135" s="1"/>
  <c r="V16" i="115"/>
  <c r="V17" i="115" s="1"/>
  <c r="V18" i="115" s="1"/>
  <c r="X19" i="115" s="1"/>
  <c r="E45" i="130"/>
  <c r="F45" i="130" s="1"/>
  <c r="W16" i="139"/>
  <c r="W17" i="139" s="1"/>
  <c r="W18" i="139" s="1"/>
  <c r="W19" i="139" s="1"/>
  <c r="W20" i="139" s="1"/>
  <c r="W21" i="139" s="1"/>
  <c r="W22" i="139" s="1"/>
  <c r="W23" i="139" s="1"/>
  <c r="W24" i="139" s="1"/>
  <c r="W25" i="139" s="1"/>
  <c r="W26" i="139" s="1"/>
  <c r="AB16" i="143"/>
  <c r="AB17" i="143" s="1"/>
  <c r="AB18" i="143" s="1"/>
  <c r="AB19" i="143" s="1"/>
  <c r="AB20" i="143" s="1"/>
  <c r="AB21" i="143" s="1"/>
  <c r="AB22" i="143" s="1"/>
  <c r="AB23" i="143" s="1"/>
  <c r="AB24" i="143" s="1"/>
  <c r="AB25" i="143" s="1"/>
  <c r="AB26" i="143" s="1"/>
  <c r="E44" i="126"/>
  <c r="E44" i="130"/>
  <c r="E45" i="134"/>
  <c r="E44" i="146"/>
  <c r="E44" i="150"/>
  <c r="D32" i="103"/>
  <c r="D32" i="107"/>
  <c r="D32" i="111"/>
  <c r="D32" i="115"/>
  <c r="D32" i="119"/>
  <c r="D32" i="135"/>
  <c r="D32" i="151"/>
  <c r="D33" i="151"/>
  <c r="AA16" i="115"/>
  <c r="AC17" i="115" s="1"/>
  <c r="AE17" i="115" s="1"/>
  <c r="AB16" i="139"/>
  <c r="AB17" i="139" s="1"/>
  <c r="AB18" i="139" s="1"/>
  <c r="AB19" i="139" s="1"/>
  <c r="AB20" i="139" s="1"/>
  <c r="AB21" i="139" s="1"/>
  <c r="AB22" i="139" s="1"/>
  <c r="AB23" i="139" s="1"/>
  <c r="AB24" i="139" s="1"/>
  <c r="AB25" i="139" s="1"/>
  <c r="AB26" i="139" s="1"/>
  <c r="E46" i="112"/>
  <c r="Q16" i="111"/>
  <c r="S17" i="111" s="1"/>
  <c r="U17" i="111" s="1"/>
  <c r="AA16" i="112"/>
  <c r="AC17" i="112" s="1"/>
  <c r="Q16" i="125"/>
  <c r="S17" i="125" s="1"/>
  <c r="U17" i="125" s="1"/>
  <c r="AA16" i="105"/>
  <c r="AA17" i="105" s="1"/>
  <c r="AC18" i="105" s="1"/>
  <c r="AA16" i="126"/>
  <c r="AC17" i="126" s="1"/>
  <c r="AE17" i="126" s="1"/>
  <c r="R16" i="145"/>
  <c r="R17" i="145" s="1"/>
  <c r="R18" i="145" s="1"/>
  <c r="R19" i="145" s="1"/>
  <c r="R20" i="145" s="1"/>
  <c r="R21" i="145" s="1"/>
  <c r="R22" i="145" s="1"/>
  <c r="R23" i="145" s="1"/>
  <c r="R24" i="145" s="1"/>
  <c r="R25" i="145" s="1"/>
  <c r="R26" i="145" s="1"/>
  <c r="AB16" i="146"/>
  <c r="AB17" i="146" s="1"/>
  <c r="AB18" i="146" s="1"/>
  <c r="AB19" i="146" s="1"/>
  <c r="AB20" i="146" s="1"/>
  <c r="AB21" i="146" s="1"/>
  <c r="AB22" i="146" s="1"/>
  <c r="AB23" i="146" s="1"/>
  <c r="AB24" i="146" s="1"/>
  <c r="AB25" i="146" s="1"/>
  <c r="AB26" i="146" s="1"/>
  <c r="S17" i="110"/>
  <c r="U17" i="110" s="1"/>
  <c r="E45" i="114"/>
  <c r="S17" i="135"/>
  <c r="Q16" i="149"/>
  <c r="Q17" i="149" s="1"/>
  <c r="AA16" i="150"/>
  <c r="E46" i="128"/>
  <c r="F46" i="128" s="1"/>
  <c r="E46" i="132"/>
  <c r="F46" i="132" s="1"/>
  <c r="E46" i="140"/>
  <c r="F46" i="140" s="1"/>
  <c r="E46" i="144"/>
  <c r="E43" i="148"/>
  <c r="E706" i="152"/>
  <c r="AN706" i="152" s="1"/>
  <c r="AB17" i="106"/>
  <c r="AB18" i="106" s="1"/>
  <c r="AB19" i="106" s="1"/>
  <c r="AB20" i="106" s="1"/>
  <c r="AB21" i="106" s="1"/>
  <c r="AB22" i="106" s="1"/>
  <c r="AB23" i="106" s="1"/>
  <c r="AB24" i="106" s="1"/>
  <c r="AB25" i="106" s="1"/>
  <c r="AB26" i="106" s="1"/>
  <c r="AA16" i="104"/>
  <c r="AA17" i="104" s="1"/>
  <c r="R17" i="135"/>
  <c r="R18" i="135" s="1"/>
  <c r="R19" i="135" s="1"/>
  <c r="R20" i="135" s="1"/>
  <c r="R21" i="135" s="1"/>
  <c r="R22" i="135" s="1"/>
  <c r="R23" i="135" s="1"/>
  <c r="R24" i="135" s="1"/>
  <c r="R25" i="135" s="1"/>
  <c r="R26" i="135" s="1"/>
  <c r="R16" i="103"/>
  <c r="R17" i="103" s="1"/>
  <c r="R18" i="103" s="1"/>
  <c r="R19" i="103" s="1"/>
  <c r="R20" i="103" s="1"/>
  <c r="R21" i="103" s="1"/>
  <c r="R22" i="103" s="1"/>
  <c r="R23" i="103" s="1"/>
  <c r="R24" i="103" s="1"/>
  <c r="R25" i="103" s="1"/>
  <c r="R26" i="103" s="1"/>
  <c r="Q17" i="109"/>
  <c r="S18" i="109" s="1"/>
  <c r="T18" i="109" s="1"/>
  <c r="Q16" i="129"/>
  <c r="S17" i="129" s="1"/>
  <c r="S17" i="139"/>
  <c r="U17" i="139" s="1"/>
  <c r="A690" i="152"/>
  <c r="S690" i="152" s="1"/>
  <c r="R17" i="109"/>
  <c r="R18" i="109" s="1"/>
  <c r="R19" i="109" s="1"/>
  <c r="R20" i="109" s="1"/>
  <c r="R21" i="109" s="1"/>
  <c r="R22" i="109" s="1"/>
  <c r="R23" i="109" s="1"/>
  <c r="R24" i="109" s="1"/>
  <c r="R25" i="109" s="1"/>
  <c r="R26" i="109" s="1"/>
  <c r="AB17" i="111"/>
  <c r="AB18" i="111" s="1"/>
  <c r="AB19" i="111" s="1"/>
  <c r="AB20" i="111" s="1"/>
  <c r="AB21" i="111" s="1"/>
  <c r="AB22" i="111" s="1"/>
  <c r="AB23" i="111" s="1"/>
  <c r="AB24" i="111" s="1"/>
  <c r="AB25" i="111" s="1"/>
  <c r="AB26" i="111" s="1"/>
  <c r="Q16" i="115"/>
  <c r="S17" i="115" s="1"/>
  <c r="U17" i="115" s="1"/>
  <c r="AA16" i="116"/>
  <c r="AC17" i="116" s="1"/>
  <c r="AE17" i="116" s="1"/>
  <c r="E45" i="118"/>
  <c r="F45" i="118" s="1"/>
  <c r="AA16" i="130"/>
  <c r="AC17" i="130" s="1"/>
  <c r="AE17" i="130" s="1"/>
  <c r="AB17" i="136"/>
  <c r="AB18" i="136" s="1"/>
  <c r="AB19" i="136" s="1"/>
  <c r="AB20" i="136" s="1"/>
  <c r="AB21" i="136" s="1"/>
  <c r="AB22" i="136" s="1"/>
  <c r="AB23" i="136" s="1"/>
  <c r="AB24" i="136" s="1"/>
  <c r="AB25" i="136" s="1"/>
  <c r="AB26" i="136" s="1"/>
  <c r="A684" i="152"/>
  <c r="E45" i="106"/>
  <c r="Q16" i="108"/>
  <c r="S17" i="108" s="1"/>
  <c r="Q17" i="123"/>
  <c r="S18" i="123" s="1"/>
  <c r="T18" i="123" s="1"/>
  <c r="S17" i="143"/>
  <c r="U17" i="143" s="1"/>
  <c r="E46" i="103"/>
  <c r="E46" i="107"/>
  <c r="F46" i="107" s="1"/>
  <c r="E46" i="111"/>
  <c r="F46" i="111" s="1"/>
  <c r="E46" i="119"/>
  <c r="E46" i="125"/>
  <c r="F46" i="125" s="1"/>
  <c r="E46" i="145"/>
  <c r="F46" i="145" s="1"/>
  <c r="E46" i="149"/>
  <c r="F46" i="149" s="1"/>
  <c r="B661" i="152"/>
  <c r="AB17" i="110"/>
  <c r="AB18" i="110" s="1"/>
  <c r="AB19" i="110" s="1"/>
  <c r="AB20" i="110" s="1"/>
  <c r="AB21" i="110" s="1"/>
  <c r="AB22" i="110" s="1"/>
  <c r="AB23" i="110" s="1"/>
  <c r="AB24" i="110" s="1"/>
  <c r="AB25" i="110" s="1"/>
  <c r="AB26" i="110" s="1"/>
  <c r="R17" i="123"/>
  <c r="R18" i="123" s="1"/>
  <c r="R19" i="123" s="1"/>
  <c r="R20" i="123" s="1"/>
  <c r="R21" i="123" s="1"/>
  <c r="R22" i="123" s="1"/>
  <c r="R23" i="123" s="1"/>
  <c r="R24" i="123" s="1"/>
  <c r="R25" i="123" s="1"/>
  <c r="R26" i="123" s="1"/>
  <c r="R17" i="151"/>
  <c r="R18" i="151" s="1"/>
  <c r="R19" i="151" s="1"/>
  <c r="R20" i="151" s="1"/>
  <c r="R21" i="151" s="1"/>
  <c r="R22" i="151" s="1"/>
  <c r="R23" i="151" s="1"/>
  <c r="R24" i="151" s="1"/>
  <c r="R25" i="151" s="1"/>
  <c r="R26" i="151" s="1"/>
  <c r="B655" i="152"/>
  <c r="Y655" i="152" s="1"/>
  <c r="Q16" i="119"/>
  <c r="S17" i="119" s="1"/>
  <c r="U17" i="119" s="1"/>
  <c r="AA17" i="124"/>
  <c r="Q16" i="133"/>
  <c r="S17" i="133" s="1"/>
  <c r="U17" i="133" s="1"/>
  <c r="AC17" i="144"/>
  <c r="S17" i="147"/>
  <c r="U17" i="147" s="1"/>
  <c r="B620" i="152"/>
  <c r="Y620" i="152" s="1"/>
  <c r="E45" i="53"/>
  <c r="Q16" i="107"/>
  <c r="S17" i="107" s="1"/>
  <c r="U17" i="107" s="1"/>
  <c r="S17" i="113"/>
  <c r="U17" i="113" s="1"/>
  <c r="AB17" i="124"/>
  <c r="AB18" i="124" s="1"/>
  <c r="AB19" i="124" s="1"/>
  <c r="AB20" i="124" s="1"/>
  <c r="AB21" i="124" s="1"/>
  <c r="AB22" i="124" s="1"/>
  <c r="AB23" i="124" s="1"/>
  <c r="AB24" i="124" s="1"/>
  <c r="AB25" i="124" s="1"/>
  <c r="AB26" i="124" s="1"/>
  <c r="AA16" i="134"/>
  <c r="AA17" i="134" s="1"/>
  <c r="AC18" i="134" s="1"/>
  <c r="AD18" i="134" s="1"/>
  <c r="AB17" i="144"/>
  <c r="AB18" i="144" s="1"/>
  <c r="AB19" i="144" s="1"/>
  <c r="AB20" i="144" s="1"/>
  <c r="AB21" i="144" s="1"/>
  <c r="AB22" i="144" s="1"/>
  <c r="AB23" i="144" s="1"/>
  <c r="AB24" i="144" s="1"/>
  <c r="AB25" i="144" s="1"/>
  <c r="AB26" i="144" s="1"/>
  <c r="C613" i="152"/>
  <c r="AD613" i="152" s="1"/>
  <c r="AB17" i="103"/>
  <c r="AB18" i="103" s="1"/>
  <c r="AB19" i="103" s="1"/>
  <c r="AB20" i="103" s="1"/>
  <c r="AB21" i="103" s="1"/>
  <c r="AB22" i="103" s="1"/>
  <c r="AB23" i="103" s="1"/>
  <c r="AB24" i="103" s="1"/>
  <c r="AB25" i="103" s="1"/>
  <c r="AB26" i="103" s="1"/>
  <c r="AA16" i="108"/>
  <c r="AC17" i="148"/>
  <c r="AE17" i="148" s="1"/>
  <c r="B556" i="152"/>
  <c r="Y556" i="152" s="1"/>
  <c r="AB17" i="53"/>
  <c r="AB18" i="53" s="1"/>
  <c r="AB19" i="53" s="1"/>
  <c r="AB20" i="53" s="1"/>
  <c r="AB21" i="53" s="1"/>
  <c r="AB22" i="53" s="1"/>
  <c r="AB23" i="53" s="1"/>
  <c r="AB24" i="53" s="1"/>
  <c r="AB25" i="53" s="1"/>
  <c r="AB26" i="53" s="1"/>
  <c r="R17" i="127"/>
  <c r="R18" i="127" s="1"/>
  <c r="R19" i="127" s="1"/>
  <c r="R20" i="127" s="1"/>
  <c r="R21" i="127" s="1"/>
  <c r="R22" i="127" s="1"/>
  <c r="R23" i="127" s="1"/>
  <c r="R24" i="127" s="1"/>
  <c r="R25" i="127" s="1"/>
  <c r="R26" i="127" s="1"/>
  <c r="AB17" i="148"/>
  <c r="AB18" i="148" s="1"/>
  <c r="AB19" i="148" s="1"/>
  <c r="AB20" i="148" s="1"/>
  <c r="AB21" i="148" s="1"/>
  <c r="AB22" i="148" s="1"/>
  <c r="AB23" i="148" s="1"/>
  <c r="AB24" i="148" s="1"/>
  <c r="AB25" i="148" s="1"/>
  <c r="AB26" i="148" s="1"/>
  <c r="D530" i="152"/>
  <c r="AI530" i="152" s="1"/>
  <c r="AA16" i="122"/>
  <c r="AA17" i="122" s="1"/>
  <c r="AC18" i="122" s="1"/>
  <c r="AD18" i="122" s="1"/>
  <c r="Q16" i="137"/>
  <c r="S17" i="137" s="1"/>
  <c r="T17" i="137" s="1"/>
  <c r="AA16" i="138"/>
  <c r="AA17" i="138" s="1"/>
  <c r="AC18" i="138" s="1"/>
  <c r="AE18" i="138" s="1"/>
  <c r="AC17" i="132"/>
  <c r="AE17" i="132" s="1"/>
  <c r="Q17" i="105"/>
  <c r="S18" i="105" s="1"/>
  <c r="AB17" i="128"/>
  <c r="AB18" i="128" s="1"/>
  <c r="AB19" i="128" s="1"/>
  <c r="AB20" i="128" s="1"/>
  <c r="AB21" i="128" s="1"/>
  <c r="AB22" i="128" s="1"/>
  <c r="AB23" i="128" s="1"/>
  <c r="AB24" i="128" s="1"/>
  <c r="AB25" i="128" s="1"/>
  <c r="AB26" i="128" s="1"/>
  <c r="R17" i="105"/>
  <c r="R18" i="105" s="1"/>
  <c r="R19" i="105" s="1"/>
  <c r="R20" i="105" s="1"/>
  <c r="R21" i="105" s="1"/>
  <c r="R22" i="105" s="1"/>
  <c r="R23" i="105" s="1"/>
  <c r="R24" i="105" s="1"/>
  <c r="R25" i="105" s="1"/>
  <c r="R26" i="105" s="1"/>
  <c r="AB17" i="107"/>
  <c r="AB18" i="107" s="1"/>
  <c r="AB19" i="107" s="1"/>
  <c r="AB20" i="107" s="1"/>
  <c r="AB21" i="107" s="1"/>
  <c r="AB22" i="107" s="1"/>
  <c r="AB23" i="107" s="1"/>
  <c r="AB24" i="107" s="1"/>
  <c r="AB25" i="107" s="1"/>
  <c r="AB26" i="107" s="1"/>
  <c r="Q17" i="117"/>
  <c r="S18" i="117" s="1"/>
  <c r="S17" i="131"/>
  <c r="U17" i="131" s="1"/>
  <c r="E46" i="148"/>
  <c r="D706" i="152"/>
  <c r="AI706" i="152" s="1"/>
  <c r="C688" i="152"/>
  <c r="AD688" i="152" s="1"/>
  <c r="D655" i="152"/>
  <c r="AG655" i="152" s="1"/>
  <c r="A620" i="152"/>
  <c r="T620" i="152" s="1"/>
  <c r="A556" i="152"/>
  <c r="C706" i="152"/>
  <c r="AC706" i="152" s="1"/>
  <c r="B684" i="152"/>
  <c r="Y684" i="152" s="1"/>
  <c r="C655" i="152"/>
  <c r="E619" i="152"/>
  <c r="AM619" i="152" s="1"/>
  <c r="D533" i="152"/>
  <c r="AI533" i="152" s="1"/>
  <c r="E46" i="124"/>
  <c r="E43" i="128"/>
  <c r="E43" i="140"/>
  <c r="F43" i="140" s="1"/>
  <c r="E43" i="119"/>
  <c r="E43" i="116"/>
  <c r="F43" i="116" s="1"/>
  <c r="E43" i="129"/>
  <c r="E43" i="133"/>
  <c r="F43" i="133" s="1"/>
  <c r="A704" i="152"/>
  <c r="E683" i="152"/>
  <c r="AL683" i="152" s="1"/>
  <c r="D649" i="152"/>
  <c r="AI649" i="152" s="1"/>
  <c r="B613" i="152"/>
  <c r="Y613" i="152" s="1"/>
  <c r="C530" i="152"/>
  <c r="E46" i="115"/>
  <c r="F46" i="115" s="1"/>
  <c r="E46" i="136"/>
  <c r="T690" i="152"/>
  <c r="E700" i="152"/>
  <c r="AN700" i="152" s="1"/>
  <c r="B678" i="152"/>
  <c r="Y678" i="152" s="1"/>
  <c r="A649" i="152"/>
  <c r="T649" i="152" s="1"/>
  <c r="C611" i="152"/>
  <c r="D700" i="152"/>
  <c r="AI700" i="152" s="1"/>
  <c r="A678" i="152"/>
  <c r="T678" i="152" s="1"/>
  <c r="E648" i="152"/>
  <c r="E600" i="152"/>
  <c r="AN600" i="152" s="1"/>
  <c r="E43" i="144"/>
  <c r="C700" i="152"/>
  <c r="AD700" i="152" s="1"/>
  <c r="E677" i="152"/>
  <c r="AL677" i="152" s="1"/>
  <c r="C642" i="152"/>
  <c r="AD642" i="152" s="1"/>
  <c r="D600" i="152"/>
  <c r="AI600" i="152" s="1"/>
  <c r="E43" i="103"/>
  <c r="F43" i="103" s="1"/>
  <c r="E43" i="111"/>
  <c r="F43" i="111" s="1"/>
  <c r="D699" i="152"/>
  <c r="B672" i="152"/>
  <c r="Y672" i="152" s="1"/>
  <c r="B642" i="152"/>
  <c r="Y642" i="152" s="1"/>
  <c r="C600" i="152"/>
  <c r="E43" i="132"/>
  <c r="A698" i="152"/>
  <c r="A672" i="152"/>
  <c r="T672" i="152" s="1"/>
  <c r="A642" i="152"/>
  <c r="A588" i="152"/>
  <c r="T588" i="152" s="1"/>
  <c r="E694" i="152"/>
  <c r="AN694" i="152" s="1"/>
  <c r="E671" i="152"/>
  <c r="AN671" i="152" s="1"/>
  <c r="D635" i="152"/>
  <c r="AI635" i="152" s="1"/>
  <c r="E587" i="152"/>
  <c r="AN587" i="152" s="1"/>
  <c r="D694" i="152"/>
  <c r="AI694" i="152" s="1"/>
  <c r="D667" i="152"/>
  <c r="AI667" i="152" s="1"/>
  <c r="A634" i="152"/>
  <c r="T634" i="152" s="1"/>
  <c r="D587" i="152"/>
  <c r="C694" i="152"/>
  <c r="AD694" i="152" s="1"/>
  <c r="A666" i="152"/>
  <c r="T666" i="152" s="1"/>
  <c r="E633" i="152"/>
  <c r="B575" i="152"/>
  <c r="Y575" i="152" s="1"/>
  <c r="D693" i="152"/>
  <c r="E665" i="152"/>
  <c r="AM665" i="152" s="1"/>
  <c r="C627" i="152"/>
  <c r="AD627" i="152" s="1"/>
  <c r="A575" i="152"/>
  <c r="T575" i="152" s="1"/>
  <c r="C693" i="152"/>
  <c r="D661" i="152"/>
  <c r="AG661" i="152" s="1"/>
  <c r="B627" i="152"/>
  <c r="Y627" i="152" s="1"/>
  <c r="E574" i="152"/>
  <c r="B690" i="152"/>
  <c r="W690" i="152" s="1"/>
  <c r="C661" i="152"/>
  <c r="AB661" i="152" s="1"/>
  <c r="D626" i="152"/>
  <c r="B559" i="152"/>
  <c r="Y559" i="152" s="1"/>
  <c r="Y661" i="152"/>
  <c r="X661" i="152"/>
  <c r="W661" i="152"/>
  <c r="E46" i="137"/>
  <c r="E43" i="137"/>
  <c r="E46" i="141"/>
  <c r="F46" i="141" s="1"/>
  <c r="E43" i="141"/>
  <c r="F43" i="141" s="1"/>
  <c r="E45" i="146"/>
  <c r="E45" i="138"/>
  <c r="F45" i="138" s="1"/>
  <c r="E44" i="138"/>
  <c r="F44" i="138" s="1"/>
  <c r="E45" i="142"/>
  <c r="F45" i="142" s="1"/>
  <c r="E44" i="142"/>
  <c r="F46" i="104"/>
  <c r="E43" i="125"/>
  <c r="F43" i="125" s="1"/>
  <c r="X655" i="152"/>
  <c r="W655" i="152"/>
  <c r="E45" i="117"/>
  <c r="AN665" i="152"/>
  <c r="F43" i="115"/>
  <c r="E43" i="149"/>
  <c r="F43" i="149" s="1"/>
  <c r="E45" i="150"/>
  <c r="F45" i="150" s="1"/>
  <c r="W556" i="152"/>
  <c r="S684" i="152"/>
  <c r="B706" i="152"/>
  <c r="B700" i="152"/>
  <c r="B694" i="152"/>
  <c r="B688" i="152"/>
  <c r="D683" i="152"/>
  <c r="D677" i="152"/>
  <c r="D671" i="152"/>
  <c r="AH671" i="152" s="1"/>
  <c r="D665" i="152"/>
  <c r="D659" i="152"/>
  <c r="A655" i="152"/>
  <c r="D648" i="152"/>
  <c r="C640" i="152"/>
  <c r="D633" i="152"/>
  <c r="C626" i="152"/>
  <c r="D619" i="152"/>
  <c r="D610" i="152"/>
  <c r="E597" i="152"/>
  <c r="A585" i="152"/>
  <c r="B572" i="152"/>
  <c r="A553" i="152"/>
  <c r="C527" i="152"/>
  <c r="AM7" i="148"/>
  <c r="AN7" i="148" s="1"/>
  <c r="AM587" i="152"/>
  <c r="X613" i="152"/>
  <c r="A706" i="152"/>
  <c r="A700" i="152"/>
  <c r="A694" i="152"/>
  <c r="A688" i="152"/>
  <c r="A682" i="152"/>
  <c r="C677" i="152"/>
  <c r="C671" i="152"/>
  <c r="C665" i="152"/>
  <c r="C659" i="152"/>
  <c r="E654" i="152"/>
  <c r="C648" i="152"/>
  <c r="B640" i="152"/>
  <c r="A633" i="152"/>
  <c r="B626" i="152"/>
  <c r="A618" i="152"/>
  <c r="C610" i="152"/>
  <c r="D597" i="152"/>
  <c r="E584" i="152"/>
  <c r="A572" i="152"/>
  <c r="E552" i="152"/>
  <c r="B527" i="152"/>
  <c r="C704" i="152"/>
  <c r="E699" i="152"/>
  <c r="E693" i="152"/>
  <c r="E687" i="152"/>
  <c r="E681" i="152"/>
  <c r="B677" i="152"/>
  <c r="B671" i="152"/>
  <c r="B665" i="152"/>
  <c r="B659" i="152"/>
  <c r="B653" i="152"/>
  <c r="E646" i="152"/>
  <c r="A640" i="152"/>
  <c r="E632" i="152"/>
  <c r="A626" i="152"/>
  <c r="E617" i="152"/>
  <c r="B610" i="152"/>
  <c r="C597" i="152"/>
  <c r="D584" i="152"/>
  <c r="E571" i="152"/>
  <c r="E549" i="152"/>
  <c r="AM7" i="131"/>
  <c r="AN7" i="131" s="1"/>
  <c r="Q16" i="151"/>
  <c r="S17" i="151" s="1"/>
  <c r="U17" i="151" s="1"/>
  <c r="AG533" i="152"/>
  <c r="AL600" i="152"/>
  <c r="AB613" i="152"/>
  <c r="D687" i="152"/>
  <c r="AH687" i="152" s="1"/>
  <c r="D681" i="152"/>
  <c r="D675" i="152"/>
  <c r="A671" i="152"/>
  <c r="A665" i="152"/>
  <c r="A659" i="152"/>
  <c r="A653" i="152"/>
  <c r="D646" i="152"/>
  <c r="C639" i="152"/>
  <c r="D632" i="152"/>
  <c r="C624" i="152"/>
  <c r="D617" i="152"/>
  <c r="A610" i="152"/>
  <c r="B597" i="152"/>
  <c r="C584" i="152"/>
  <c r="D571" i="152"/>
  <c r="D549" i="152"/>
  <c r="X559" i="152"/>
  <c r="X575" i="152"/>
  <c r="X620" i="152"/>
  <c r="AC627" i="152"/>
  <c r="AH635" i="152"/>
  <c r="AL706" i="152"/>
  <c r="C687" i="152"/>
  <c r="C681" i="152"/>
  <c r="C675" i="152"/>
  <c r="E670" i="152"/>
  <c r="E664" i="152"/>
  <c r="E658" i="152"/>
  <c r="E652" i="152"/>
  <c r="C646" i="152"/>
  <c r="B639" i="152"/>
  <c r="C632" i="152"/>
  <c r="B624" i="152"/>
  <c r="A617" i="152"/>
  <c r="C607" i="152"/>
  <c r="D594" i="152"/>
  <c r="E581" i="152"/>
  <c r="A569" i="152"/>
  <c r="D546" i="152"/>
  <c r="E703" i="152"/>
  <c r="E697" i="152"/>
  <c r="B693" i="152"/>
  <c r="B687" i="152"/>
  <c r="B681" i="152"/>
  <c r="B675" i="152"/>
  <c r="B669" i="152"/>
  <c r="D664" i="152"/>
  <c r="D658" i="152"/>
  <c r="D652" i="152"/>
  <c r="E645" i="152"/>
  <c r="A639" i="152"/>
  <c r="E630" i="152"/>
  <c r="A624" i="152"/>
  <c r="E616" i="152"/>
  <c r="B607" i="152"/>
  <c r="C594" i="152"/>
  <c r="D581" i="152"/>
  <c r="E568" i="152"/>
  <c r="C546" i="152"/>
  <c r="E43" i="145"/>
  <c r="D703" i="152"/>
  <c r="D697" i="152"/>
  <c r="D691" i="152"/>
  <c r="A687" i="152"/>
  <c r="A681" i="152"/>
  <c r="A675" i="152"/>
  <c r="A669" i="152"/>
  <c r="C664" i="152"/>
  <c r="C658" i="152"/>
  <c r="C652" i="152"/>
  <c r="D645" i="152"/>
  <c r="E638" i="152"/>
  <c r="D630" i="152"/>
  <c r="C623" i="152"/>
  <c r="D616" i="152"/>
  <c r="A607" i="152"/>
  <c r="B594" i="152"/>
  <c r="C581" i="152"/>
  <c r="D568" i="152"/>
  <c r="C543" i="152"/>
  <c r="X672" i="152"/>
  <c r="C703" i="152"/>
  <c r="C697" i="152"/>
  <c r="C691" i="152"/>
  <c r="E686" i="152"/>
  <c r="E680" i="152"/>
  <c r="E674" i="152"/>
  <c r="E668" i="152"/>
  <c r="E662" i="152"/>
  <c r="B658" i="152"/>
  <c r="B652" i="152"/>
  <c r="C645" i="152"/>
  <c r="B637" i="152"/>
  <c r="C630" i="152"/>
  <c r="B623" i="152"/>
  <c r="C616" i="152"/>
  <c r="E606" i="152"/>
  <c r="A594" i="152"/>
  <c r="B581" i="152"/>
  <c r="C568" i="152"/>
  <c r="B543" i="152"/>
  <c r="R17" i="149"/>
  <c r="R18" i="149" s="1"/>
  <c r="R19" i="149" s="1"/>
  <c r="R20" i="149" s="1"/>
  <c r="R21" i="149" s="1"/>
  <c r="R22" i="149" s="1"/>
  <c r="R23" i="149" s="1"/>
  <c r="R24" i="149" s="1"/>
  <c r="R25" i="149" s="1"/>
  <c r="R26" i="149" s="1"/>
  <c r="B703" i="152"/>
  <c r="B697" i="152"/>
  <c r="Y697" i="152" s="1"/>
  <c r="B691" i="152"/>
  <c r="B685" i="152"/>
  <c r="D680" i="152"/>
  <c r="D674" i="152"/>
  <c r="D668" i="152"/>
  <c r="D662" i="152"/>
  <c r="A658" i="152"/>
  <c r="A652" i="152"/>
  <c r="B645" i="152"/>
  <c r="A637" i="152"/>
  <c r="E629" i="152"/>
  <c r="A623" i="152"/>
  <c r="E614" i="152"/>
  <c r="B604" i="152"/>
  <c r="C591" i="152"/>
  <c r="D578" i="152"/>
  <c r="E565" i="152"/>
  <c r="B540" i="152"/>
  <c r="D707" i="152"/>
  <c r="A703" i="152"/>
  <c r="A697" i="152"/>
  <c r="A691" i="152"/>
  <c r="A685" i="152"/>
  <c r="C680" i="152"/>
  <c r="C674" i="152"/>
  <c r="C668" i="152"/>
  <c r="C662" i="152"/>
  <c r="C656" i="152"/>
  <c r="E651" i="152"/>
  <c r="D643" i="152"/>
  <c r="E636" i="152"/>
  <c r="D629" i="152"/>
  <c r="E622" i="152"/>
  <c r="D614" i="152"/>
  <c r="A604" i="152"/>
  <c r="B591" i="152"/>
  <c r="C578" i="152"/>
  <c r="D565" i="152"/>
  <c r="A540" i="152"/>
  <c r="C707" i="152"/>
  <c r="E702" i="152"/>
  <c r="E696" i="152"/>
  <c r="E690" i="152"/>
  <c r="E684" i="152"/>
  <c r="E678" i="152"/>
  <c r="B674" i="152"/>
  <c r="B668" i="152"/>
  <c r="B662" i="152"/>
  <c r="B656" i="152"/>
  <c r="D651" i="152"/>
  <c r="C643" i="152"/>
  <c r="B636" i="152"/>
  <c r="C629" i="152"/>
  <c r="B621" i="152"/>
  <c r="C614" i="152"/>
  <c r="E603" i="152"/>
  <c r="A591" i="152"/>
  <c r="B578" i="152"/>
  <c r="D562" i="152"/>
  <c r="A537" i="152"/>
  <c r="AM7" i="127"/>
  <c r="AN7" i="127" s="1"/>
  <c r="AM7" i="135"/>
  <c r="AN7" i="135" s="1"/>
  <c r="R690" i="152"/>
  <c r="AM694" i="152"/>
  <c r="B707" i="152"/>
  <c r="B701" i="152"/>
  <c r="D696" i="152"/>
  <c r="D690" i="152"/>
  <c r="D684" i="152"/>
  <c r="D678" i="152"/>
  <c r="A674" i="152"/>
  <c r="A668" i="152"/>
  <c r="A662" i="152"/>
  <c r="T662" i="152" s="1"/>
  <c r="A656" i="152"/>
  <c r="A650" i="152"/>
  <c r="B643" i="152"/>
  <c r="A636" i="152"/>
  <c r="B629" i="152"/>
  <c r="A621" i="152"/>
  <c r="E613" i="152"/>
  <c r="D603" i="152"/>
  <c r="E590" i="152"/>
  <c r="A578" i="152"/>
  <c r="C562" i="152"/>
  <c r="E536" i="152"/>
  <c r="A707" i="152"/>
  <c r="A701" i="152"/>
  <c r="C696" i="152"/>
  <c r="C690" i="152"/>
  <c r="C684" i="152"/>
  <c r="C678" i="152"/>
  <c r="C672" i="152"/>
  <c r="E667" i="152"/>
  <c r="E661" i="152"/>
  <c r="E655" i="152"/>
  <c r="E649" i="152"/>
  <c r="D642" i="152"/>
  <c r="E635" i="152"/>
  <c r="D627" i="152"/>
  <c r="E620" i="152"/>
  <c r="D613" i="152"/>
  <c r="A601" i="152"/>
  <c r="B588" i="152"/>
  <c r="C575" i="152"/>
  <c r="C559" i="152"/>
  <c r="E533" i="152"/>
  <c r="D611" i="152"/>
  <c r="C608" i="152"/>
  <c r="B605" i="152"/>
  <c r="A602" i="152"/>
  <c r="E598" i="152"/>
  <c r="D595" i="152"/>
  <c r="C592" i="152"/>
  <c r="B589" i="152"/>
  <c r="A586" i="152"/>
  <c r="E582" i="152"/>
  <c r="D579" i="152"/>
  <c r="C576" i="152"/>
  <c r="B573" i="152"/>
  <c r="A570" i="152"/>
  <c r="E566" i="152"/>
  <c r="D563" i="152"/>
  <c r="C560" i="152"/>
  <c r="B557" i="152"/>
  <c r="A554" i="152"/>
  <c r="E550" i="152"/>
  <c r="D547" i="152"/>
  <c r="C544" i="152"/>
  <c r="B541" i="152"/>
  <c r="A538" i="152"/>
  <c r="E534" i="152"/>
  <c r="D531" i="152"/>
  <c r="C528" i="152"/>
  <c r="B525" i="152"/>
  <c r="A522" i="152"/>
  <c r="E518" i="152"/>
  <c r="D515" i="152"/>
  <c r="C512" i="152"/>
  <c r="B509" i="152"/>
  <c r="A506" i="152"/>
  <c r="E501" i="152"/>
  <c r="D496" i="152"/>
  <c r="C492" i="152"/>
  <c r="B487" i="152"/>
  <c r="A483" i="152"/>
  <c r="E477" i="152"/>
  <c r="D473" i="152"/>
  <c r="C469" i="152"/>
  <c r="B464" i="152"/>
  <c r="A460" i="152"/>
  <c r="E454" i="152"/>
  <c r="D450" i="152"/>
  <c r="C445" i="152"/>
  <c r="B441" i="152"/>
  <c r="A436" i="152"/>
  <c r="E431" i="152"/>
  <c r="D426" i="152"/>
  <c r="C422" i="152"/>
  <c r="B418" i="152"/>
  <c r="A413" i="152"/>
  <c r="E408" i="152"/>
  <c r="D403" i="152"/>
  <c r="C399" i="152"/>
  <c r="B394" i="152"/>
  <c r="A390" i="152"/>
  <c r="E384" i="152"/>
  <c r="D380" i="152"/>
  <c r="C375" i="152"/>
  <c r="E370" i="152"/>
  <c r="E364" i="152"/>
  <c r="C358" i="152"/>
  <c r="A352" i="152"/>
  <c r="B345" i="152"/>
  <c r="A336" i="152"/>
  <c r="D323" i="152"/>
  <c r="E310" i="152"/>
  <c r="A298" i="152"/>
  <c r="D278" i="152"/>
  <c r="A212" i="152"/>
  <c r="B608" i="152"/>
  <c r="A605" i="152"/>
  <c r="E601" i="152"/>
  <c r="D598" i="152"/>
  <c r="C595" i="152"/>
  <c r="B592" i="152"/>
  <c r="A589" i="152"/>
  <c r="E585" i="152"/>
  <c r="D582" i="152"/>
  <c r="C579" i="152"/>
  <c r="B576" i="152"/>
  <c r="A573" i="152"/>
  <c r="E569" i="152"/>
  <c r="D566" i="152"/>
  <c r="C563" i="152"/>
  <c r="B560" i="152"/>
  <c r="A557" i="152"/>
  <c r="E553" i="152"/>
  <c r="D550" i="152"/>
  <c r="C547" i="152"/>
  <c r="B544" i="152"/>
  <c r="A541" i="152"/>
  <c r="E537" i="152"/>
  <c r="D534" i="152"/>
  <c r="C531" i="152"/>
  <c r="B528" i="152"/>
  <c r="A525" i="152"/>
  <c r="E521" i="152"/>
  <c r="D518" i="152"/>
  <c r="C515" i="152"/>
  <c r="B512" i="152"/>
  <c r="A509" i="152"/>
  <c r="E505" i="152"/>
  <c r="D501" i="152"/>
  <c r="C496" i="152"/>
  <c r="B492" i="152"/>
  <c r="A487" i="152"/>
  <c r="E482" i="152"/>
  <c r="D477" i="152"/>
  <c r="C473" i="152"/>
  <c r="B468" i="152"/>
  <c r="A464" i="152"/>
  <c r="E459" i="152"/>
  <c r="D454" i="152"/>
  <c r="C450" i="152"/>
  <c r="B445" i="152"/>
  <c r="A441" i="152"/>
  <c r="E435" i="152"/>
  <c r="D431" i="152"/>
  <c r="C426" i="152"/>
  <c r="B422" i="152"/>
  <c r="A417" i="152"/>
  <c r="E412" i="152"/>
  <c r="D408" i="152"/>
  <c r="C403" i="152"/>
  <c r="B399" i="152"/>
  <c r="A394" i="152"/>
  <c r="E389" i="152"/>
  <c r="D384" i="152"/>
  <c r="C380" i="152"/>
  <c r="B375" i="152"/>
  <c r="D370" i="152"/>
  <c r="D364" i="152"/>
  <c r="B358" i="152"/>
  <c r="E351" i="152"/>
  <c r="A345" i="152"/>
  <c r="E335" i="152"/>
  <c r="C323" i="152"/>
  <c r="D310" i="152"/>
  <c r="E297" i="152"/>
  <c r="D272" i="152"/>
  <c r="C199" i="152"/>
  <c r="B611" i="152"/>
  <c r="A608" i="152"/>
  <c r="E604" i="152"/>
  <c r="D601" i="152"/>
  <c r="C598" i="152"/>
  <c r="B595" i="152"/>
  <c r="A592" i="152"/>
  <c r="E588" i="152"/>
  <c r="D585" i="152"/>
  <c r="C582" i="152"/>
  <c r="B579" i="152"/>
  <c r="A576" i="152"/>
  <c r="E572" i="152"/>
  <c r="D569" i="152"/>
  <c r="C566" i="152"/>
  <c r="B563" i="152"/>
  <c r="A560" i="152"/>
  <c r="E556" i="152"/>
  <c r="D553" i="152"/>
  <c r="C550" i="152"/>
  <c r="B547" i="152"/>
  <c r="A544" i="152"/>
  <c r="E540" i="152"/>
  <c r="D537" i="152"/>
  <c r="C534" i="152"/>
  <c r="B531" i="152"/>
  <c r="A528" i="152"/>
  <c r="E524" i="152"/>
  <c r="D521" i="152"/>
  <c r="C518" i="152"/>
  <c r="B515" i="152"/>
  <c r="A512" i="152"/>
  <c r="E508" i="152"/>
  <c r="D505" i="152"/>
  <c r="C501" i="152"/>
  <c r="B496" i="152"/>
  <c r="A492" i="152"/>
  <c r="E486" i="152"/>
  <c r="D482" i="152"/>
  <c r="C477" i="152"/>
  <c r="B473" i="152"/>
  <c r="X473" i="152" s="1"/>
  <c r="A468" i="152"/>
  <c r="E463" i="152"/>
  <c r="D458" i="152"/>
  <c r="C454" i="152"/>
  <c r="B450" i="152"/>
  <c r="A445" i="152"/>
  <c r="E440" i="152"/>
  <c r="D435" i="152"/>
  <c r="C431" i="152"/>
  <c r="B426" i="152"/>
  <c r="A422" i="152"/>
  <c r="E416" i="152"/>
  <c r="D412" i="152"/>
  <c r="C407" i="152"/>
  <c r="B403" i="152"/>
  <c r="A399" i="152"/>
  <c r="E393" i="152"/>
  <c r="D389" i="152"/>
  <c r="C384" i="152"/>
  <c r="B380" i="152"/>
  <c r="A375" i="152"/>
  <c r="A369" i="152"/>
  <c r="C364" i="152"/>
  <c r="A358" i="152"/>
  <c r="D351" i="152"/>
  <c r="E342" i="152"/>
  <c r="D335" i="152"/>
  <c r="B323" i="152"/>
  <c r="C310" i="152"/>
  <c r="D297" i="152"/>
  <c r="C272" i="152"/>
  <c r="B199" i="152"/>
  <c r="C649" i="152"/>
  <c r="B646" i="152"/>
  <c r="A643" i="152"/>
  <c r="E639" i="152"/>
  <c r="D636" i="152"/>
  <c r="C633" i="152"/>
  <c r="B630" i="152"/>
  <c r="A627" i="152"/>
  <c r="E623" i="152"/>
  <c r="D620" i="152"/>
  <c r="C617" i="152"/>
  <c r="B614" i="152"/>
  <c r="A611" i="152"/>
  <c r="E607" i="152"/>
  <c r="D604" i="152"/>
  <c r="C601" i="152"/>
  <c r="B598" i="152"/>
  <c r="A595" i="152"/>
  <c r="E591" i="152"/>
  <c r="D588" i="152"/>
  <c r="C585" i="152"/>
  <c r="B582" i="152"/>
  <c r="A579" i="152"/>
  <c r="E575" i="152"/>
  <c r="D572" i="152"/>
  <c r="C569" i="152"/>
  <c r="B566" i="152"/>
  <c r="A563" i="152"/>
  <c r="E559" i="152"/>
  <c r="D556" i="152"/>
  <c r="C553" i="152"/>
  <c r="B550" i="152"/>
  <c r="A547" i="152"/>
  <c r="E543" i="152"/>
  <c r="D540" i="152"/>
  <c r="C537" i="152"/>
  <c r="B534" i="152"/>
  <c r="A531" i="152"/>
  <c r="E527" i="152"/>
  <c r="D524" i="152"/>
  <c r="C521" i="152"/>
  <c r="B518" i="152"/>
  <c r="A515" i="152"/>
  <c r="E511" i="152"/>
  <c r="D508" i="152"/>
  <c r="C505" i="152"/>
  <c r="B500" i="152"/>
  <c r="A496" i="152"/>
  <c r="E491" i="152"/>
  <c r="D486" i="152"/>
  <c r="C482" i="152"/>
  <c r="B477" i="152"/>
  <c r="A473" i="152"/>
  <c r="E467" i="152"/>
  <c r="D463" i="152"/>
  <c r="C458" i="152"/>
  <c r="B454" i="152"/>
  <c r="A449" i="152"/>
  <c r="E444" i="152"/>
  <c r="D440" i="152"/>
  <c r="C435" i="152"/>
  <c r="B431" i="152"/>
  <c r="A426" i="152"/>
  <c r="E421" i="152"/>
  <c r="D416" i="152"/>
  <c r="C412" i="152"/>
  <c r="B407" i="152"/>
  <c r="A403" i="152"/>
  <c r="E397" i="152"/>
  <c r="D393" i="152"/>
  <c r="C389" i="152"/>
  <c r="B384" i="152"/>
  <c r="A380" i="152"/>
  <c r="E374" i="152"/>
  <c r="E368" i="152"/>
  <c r="B364" i="152"/>
  <c r="E357" i="152"/>
  <c r="C351" i="152"/>
  <c r="D342" i="152"/>
  <c r="C335" i="152"/>
  <c r="A323" i="152"/>
  <c r="B310" i="152"/>
  <c r="C297" i="152"/>
  <c r="C263" i="152"/>
  <c r="D186" i="152"/>
  <c r="B649" i="152"/>
  <c r="X649" i="152" s="1"/>
  <c r="A646" i="152"/>
  <c r="E642" i="152"/>
  <c r="AN642" i="152" s="1"/>
  <c r="D639" i="152"/>
  <c r="C636" i="152"/>
  <c r="B633" i="152"/>
  <c r="X633" i="152" s="1"/>
  <c r="A630" i="152"/>
  <c r="S630" i="152" s="1"/>
  <c r="E626" i="152"/>
  <c r="AM626" i="152" s="1"/>
  <c r="D623" i="152"/>
  <c r="AI623" i="152" s="1"/>
  <c r="C620" i="152"/>
  <c r="AB620" i="152" s="1"/>
  <c r="B617" i="152"/>
  <c r="W617" i="152" s="1"/>
  <c r="A614" i="152"/>
  <c r="E610" i="152"/>
  <c r="D607" i="152"/>
  <c r="C604" i="152"/>
  <c r="B601" i="152"/>
  <c r="A598" i="152"/>
  <c r="S598" i="152" s="1"/>
  <c r="E594" i="152"/>
  <c r="AM594" i="152" s="1"/>
  <c r="D591" i="152"/>
  <c r="C588" i="152"/>
  <c r="B585" i="152"/>
  <c r="X585" i="152" s="1"/>
  <c r="A582" i="152"/>
  <c r="R582" i="152" s="1"/>
  <c r="E578" i="152"/>
  <c r="D575" i="152"/>
  <c r="C572" i="152"/>
  <c r="B569" i="152"/>
  <c r="W569" i="152" s="1"/>
  <c r="A566" i="152"/>
  <c r="E562" i="152"/>
  <c r="AL562" i="152" s="1"/>
  <c r="D559" i="152"/>
  <c r="AI559" i="152" s="1"/>
  <c r="C556" i="152"/>
  <c r="B553" i="152"/>
  <c r="A550" i="152"/>
  <c r="E546" i="152"/>
  <c r="AN546" i="152" s="1"/>
  <c r="D543" i="152"/>
  <c r="C540" i="152"/>
  <c r="B537" i="152"/>
  <c r="A534" i="152"/>
  <c r="E530" i="152"/>
  <c r="AN530" i="152" s="1"/>
  <c r="D527" i="152"/>
  <c r="AH527" i="152" s="1"/>
  <c r="C524" i="152"/>
  <c r="AB524" i="152" s="1"/>
  <c r="B521" i="152"/>
  <c r="W521" i="152" s="1"/>
  <c r="A518" i="152"/>
  <c r="E514" i="152"/>
  <c r="D511" i="152"/>
  <c r="C508" i="152"/>
  <c r="B505" i="152"/>
  <c r="Y505" i="152" s="1"/>
  <c r="A500" i="152"/>
  <c r="E495" i="152"/>
  <c r="D490" i="152"/>
  <c r="C486" i="152"/>
  <c r="B482" i="152"/>
  <c r="A477" i="152"/>
  <c r="E472" i="152"/>
  <c r="D467" i="152"/>
  <c r="C463" i="152"/>
  <c r="B458" i="152"/>
  <c r="A454" i="152"/>
  <c r="E448" i="152"/>
  <c r="D444" i="152"/>
  <c r="C439" i="152"/>
  <c r="B435" i="152"/>
  <c r="A431" i="152"/>
  <c r="E425" i="152"/>
  <c r="D421" i="152"/>
  <c r="C416" i="152"/>
  <c r="B412" i="152"/>
  <c r="A407" i="152"/>
  <c r="E402" i="152"/>
  <c r="D397" i="152"/>
  <c r="C393" i="152"/>
  <c r="B388" i="152"/>
  <c r="A384" i="152"/>
  <c r="E379" i="152"/>
  <c r="D374" i="152"/>
  <c r="D368" i="152"/>
  <c r="C362" i="152"/>
  <c r="A356" i="152"/>
  <c r="D349" i="152"/>
  <c r="C342" i="152"/>
  <c r="B333" i="152"/>
  <c r="C320" i="152"/>
  <c r="D307" i="152"/>
  <c r="E294" i="152"/>
  <c r="B263" i="152"/>
  <c r="C186" i="152"/>
  <c r="B524" i="152"/>
  <c r="A521" i="152"/>
  <c r="E517" i="152"/>
  <c r="D514" i="152"/>
  <c r="C511" i="152"/>
  <c r="B508" i="152"/>
  <c r="A505" i="152"/>
  <c r="E499" i="152"/>
  <c r="D495" i="152"/>
  <c r="C490" i="152"/>
  <c r="B486" i="152"/>
  <c r="A481" i="152"/>
  <c r="E476" i="152"/>
  <c r="D472" i="152"/>
  <c r="C467" i="152"/>
  <c r="B463" i="152"/>
  <c r="A458" i="152"/>
  <c r="E453" i="152"/>
  <c r="D448" i="152"/>
  <c r="C444" i="152"/>
  <c r="B439" i="152"/>
  <c r="A435" i="152"/>
  <c r="E429" i="152"/>
  <c r="D425" i="152"/>
  <c r="C421" i="152"/>
  <c r="B416" i="152"/>
  <c r="A412" i="152"/>
  <c r="E406" i="152"/>
  <c r="D402" i="152"/>
  <c r="C397" i="152"/>
  <c r="B393" i="152"/>
  <c r="A388" i="152"/>
  <c r="E383" i="152"/>
  <c r="D378" i="152"/>
  <c r="C374" i="152"/>
  <c r="C368" i="152"/>
  <c r="B362" i="152"/>
  <c r="E355" i="152"/>
  <c r="C349" i="152"/>
  <c r="B342" i="152"/>
  <c r="A333" i="152"/>
  <c r="B320" i="152"/>
  <c r="C307" i="152"/>
  <c r="D294" i="152"/>
  <c r="B254" i="152"/>
  <c r="A524" i="152"/>
  <c r="E520" i="152"/>
  <c r="D517" i="152"/>
  <c r="C514" i="152"/>
  <c r="B511" i="152"/>
  <c r="A508" i="152"/>
  <c r="E504" i="152"/>
  <c r="D499" i="152"/>
  <c r="C495" i="152"/>
  <c r="B490" i="152"/>
  <c r="A486" i="152"/>
  <c r="E480" i="152"/>
  <c r="D476" i="152"/>
  <c r="C471" i="152"/>
  <c r="B467" i="152"/>
  <c r="A463" i="152"/>
  <c r="E457" i="152"/>
  <c r="D453" i="152"/>
  <c r="C448" i="152"/>
  <c r="B444" i="152"/>
  <c r="A439" i="152"/>
  <c r="E434" i="152"/>
  <c r="D429" i="152"/>
  <c r="C425" i="152"/>
  <c r="B420" i="152"/>
  <c r="A416" i="152"/>
  <c r="E411" i="152"/>
  <c r="D406" i="152"/>
  <c r="C402" i="152"/>
  <c r="B397" i="152"/>
  <c r="A393" i="152"/>
  <c r="E387" i="152"/>
  <c r="D383" i="152"/>
  <c r="C378" i="152"/>
  <c r="B374" i="152"/>
  <c r="B368" i="152"/>
  <c r="A362" i="152"/>
  <c r="D355" i="152"/>
  <c r="B349" i="152"/>
  <c r="A342" i="152"/>
  <c r="E332" i="152"/>
  <c r="A320" i="152"/>
  <c r="B307" i="152"/>
  <c r="C294" i="152"/>
  <c r="A254" i="152"/>
  <c r="C565" i="152"/>
  <c r="B562" i="152"/>
  <c r="A559" i="152"/>
  <c r="E555" i="152"/>
  <c r="D552" i="152"/>
  <c r="C549" i="152"/>
  <c r="B546" i="152"/>
  <c r="A543" i="152"/>
  <c r="E539" i="152"/>
  <c r="D536" i="152"/>
  <c r="C533" i="152"/>
  <c r="B530" i="152"/>
  <c r="A527" i="152"/>
  <c r="E523" i="152"/>
  <c r="D520" i="152"/>
  <c r="C517" i="152"/>
  <c r="B514" i="152"/>
  <c r="A511" i="152"/>
  <c r="E507" i="152"/>
  <c r="D504" i="152"/>
  <c r="C499" i="152"/>
  <c r="B495" i="152"/>
  <c r="A490" i="152"/>
  <c r="E485" i="152"/>
  <c r="D480" i="152"/>
  <c r="C476" i="152"/>
  <c r="AC476" i="152" s="1"/>
  <c r="B471" i="152"/>
  <c r="A467" i="152"/>
  <c r="E461" i="152"/>
  <c r="D457" i="152"/>
  <c r="C453" i="152"/>
  <c r="B448" i="152"/>
  <c r="A444" i="152"/>
  <c r="E438" i="152"/>
  <c r="D434" i="152"/>
  <c r="C429" i="152"/>
  <c r="B425" i="152"/>
  <c r="A420" i="152"/>
  <c r="E415" i="152"/>
  <c r="D410" i="152"/>
  <c r="C406" i="152"/>
  <c r="B402" i="152"/>
  <c r="A397" i="152"/>
  <c r="E392" i="152"/>
  <c r="D387" i="152"/>
  <c r="C383" i="152"/>
  <c r="B378" i="152"/>
  <c r="A374" i="152"/>
  <c r="A368" i="152"/>
  <c r="E361" i="152"/>
  <c r="C355" i="152"/>
  <c r="A349" i="152"/>
  <c r="E341" i="152"/>
  <c r="D332" i="152"/>
  <c r="E319" i="152"/>
  <c r="A307" i="152"/>
  <c r="D291" i="152"/>
  <c r="A247" i="152"/>
  <c r="B565" i="152"/>
  <c r="A562" i="152"/>
  <c r="E558" i="152"/>
  <c r="D555" i="152"/>
  <c r="C552" i="152"/>
  <c r="B549" i="152"/>
  <c r="A546" i="152"/>
  <c r="E542" i="152"/>
  <c r="D539" i="152"/>
  <c r="C536" i="152"/>
  <c r="B533" i="152"/>
  <c r="A530" i="152"/>
  <c r="E526" i="152"/>
  <c r="D523" i="152"/>
  <c r="C520" i="152"/>
  <c r="B517" i="152"/>
  <c r="A514" i="152"/>
  <c r="E510" i="152"/>
  <c r="D507" i="152"/>
  <c r="C503" i="152"/>
  <c r="B499" i="152"/>
  <c r="A495" i="152"/>
  <c r="E489" i="152"/>
  <c r="D485" i="152"/>
  <c r="C480" i="152"/>
  <c r="B476" i="152"/>
  <c r="A471" i="152"/>
  <c r="E466" i="152"/>
  <c r="D461" i="152"/>
  <c r="C457" i="152"/>
  <c r="B452" i="152"/>
  <c r="A448" i="152"/>
  <c r="E443" i="152"/>
  <c r="D438" i="152"/>
  <c r="C434" i="152"/>
  <c r="B429" i="152"/>
  <c r="A425" i="152"/>
  <c r="E419" i="152"/>
  <c r="D415" i="152"/>
  <c r="C410" i="152"/>
  <c r="B406" i="152"/>
  <c r="A401" i="152"/>
  <c r="E396" i="152"/>
  <c r="D392" i="152"/>
  <c r="C387" i="152"/>
  <c r="B383" i="152"/>
  <c r="A378" i="152"/>
  <c r="E373" i="152"/>
  <c r="E367" i="152"/>
  <c r="D361" i="152"/>
  <c r="B355" i="152"/>
  <c r="E348" i="152"/>
  <c r="D339" i="152"/>
  <c r="A330" i="152"/>
  <c r="B317" i="152"/>
  <c r="C304" i="152"/>
  <c r="C291" i="152"/>
  <c r="C11" i="152"/>
  <c r="D14" i="152"/>
  <c r="E17" i="152"/>
  <c r="A21" i="152"/>
  <c r="B24" i="152"/>
  <c r="C27" i="152"/>
  <c r="D30" i="152"/>
  <c r="E33" i="152"/>
  <c r="A37" i="152"/>
  <c r="B40" i="152"/>
  <c r="C43" i="152"/>
  <c r="D46" i="152"/>
  <c r="E49" i="152"/>
  <c r="A53" i="152"/>
  <c r="B56" i="152"/>
  <c r="C59" i="152"/>
  <c r="D62" i="152"/>
  <c r="E65" i="152"/>
  <c r="A69" i="152"/>
  <c r="B72" i="152"/>
  <c r="C75" i="152"/>
  <c r="D78" i="152"/>
  <c r="E81" i="152"/>
  <c r="A85" i="152"/>
  <c r="B88" i="152"/>
  <c r="C91" i="152"/>
  <c r="D94" i="152"/>
  <c r="E97" i="152"/>
  <c r="A101" i="152"/>
  <c r="B104" i="152"/>
  <c r="C107" i="152"/>
  <c r="D110" i="152"/>
  <c r="E113" i="152"/>
  <c r="A117" i="152"/>
  <c r="B120" i="152"/>
  <c r="C123" i="152"/>
  <c r="D126" i="152"/>
  <c r="E129" i="152"/>
  <c r="A133" i="152"/>
  <c r="B136" i="152"/>
  <c r="C139" i="152"/>
  <c r="D142" i="152"/>
  <c r="E145" i="152"/>
  <c r="A149" i="152"/>
  <c r="B152" i="152"/>
  <c r="C155" i="152"/>
  <c r="D158" i="152"/>
  <c r="E161" i="152"/>
  <c r="A165" i="152"/>
  <c r="B168" i="152"/>
  <c r="C171" i="152"/>
  <c r="D174" i="152"/>
  <c r="E177" i="152"/>
  <c r="A181" i="152"/>
  <c r="B184" i="152"/>
  <c r="C187" i="152"/>
  <c r="D190" i="152"/>
  <c r="E193" i="152"/>
  <c r="A197" i="152"/>
  <c r="B200" i="152"/>
  <c r="C203" i="152"/>
  <c r="D206" i="152"/>
  <c r="E209" i="152"/>
  <c r="A213" i="152"/>
  <c r="B216" i="152"/>
  <c r="C219" i="152"/>
  <c r="D222" i="152"/>
  <c r="E225" i="152"/>
  <c r="A229" i="152"/>
  <c r="B232" i="152"/>
  <c r="C235" i="152"/>
  <c r="D238" i="152"/>
  <c r="E241" i="152"/>
  <c r="A245" i="152"/>
  <c r="B248" i="152"/>
  <c r="C251" i="152"/>
  <c r="D254" i="152"/>
  <c r="E257" i="152"/>
  <c r="A261" i="152"/>
  <c r="B264" i="152"/>
  <c r="C267" i="152"/>
  <c r="D270" i="152"/>
  <c r="E273" i="152"/>
  <c r="A277" i="152"/>
  <c r="D11" i="152"/>
  <c r="E14" i="152"/>
  <c r="A18" i="152"/>
  <c r="B21" i="152"/>
  <c r="C24" i="152"/>
  <c r="D27" i="152"/>
  <c r="E30" i="152"/>
  <c r="A34" i="152"/>
  <c r="B37" i="152"/>
  <c r="C40" i="152"/>
  <c r="D43" i="152"/>
  <c r="E46" i="152"/>
  <c r="A50" i="152"/>
  <c r="B53" i="152"/>
  <c r="C56" i="152"/>
  <c r="D59" i="152"/>
  <c r="E62" i="152"/>
  <c r="A66" i="152"/>
  <c r="B69" i="152"/>
  <c r="C72" i="152"/>
  <c r="D75" i="152"/>
  <c r="E78" i="152"/>
  <c r="A82" i="152"/>
  <c r="B85" i="152"/>
  <c r="C88" i="152"/>
  <c r="D91" i="152"/>
  <c r="E94" i="152"/>
  <c r="A98" i="152"/>
  <c r="B101" i="152"/>
  <c r="C104" i="152"/>
  <c r="D107" i="152"/>
  <c r="E110" i="152"/>
  <c r="A114" i="152"/>
  <c r="B117" i="152"/>
  <c r="C120" i="152"/>
  <c r="D123" i="152"/>
  <c r="E126" i="152"/>
  <c r="A130" i="152"/>
  <c r="B133" i="152"/>
  <c r="C136" i="152"/>
  <c r="D139" i="152"/>
  <c r="E142" i="152"/>
  <c r="A146" i="152"/>
  <c r="B149" i="152"/>
  <c r="C152" i="152"/>
  <c r="D155" i="152"/>
  <c r="E158" i="152"/>
  <c r="A162" i="152"/>
  <c r="B165" i="152"/>
  <c r="C168" i="152"/>
  <c r="D171" i="152"/>
  <c r="E174" i="152"/>
  <c r="A178" i="152"/>
  <c r="B181" i="152"/>
  <c r="C184" i="152"/>
  <c r="D187" i="152"/>
  <c r="E190" i="152"/>
  <c r="A194" i="152"/>
  <c r="B197" i="152"/>
  <c r="C200" i="152"/>
  <c r="D203" i="152"/>
  <c r="E206" i="152"/>
  <c r="A210" i="152"/>
  <c r="B213" i="152"/>
  <c r="C216" i="152"/>
  <c r="D219" i="152"/>
  <c r="E222" i="152"/>
  <c r="A226" i="152"/>
  <c r="B229" i="152"/>
  <c r="C232" i="152"/>
  <c r="D235" i="152"/>
  <c r="E238" i="152"/>
  <c r="A242" i="152"/>
  <c r="B245" i="152"/>
  <c r="C248" i="152"/>
  <c r="D251" i="152"/>
  <c r="E254" i="152"/>
  <c r="A258" i="152"/>
  <c r="B261" i="152"/>
  <c r="C264" i="152"/>
  <c r="D267" i="152"/>
  <c r="E270" i="152"/>
  <c r="A274" i="152"/>
  <c r="B277" i="152"/>
  <c r="A6" i="152"/>
  <c r="E11" i="152"/>
  <c r="A15" i="152"/>
  <c r="B18" i="152"/>
  <c r="C21" i="152"/>
  <c r="D24" i="152"/>
  <c r="E27" i="152"/>
  <c r="A31" i="152"/>
  <c r="B34" i="152"/>
  <c r="C37" i="152"/>
  <c r="D40" i="152"/>
  <c r="E43" i="152"/>
  <c r="A47" i="152"/>
  <c r="B50" i="152"/>
  <c r="C53" i="152"/>
  <c r="D56" i="152"/>
  <c r="E59" i="152"/>
  <c r="A63" i="152"/>
  <c r="B66" i="152"/>
  <c r="C69" i="152"/>
  <c r="D72" i="152"/>
  <c r="E75" i="152"/>
  <c r="A79" i="152"/>
  <c r="B82" i="152"/>
  <c r="C85" i="152"/>
  <c r="D88" i="152"/>
  <c r="E91" i="152"/>
  <c r="A95" i="152"/>
  <c r="B98" i="152"/>
  <c r="C101" i="152"/>
  <c r="D104" i="152"/>
  <c r="E107" i="152"/>
  <c r="A111" i="152"/>
  <c r="B114" i="152"/>
  <c r="C117" i="152"/>
  <c r="D120" i="152"/>
  <c r="E123" i="152"/>
  <c r="A127" i="152"/>
  <c r="B130" i="152"/>
  <c r="C133" i="152"/>
  <c r="D136" i="152"/>
  <c r="E139" i="152"/>
  <c r="A143" i="152"/>
  <c r="B146" i="152"/>
  <c r="C149" i="152"/>
  <c r="D152" i="152"/>
  <c r="E155" i="152"/>
  <c r="A159" i="152"/>
  <c r="B162" i="152"/>
  <c r="C165" i="152"/>
  <c r="D168" i="152"/>
  <c r="E171" i="152"/>
  <c r="A175" i="152"/>
  <c r="B178" i="152"/>
  <c r="C181" i="152"/>
  <c r="D184" i="152"/>
  <c r="E187" i="152"/>
  <c r="A191" i="152"/>
  <c r="B194" i="152"/>
  <c r="C197" i="152"/>
  <c r="D200" i="152"/>
  <c r="E203" i="152"/>
  <c r="A207" i="152"/>
  <c r="B210" i="152"/>
  <c r="C213" i="152"/>
  <c r="D216" i="152"/>
  <c r="E219" i="152"/>
  <c r="A223" i="152"/>
  <c r="B226" i="152"/>
  <c r="C229" i="152"/>
  <c r="D232" i="152"/>
  <c r="E235" i="152"/>
  <c r="A239" i="152"/>
  <c r="B242" i="152"/>
  <c r="C245" i="152"/>
  <c r="D248" i="152"/>
  <c r="E251" i="152"/>
  <c r="A255" i="152"/>
  <c r="B258" i="152"/>
  <c r="C261" i="152"/>
  <c r="D264" i="152"/>
  <c r="E267" i="152"/>
  <c r="A271" i="152"/>
  <c r="B274" i="152"/>
  <c r="C277" i="152"/>
  <c r="A12" i="152"/>
  <c r="B15" i="152"/>
  <c r="C18" i="152"/>
  <c r="D21" i="152"/>
  <c r="E24" i="152"/>
  <c r="A28" i="152"/>
  <c r="B31" i="152"/>
  <c r="C34" i="152"/>
  <c r="D37" i="152"/>
  <c r="E40" i="152"/>
  <c r="A44" i="152"/>
  <c r="B47" i="152"/>
  <c r="C50" i="152"/>
  <c r="D53" i="152"/>
  <c r="E56" i="152"/>
  <c r="A60" i="152"/>
  <c r="B63" i="152"/>
  <c r="C66" i="152"/>
  <c r="D69" i="152"/>
  <c r="E72" i="152"/>
  <c r="A76" i="152"/>
  <c r="B79" i="152"/>
  <c r="C82" i="152"/>
  <c r="D85" i="152"/>
  <c r="E88" i="152"/>
  <c r="A92" i="152"/>
  <c r="B95" i="152"/>
  <c r="C98" i="152"/>
  <c r="D101" i="152"/>
  <c r="E104" i="152"/>
  <c r="A108" i="152"/>
  <c r="B111" i="152"/>
  <c r="C114" i="152"/>
  <c r="D117" i="152"/>
  <c r="E120" i="152"/>
  <c r="A124" i="152"/>
  <c r="B127" i="152"/>
  <c r="C130" i="152"/>
  <c r="D133" i="152"/>
  <c r="E136" i="152"/>
  <c r="A140" i="152"/>
  <c r="B143" i="152"/>
  <c r="C146" i="152"/>
  <c r="D149" i="152"/>
  <c r="E152" i="152"/>
  <c r="A156" i="152"/>
  <c r="B159" i="152"/>
  <c r="C162" i="152"/>
  <c r="D165" i="152"/>
  <c r="E168" i="152"/>
  <c r="A172" i="152"/>
  <c r="B175" i="152"/>
  <c r="C178" i="152"/>
  <c r="D181" i="152"/>
  <c r="E184" i="152"/>
  <c r="A188" i="152"/>
  <c r="B191" i="152"/>
  <c r="C194" i="152"/>
  <c r="D197" i="152"/>
  <c r="E200" i="152"/>
  <c r="A204" i="152"/>
  <c r="B207" i="152"/>
  <c r="C210" i="152"/>
  <c r="D213" i="152"/>
  <c r="E216" i="152"/>
  <c r="A220" i="152"/>
  <c r="B223" i="152"/>
  <c r="C226" i="152"/>
  <c r="D229" i="152"/>
  <c r="E232" i="152"/>
  <c r="A236" i="152"/>
  <c r="B239" i="152"/>
  <c r="C242" i="152"/>
  <c r="D245" i="152"/>
  <c r="E248" i="152"/>
  <c r="A252" i="152"/>
  <c r="B255" i="152"/>
  <c r="C258" i="152"/>
  <c r="D261" i="152"/>
  <c r="E264" i="152"/>
  <c r="A268" i="152"/>
  <c r="B271" i="152"/>
  <c r="C274" i="152"/>
  <c r="D277" i="152"/>
  <c r="A9" i="152"/>
  <c r="B12" i="152"/>
  <c r="C15" i="152"/>
  <c r="D18" i="152"/>
  <c r="E21" i="152"/>
  <c r="A25" i="152"/>
  <c r="B28" i="152"/>
  <c r="C31" i="152"/>
  <c r="D34" i="152"/>
  <c r="E37" i="152"/>
  <c r="A41" i="152"/>
  <c r="B44" i="152"/>
  <c r="C47" i="152"/>
  <c r="D50" i="152"/>
  <c r="E53" i="152"/>
  <c r="A57" i="152"/>
  <c r="B60" i="152"/>
  <c r="C63" i="152"/>
  <c r="D66" i="152"/>
  <c r="E69" i="152"/>
  <c r="A73" i="152"/>
  <c r="B76" i="152"/>
  <c r="C79" i="152"/>
  <c r="D82" i="152"/>
  <c r="E85" i="152"/>
  <c r="A89" i="152"/>
  <c r="B92" i="152"/>
  <c r="C95" i="152"/>
  <c r="D98" i="152"/>
  <c r="E101" i="152"/>
  <c r="A105" i="152"/>
  <c r="B108" i="152"/>
  <c r="C111" i="152"/>
  <c r="D114" i="152"/>
  <c r="E117" i="152"/>
  <c r="A121" i="152"/>
  <c r="B124" i="152"/>
  <c r="C127" i="152"/>
  <c r="D130" i="152"/>
  <c r="E133" i="152"/>
  <c r="A137" i="152"/>
  <c r="B140" i="152"/>
  <c r="C143" i="152"/>
  <c r="D146" i="152"/>
  <c r="E149" i="152"/>
  <c r="A153" i="152"/>
  <c r="B156" i="152"/>
  <c r="C159" i="152"/>
  <c r="D162" i="152"/>
  <c r="E165" i="152"/>
  <c r="A169" i="152"/>
  <c r="B172" i="152"/>
  <c r="C175" i="152"/>
  <c r="D178" i="152"/>
  <c r="E181" i="152"/>
  <c r="A185" i="152"/>
  <c r="B188" i="152"/>
  <c r="C191" i="152"/>
  <c r="D194" i="152"/>
  <c r="E197" i="152"/>
  <c r="A201" i="152"/>
  <c r="B204" i="152"/>
  <c r="C207" i="152"/>
  <c r="D210" i="152"/>
  <c r="E213" i="152"/>
  <c r="A217" i="152"/>
  <c r="B220" i="152"/>
  <c r="C223" i="152"/>
  <c r="D226" i="152"/>
  <c r="E229" i="152"/>
  <c r="A233" i="152"/>
  <c r="B236" i="152"/>
  <c r="C239" i="152"/>
  <c r="D242" i="152"/>
  <c r="E245" i="152"/>
  <c r="A249" i="152"/>
  <c r="B252" i="152"/>
  <c r="C255" i="152"/>
  <c r="D258" i="152"/>
  <c r="E261" i="152"/>
  <c r="A265" i="152"/>
  <c r="B268" i="152"/>
  <c r="C271" i="152"/>
  <c r="D274" i="152"/>
  <c r="B9" i="152"/>
  <c r="C12" i="152"/>
  <c r="D15" i="152"/>
  <c r="E18" i="152"/>
  <c r="A22" i="152"/>
  <c r="B25" i="152"/>
  <c r="C28" i="152"/>
  <c r="D31" i="152"/>
  <c r="E34" i="152"/>
  <c r="A38" i="152"/>
  <c r="B41" i="152"/>
  <c r="C44" i="152"/>
  <c r="D47" i="152"/>
  <c r="E50" i="152"/>
  <c r="A54" i="152"/>
  <c r="B57" i="152"/>
  <c r="C60" i="152"/>
  <c r="D63" i="152"/>
  <c r="E66" i="152"/>
  <c r="A70" i="152"/>
  <c r="B73" i="152"/>
  <c r="C76" i="152"/>
  <c r="D79" i="152"/>
  <c r="E82" i="152"/>
  <c r="A86" i="152"/>
  <c r="B89" i="152"/>
  <c r="C92" i="152"/>
  <c r="D95" i="152"/>
  <c r="E98" i="152"/>
  <c r="A102" i="152"/>
  <c r="B105" i="152"/>
  <c r="C108" i="152"/>
  <c r="D111" i="152"/>
  <c r="E114" i="152"/>
  <c r="A118" i="152"/>
  <c r="B121" i="152"/>
  <c r="C124" i="152"/>
  <c r="D127" i="152"/>
  <c r="E130" i="152"/>
  <c r="A134" i="152"/>
  <c r="B137" i="152"/>
  <c r="C140" i="152"/>
  <c r="D143" i="152"/>
  <c r="E146" i="152"/>
  <c r="A150" i="152"/>
  <c r="B153" i="152"/>
  <c r="C156" i="152"/>
  <c r="D159" i="152"/>
  <c r="E162" i="152"/>
  <c r="A166" i="152"/>
  <c r="B169" i="152"/>
  <c r="C172" i="152"/>
  <c r="D175" i="152"/>
  <c r="E178" i="152"/>
  <c r="A182" i="152"/>
  <c r="B185" i="152"/>
  <c r="C188" i="152"/>
  <c r="D191" i="152"/>
  <c r="E194" i="152"/>
  <c r="A198" i="152"/>
  <c r="B201" i="152"/>
  <c r="C204" i="152"/>
  <c r="D207" i="152"/>
  <c r="E210" i="152"/>
  <c r="A214" i="152"/>
  <c r="B217" i="152"/>
  <c r="C220" i="152"/>
  <c r="D223" i="152"/>
  <c r="E226" i="152"/>
  <c r="A230" i="152"/>
  <c r="B233" i="152"/>
  <c r="C236" i="152"/>
  <c r="D239" i="152"/>
  <c r="E242" i="152"/>
  <c r="A246" i="152"/>
  <c r="B249" i="152"/>
  <c r="C252" i="152"/>
  <c r="D255" i="152"/>
  <c r="E258" i="152"/>
  <c r="A262" i="152"/>
  <c r="B265" i="152"/>
  <c r="C268" i="152"/>
  <c r="D271" i="152"/>
  <c r="E274" i="152"/>
  <c r="C9" i="152"/>
  <c r="D12" i="152"/>
  <c r="E15" i="152"/>
  <c r="A19" i="152"/>
  <c r="B22" i="152"/>
  <c r="C25" i="152"/>
  <c r="D28" i="152"/>
  <c r="E31" i="152"/>
  <c r="A35" i="152"/>
  <c r="B38" i="152"/>
  <c r="C41" i="152"/>
  <c r="D44" i="152"/>
  <c r="E47" i="152"/>
  <c r="A51" i="152"/>
  <c r="B54" i="152"/>
  <c r="C57" i="152"/>
  <c r="D60" i="152"/>
  <c r="E63" i="152"/>
  <c r="A67" i="152"/>
  <c r="B70" i="152"/>
  <c r="C73" i="152"/>
  <c r="D76" i="152"/>
  <c r="E79" i="152"/>
  <c r="A83" i="152"/>
  <c r="B86" i="152"/>
  <c r="C89" i="152"/>
  <c r="D92" i="152"/>
  <c r="E95" i="152"/>
  <c r="A99" i="152"/>
  <c r="B102" i="152"/>
  <c r="C105" i="152"/>
  <c r="D108" i="152"/>
  <c r="E111" i="152"/>
  <c r="A115" i="152"/>
  <c r="B118" i="152"/>
  <c r="C121" i="152"/>
  <c r="D124" i="152"/>
  <c r="E127" i="152"/>
  <c r="A131" i="152"/>
  <c r="B134" i="152"/>
  <c r="C137" i="152"/>
  <c r="D140" i="152"/>
  <c r="E143" i="152"/>
  <c r="A147" i="152"/>
  <c r="B150" i="152"/>
  <c r="C153" i="152"/>
  <c r="D156" i="152"/>
  <c r="E159" i="152"/>
  <c r="A163" i="152"/>
  <c r="B166" i="152"/>
  <c r="C169" i="152"/>
  <c r="D172" i="152"/>
  <c r="E175" i="152"/>
  <c r="A179" i="152"/>
  <c r="B182" i="152"/>
  <c r="C185" i="152"/>
  <c r="D188" i="152"/>
  <c r="E191" i="152"/>
  <c r="A195" i="152"/>
  <c r="B198" i="152"/>
  <c r="C201" i="152"/>
  <c r="D204" i="152"/>
  <c r="E207" i="152"/>
  <c r="A211" i="152"/>
  <c r="B214" i="152"/>
  <c r="C217" i="152"/>
  <c r="D220" i="152"/>
  <c r="E223" i="152"/>
  <c r="A227" i="152"/>
  <c r="B230" i="152"/>
  <c r="C233" i="152"/>
  <c r="D236" i="152"/>
  <c r="E239" i="152"/>
  <c r="A243" i="152"/>
  <c r="B246" i="152"/>
  <c r="C249" i="152"/>
  <c r="D252" i="152"/>
  <c r="E255" i="152"/>
  <c r="A259" i="152"/>
  <c r="B262" i="152"/>
  <c r="C265" i="152"/>
  <c r="D268" i="152"/>
  <c r="E271" i="152"/>
  <c r="A275" i="152"/>
  <c r="D9" i="152"/>
  <c r="E12" i="152"/>
  <c r="A16" i="152"/>
  <c r="B19" i="152"/>
  <c r="C22" i="152"/>
  <c r="D25" i="152"/>
  <c r="E28" i="152"/>
  <c r="A32" i="152"/>
  <c r="B35" i="152"/>
  <c r="C38" i="152"/>
  <c r="D41" i="152"/>
  <c r="E44" i="152"/>
  <c r="A48" i="152"/>
  <c r="B51" i="152"/>
  <c r="C54" i="152"/>
  <c r="D57" i="152"/>
  <c r="E60" i="152"/>
  <c r="A64" i="152"/>
  <c r="B67" i="152"/>
  <c r="C70" i="152"/>
  <c r="D73" i="152"/>
  <c r="E76" i="152"/>
  <c r="A80" i="152"/>
  <c r="B83" i="152"/>
  <c r="C86" i="152"/>
  <c r="D89" i="152"/>
  <c r="E92" i="152"/>
  <c r="A96" i="152"/>
  <c r="B99" i="152"/>
  <c r="C102" i="152"/>
  <c r="D105" i="152"/>
  <c r="E108" i="152"/>
  <c r="A112" i="152"/>
  <c r="B115" i="152"/>
  <c r="C118" i="152"/>
  <c r="D121" i="152"/>
  <c r="E124" i="152"/>
  <c r="A128" i="152"/>
  <c r="B131" i="152"/>
  <c r="C134" i="152"/>
  <c r="D137" i="152"/>
  <c r="E140" i="152"/>
  <c r="A144" i="152"/>
  <c r="B147" i="152"/>
  <c r="C150" i="152"/>
  <c r="D153" i="152"/>
  <c r="E156" i="152"/>
  <c r="A160" i="152"/>
  <c r="B163" i="152"/>
  <c r="C166" i="152"/>
  <c r="D169" i="152"/>
  <c r="E172" i="152"/>
  <c r="A176" i="152"/>
  <c r="B179" i="152"/>
  <c r="C182" i="152"/>
  <c r="D185" i="152"/>
  <c r="E188" i="152"/>
  <c r="A192" i="152"/>
  <c r="B195" i="152"/>
  <c r="C198" i="152"/>
  <c r="D201" i="152"/>
  <c r="E204" i="152"/>
  <c r="A208" i="152"/>
  <c r="B211" i="152"/>
  <c r="C214" i="152"/>
  <c r="D217" i="152"/>
  <c r="E220" i="152"/>
  <c r="A224" i="152"/>
  <c r="B227" i="152"/>
  <c r="C230" i="152"/>
  <c r="D233" i="152"/>
  <c r="E236" i="152"/>
  <c r="A240" i="152"/>
  <c r="B243" i="152"/>
  <c r="C246" i="152"/>
  <c r="D249" i="152"/>
  <c r="E252" i="152"/>
  <c r="A256" i="152"/>
  <c r="B259" i="152"/>
  <c r="C262" i="152"/>
  <c r="D265" i="152"/>
  <c r="E268" i="152"/>
  <c r="A272" i="152"/>
  <c r="B275" i="152"/>
  <c r="E9" i="152"/>
  <c r="A13" i="152"/>
  <c r="B16" i="152"/>
  <c r="C19" i="152"/>
  <c r="D22" i="152"/>
  <c r="E25" i="152"/>
  <c r="A29" i="152"/>
  <c r="B32" i="152"/>
  <c r="C35" i="152"/>
  <c r="D38" i="152"/>
  <c r="E41" i="152"/>
  <c r="A45" i="152"/>
  <c r="B48" i="152"/>
  <c r="C51" i="152"/>
  <c r="D54" i="152"/>
  <c r="E57" i="152"/>
  <c r="A61" i="152"/>
  <c r="B64" i="152"/>
  <c r="C67" i="152"/>
  <c r="D70" i="152"/>
  <c r="E73" i="152"/>
  <c r="A77" i="152"/>
  <c r="B80" i="152"/>
  <c r="C83" i="152"/>
  <c r="D86" i="152"/>
  <c r="E89" i="152"/>
  <c r="A93" i="152"/>
  <c r="B96" i="152"/>
  <c r="C99" i="152"/>
  <c r="D102" i="152"/>
  <c r="E105" i="152"/>
  <c r="A109" i="152"/>
  <c r="B112" i="152"/>
  <c r="C115" i="152"/>
  <c r="D118" i="152"/>
  <c r="E121" i="152"/>
  <c r="A125" i="152"/>
  <c r="B128" i="152"/>
  <c r="C131" i="152"/>
  <c r="D134" i="152"/>
  <c r="E137" i="152"/>
  <c r="A141" i="152"/>
  <c r="B144" i="152"/>
  <c r="C147" i="152"/>
  <c r="D150" i="152"/>
  <c r="E153" i="152"/>
  <c r="A157" i="152"/>
  <c r="B160" i="152"/>
  <c r="C163" i="152"/>
  <c r="D166" i="152"/>
  <c r="E169" i="152"/>
  <c r="A173" i="152"/>
  <c r="B176" i="152"/>
  <c r="C179" i="152"/>
  <c r="D182" i="152"/>
  <c r="E185" i="152"/>
  <c r="A189" i="152"/>
  <c r="B192" i="152"/>
  <c r="C195" i="152"/>
  <c r="D198" i="152"/>
  <c r="E201" i="152"/>
  <c r="A205" i="152"/>
  <c r="B208" i="152"/>
  <c r="C211" i="152"/>
  <c r="D214" i="152"/>
  <c r="E217" i="152"/>
  <c r="A221" i="152"/>
  <c r="B224" i="152"/>
  <c r="C227" i="152"/>
  <c r="D230" i="152"/>
  <c r="E233" i="152"/>
  <c r="A237" i="152"/>
  <c r="B240" i="152"/>
  <c r="C243" i="152"/>
  <c r="D246" i="152"/>
  <c r="E249" i="152"/>
  <c r="A253" i="152"/>
  <c r="B256" i="152"/>
  <c r="C259" i="152"/>
  <c r="D262" i="152"/>
  <c r="E265" i="152"/>
  <c r="A269" i="152"/>
  <c r="B272" i="152"/>
  <c r="C275" i="152"/>
  <c r="A10" i="152"/>
  <c r="B13" i="152"/>
  <c r="C16" i="152"/>
  <c r="D19" i="152"/>
  <c r="E22" i="152"/>
  <c r="A26" i="152"/>
  <c r="B29" i="152"/>
  <c r="C32" i="152"/>
  <c r="D35" i="152"/>
  <c r="E38" i="152"/>
  <c r="A42" i="152"/>
  <c r="B45" i="152"/>
  <c r="C48" i="152"/>
  <c r="D51" i="152"/>
  <c r="E54" i="152"/>
  <c r="A58" i="152"/>
  <c r="B61" i="152"/>
  <c r="C64" i="152"/>
  <c r="D67" i="152"/>
  <c r="E70" i="152"/>
  <c r="A74" i="152"/>
  <c r="B77" i="152"/>
  <c r="C80" i="152"/>
  <c r="D83" i="152"/>
  <c r="E86" i="152"/>
  <c r="A90" i="152"/>
  <c r="B93" i="152"/>
  <c r="C96" i="152"/>
  <c r="D99" i="152"/>
  <c r="E102" i="152"/>
  <c r="A106" i="152"/>
  <c r="B109" i="152"/>
  <c r="C112" i="152"/>
  <c r="D115" i="152"/>
  <c r="E118" i="152"/>
  <c r="A122" i="152"/>
  <c r="B125" i="152"/>
  <c r="C128" i="152"/>
  <c r="D131" i="152"/>
  <c r="E134" i="152"/>
  <c r="A138" i="152"/>
  <c r="B141" i="152"/>
  <c r="C144" i="152"/>
  <c r="D147" i="152"/>
  <c r="E150" i="152"/>
  <c r="A154" i="152"/>
  <c r="B157" i="152"/>
  <c r="C160" i="152"/>
  <c r="D163" i="152"/>
  <c r="E166" i="152"/>
  <c r="A170" i="152"/>
  <c r="B173" i="152"/>
  <c r="C176" i="152"/>
  <c r="D179" i="152"/>
  <c r="E182" i="152"/>
  <c r="A186" i="152"/>
  <c r="B189" i="152"/>
  <c r="C192" i="152"/>
  <c r="D195" i="152"/>
  <c r="E198" i="152"/>
  <c r="A202" i="152"/>
  <c r="B205" i="152"/>
  <c r="C208" i="152"/>
  <c r="D211" i="152"/>
  <c r="B10" i="152"/>
  <c r="C13" i="152"/>
  <c r="D16" i="152"/>
  <c r="E19" i="152"/>
  <c r="A23" i="152"/>
  <c r="B26" i="152"/>
  <c r="C29" i="152"/>
  <c r="D32" i="152"/>
  <c r="E35" i="152"/>
  <c r="A39" i="152"/>
  <c r="B42" i="152"/>
  <c r="C45" i="152"/>
  <c r="D48" i="152"/>
  <c r="E51" i="152"/>
  <c r="A55" i="152"/>
  <c r="B58" i="152"/>
  <c r="C61" i="152"/>
  <c r="D64" i="152"/>
  <c r="E67" i="152"/>
  <c r="A71" i="152"/>
  <c r="B74" i="152"/>
  <c r="C77" i="152"/>
  <c r="D80" i="152"/>
  <c r="E83" i="152"/>
  <c r="A87" i="152"/>
  <c r="B90" i="152"/>
  <c r="C93" i="152"/>
  <c r="D96" i="152"/>
  <c r="E99" i="152"/>
  <c r="A103" i="152"/>
  <c r="B106" i="152"/>
  <c r="C109" i="152"/>
  <c r="D112" i="152"/>
  <c r="E115" i="152"/>
  <c r="A119" i="152"/>
  <c r="B122" i="152"/>
  <c r="C125" i="152"/>
  <c r="D128" i="152"/>
  <c r="E131" i="152"/>
  <c r="A135" i="152"/>
  <c r="B138" i="152"/>
  <c r="C141" i="152"/>
  <c r="D144" i="152"/>
  <c r="E147" i="152"/>
  <c r="A151" i="152"/>
  <c r="B154" i="152"/>
  <c r="C157" i="152"/>
  <c r="D160" i="152"/>
  <c r="E163" i="152"/>
  <c r="A167" i="152"/>
  <c r="B170" i="152"/>
  <c r="C173" i="152"/>
  <c r="D176" i="152"/>
  <c r="E179" i="152"/>
  <c r="A183" i="152"/>
  <c r="B186" i="152"/>
  <c r="C189" i="152"/>
  <c r="D192" i="152"/>
  <c r="E195" i="152"/>
  <c r="A199" i="152"/>
  <c r="B202" i="152"/>
  <c r="C205" i="152"/>
  <c r="D208" i="152"/>
  <c r="E211" i="152"/>
  <c r="C10" i="152"/>
  <c r="D13" i="152"/>
  <c r="E16" i="152"/>
  <c r="A20" i="152"/>
  <c r="B23" i="152"/>
  <c r="C26" i="152"/>
  <c r="D29" i="152"/>
  <c r="E32" i="152"/>
  <c r="A36" i="152"/>
  <c r="B39" i="152"/>
  <c r="C42" i="152"/>
  <c r="D45" i="152"/>
  <c r="E48" i="152"/>
  <c r="A52" i="152"/>
  <c r="B55" i="152"/>
  <c r="C58" i="152"/>
  <c r="D61" i="152"/>
  <c r="E64" i="152"/>
  <c r="A68" i="152"/>
  <c r="B71" i="152"/>
  <c r="C74" i="152"/>
  <c r="D77" i="152"/>
  <c r="E80" i="152"/>
  <c r="A84" i="152"/>
  <c r="B87" i="152"/>
  <c r="C90" i="152"/>
  <c r="D93" i="152"/>
  <c r="E96" i="152"/>
  <c r="A100" i="152"/>
  <c r="B103" i="152"/>
  <c r="C106" i="152"/>
  <c r="D109" i="152"/>
  <c r="E112" i="152"/>
  <c r="A116" i="152"/>
  <c r="B119" i="152"/>
  <c r="C122" i="152"/>
  <c r="D125" i="152"/>
  <c r="E128" i="152"/>
  <c r="A132" i="152"/>
  <c r="B135" i="152"/>
  <c r="C138" i="152"/>
  <c r="D141" i="152"/>
  <c r="E144" i="152"/>
  <c r="A148" i="152"/>
  <c r="B151" i="152"/>
  <c r="C154" i="152"/>
  <c r="D157" i="152"/>
  <c r="E160" i="152"/>
  <c r="A164" i="152"/>
  <c r="B167" i="152"/>
  <c r="C170" i="152"/>
  <c r="D10" i="152"/>
  <c r="E13" i="152"/>
  <c r="A17" i="152"/>
  <c r="B20" i="152"/>
  <c r="C23" i="152"/>
  <c r="D26" i="152"/>
  <c r="E29" i="152"/>
  <c r="A33" i="152"/>
  <c r="B36" i="152"/>
  <c r="C39" i="152"/>
  <c r="D42" i="152"/>
  <c r="E45" i="152"/>
  <c r="A49" i="152"/>
  <c r="B52" i="152"/>
  <c r="C55" i="152"/>
  <c r="D58" i="152"/>
  <c r="E61" i="152"/>
  <c r="A65" i="152"/>
  <c r="B68" i="152"/>
  <c r="C71" i="152"/>
  <c r="D74" i="152"/>
  <c r="E77" i="152"/>
  <c r="A81" i="152"/>
  <c r="B84" i="152"/>
  <c r="C87" i="152"/>
  <c r="D90" i="152"/>
  <c r="E93" i="152"/>
  <c r="A97" i="152"/>
  <c r="B100" i="152"/>
  <c r="C103" i="152"/>
  <c r="D106" i="152"/>
  <c r="E109" i="152"/>
  <c r="A113" i="152"/>
  <c r="B116" i="152"/>
  <c r="C119" i="152"/>
  <c r="D122" i="152"/>
  <c r="E125" i="152"/>
  <c r="A129" i="152"/>
  <c r="B132" i="152"/>
  <c r="C135" i="152"/>
  <c r="D138" i="152"/>
  <c r="E141" i="152"/>
  <c r="A145" i="152"/>
  <c r="B148" i="152"/>
  <c r="C151" i="152"/>
  <c r="D154" i="152"/>
  <c r="E157" i="152"/>
  <c r="A161" i="152"/>
  <c r="B164" i="152"/>
  <c r="C167" i="152"/>
  <c r="D170" i="152"/>
  <c r="E10" i="152"/>
  <c r="A14" i="152"/>
  <c r="B17" i="152"/>
  <c r="C20" i="152"/>
  <c r="D23" i="152"/>
  <c r="E26" i="152"/>
  <c r="A30" i="152"/>
  <c r="B33" i="152"/>
  <c r="C36" i="152"/>
  <c r="D39" i="152"/>
  <c r="E42" i="152"/>
  <c r="A46" i="152"/>
  <c r="B49" i="152"/>
  <c r="C52" i="152"/>
  <c r="D55" i="152"/>
  <c r="E58" i="152"/>
  <c r="A62" i="152"/>
  <c r="B65" i="152"/>
  <c r="C68" i="152"/>
  <c r="D71" i="152"/>
  <c r="E74" i="152"/>
  <c r="A78" i="152"/>
  <c r="B81" i="152"/>
  <c r="C84" i="152"/>
  <c r="D87" i="152"/>
  <c r="E90" i="152"/>
  <c r="A94" i="152"/>
  <c r="A11" i="152"/>
  <c r="B14" i="152"/>
  <c r="C17" i="152"/>
  <c r="D20" i="152"/>
  <c r="E23" i="152"/>
  <c r="A27" i="152"/>
  <c r="B30" i="152"/>
  <c r="C33" i="152"/>
  <c r="D36" i="152"/>
  <c r="E39" i="152"/>
  <c r="A43" i="152"/>
  <c r="B46" i="152"/>
  <c r="C49" i="152"/>
  <c r="D52" i="152"/>
  <c r="E55" i="152"/>
  <c r="A59" i="152"/>
  <c r="B62" i="152"/>
  <c r="C65" i="152"/>
  <c r="D68" i="152"/>
  <c r="E71" i="152"/>
  <c r="A75" i="152"/>
  <c r="B78" i="152"/>
  <c r="C81" i="152"/>
  <c r="D84" i="152"/>
  <c r="E87" i="152"/>
  <c r="A91" i="152"/>
  <c r="B94" i="152"/>
  <c r="B11" i="152"/>
  <c r="C14" i="152"/>
  <c r="D17" i="152"/>
  <c r="E20" i="152"/>
  <c r="A24" i="152"/>
  <c r="B27" i="152"/>
  <c r="C30" i="152"/>
  <c r="D33" i="152"/>
  <c r="E36" i="152"/>
  <c r="A40" i="152"/>
  <c r="B43" i="152"/>
  <c r="C46" i="152"/>
  <c r="D49" i="152"/>
  <c r="E52" i="152"/>
  <c r="A56" i="152"/>
  <c r="B59" i="152"/>
  <c r="C62" i="152"/>
  <c r="D65" i="152"/>
  <c r="E68" i="152"/>
  <c r="A72" i="152"/>
  <c r="B75" i="152"/>
  <c r="C78" i="152"/>
  <c r="D81" i="152"/>
  <c r="E84" i="152"/>
  <c r="A88" i="152"/>
  <c r="B91" i="152"/>
  <c r="C94" i="152"/>
  <c r="D97" i="152"/>
  <c r="E100" i="152"/>
  <c r="A104" i="152"/>
  <c r="B107" i="152"/>
  <c r="C110" i="152"/>
  <c r="D113" i="152"/>
  <c r="E116" i="152"/>
  <c r="A120" i="152"/>
  <c r="B123" i="152"/>
  <c r="C126" i="152"/>
  <c r="D129" i="152"/>
  <c r="E132" i="152"/>
  <c r="A136" i="152"/>
  <c r="B139" i="152"/>
  <c r="C142" i="152"/>
  <c r="D145" i="152"/>
  <c r="E148" i="152"/>
  <c r="A152" i="152"/>
  <c r="B155" i="152"/>
  <c r="C158" i="152"/>
  <c r="D161" i="152"/>
  <c r="E164" i="152"/>
  <c r="A168" i="152"/>
  <c r="B171" i="152"/>
  <c r="C174" i="152"/>
  <c r="D177" i="152"/>
  <c r="E180" i="152"/>
  <c r="A184" i="152"/>
  <c r="B187" i="152"/>
  <c r="C190" i="152"/>
  <c r="D193" i="152"/>
  <c r="E196" i="152"/>
  <c r="A200" i="152"/>
  <c r="B203" i="152"/>
  <c r="C206" i="152"/>
  <c r="D209" i="152"/>
  <c r="E212" i="152"/>
  <c r="A216" i="152"/>
  <c r="B219" i="152"/>
  <c r="C222" i="152"/>
  <c r="D225" i="152"/>
  <c r="E228" i="152"/>
  <c r="A232" i="152"/>
  <c r="B235" i="152"/>
  <c r="C238" i="152"/>
  <c r="D241" i="152"/>
  <c r="E244" i="152"/>
  <c r="A248" i="152"/>
  <c r="B251" i="152"/>
  <c r="C254" i="152"/>
  <c r="D257" i="152"/>
  <c r="E260" i="152"/>
  <c r="A264" i="152"/>
  <c r="B267" i="152"/>
  <c r="C270" i="152"/>
  <c r="D273" i="152"/>
  <c r="E276" i="152"/>
  <c r="E103" i="152"/>
  <c r="C129" i="152"/>
  <c r="A155" i="152"/>
  <c r="A177" i="152"/>
  <c r="E189" i="152"/>
  <c r="D202" i="152"/>
  <c r="A215" i="152"/>
  <c r="B222" i="152"/>
  <c r="C231" i="152"/>
  <c r="D240" i="152"/>
  <c r="E247" i="152"/>
  <c r="A257" i="152"/>
  <c r="B266" i="152"/>
  <c r="C273" i="152"/>
  <c r="D279" i="152"/>
  <c r="E282" i="152"/>
  <c r="A286" i="152"/>
  <c r="B289" i="152"/>
  <c r="C292" i="152"/>
  <c r="D295" i="152"/>
  <c r="E298" i="152"/>
  <c r="A302" i="152"/>
  <c r="B305" i="152"/>
  <c r="C308" i="152"/>
  <c r="D311" i="152"/>
  <c r="E314" i="152"/>
  <c r="A318" i="152"/>
  <c r="B321" i="152"/>
  <c r="C324" i="152"/>
  <c r="D327" i="152"/>
  <c r="E330" i="152"/>
  <c r="A334" i="152"/>
  <c r="B337" i="152"/>
  <c r="C340" i="152"/>
  <c r="D343" i="152"/>
  <c r="E346" i="152"/>
  <c r="A350" i="152"/>
  <c r="B353" i="152"/>
  <c r="C356" i="152"/>
  <c r="D359" i="152"/>
  <c r="E362" i="152"/>
  <c r="A366" i="152"/>
  <c r="B369" i="152"/>
  <c r="C372" i="152"/>
  <c r="D375" i="152"/>
  <c r="E378" i="152"/>
  <c r="A382" i="152"/>
  <c r="B385" i="152"/>
  <c r="C388" i="152"/>
  <c r="D391" i="152"/>
  <c r="E394" i="152"/>
  <c r="A398" i="152"/>
  <c r="B401" i="152"/>
  <c r="C404" i="152"/>
  <c r="D407" i="152"/>
  <c r="E410" i="152"/>
  <c r="A414" i="152"/>
  <c r="B417" i="152"/>
  <c r="C420" i="152"/>
  <c r="D423" i="152"/>
  <c r="E426" i="152"/>
  <c r="A430" i="152"/>
  <c r="B433" i="152"/>
  <c r="C436" i="152"/>
  <c r="D439" i="152"/>
  <c r="E442" i="152"/>
  <c r="A446" i="152"/>
  <c r="B449" i="152"/>
  <c r="C452" i="152"/>
  <c r="D455" i="152"/>
  <c r="E458" i="152"/>
  <c r="A462" i="152"/>
  <c r="B465" i="152"/>
  <c r="C468" i="152"/>
  <c r="D471" i="152"/>
  <c r="E474" i="152"/>
  <c r="A478" i="152"/>
  <c r="B481" i="152"/>
  <c r="C484" i="152"/>
  <c r="D487" i="152"/>
  <c r="E490" i="152"/>
  <c r="A494" i="152"/>
  <c r="B497" i="152"/>
  <c r="C500" i="152"/>
  <c r="D503" i="152"/>
  <c r="E106" i="152"/>
  <c r="C132" i="152"/>
  <c r="A158" i="152"/>
  <c r="B177" i="152"/>
  <c r="A190" i="152"/>
  <c r="E202" i="152"/>
  <c r="B215" i="152"/>
  <c r="C224" i="152"/>
  <c r="D231" i="152"/>
  <c r="E240" i="152"/>
  <c r="A250" i="152"/>
  <c r="B257" i="152"/>
  <c r="C266" i="152"/>
  <c r="D275" i="152"/>
  <c r="E279" i="152"/>
  <c r="A283" i="152"/>
  <c r="B286" i="152"/>
  <c r="C289" i="152"/>
  <c r="D292" i="152"/>
  <c r="E295" i="152"/>
  <c r="A299" i="152"/>
  <c r="B302" i="152"/>
  <c r="C305" i="152"/>
  <c r="D308" i="152"/>
  <c r="E311" i="152"/>
  <c r="A315" i="152"/>
  <c r="B318" i="152"/>
  <c r="C321" i="152"/>
  <c r="D324" i="152"/>
  <c r="E327" i="152"/>
  <c r="A331" i="152"/>
  <c r="B334" i="152"/>
  <c r="C337" i="152"/>
  <c r="D340" i="152"/>
  <c r="E343" i="152"/>
  <c r="A347" i="152"/>
  <c r="B350" i="152"/>
  <c r="C353" i="152"/>
  <c r="D356" i="152"/>
  <c r="E359" i="152"/>
  <c r="A363" i="152"/>
  <c r="B366" i="152"/>
  <c r="C369" i="152"/>
  <c r="D372" i="152"/>
  <c r="E375" i="152"/>
  <c r="A379" i="152"/>
  <c r="B382" i="152"/>
  <c r="C385" i="152"/>
  <c r="D388" i="152"/>
  <c r="E391" i="152"/>
  <c r="A395" i="152"/>
  <c r="B398" i="152"/>
  <c r="C401" i="152"/>
  <c r="D404" i="152"/>
  <c r="E407" i="152"/>
  <c r="A411" i="152"/>
  <c r="B414" i="152"/>
  <c r="C417" i="152"/>
  <c r="D420" i="152"/>
  <c r="E423" i="152"/>
  <c r="A427" i="152"/>
  <c r="B430" i="152"/>
  <c r="C433" i="152"/>
  <c r="D436" i="152"/>
  <c r="E439" i="152"/>
  <c r="A443" i="152"/>
  <c r="B446" i="152"/>
  <c r="C449" i="152"/>
  <c r="D452" i="152"/>
  <c r="E455" i="152"/>
  <c r="A459" i="152"/>
  <c r="B462" i="152"/>
  <c r="C465" i="152"/>
  <c r="D468" i="152"/>
  <c r="E471" i="152"/>
  <c r="A475" i="152"/>
  <c r="B478" i="152"/>
  <c r="C481" i="152"/>
  <c r="D484" i="152"/>
  <c r="E487" i="152"/>
  <c r="A491" i="152"/>
  <c r="B494" i="152"/>
  <c r="C497" i="152"/>
  <c r="D500" i="152"/>
  <c r="E503" i="152"/>
  <c r="A107" i="152"/>
  <c r="D132" i="152"/>
  <c r="B158" i="152"/>
  <c r="C177" i="152"/>
  <c r="B190" i="152"/>
  <c r="A203" i="152"/>
  <c r="C215" i="152"/>
  <c r="D224" i="152"/>
  <c r="E231" i="152"/>
  <c r="A241" i="152"/>
  <c r="B250" i="152"/>
  <c r="C257" i="152"/>
  <c r="D266" i="152"/>
  <c r="E275" i="152"/>
  <c r="A280" i="152"/>
  <c r="B283" i="152"/>
  <c r="C286" i="152"/>
  <c r="D289" i="152"/>
  <c r="E292" i="152"/>
  <c r="A296" i="152"/>
  <c r="B299" i="152"/>
  <c r="C302" i="152"/>
  <c r="D305" i="152"/>
  <c r="E308" i="152"/>
  <c r="A312" i="152"/>
  <c r="B315" i="152"/>
  <c r="C318" i="152"/>
  <c r="D321" i="152"/>
  <c r="E324" i="152"/>
  <c r="A328" i="152"/>
  <c r="B331" i="152"/>
  <c r="C334" i="152"/>
  <c r="D337" i="152"/>
  <c r="E340" i="152"/>
  <c r="A344" i="152"/>
  <c r="B347" i="152"/>
  <c r="C350" i="152"/>
  <c r="D353" i="152"/>
  <c r="E356" i="152"/>
  <c r="A360" i="152"/>
  <c r="B363" i="152"/>
  <c r="C366" i="152"/>
  <c r="D369" i="152"/>
  <c r="E372" i="152"/>
  <c r="A376" i="152"/>
  <c r="B379" i="152"/>
  <c r="C382" i="152"/>
  <c r="D385" i="152"/>
  <c r="E388" i="152"/>
  <c r="A392" i="152"/>
  <c r="B395" i="152"/>
  <c r="C398" i="152"/>
  <c r="D401" i="152"/>
  <c r="E404" i="152"/>
  <c r="A408" i="152"/>
  <c r="B411" i="152"/>
  <c r="C414" i="152"/>
  <c r="D417" i="152"/>
  <c r="E420" i="152"/>
  <c r="A424" i="152"/>
  <c r="B427" i="152"/>
  <c r="C430" i="152"/>
  <c r="D433" i="152"/>
  <c r="E436" i="152"/>
  <c r="A440" i="152"/>
  <c r="B443" i="152"/>
  <c r="C446" i="152"/>
  <c r="D449" i="152"/>
  <c r="E452" i="152"/>
  <c r="A456" i="152"/>
  <c r="B459" i="152"/>
  <c r="C462" i="152"/>
  <c r="D465" i="152"/>
  <c r="E468" i="152"/>
  <c r="A472" i="152"/>
  <c r="B475" i="152"/>
  <c r="C478" i="152"/>
  <c r="D481" i="152"/>
  <c r="E484" i="152"/>
  <c r="A488" i="152"/>
  <c r="S488" i="152" s="1"/>
  <c r="B491" i="152"/>
  <c r="C494" i="152"/>
  <c r="AC494" i="152" s="1"/>
  <c r="D497" i="152"/>
  <c r="AH497" i="152" s="1"/>
  <c r="E500" i="152"/>
  <c r="AM500" i="152" s="1"/>
  <c r="A504" i="152"/>
  <c r="S504" i="152" s="1"/>
  <c r="A110" i="152"/>
  <c r="D135" i="152"/>
  <c r="B161" i="152"/>
  <c r="A180" i="152"/>
  <c r="E192" i="152"/>
  <c r="D205" i="152"/>
  <c r="D215" i="152"/>
  <c r="E224" i="152"/>
  <c r="A234" i="152"/>
  <c r="B241" i="152"/>
  <c r="C250" i="152"/>
  <c r="D259" i="152"/>
  <c r="E266" i="152"/>
  <c r="A276" i="152"/>
  <c r="B280" i="152"/>
  <c r="C283" i="152"/>
  <c r="D286" i="152"/>
  <c r="E289" i="152"/>
  <c r="A293" i="152"/>
  <c r="B296" i="152"/>
  <c r="C299" i="152"/>
  <c r="D302" i="152"/>
  <c r="E305" i="152"/>
  <c r="A309" i="152"/>
  <c r="B312" i="152"/>
  <c r="C315" i="152"/>
  <c r="D318" i="152"/>
  <c r="E321" i="152"/>
  <c r="A325" i="152"/>
  <c r="B328" i="152"/>
  <c r="C331" i="152"/>
  <c r="D334" i="152"/>
  <c r="E337" i="152"/>
  <c r="A341" i="152"/>
  <c r="B344" i="152"/>
  <c r="C347" i="152"/>
  <c r="D350" i="152"/>
  <c r="E353" i="152"/>
  <c r="A357" i="152"/>
  <c r="B360" i="152"/>
  <c r="C363" i="152"/>
  <c r="D366" i="152"/>
  <c r="E369" i="152"/>
  <c r="A373" i="152"/>
  <c r="B376" i="152"/>
  <c r="C379" i="152"/>
  <c r="D382" i="152"/>
  <c r="E385" i="152"/>
  <c r="A389" i="152"/>
  <c r="B392" i="152"/>
  <c r="C395" i="152"/>
  <c r="D398" i="152"/>
  <c r="E401" i="152"/>
  <c r="A405" i="152"/>
  <c r="B408" i="152"/>
  <c r="C411" i="152"/>
  <c r="D414" i="152"/>
  <c r="E417" i="152"/>
  <c r="A421" i="152"/>
  <c r="B424" i="152"/>
  <c r="C427" i="152"/>
  <c r="D430" i="152"/>
  <c r="E433" i="152"/>
  <c r="A437" i="152"/>
  <c r="B440" i="152"/>
  <c r="C443" i="152"/>
  <c r="D446" i="152"/>
  <c r="E449" i="152"/>
  <c r="A453" i="152"/>
  <c r="B456" i="152"/>
  <c r="C459" i="152"/>
  <c r="D462" i="152"/>
  <c r="E465" i="152"/>
  <c r="A469" i="152"/>
  <c r="B472" i="152"/>
  <c r="C475" i="152"/>
  <c r="D478" i="152"/>
  <c r="E481" i="152"/>
  <c r="A485" i="152"/>
  <c r="B488" i="152"/>
  <c r="C491" i="152"/>
  <c r="D494" i="152"/>
  <c r="E497" i="152"/>
  <c r="A501" i="152"/>
  <c r="B504" i="152"/>
  <c r="B110" i="152"/>
  <c r="E135" i="152"/>
  <c r="C161" i="152"/>
  <c r="B180" i="152"/>
  <c r="A193" i="152"/>
  <c r="E205" i="152"/>
  <c r="E215" i="152"/>
  <c r="A225" i="152"/>
  <c r="B234" i="152"/>
  <c r="C241" i="152"/>
  <c r="D250" i="152"/>
  <c r="E259" i="152"/>
  <c r="A267" i="152"/>
  <c r="B276" i="152"/>
  <c r="C280" i="152"/>
  <c r="D283" i="152"/>
  <c r="E286" i="152"/>
  <c r="A290" i="152"/>
  <c r="B293" i="152"/>
  <c r="C296" i="152"/>
  <c r="D299" i="152"/>
  <c r="E302" i="152"/>
  <c r="A306" i="152"/>
  <c r="B309" i="152"/>
  <c r="C312" i="152"/>
  <c r="D315" i="152"/>
  <c r="E318" i="152"/>
  <c r="A322" i="152"/>
  <c r="B325" i="152"/>
  <c r="C328" i="152"/>
  <c r="D331" i="152"/>
  <c r="E334" i="152"/>
  <c r="A338" i="152"/>
  <c r="B341" i="152"/>
  <c r="C344" i="152"/>
  <c r="D347" i="152"/>
  <c r="E350" i="152"/>
  <c r="A354" i="152"/>
  <c r="B357" i="152"/>
  <c r="C360" i="152"/>
  <c r="D363" i="152"/>
  <c r="E366" i="152"/>
  <c r="A370" i="152"/>
  <c r="B373" i="152"/>
  <c r="C376" i="152"/>
  <c r="D379" i="152"/>
  <c r="E382" i="152"/>
  <c r="A386" i="152"/>
  <c r="B389" i="152"/>
  <c r="C392" i="152"/>
  <c r="D395" i="152"/>
  <c r="E398" i="152"/>
  <c r="A402" i="152"/>
  <c r="B405" i="152"/>
  <c r="C408" i="152"/>
  <c r="D411" i="152"/>
  <c r="E414" i="152"/>
  <c r="A418" i="152"/>
  <c r="B421" i="152"/>
  <c r="C424" i="152"/>
  <c r="D427" i="152"/>
  <c r="E430" i="152"/>
  <c r="A434" i="152"/>
  <c r="B437" i="152"/>
  <c r="C440" i="152"/>
  <c r="D443" i="152"/>
  <c r="E446" i="152"/>
  <c r="A450" i="152"/>
  <c r="B453" i="152"/>
  <c r="C456" i="152"/>
  <c r="D459" i="152"/>
  <c r="E462" i="152"/>
  <c r="A466" i="152"/>
  <c r="B469" i="152"/>
  <c r="C472" i="152"/>
  <c r="D475" i="152"/>
  <c r="E478" i="152"/>
  <c r="A482" i="152"/>
  <c r="B485" i="152"/>
  <c r="C488" i="152"/>
  <c r="D491" i="152"/>
  <c r="E494" i="152"/>
  <c r="A498" i="152"/>
  <c r="B501" i="152"/>
  <c r="C504" i="152"/>
  <c r="B113" i="152"/>
  <c r="E138" i="152"/>
  <c r="C164" i="152"/>
  <c r="C180" i="152"/>
  <c r="B193" i="152"/>
  <c r="A206" i="152"/>
  <c r="A218" i="152"/>
  <c r="B225" i="152"/>
  <c r="C234" i="152"/>
  <c r="D243" i="152"/>
  <c r="E250" i="152"/>
  <c r="A260" i="152"/>
  <c r="B269" i="152"/>
  <c r="C276" i="152"/>
  <c r="D280" i="152"/>
  <c r="E283" i="152"/>
  <c r="A287" i="152"/>
  <c r="B290" i="152"/>
  <c r="C293" i="152"/>
  <c r="D296" i="152"/>
  <c r="E299" i="152"/>
  <c r="A303" i="152"/>
  <c r="B306" i="152"/>
  <c r="C309" i="152"/>
  <c r="D312" i="152"/>
  <c r="E315" i="152"/>
  <c r="A319" i="152"/>
  <c r="B322" i="152"/>
  <c r="C325" i="152"/>
  <c r="D328" i="152"/>
  <c r="E331" i="152"/>
  <c r="A335" i="152"/>
  <c r="B338" i="152"/>
  <c r="C341" i="152"/>
  <c r="D344" i="152"/>
  <c r="E347" i="152"/>
  <c r="A351" i="152"/>
  <c r="B354" i="152"/>
  <c r="C357" i="152"/>
  <c r="D360" i="152"/>
  <c r="E363" i="152"/>
  <c r="A367" i="152"/>
  <c r="B370" i="152"/>
  <c r="C373" i="152"/>
  <c r="C113" i="152"/>
  <c r="A139" i="152"/>
  <c r="D164" i="152"/>
  <c r="D180" i="152"/>
  <c r="C193" i="152"/>
  <c r="B206" i="152"/>
  <c r="B218" i="152"/>
  <c r="C225" i="152"/>
  <c r="D234" i="152"/>
  <c r="E243" i="152"/>
  <c r="A251" i="152"/>
  <c r="B260" i="152"/>
  <c r="C269" i="152"/>
  <c r="D276" i="152"/>
  <c r="E280" i="152"/>
  <c r="A284" i="152"/>
  <c r="B287" i="152"/>
  <c r="C290" i="152"/>
  <c r="D293" i="152"/>
  <c r="E296" i="152"/>
  <c r="A300" i="152"/>
  <c r="B303" i="152"/>
  <c r="C306" i="152"/>
  <c r="D309" i="152"/>
  <c r="E312" i="152"/>
  <c r="A316" i="152"/>
  <c r="B319" i="152"/>
  <c r="C322" i="152"/>
  <c r="D325" i="152"/>
  <c r="E328" i="152"/>
  <c r="A332" i="152"/>
  <c r="B335" i="152"/>
  <c r="C338" i="152"/>
  <c r="D341" i="152"/>
  <c r="E344" i="152"/>
  <c r="A348" i="152"/>
  <c r="B351" i="152"/>
  <c r="C354" i="152"/>
  <c r="D357" i="152"/>
  <c r="E360" i="152"/>
  <c r="A364" i="152"/>
  <c r="B367" i="152"/>
  <c r="C370" i="152"/>
  <c r="D373" i="152"/>
  <c r="C116" i="152"/>
  <c r="A142" i="152"/>
  <c r="D167" i="152"/>
  <c r="B183" i="152"/>
  <c r="A196" i="152"/>
  <c r="E208" i="152"/>
  <c r="C218" i="152"/>
  <c r="D227" i="152"/>
  <c r="E234" i="152"/>
  <c r="A244" i="152"/>
  <c r="B253" i="152"/>
  <c r="C260" i="152"/>
  <c r="D269" i="152"/>
  <c r="E277" i="152"/>
  <c r="A281" i="152"/>
  <c r="B284" i="152"/>
  <c r="C287" i="152"/>
  <c r="D290" i="152"/>
  <c r="E293" i="152"/>
  <c r="A297" i="152"/>
  <c r="B300" i="152"/>
  <c r="C303" i="152"/>
  <c r="D306" i="152"/>
  <c r="E309" i="152"/>
  <c r="A313" i="152"/>
  <c r="B316" i="152"/>
  <c r="C319" i="152"/>
  <c r="D322" i="152"/>
  <c r="E325" i="152"/>
  <c r="A329" i="152"/>
  <c r="B332" i="152"/>
  <c r="D116" i="152"/>
  <c r="B142" i="152"/>
  <c r="E167" i="152"/>
  <c r="C183" i="152"/>
  <c r="B196" i="152"/>
  <c r="A209" i="152"/>
  <c r="D218" i="152"/>
  <c r="E227" i="152"/>
  <c r="A235" i="152"/>
  <c r="B244" i="152"/>
  <c r="C253" i="152"/>
  <c r="D260" i="152"/>
  <c r="E269" i="152"/>
  <c r="A278" i="152"/>
  <c r="B281" i="152"/>
  <c r="C284" i="152"/>
  <c r="D287" i="152"/>
  <c r="E290" i="152"/>
  <c r="A294" i="152"/>
  <c r="B297" i="152"/>
  <c r="C300" i="152"/>
  <c r="D303" i="152"/>
  <c r="E306" i="152"/>
  <c r="A310" i="152"/>
  <c r="B313" i="152"/>
  <c r="C316" i="152"/>
  <c r="D319" i="152"/>
  <c r="E322" i="152"/>
  <c r="A326" i="152"/>
  <c r="B329" i="152"/>
  <c r="C332" i="152"/>
  <c r="D119" i="152"/>
  <c r="B145" i="152"/>
  <c r="E170" i="152"/>
  <c r="D183" i="152"/>
  <c r="C196" i="152"/>
  <c r="B209" i="152"/>
  <c r="E218" i="152"/>
  <c r="A228" i="152"/>
  <c r="B237" i="152"/>
  <c r="C244" i="152"/>
  <c r="D253" i="152"/>
  <c r="E262" i="152"/>
  <c r="A270" i="152"/>
  <c r="B278" i="152"/>
  <c r="C281" i="152"/>
  <c r="D284" i="152"/>
  <c r="E287" i="152"/>
  <c r="A291" i="152"/>
  <c r="B294" i="152"/>
  <c r="E119" i="152"/>
  <c r="C145" i="152"/>
  <c r="A171" i="152"/>
  <c r="E183" i="152"/>
  <c r="D196" i="152"/>
  <c r="C209" i="152"/>
  <c r="A219" i="152"/>
  <c r="B228" i="152"/>
  <c r="C237" i="152"/>
  <c r="D244" i="152"/>
  <c r="E253" i="152"/>
  <c r="A263" i="152"/>
  <c r="B270" i="152"/>
  <c r="C278" i="152"/>
  <c r="D281" i="152"/>
  <c r="E284" i="152"/>
  <c r="A288" i="152"/>
  <c r="B291" i="152"/>
  <c r="B97" i="152"/>
  <c r="E122" i="152"/>
  <c r="C148" i="152"/>
  <c r="D173" i="152"/>
  <c r="C97" i="152"/>
  <c r="A123" i="152"/>
  <c r="D148" i="152"/>
  <c r="E173" i="152"/>
  <c r="C100" i="152"/>
  <c r="A126" i="152"/>
  <c r="D151" i="152"/>
  <c r="A174" i="152"/>
  <c r="E186" i="152"/>
  <c r="D199" i="152"/>
  <c r="C212" i="152"/>
  <c r="D221" i="152"/>
  <c r="E230" i="152"/>
  <c r="A238" i="152"/>
  <c r="B247" i="152"/>
  <c r="C256" i="152"/>
  <c r="D263" i="152"/>
  <c r="E272" i="152"/>
  <c r="A279" i="152"/>
  <c r="B282" i="152"/>
  <c r="C285" i="152"/>
  <c r="D288" i="152"/>
  <c r="E291" i="152"/>
  <c r="A295" i="152"/>
  <c r="B298" i="152"/>
  <c r="C301" i="152"/>
  <c r="D304" i="152"/>
  <c r="E307" i="152"/>
  <c r="A311" i="152"/>
  <c r="B314" i="152"/>
  <c r="C317" i="152"/>
  <c r="D320" i="152"/>
  <c r="E323" i="152"/>
  <c r="A327" i="152"/>
  <c r="B330" i="152"/>
  <c r="C333" i="152"/>
  <c r="D336" i="152"/>
  <c r="E339" i="152"/>
  <c r="A343" i="152"/>
  <c r="B346" i="152"/>
  <c r="D100" i="152"/>
  <c r="B126" i="152"/>
  <c r="E151" i="152"/>
  <c r="B174" i="152"/>
  <c r="A187" i="152"/>
  <c r="E199" i="152"/>
  <c r="D212" i="152"/>
  <c r="E221" i="152"/>
  <c r="A231" i="152"/>
  <c r="B238" i="152"/>
  <c r="C247" i="152"/>
  <c r="D256" i="152"/>
  <c r="E263" i="152"/>
  <c r="A273" i="152"/>
  <c r="B279" i="152"/>
  <c r="C282" i="152"/>
  <c r="D285" i="152"/>
  <c r="E288" i="152"/>
  <c r="A292" i="152"/>
  <c r="B295" i="152"/>
  <c r="C298" i="152"/>
  <c r="D301" i="152"/>
  <c r="E304" i="152"/>
  <c r="A308" i="152"/>
  <c r="B311" i="152"/>
  <c r="C314" i="152"/>
  <c r="D317" i="152"/>
  <c r="E320" i="152"/>
  <c r="A324" i="152"/>
  <c r="B327" i="152"/>
  <c r="C330" i="152"/>
  <c r="D333" i="152"/>
  <c r="E336" i="152"/>
  <c r="A340" i="152"/>
  <c r="B343" i="152"/>
  <c r="C346" i="152"/>
  <c r="D103" i="152"/>
  <c r="B129" i="152"/>
  <c r="E154" i="152"/>
  <c r="E176" i="152"/>
  <c r="D189" i="152"/>
  <c r="C202" i="152"/>
  <c r="E214" i="152"/>
  <c r="A222" i="152"/>
  <c r="B231" i="152"/>
  <c r="C240" i="152"/>
  <c r="D247" i="152"/>
  <c r="E256" i="152"/>
  <c r="A266" i="152"/>
  <c r="B273" i="152"/>
  <c r="C279" i="152"/>
  <c r="D282" i="152"/>
  <c r="E285" i="152"/>
  <c r="A289" i="152"/>
  <c r="B292" i="152"/>
  <c r="C295" i="152"/>
  <c r="D298" i="152"/>
  <c r="E301" i="152"/>
  <c r="A305" i="152"/>
  <c r="B308" i="152"/>
  <c r="C311" i="152"/>
  <c r="D314" i="152"/>
  <c r="E317" i="152"/>
  <c r="A321" i="152"/>
  <c r="B324" i="152"/>
  <c r="C327" i="152"/>
  <c r="D330" i="152"/>
  <c r="E333" i="152"/>
  <c r="A337" i="152"/>
  <c r="B340" i="152"/>
  <c r="C343" i="152"/>
  <c r="D346" i="152"/>
  <c r="E349" i="152"/>
  <c r="A353" i="152"/>
  <c r="B356" i="152"/>
  <c r="C359" i="152"/>
  <c r="D362" i="152"/>
  <c r="E705" i="152"/>
  <c r="D702" i="152"/>
  <c r="C699" i="152"/>
  <c r="B696" i="152"/>
  <c r="A693" i="152"/>
  <c r="E689" i="152"/>
  <c r="D686" i="152"/>
  <c r="C683" i="152"/>
  <c r="B680" i="152"/>
  <c r="A677" i="152"/>
  <c r="E673" i="152"/>
  <c r="D670" i="152"/>
  <c r="C667" i="152"/>
  <c r="B664" i="152"/>
  <c r="A661" i="152"/>
  <c r="E657" i="152"/>
  <c r="D654" i="152"/>
  <c r="C651" i="152"/>
  <c r="B648" i="152"/>
  <c r="A645" i="152"/>
  <c r="E641" i="152"/>
  <c r="D638" i="152"/>
  <c r="C635" i="152"/>
  <c r="B632" i="152"/>
  <c r="A629" i="152"/>
  <c r="E625" i="152"/>
  <c r="D622" i="152"/>
  <c r="C619" i="152"/>
  <c r="B616" i="152"/>
  <c r="A613" i="152"/>
  <c r="E609" i="152"/>
  <c r="D606" i="152"/>
  <c r="C603" i="152"/>
  <c r="B600" i="152"/>
  <c r="A597" i="152"/>
  <c r="E593" i="152"/>
  <c r="D590" i="152"/>
  <c r="C587" i="152"/>
  <c r="B584" i="152"/>
  <c r="A581" i="152"/>
  <c r="E577" i="152"/>
  <c r="D574" i="152"/>
  <c r="C571" i="152"/>
  <c r="B568" i="152"/>
  <c r="A565" i="152"/>
  <c r="E561" i="152"/>
  <c r="D558" i="152"/>
  <c r="C555" i="152"/>
  <c r="B552" i="152"/>
  <c r="A549" i="152"/>
  <c r="E545" i="152"/>
  <c r="D542" i="152"/>
  <c r="C539" i="152"/>
  <c r="B536" i="152"/>
  <c r="A533" i="152"/>
  <c r="E529" i="152"/>
  <c r="D526" i="152"/>
  <c r="C523" i="152"/>
  <c r="B520" i="152"/>
  <c r="A517" i="152"/>
  <c r="E513" i="152"/>
  <c r="D510" i="152"/>
  <c r="C507" i="152"/>
  <c r="B503" i="152"/>
  <c r="A499" i="152"/>
  <c r="E493" i="152"/>
  <c r="D489" i="152"/>
  <c r="C485" i="152"/>
  <c r="B480" i="152"/>
  <c r="A476" i="152"/>
  <c r="E470" i="152"/>
  <c r="D466" i="152"/>
  <c r="C461" i="152"/>
  <c r="B457" i="152"/>
  <c r="A452" i="152"/>
  <c r="E447" i="152"/>
  <c r="D442" i="152"/>
  <c r="C438" i="152"/>
  <c r="B434" i="152"/>
  <c r="A429" i="152"/>
  <c r="E424" i="152"/>
  <c r="D419" i="152"/>
  <c r="C415" i="152"/>
  <c r="B410" i="152"/>
  <c r="A406" i="152"/>
  <c r="E400" i="152"/>
  <c r="D396" i="152"/>
  <c r="C391" i="152"/>
  <c r="B387" i="152"/>
  <c r="A383" i="152"/>
  <c r="E377" i="152"/>
  <c r="B372" i="152"/>
  <c r="D367" i="152"/>
  <c r="C361" i="152"/>
  <c r="A355" i="152"/>
  <c r="D348" i="152"/>
  <c r="C339" i="152"/>
  <c r="E329" i="152"/>
  <c r="A317" i="152"/>
  <c r="B304" i="152"/>
  <c r="C288" i="152"/>
  <c r="E237" i="152"/>
  <c r="E708" i="152"/>
  <c r="AN708" i="152" s="1"/>
  <c r="D705" i="152"/>
  <c r="AG705" i="152" s="1"/>
  <c r="C702" i="152"/>
  <c r="AD702" i="152" s="1"/>
  <c r="B699" i="152"/>
  <c r="A696" i="152"/>
  <c r="R696" i="152" s="1"/>
  <c r="E692" i="152"/>
  <c r="AN692" i="152" s="1"/>
  <c r="D689" i="152"/>
  <c r="AI689" i="152" s="1"/>
  <c r="C686" i="152"/>
  <c r="AD686" i="152" s="1"/>
  <c r="B683" i="152"/>
  <c r="Y683" i="152" s="1"/>
  <c r="A680" i="152"/>
  <c r="T680" i="152" s="1"/>
  <c r="E676" i="152"/>
  <c r="AM676" i="152" s="1"/>
  <c r="D673" i="152"/>
  <c r="AI673" i="152" s="1"/>
  <c r="C670" i="152"/>
  <c r="AC670" i="152" s="1"/>
  <c r="B667" i="152"/>
  <c r="Y667" i="152" s="1"/>
  <c r="A664" i="152"/>
  <c r="T664" i="152" s="1"/>
  <c r="E660" i="152"/>
  <c r="AL660" i="152" s="1"/>
  <c r="D657" i="152"/>
  <c r="C654" i="152"/>
  <c r="AD654" i="152" s="1"/>
  <c r="B651" i="152"/>
  <c r="A648" i="152"/>
  <c r="E644" i="152"/>
  <c r="AN644" i="152" s="1"/>
  <c r="D641" i="152"/>
  <c r="C638" i="152"/>
  <c r="B635" i="152"/>
  <c r="Y635" i="152" s="1"/>
  <c r="A632" i="152"/>
  <c r="T632" i="152" s="1"/>
  <c r="E628" i="152"/>
  <c r="AN628" i="152" s="1"/>
  <c r="D625" i="152"/>
  <c r="AI625" i="152" s="1"/>
  <c r="C622" i="152"/>
  <c r="B619" i="152"/>
  <c r="A616" i="152"/>
  <c r="E612" i="152"/>
  <c r="D609" i="152"/>
  <c r="AI609" i="152" s="1"/>
  <c r="C606" i="152"/>
  <c r="AD606" i="152" s="1"/>
  <c r="B603" i="152"/>
  <c r="Y603" i="152" s="1"/>
  <c r="A600" i="152"/>
  <c r="E596" i="152"/>
  <c r="D593" i="152"/>
  <c r="C590" i="152"/>
  <c r="B587" i="152"/>
  <c r="X587" i="152" s="1"/>
  <c r="A584" i="152"/>
  <c r="T584" i="152" s="1"/>
  <c r="E580" i="152"/>
  <c r="AN580" i="152" s="1"/>
  <c r="D577" i="152"/>
  <c r="AI577" i="152" s="1"/>
  <c r="C574" i="152"/>
  <c r="AB574" i="152" s="1"/>
  <c r="B571" i="152"/>
  <c r="A568" i="152"/>
  <c r="E564" i="152"/>
  <c r="D561" i="152"/>
  <c r="AH561" i="152" s="1"/>
  <c r="C558" i="152"/>
  <c r="B555" i="152"/>
  <c r="W555" i="152" s="1"/>
  <c r="A552" i="152"/>
  <c r="T552" i="152" s="1"/>
  <c r="E548" i="152"/>
  <c r="D545" i="152"/>
  <c r="C542" i="152"/>
  <c r="B539" i="152"/>
  <c r="A536" i="152"/>
  <c r="R536" i="152" s="1"/>
  <c r="E532" i="152"/>
  <c r="D529" i="152"/>
  <c r="C526" i="152"/>
  <c r="B523" i="152"/>
  <c r="W523" i="152" s="1"/>
  <c r="A520" i="152"/>
  <c r="E516" i="152"/>
  <c r="D513" i="152"/>
  <c r="AG513" i="152" s="1"/>
  <c r="C510" i="152"/>
  <c r="AB510" i="152" s="1"/>
  <c r="B507" i="152"/>
  <c r="X507" i="152" s="1"/>
  <c r="A503" i="152"/>
  <c r="E498" i="152"/>
  <c r="D493" i="152"/>
  <c r="C489" i="152"/>
  <c r="B484" i="152"/>
  <c r="A480" i="152"/>
  <c r="E475" i="152"/>
  <c r="D470" i="152"/>
  <c r="C466" i="152"/>
  <c r="B461" i="152"/>
  <c r="A457" i="152"/>
  <c r="E451" i="152"/>
  <c r="D447" i="152"/>
  <c r="C442" i="152"/>
  <c r="B438" i="152"/>
  <c r="A433" i="152"/>
  <c r="E428" i="152"/>
  <c r="D424" i="152"/>
  <c r="C419" i="152"/>
  <c r="B415" i="152"/>
  <c r="A410" i="152"/>
  <c r="E405" i="152"/>
  <c r="D400" i="152"/>
  <c r="C396" i="152"/>
  <c r="B391" i="152"/>
  <c r="A387" i="152"/>
  <c r="E381" i="152"/>
  <c r="D377" i="152"/>
  <c r="A372" i="152"/>
  <c r="C367" i="152"/>
  <c r="B361" i="152"/>
  <c r="E354" i="152"/>
  <c r="C348" i="152"/>
  <c r="B339" i="152"/>
  <c r="D329" i="152"/>
  <c r="E316" i="152"/>
  <c r="A304" i="152"/>
  <c r="B288" i="152"/>
  <c r="D237" i="152"/>
  <c r="D708" i="152"/>
  <c r="C705" i="152"/>
  <c r="B702" i="152"/>
  <c r="A699" i="152"/>
  <c r="E695" i="152"/>
  <c r="D692" i="152"/>
  <c r="C689" i="152"/>
  <c r="B686" i="152"/>
  <c r="A683" i="152"/>
  <c r="E679" i="152"/>
  <c r="D676" i="152"/>
  <c r="C673" i="152"/>
  <c r="B670" i="152"/>
  <c r="A667" i="152"/>
  <c r="E663" i="152"/>
  <c r="D660" i="152"/>
  <c r="C657" i="152"/>
  <c r="B654" i="152"/>
  <c r="A651" i="152"/>
  <c r="E647" i="152"/>
  <c r="D644" i="152"/>
  <c r="C641" i="152"/>
  <c r="B638" i="152"/>
  <c r="A635" i="152"/>
  <c r="E631" i="152"/>
  <c r="D628" i="152"/>
  <c r="C625" i="152"/>
  <c r="B622" i="152"/>
  <c r="A619" i="152"/>
  <c r="E615" i="152"/>
  <c r="D612" i="152"/>
  <c r="C609" i="152"/>
  <c r="B606" i="152"/>
  <c r="A603" i="152"/>
  <c r="E599" i="152"/>
  <c r="D596" i="152"/>
  <c r="C593" i="152"/>
  <c r="B590" i="152"/>
  <c r="A587" i="152"/>
  <c r="E583" i="152"/>
  <c r="D580" i="152"/>
  <c r="C577" i="152"/>
  <c r="B574" i="152"/>
  <c r="A571" i="152"/>
  <c r="E567" i="152"/>
  <c r="D564" i="152"/>
  <c r="C561" i="152"/>
  <c r="B558" i="152"/>
  <c r="A555" i="152"/>
  <c r="E551" i="152"/>
  <c r="D548" i="152"/>
  <c r="C545" i="152"/>
  <c r="B542" i="152"/>
  <c r="A539" i="152"/>
  <c r="E535" i="152"/>
  <c r="D532" i="152"/>
  <c r="C529" i="152"/>
  <c r="B526" i="152"/>
  <c r="A523" i="152"/>
  <c r="E519" i="152"/>
  <c r="D516" i="152"/>
  <c r="C513" i="152"/>
  <c r="B510" i="152"/>
  <c r="A507" i="152"/>
  <c r="E502" i="152"/>
  <c r="D498" i="152"/>
  <c r="C493" i="152"/>
  <c r="B489" i="152"/>
  <c r="A484" i="152"/>
  <c r="E479" i="152"/>
  <c r="D474" i="152"/>
  <c r="C470" i="152"/>
  <c r="B466" i="152"/>
  <c r="A461" i="152"/>
  <c r="E456" i="152"/>
  <c r="D451" i="152"/>
  <c r="C447" i="152"/>
  <c r="B442" i="152"/>
  <c r="A438" i="152"/>
  <c r="E432" i="152"/>
  <c r="D428" i="152"/>
  <c r="C423" i="152"/>
  <c r="B419" i="152"/>
  <c r="A415" i="152"/>
  <c r="E409" i="152"/>
  <c r="D405" i="152"/>
  <c r="C400" i="152"/>
  <c r="B396" i="152"/>
  <c r="A391" i="152"/>
  <c r="E386" i="152"/>
  <c r="D381" i="152"/>
  <c r="C377" i="152"/>
  <c r="E371" i="152"/>
  <c r="E365" i="152"/>
  <c r="A361" i="152"/>
  <c r="D354" i="152"/>
  <c r="B348" i="152"/>
  <c r="A339" i="152"/>
  <c r="C329" i="152"/>
  <c r="D316" i="152"/>
  <c r="E303" i="152"/>
  <c r="B285" i="152"/>
  <c r="D228" i="152"/>
  <c r="C708" i="152"/>
  <c r="AB708" i="152" s="1"/>
  <c r="B705" i="152"/>
  <c r="X705" i="152" s="1"/>
  <c r="A702" i="152"/>
  <c r="T702" i="152" s="1"/>
  <c r="E698" i="152"/>
  <c r="AM698" i="152" s="1"/>
  <c r="D695" i="152"/>
  <c r="C692" i="152"/>
  <c r="AD692" i="152" s="1"/>
  <c r="B689" i="152"/>
  <c r="Y689" i="152" s="1"/>
  <c r="A686" i="152"/>
  <c r="E682" i="152"/>
  <c r="AN682" i="152" s="1"/>
  <c r="D679" i="152"/>
  <c r="AI679" i="152" s="1"/>
  <c r="C676" i="152"/>
  <c r="AD676" i="152" s="1"/>
  <c r="B673" i="152"/>
  <c r="Y673" i="152" s="1"/>
  <c r="A670" i="152"/>
  <c r="S670" i="152" s="1"/>
  <c r="E666" i="152"/>
  <c r="AM666" i="152" s="1"/>
  <c r="D663" i="152"/>
  <c r="AI663" i="152" s="1"/>
  <c r="C660" i="152"/>
  <c r="AD660" i="152" s="1"/>
  <c r="B657" i="152"/>
  <c r="Y657" i="152" s="1"/>
  <c r="A654" i="152"/>
  <c r="T654" i="152" s="1"/>
  <c r="E650" i="152"/>
  <c r="AN650" i="152" s="1"/>
  <c r="D647" i="152"/>
  <c r="AI647" i="152" s="1"/>
  <c r="C644" i="152"/>
  <c r="AD644" i="152" s="1"/>
  <c r="B641" i="152"/>
  <c r="Y641" i="152" s="1"/>
  <c r="A638" i="152"/>
  <c r="S638" i="152" s="1"/>
  <c r="E634" i="152"/>
  <c r="AN634" i="152" s="1"/>
  <c r="D631" i="152"/>
  <c r="AI631" i="152" s="1"/>
  <c r="C628" i="152"/>
  <c r="AD628" i="152" s="1"/>
  <c r="B625" i="152"/>
  <c r="Y625" i="152" s="1"/>
  <c r="A622" i="152"/>
  <c r="E618" i="152"/>
  <c r="AL618" i="152" s="1"/>
  <c r="D615" i="152"/>
  <c r="AG615" i="152" s="1"/>
  <c r="C612" i="152"/>
  <c r="AB612" i="152" s="1"/>
  <c r="B609" i="152"/>
  <c r="A606" i="152"/>
  <c r="R606" i="152" s="1"/>
  <c r="E602" i="152"/>
  <c r="AL602" i="152" s="1"/>
  <c r="D599" i="152"/>
  <c r="AG599" i="152" s="1"/>
  <c r="C596" i="152"/>
  <c r="B593" i="152"/>
  <c r="A590" i="152"/>
  <c r="E586" i="152"/>
  <c r="D583" i="152"/>
  <c r="C580" i="152"/>
  <c r="AC580" i="152" s="1"/>
  <c r="B577" i="152"/>
  <c r="X577" i="152" s="1"/>
  <c r="A574" i="152"/>
  <c r="E570" i="152"/>
  <c r="D567" i="152"/>
  <c r="AH567" i="152" s="1"/>
  <c r="C564" i="152"/>
  <c r="AC564" i="152" s="1"/>
  <c r="B561" i="152"/>
  <c r="X561" i="152" s="1"/>
  <c r="A558" i="152"/>
  <c r="E554" i="152"/>
  <c r="D551" i="152"/>
  <c r="AH551" i="152" s="1"/>
  <c r="C548" i="152"/>
  <c r="B545" i="152"/>
  <c r="X545" i="152" s="1"/>
  <c r="A542" i="152"/>
  <c r="E538" i="152"/>
  <c r="D535" i="152"/>
  <c r="C532" i="152"/>
  <c r="B529" i="152"/>
  <c r="A526" i="152"/>
  <c r="E522" i="152"/>
  <c r="D519" i="152"/>
  <c r="C516" i="152"/>
  <c r="B513" i="152"/>
  <c r="A510" i="152"/>
  <c r="E506" i="152"/>
  <c r="D502" i="152"/>
  <c r="C498" i="152"/>
  <c r="B493" i="152"/>
  <c r="A489" i="152"/>
  <c r="E483" i="152"/>
  <c r="D479" i="152"/>
  <c r="C474" i="152"/>
  <c r="B470" i="152"/>
  <c r="A465" i="152"/>
  <c r="E460" i="152"/>
  <c r="D456" i="152"/>
  <c r="C451" i="152"/>
  <c r="B447" i="152"/>
  <c r="A442" i="152"/>
  <c r="E437" i="152"/>
  <c r="D432" i="152"/>
  <c r="C428" i="152"/>
  <c r="B423" i="152"/>
  <c r="A419" i="152"/>
  <c r="E413" i="152"/>
  <c r="D409" i="152"/>
  <c r="C405" i="152"/>
  <c r="B400" i="152"/>
  <c r="A396" i="152"/>
  <c r="E390" i="152"/>
  <c r="D386" i="152"/>
  <c r="C381" i="152"/>
  <c r="B377" i="152"/>
  <c r="D371" i="152"/>
  <c r="D365" i="152"/>
  <c r="B359" i="152"/>
  <c r="E352" i="152"/>
  <c r="A346" i="152"/>
  <c r="E338" i="152"/>
  <c r="E326" i="152"/>
  <c r="A314" i="152"/>
  <c r="B301" i="152"/>
  <c r="A285" i="152"/>
  <c r="C228" i="152"/>
  <c r="B708" i="152"/>
  <c r="A705" i="152"/>
  <c r="E701" i="152"/>
  <c r="D698" i="152"/>
  <c r="C695" i="152"/>
  <c r="B692" i="152"/>
  <c r="A689" i="152"/>
  <c r="E685" i="152"/>
  <c r="D682" i="152"/>
  <c r="C679" i="152"/>
  <c r="B676" i="152"/>
  <c r="A673" i="152"/>
  <c r="E669" i="152"/>
  <c r="D666" i="152"/>
  <c r="C663" i="152"/>
  <c r="B660" i="152"/>
  <c r="A657" i="152"/>
  <c r="E653" i="152"/>
  <c r="D650" i="152"/>
  <c r="C647" i="152"/>
  <c r="B644" i="152"/>
  <c r="A641" i="152"/>
  <c r="E637" i="152"/>
  <c r="D634" i="152"/>
  <c r="C631" i="152"/>
  <c r="B628" i="152"/>
  <c r="A625" i="152"/>
  <c r="E621" i="152"/>
  <c r="D618" i="152"/>
  <c r="C615" i="152"/>
  <c r="B612" i="152"/>
  <c r="A609" i="152"/>
  <c r="E605" i="152"/>
  <c r="D602" i="152"/>
  <c r="C599" i="152"/>
  <c r="B596" i="152"/>
  <c r="A593" i="152"/>
  <c r="E589" i="152"/>
  <c r="D586" i="152"/>
  <c r="C583" i="152"/>
  <c r="B580" i="152"/>
  <c r="A577" i="152"/>
  <c r="E573" i="152"/>
  <c r="D570" i="152"/>
  <c r="C567" i="152"/>
  <c r="B564" i="152"/>
  <c r="A561" i="152"/>
  <c r="E557" i="152"/>
  <c r="D554" i="152"/>
  <c r="C551" i="152"/>
  <c r="B548" i="152"/>
  <c r="A545" i="152"/>
  <c r="E541" i="152"/>
  <c r="D538" i="152"/>
  <c r="C535" i="152"/>
  <c r="B532" i="152"/>
  <c r="A529" i="152"/>
  <c r="E525" i="152"/>
  <c r="D522" i="152"/>
  <c r="C519" i="152"/>
  <c r="B516" i="152"/>
  <c r="A513" i="152"/>
  <c r="E509" i="152"/>
  <c r="D506" i="152"/>
  <c r="C502" i="152"/>
  <c r="B498" i="152"/>
  <c r="A493" i="152"/>
  <c r="E488" i="152"/>
  <c r="D483" i="152"/>
  <c r="C479" i="152"/>
  <c r="B474" i="152"/>
  <c r="A470" i="152"/>
  <c r="E464" i="152"/>
  <c r="D460" i="152"/>
  <c r="C455" i="152"/>
  <c r="B451" i="152"/>
  <c r="A447" i="152"/>
  <c r="E441" i="152"/>
  <c r="D437" i="152"/>
  <c r="C432" i="152"/>
  <c r="B428" i="152"/>
  <c r="A423" i="152"/>
  <c r="E418" i="152"/>
  <c r="D413" i="152"/>
  <c r="C409" i="152"/>
  <c r="B404" i="152"/>
  <c r="A400" i="152"/>
  <c r="E395" i="152"/>
  <c r="D390" i="152"/>
  <c r="C386" i="152"/>
  <c r="B381" i="152"/>
  <c r="A377" i="152"/>
  <c r="C371" i="152"/>
  <c r="C365" i="152"/>
  <c r="A359" i="152"/>
  <c r="D352" i="152"/>
  <c r="E345" i="152"/>
  <c r="D338" i="152"/>
  <c r="D326" i="152"/>
  <c r="E313" i="152"/>
  <c r="A301" i="152"/>
  <c r="A282" i="152"/>
  <c r="C221" i="152"/>
  <c r="A708" i="152"/>
  <c r="E704" i="152"/>
  <c r="D701" i="152"/>
  <c r="C698" i="152"/>
  <c r="B695" i="152"/>
  <c r="A692" i="152"/>
  <c r="E688" i="152"/>
  <c r="D685" i="152"/>
  <c r="C682" i="152"/>
  <c r="B679" i="152"/>
  <c r="A676" i="152"/>
  <c r="E672" i="152"/>
  <c r="D669" i="152"/>
  <c r="C666" i="152"/>
  <c r="B663" i="152"/>
  <c r="A660" i="152"/>
  <c r="E656" i="152"/>
  <c r="D653" i="152"/>
  <c r="C650" i="152"/>
  <c r="B647" i="152"/>
  <c r="A644" i="152"/>
  <c r="E640" i="152"/>
  <c r="D637" i="152"/>
  <c r="C634" i="152"/>
  <c r="B631" i="152"/>
  <c r="A628" i="152"/>
  <c r="E624" i="152"/>
  <c r="D621" i="152"/>
  <c r="C618" i="152"/>
  <c r="B615" i="152"/>
  <c r="A612" i="152"/>
  <c r="E608" i="152"/>
  <c r="D605" i="152"/>
  <c r="C602" i="152"/>
  <c r="B599" i="152"/>
  <c r="A596" i="152"/>
  <c r="E592" i="152"/>
  <c r="D589" i="152"/>
  <c r="C586" i="152"/>
  <c r="B583" i="152"/>
  <c r="A580" i="152"/>
  <c r="E576" i="152"/>
  <c r="D573" i="152"/>
  <c r="C570" i="152"/>
  <c r="B567" i="152"/>
  <c r="A564" i="152"/>
  <c r="E560" i="152"/>
  <c r="D557" i="152"/>
  <c r="C554" i="152"/>
  <c r="B551" i="152"/>
  <c r="A548" i="152"/>
  <c r="E544" i="152"/>
  <c r="D541" i="152"/>
  <c r="C538" i="152"/>
  <c r="B535" i="152"/>
  <c r="A532" i="152"/>
  <c r="E528" i="152"/>
  <c r="D525" i="152"/>
  <c r="C522" i="152"/>
  <c r="B519" i="152"/>
  <c r="A516" i="152"/>
  <c r="E512" i="152"/>
  <c r="D509" i="152"/>
  <c r="C506" i="152"/>
  <c r="B502" i="152"/>
  <c r="A497" i="152"/>
  <c r="E492" i="152"/>
  <c r="D488" i="152"/>
  <c r="C483" i="152"/>
  <c r="B479" i="152"/>
  <c r="A474" i="152"/>
  <c r="E469" i="152"/>
  <c r="D464" i="152"/>
  <c r="C460" i="152"/>
  <c r="B455" i="152"/>
  <c r="A451" i="152"/>
  <c r="E445" i="152"/>
  <c r="D441" i="152"/>
  <c r="C437" i="152"/>
  <c r="B432" i="152"/>
  <c r="A428" i="152"/>
  <c r="E422" i="152"/>
  <c r="D418" i="152"/>
  <c r="C413" i="152"/>
  <c r="B409" i="152"/>
  <c r="A404" i="152"/>
  <c r="E399" i="152"/>
  <c r="D394" i="152"/>
  <c r="C390" i="152"/>
  <c r="B386" i="152"/>
  <c r="A381" i="152"/>
  <c r="E376" i="152"/>
  <c r="B371" i="152"/>
  <c r="B365" i="152"/>
  <c r="E358" i="152"/>
  <c r="C352" i="152"/>
  <c r="D345" i="152"/>
  <c r="C336" i="152"/>
  <c r="C326" i="152"/>
  <c r="D313" i="152"/>
  <c r="E300" i="152"/>
  <c r="E281" i="152"/>
  <c r="B221" i="152"/>
  <c r="E707" i="152"/>
  <c r="D704" i="152"/>
  <c r="C701" i="152"/>
  <c r="B698" i="152"/>
  <c r="A695" i="152"/>
  <c r="E691" i="152"/>
  <c r="D688" i="152"/>
  <c r="C685" i="152"/>
  <c r="B682" i="152"/>
  <c r="A679" i="152"/>
  <c r="E675" i="152"/>
  <c r="D672" i="152"/>
  <c r="C669" i="152"/>
  <c r="B666" i="152"/>
  <c r="A663" i="152"/>
  <c r="E659" i="152"/>
  <c r="D656" i="152"/>
  <c r="C653" i="152"/>
  <c r="B650" i="152"/>
  <c r="A647" i="152"/>
  <c r="E643" i="152"/>
  <c r="D640" i="152"/>
  <c r="C637" i="152"/>
  <c r="B634" i="152"/>
  <c r="A631" i="152"/>
  <c r="E627" i="152"/>
  <c r="D624" i="152"/>
  <c r="C621" i="152"/>
  <c r="B618" i="152"/>
  <c r="A615" i="152"/>
  <c r="E611" i="152"/>
  <c r="D608" i="152"/>
  <c r="C605" i="152"/>
  <c r="B602" i="152"/>
  <c r="A599" i="152"/>
  <c r="E595" i="152"/>
  <c r="D592" i="152"/>
  <c r="C589" i="152"/>
  <c r="B586" i="152"/>
  <c r="A583" i="152"/>
  <c r="E579" i="152"/>
  <c r="D576" i="152"/>
  <c r="C573" i="152"/>
  <c r="B570" i="152"/>
  <c r="A567" i="152"/>
  <c r="E563" i="152"/>
  <c r="D560" i="152"/>
  <c r="C557" i="152"/>
  <c r="B554" i="152"/>
  <c r="A551" i="152"/>
  <c r="E547" i="152"/>
  <c r="D544" i="152"/>
  <c r="C541" i="152"/>
  <c r="B538" i="152"/>
  <c r="A535" i="152"/>
  <c r="E531" i="152"/>
  <c r="D528" i="152"/>
  <c r="C525" i="152"/>
  <c r="B522" i="152"/>
  <c r="A519" i="152"/>
  <c r="E515" i="152"/>
  <c r="D512" i="152"/>
  <c r="C509" i="152"/>
  <c r="B506" i="152"/>
  <c r="A502" i="152"/>
  <c r="S502" i="152" s="1"/>
  <c r="E496" i="152"/>
  <c r="D492" i="152"/>
  <c r="C487" i="152"/>
  <c r="B483" i="152"/>
  <c r="A479" i="152"/>
  <c r="E473" i="152"/>
  <c r="D469" i="152"/>
  <c r="C464" i="152"/>
  <c r="B460" i="152"/>
  <c r="A455" i="152"/>
  <c r="E450" i="152"/>
  <c r="D445" i="152"/>
  <c r="C441" i="152"/>
  <c r="B436" i="152"/>
  <c r="A432" i="152"/>
  <c r="E427" i="152"/>
  <c r="D422" i="152"/>
  <c r="C418" i="152"/>
  <c r="B413" i="152"/>
  <c r="A409" i="152"/>
  <c r="E403" i="152"/>
  <c r="D399" i="152"/>
  <c r="C394" i="152"/>
  <c r="B390" i="152"/>
  <c r="A385" i="152"/>
  <c r="E380" i="152"/>
  <c r="D376" i="152"/>
  <c r="A371" i="152"/>
  <c r="A365" i="152"/>
  <c r="D358" i="152"/>
  <c r="B352" i="152"/>
  <c r="C345" i="152"/>
  <c r="B336" i="152"/>
  <c r="B326" i="152"/>
  <c r="C313" i="152"/>
  <c r="D300" i="152"/>
  <c r="E278" i="152"/>
  <c r="B212" i="152"/>
  <c r="AG543" i="152"/>
  <c r="AB556" i="152"/>
  <c r="AC572" i="152"/>
  <c r="AH607" i="152"/>
  <c r="AB668" i="152"/>
  <c r="R678" i="152"/>
  <c r="AI687" i="152"/>
  <c r="AG703" i="152"/>
  <c r="AH639" i="152"/>
  <c r="AM658" i="152"/>
  <c r="R694" i="152"/>
  <c r="AB540" i="152"/>
  <c r="AC588" i="152"/>
  <c r="S646" i="152"/>
  <c r="AL690" i="152"/>
  <c r="AH479" i="152"/>
  <c r="W505" i="152"/>
  <c r="Z505" i="152" s="1"/>
  <c r="AG559" i="152"/>
  <c r="R662" i="152"/>
  <c r="W697" i="152"/>
  <c r="X505" i="152"/>
  <c r="AH559" i="152"/>
  <c r="AG623" i="152"/>
  <c r="AL642" i="152"/>
  <c r="S662" i="152"/>
  <c r="X697" i="152"/>
  <c r="AM642" i="152"/>
  <c r="AG687" i="152"/>
  <c r="F44" i="140"/>
  <c r="AL692" i="152"/>
  <c r="AO692" i="152" s="1"/>
  <c r="AM692" i="152"/>
  <c r="AM484" i="152"/>
  <c r="X491" i="152"/>
  <c r="AB526" i="152"/>
  <c r="AG529" i="152"/>
  <c r="AM532" i="152"/>
  <c r="AM612" i="152"/>
  <c r="X635" i="152"/>
  <c r="X651" i="152"/>
  <c r="W667" i="152"/>
  <c r="AL580" i="152"/>
  <c r="AM580" i="152"/>
  <c r="AL628" i="152"/>
  <c r="R552" i="152"/>
  <c r="S648" i="152"/>
  <c r="R664" i="152"/>
  <c r="X699" i="152"/>
  <c r="AL548" i="152"/>
  <c r="R600" i="152"/>
  <c r="S680" i="152"/>
  <c r="L17" i="136"/>
  <c r="N18" i="136" s="1"/>
  <c r="O18" i="136" s="1"/>
  <c r="F45" i="144"/>
  <c r="AH625" i="152"/>
  <c r="AM644" i="152"/>
  <c r="AA17" i="111"/>
  <c r="AC18" i="111" s="1"/>
  <c r="AA17" i="112"/>
  <c r="AC18" i="112" s="1"/>
  <c r="AE18" i="112" s="1"/>
  <c r="Q17" i="110"/>
  <c r="S18" i="110" s="1"/>
  <c r="U18" i="110" s="1"/>
  <c r="AN538" i="152"/>
  <c r="S542" i="152"/>
  <c r="AC548" i="152"/>
  <c r="AM570" i="152"/>
  <c r="S574" i="152"/>
  <c r="AG583" i="152"/>
  <c r="AL586" i="152"/>
  <c r="R590" i="152"/>
  <c r="W609" i="152"/>
  <c r="B32" i="128"/>
  <c r="B34" i="129"/>
  <c r="B32" i="132"/>
  <c r="B34" i="133"/>
  <c r="B32" i="136"/>
  <c r="S622" i="152"/>
  <c r="AC628" i="152"/>
  <c r="AL634" i="152"/>
  <c r="W641" i="152"/>
  <c r="AB644" i="152"/>
  <c r="B32" i="117"/>
  <c r="B34" i="118"/>
  <c r="B34" i="122"/>
  <c r="B32" i="125"/>
  <c r="B34" i="126"/>
  <c r="B32" i="129"/>
  <c r="B34" i="130"/>
  <c r="B32" i="133"/>
  <c r="B34" i="134"/>
  <c r="AM634" i="152"/>
  <c r="X641" i="152"/>
  <c r="AL650" i="152"/>
  <c r="AG679" i="152"/>
  <c r="G33" i="128"/>
  <c r="H33" i="128" s="1"/>
  <c r="G33" i="132"/>
  <c r="H33" i="132" s="1"/>
  <c r="G33" i="136"/>
  <c r="H33" i="136" s="1"/>
  <c r="G31" i="139"/>
  <c r="H31" i="139" s="1"/>
  <c r="G33" i="144"/>
  <c r="H33" i="144" s="1"/>
  <c r="G31" i="147"/>
  <c r="H31" i="147" s="1"/>
  <c r="X673" i="152"/>
  <c r="AC676" i="152"/>
  <c r="AH679" i="152"/>
  <c r="S686" i="152"/>
  <c r="B32" i="134"/>
  <c r="B34" i="135"/>
  <c r="AB692" i="152"/>
  <c r="AE692" i="152" s="1"/>
  <c r="AC692" i="152"/>
  <c r="S702" i="152"/>
  <c r="B32" i="119"/>
  <c r="B32" i="123"/>
  <c r="B34" i="124"/>
  <c r="B32" i="127"/>
  <c r="B34" i="128"/>
  <c r="B32" i="131"/>
  <c r="B34" i="132"/>
  <c r="B32" i="135"/>
  <c r="C31" i="125"/>
  <c r="C33" i="126"/>
  <c r="C31" i="129"/>
  <c r="C33" i="130"/>
  <c r="C31" i="133"/>
  <c r="C33" i="134"/>
  <c r="C31" i="137"/>
  <c r="C33" i="138"/>
  <c r="C31" i="141"/>
  <c r="C33" i="142"/>
  <c r="C31" i="145"/>
  <c r="C33" i="146"/>
  <c r="C31" i="149"/>
  <c r="C33" i="150"/>
  <c r="AA17" i="132"/>
  <c r="AC18" i="132" s="1"/>
  <c r="AE18" i="132" s="1"/>
  <c r="L17" i="122"/>
  <c r="N18" i="122" s="1"/>
  <c r="F44" i="123"/>
  <c r="V17" i="149"/>
  <c r="V18" i="149" s="1"/>
  <c r="X19" i="149" s="1"/>
  <c r="L17" i="109"/>
  <c r="N18" i="109" s="1"/>
  <c r="P18" i="109" s="1"/>
  <c r="Q17" i="128"/>
  <c r="S18" i="128" s="1"/>
  <c r="T18" i="128" s="1"/>
  <c r="AA17" i="146"/>
  <c r="AC18" i="146" s="1"/>
  <c r="AD18" i="146" s="1"/>
  <c r="G32" i="53"/>
  <c r="H32" i="53" s="1"/>
  <c r="C32" i="53"/>
  <c r="G34" i="103"/>
  <c r="H34" i="103" s="1"/>
  <c r="C34" i="103"/>
  <c r="B32" i="104"/>
  <c r="B34" i="105"/>
  <c r="G32" i="106"/>
  <c r="H32" i="106" s="1"/>
  <c r="C32" i="106"/>
  <c r="G34" i="107"/>
  <c r="H34" i="107" s="1"/>
  <c r="C34" i="107"/>
  <c r="B32" i="108"/>
  <c r="B34" i="109"/>
  <c r="G32" i="110"/>
  <c r="H32" i="110" s="1"/>
  <c r="C32" i="110"/>
  <c r="G34" i="111"/>
  <c r="H34" i="111" s="1"/>
  <c r="C34" i="111"/>
  <c r="B32" i="112"/>
  <c r="B34" i="113"/>
  <c r="G32" i="114"/>
  <c r="H32" i="114" s="1"/>
  <c r="C32" i="114"/>
  <c r="G34" i="115"/>
  <c r="H34" i="115" s="1"/>
  <c r="C34" i="115"/>
  <c r="B32" i="116"/>
  <c r="B34" i="117"/>
  <c r="B32" i="124"/>
  <c r="B34" i="125"/>
  <c r="G31" i="53"/>
  <c r="H31" i="53" s="1"/>
  <c r="C31" i="53"/>
  <c r="G33" i="103"/>
  <c r="H33" i="103" s="1"/>
  <c r="C33" i="103"/>
  <c r="B31" i="104"/>
  <c r="B33" i="105"/>
  <c r="G31" i="106"/>
  <c r="H31" i="106" s="1"/>
  <c r="C31" i="106"/>
  <c r="G33" i="107"/>
  <c r="H33" i="107" s="1"/>
  <c r="C33" i="107"/>
  <c r="B31" i="108"/>
  <c r="B33" i="109"/>
  <c r="C31" i="110"/>
  <c r="G31" i="110"/>
  <c r="H31" i="110" s="1"/>
  <c r="C33" i="111"/>
  <c r="G33" i="111"/>
  <c r="H33" i="111" s="1"/>
  <c r="B31" i="112"/>
  <c r="B33" i="113"/>
  <c r="C31" i="114"/>
  <c r="G31" i="114"/>
  <c r="H31" i="114" s="1"/>
  <c r="C33" i="115"/>
  <c r="G33" i="115"/>
  <c r="H33" i="115" s="1"/>
  <c r="B31" i="116"/>
  <c r="G33" i="119"/>
  <c r="H33" i="119" s="1"/>
  <c r="G33" i="123"/>
  <c r="H33" i="123" s="1"/>
  <c r="G33" i="127"/>
  <c r="H33" i="127" s="1"/>
  <c r="G33" i="131"/>
  <c r="H33" i="131" s="1"/>
  <c r="G33" i="135"/>
  <c r="H33" i="135" s="1"/>
  <c r="G33" i="143"/>
  <c r="H33" i="143" s="1"/>
  <c r="B34" i="53"/>
  <c r="G32" i="103"/>
  <c r="H32" i="103" s="1"/>
  <c r="C32" i="103"/>
  <c r="G34" i="104"/>
  <c r="H34" i="104" s="1"/>
  <c r="C34" i="104"/>
  <c r="B32" i="105"/>
  <c r="B34" i="106"/>
  <c r="G32" i="107"/>
  <c r="H32" i="107" s="1"/>
  <c r="C32" i="107"/>
  <c r="G34" i="108"/>
  <c r="H34" i="108" s="1"/>
  <c r="C34" i="108"/>
  <c r="B32" i="109"/>
  <c r="B34" i="110"/>
  <c r="G32" i="111"/>
  <c r="H32" i="111" s="1"/>
  <c r="C32" i="111"/>
  <c r="G34" i="112"/>
  <c r="H34" i="112" s="1"/>
  <c r="C34" i="112"/>
  <c r="B32" i="113"/>
  <c r="B34" i="114"/>
  <c r="G32" i="115"/>
  <c r="H32" i="115" s="1"/>
  <c r="C32" i="115"/>
  <c r="G34" i="116"/>
  <c r="H34" i="116" s="1"/>
  <c r="C34" i="116"/>
  <c r="B33" i="53"/>
  <c r="G31" i="103"/>
  <c r="H31" i="103" s="1"/>
  <c r="C31" i="103"/>
  <c r="G33" i="104"/>
  <c r="H33" i="104" s="1"/>
  <c r="C33" i="104"/>
  <c r="B31" i="105"/>
  <c r="B33" i="106"/>
  <c r="G31" i="107"/>
  <c r="H31" i="107" s="1"/>
  <c r="C31" i="107"/>
  <c r="G33" i="108"/>
  <c r="H33" i="108" s="1"/>
  <c r="C33" i="108"/>
  <c r="B31" i="109"/>
  <c r="B33" i="110"/>
  <c r="C31" i="111"/>
  <c r="G31" i="111"/>
  <c r="H31" i="111" s="1"/>
  <c r="C33" i="112"/>
  <c r="G33" i="112"/>
  <c r="H33" i="112" s="1"/>
  <c r="B31" i="113"/>
  <c r="B33" i="114"/>
  <c r="C31" i="115"/>
  <c r="G31" i="115"/>
  <c r="H31" i="115" s="1"/>
  <c r="C33" i="116"/>
  <c r="G33" i="116"/>
  <c r="H33" i="116" s="1"/>
  <c r="G33" i="124"/>
  <c r="H33" i="124" s="1"/>
  <c r="B32" i="53"/>
  <c r="B34" i="103"/>
  <c r="G32" i="104"/>
  <c r="H32" i="104" s="1"/>
  <c r="C32" i="104"/>
  <c r="G34" i="105"/>
  <c r="H34" i="105" s="1"/>
  <c r="C34" i="105"/>
  <c r="B32" i="106"/>
  <c r="B34" i="107"/>
  <c r="G32" i="108"/>
  <c r="H32" i="108" s="1"/>
  <c r="C32" i="108"/>
  <c r="G34" i="109"/>
  <c r="H34" i="109" s="1"/>
  <c r="C34" i="109"/>
  <c r="B32" i="110"/>
  <c r="B34" i="111"/>
  <c r="G32" i="112"/>
  <c r="H32" i="112" s="1"/>
  <c r="C32" i="112"/>
  <c r="G34" i="113"/>
  <c r="H34" i="113" s="1"/>
  <c r="C34" i="113"/>
  <c r="B32" i="114"/>
  <c r="B34" i="115"/>
  <c r="G32" i="116"/>
  <c r="H32" i="116" s="1"/>
  <c r="C32" i="116"/>
  <c r="G34" i="117"/>
  <c r="H34" i="117" s="1"/>
  <c r="C34" i="117"/>
  <c r="B32" i="118"/>
  <c r="B34" i="119"/>
  <c r="B32" i="122"/>
  <c r="B34" i="123"/>
  <c r="G32" i="124"/>
  <c r="H32" i="124" s="1"/>
  <c r="C32" i="124"/>
  <c r="G34" i="125"/>
  <c r="H34" i="125" s="1"/>
  <c r="C34" i="125"/>
  <c r="B32" i="126"/>
  <c r="B34" i="127"/>
  <c r="G32" i="128"/>
  <c r="H32" i="128" s="1"/>
  <c r="C32" i="128"/>
  <c r="G34" i="129"/>
  <c r="H34" i="129" s="1"/>
  <c r="C34" i="129"/>
  <c r="B32" i="130"/>
  <c r="B34" i="131"/>
  <c r="B31" i="53"/>
  <c r="B33" i="103"/>
  <c r="G31" i="104"/>
  <c r="H31" i="104" s="1"/>
  <c r="C31" i="104"/>
  <c r="G33" i="105"/>
  <c r="H33" i="105" s="1"/>
  <c r="C33" i="105"/>
  <c r="B31" i="106"/>
  <c r="B33" i="107"/>
  <c r="G31" i="108"/>
  <c r="H31" i="108" s="1"/>
  <c r="C31" i="108"/>
  <c r="C33" i="109"/>
  <c r="G33" i="109"/>
  <c r="H33" i="109" s="1"/>
  <c r="B31" i="110"/>
  <c r="B33" i="111"/>
  <c r="C31" i="112"/>
  <c r="G31" i="112"/>
  <c r="H31" i="112" s="1"/>
  <c r="C33" i="113"/>
  <c r="G33" i="113"/>
  <c r="H33" i="113" s="1"/>
  <c r="B31" i="114"/>
  <c r="B33" i="115"/>
  <c r="C31" i="116"/>
  <c r="G31" i="116"/>
  <c r="H31" i="116" s="1"/>
  <c r="C33" i="117"/>
  <c r="G33" i="117"/>
  <c r="H33" i="117" s="1"/>
  <c r="B31" i="118"/>
  <c r="B33" i="119"/>
  <c r="B31" i="122"/>
  <c r="B33" i="123"/>
  <c r="C31" i="124"/>
  <c r="G31" i="124"/>
  <c r="H31" i="124" s="1"/>
  <c r="C33" i="125"/>
  <c r="G33" i="125"/>
  <c r="H33" i="125" s="1"/>
  <c r="B31" i="126"/>
  <c r="B33" i="127"/>
  <c r="C31" i="128"/>
  <c r="G31" i="128"/>
  <c r="H31" i="128" s="1"/>
  <c r="C33" i="129"/>
  <c r="G33" i="129"/>
  <c r="H33" i="129" s="1"/>
  <c r="B31" i="130"/>
  <c r="B33" i="131"/>
  <c r="C31" i="132"/>
  <c r="G31" i="132"/>
  <c r="H31" i="132" s="1"/>
  <c r="C33" i="133"/>
  <c r="G33" i="133"/>
  <c r="H33" i="133" s="1"/>
  <c r="B31" i="134"/>
  <c r="B33" i="135"/>
  <c r="C31" i="136"/>
  <c r="G31" i="136"/>
  <c r="H31" i="136" s="1"/>
  <c r="C33" i="137"/>
  <c r="G33" i="137"/>
  <c r="H33" i="137" s="1"/>
  <c r="B31" i="138"/>
  <c r="B33" i="139"/>
  <c r="C31" i="140"/>
  <c r="G31" i="140"/>
  <c r="H31" i="140" s="1"/>
  <c r="C33" i="141"/>
  <c r="G33" i="141"/>
  <c r="H33" i="141" s="1"/>
  <c r="B31" i="142"/>
  <c r="B33" i="143"/>
  <c r="C31" i="144"/>
  <c r="G31" i="144"/>
  <c r="H31" i="144" s="1"/>
  <c r="C33" i="145"/>
  <c r="G33" i="145"/>
  <c r="H33" i="145" s="1"/>
  <c r="B31" i="146"/>
  <c r="B33" i="147"/>
  <c r="C31" i="148"/>
  <c r="G31" i="148"/>
  <c r="H31" i="148" s="1"/>
  <c r="C33" i="149"/>
  <c r="G33" i="149"/>
  <c r="H33" i="149" s="1"/>
  <c r="B31" i="150"/>
  <c r="G34" i="53"/>
  <c r="H34" i="53" s="1"/>
  <c r="C34" i="53"/>
  <c r="B32" i="103"/>
  <c r="B34" i="104"/>
  <c r="G32" i="105"/>
  <c r="H32" i="105" s="1"/>
  <c r="C32" i="105"/>
  <c r="G34" i="106"/>
  <c r="H34" i="106" s="1"/>
  <c r="C34" i="106"/>
  <c r="B32" i="107"/>
  <c r="B34" i="108"/>
  <c r="G32" i="109"/>
  <c r="H32" i="109" s="1"/>
  <c r="C32" i="109"/>
  <c r="G34" i="110"/>
  <c r="H34" i="110" s="1"/>
  <c r="C34" i="110"/>
  <c r="B32" i="111"/>
  <c r="B34" i="112"/>
  <c r="G32" i="113"/>
  <c r="H32" i="113" s="1"/>
  <c r="C32" i="113"/>
  <c r="G34" i="114"/>
  <c r="H34" i="114" s="1"/>
  <c r="C34" i="114"/>
  <c r="B32" i="115"/>
  <c r="B34" i="116"/>
  <c r="C32" i="117"/>
  <c r="G33" i="53"/>
  <c r="H33" i="53" s="1"/>
  <c r="C33" i="53"/>
  <c r="B31" i="103"/>
  <c r="B33" i="104"/>
  <c r="G31" i="105"/>
  <c r="H31" i="105" s="1"/>
  <c r="C31" i="105"/>
  <c r="G33" i="106"/>
  <c r="H33" i="106" s="1"/>
  <c r="C33" i="106"/>
  <c r="B31" i="107"/>
  <c r="B33" i="108"/>
  <c r="G31" i="109"/>
  <c r="H31" i="109" s="1"/>
  <c r="C31" i="109"/>
  <c r="C33" i="110"/>
  <c r="G33" i="110"/>
  <c r="H33" i="110" s="1"/>
  <c r="B31" i="111"/>
  <c r="B33" i="112"/>
  <c r="C31" i="113"/>
  <c r="G31" i="113"/>
  <c r="H31" i="113" s="1"/>
  <c r="C33" i="114"/>
  <c r="G33" i="114"/>
  <c r="H33" i="114" s="1"/>
  <c r="B31" i="115"/>
  <c r="B33" i="116"/>
  <c r="C31" i="117"/>
  <c r="G31" i="117"/>
  <c r="H31" i="117" s="1"/>
  <c r="C33" i="118"/>
  <c r="G33" i="118"/>
  <c r="H33" i="118" s="1"/>
  <c r="B31" i="119"/>
  <c r="C33" i="122"/>
  <c r="G33" i="122"/>
  <c r="H33" i="122" s="1"/>
  <c r="B31" i="123"/>
  <c r="B33" i="124"/>
  <c r="B31" i="127"/>
  <c r="B33" i="128"/>
  <c r="B31" i="131"/>
  <c r="B33" i="132"/>
  <c r="B31" i="135"/>
  <c r="B33" i="136"/>
  <c r="B31" i="139"/>
  <c r="B33" i="140"/>
  <c r="B31" i="143"/>
  <c r="B33" i="144"/>
  <c r="B31" i="147"/>
  <c r="B33" i="148"/>
  <c r="B31" i="151"/>
  <c r="G31" i="141"/>
  <c r="H31" i="141" s="1"/>
  <c r="G31" i="149"/>
  <c r="H31" i="149" s="1"/>
  <c r="G33" i="126"/>
  <c r="H33" i="126" s="1"/>
  <c r="G33" i="130"/>
  <c r="H33" i="130" s="1"/>
  <c r="G33" i="134"/>
  <c r="H33" i="134" s="1"/>
  <c r="G32" i="118"/>
  <c r="H32" i="118" s="1"/>
  <c r="C32" i="118"/>
  <c r="G34" i="119"/>
  <c r="H34" i="119" s="1"/>
  <c r="C34" i="119"/>
  <c r="G32" i="122"/>
  <c r="H32" i="122" s="1"/>
  <c r="C32" i="122"/>
  <c r="G34" i="123"/>
  <c r="H34" i="123" s="1"/>
  <c r="C34" i="123"/>
  <c r="G32" i="126"/>
  <c r="H32" i="126" s="1"/>
  <c r="C32" i="126"/>
  <c r="G34" i="127"/>
  <c r="H34" i="127" s="1"/>
  <c r="C34" i="127"/>
  <c r="G32" i="130"/>
  <c r="H32" i="130" s="1"/>
  <c r="C32" i="130"/>
  <c r="G34" i="131"/>
  <c r="H34" i="131" s="1"/>
  <c r="C34" i="131"/>
  <c r="G32" i="134"/>
  <c r="H32" i="134" s="1"/>
  <c r="C32" i="134"/>
  <c r="G34" i="135"/>
  <c r="H34" i="135" s="1"/>
  <c r="C34" i="135"/>
  <c r="B34" i="137"/>
  <c r="G32" i="138"/>
  <c r="H32" i="138" s="1"/>
  <c r="C32" i="138"/>
  <c r="G34" i="139"/>
  <c r="H34" i="139" s="1"/>
  <c r="C34" i="139"/>
  <c r="B32" i="140"/>
  <c r="B34" i="141"/>
  <c r="G32" i="142"/>
  <c r="H32" i="142" s="1"/>
  <c r="C32" i="142"/>
  <c r="G34" i="143"/>
  <c r="H34" i="143" s="1"/>
  <c r="C34" i="143"/>
  <c r="B32" i="144"/>
  <c r="B34" i="145"/>
  <c r="G32" i="146"/>
  <c r="H32" i="146" s="1"/>
  <c r="C32" i="146"/>
  <c r="G34" i="147"/>
  <c r="H34" i="147" s="1"/>
  <c r="C34" i="147"/>
  <c r="B32" i="148"/>
  <c r="B34" i="149"/>
  <c r="G32" i="150"/>
  <c r="H32" i="150" s="1"/>
  <c r="C32" i="150"/>
  <c r="G34" i="151"/>
  <c r="H34" i="151" s="1"/>
  <c r="C34" i="151"/>
  <c r="B33" i="117"/>
  <c r="C31" i="118"/>
  <c r="C33" i="119"/>
  <c r="C31" i="122"/>
  <c r="C33" i="123"/>
  <c r="B31" i="124"/>
  <c r="B33" i="125"/>
  <c r="C31" i="126"/>
  <c r="C33" i="127"/>
  <c r="B31" i="128"/>
  <c r="B33" i="129"/>
  <c r="C31" i="130"/>
  <c r="C33" i="131"/>
  <c r="B31" i="132"/>
  <c r="B33" i="133"/>
  <c r="C31" i="134"/>
  <c r="C33" i="135"/>
  <c r="B31" i="136"/>
  <c r="B33" i="137"/>
  <c r="C31" i="138"/>
  <c r="C33" i="139"/>
  <c r="B31" i="140"/>
  <c r="B33" i="141"/>
  <c r="C31" i="142"/>
  <c r="C33" i="143"/>
  <c r="B31" i="144"/>
  <c r="B33" i="145"/>
  <c r="C31" i="146"/>
  <c r="C33" i="147"/>
  <c r="B31" i="148"/>
  <c r="B33" i="149"/>
  <c r="C31" i="150"/>
  <c r="G33" i="151"/>
  <c r="H33" i="151" s="1"/>
  <c r="C33" i="151"/>
  <c r="G33" i="150"/>
  <c r="H33" i="150" s="1"/>
  <c r="G33" i="142"/>
  <c r="H33" i="142" s="1"/>
  <c r="G32" i="119"/>
  <c r="H32" i="119" s="1"/>
  <c r="C32" i="119"/>
  <c r="G32" i="123"/>
  <c r="H32" i="123" s="1"/>
  <c r="C32" i="123"/>
  <c r="G34" i="124"/>
  <c r="H34" i="124" s="1"/>
  <c r="C34" i="124"/>
  <c r="G32" i="127"/>
  <c r="H32" i="127" s="1"/>
  <c r="C32" i="127"/>
  <c r="G34" i="128"/>
  <c r="H34" i="128" s="1"/>
  <c r="C34" i="128"/>
  <c r="G32" i="131"/>
  <c r="H32" i="131" s="1"/>
  <c r="C32" i="131"/>
  <c r="G34" i="132"/>
  <c r="H34" i="132" s="1"/>
  <c r="C34" i="132"/>
  <c r="G32" i="135"/>
  <c r="H32" i="135" s="1"/>
  <c r="C32" i="135"/>
  <c r="G34" i="136"/>
  <c r="H34" i="136" s="1"/>
  <c r="C34" i="136"/>
  <c r="B32" i="137"/>
  <c r="B34" i="138"/>
  <c r="G32" i="139"/>
  <c r="H32" i="139" s="1"/>
  <c r="C32" i="139"/>
  <c r="G34" i="140"/>
  <c r="H34" i="140" s="1"/>
  <c r="C34" i="140"/>
  <c r="B32" i="141"/>
  <c r="B34" i="142"/>
  <c r="G32" i="143"/>
  <c r="H32" i="143" s="1"/>
  <c r="C32" i="143"/>
  <c r="G34" i="144"/>
  <c r="H34" i="144" s="1"/>
  <c r="C34" i="144"/>
  <c r="B32" i="145"/>
  <c r="B34" i="146"/>
  <c r="G32" i="147"/>
  <c r="H32" i="147" s="1"/>
  <c r="C32" i="147"/>
  <c r="G34" i="148"/>
  <c r="H34" i="148" s="1"/>
  <c r="C34" i="148"/>
  <c r="B32" i="149"/>
  <c r="B34" i="150"/>
  <c r="G32" i="151"/>
  <c r="H32" i="151" s="1"/>
  <c r="C32" i="151"/>
  <c r="G31" i="138"/>
  <c r="H31" i="138" s="1"/>
  <c r="G31" i="146"/>
  <c r="H31" i="146" s="1"/>
  <c r="B31" i="117"/>
  <c r="B33" i="118"/>
  <c r="C31" i="119"/>
  <c r="B33" i="122"/>
  <c r="C31" i="123"/>
  <c r="C33" i="124"/>
  <c r="B31" i="125"/>
  <c r="B33" i="126"/>
  <c r="C31" i="127"/>
  <c r="C33" i="128"/>
  <c r="B31" i="129"/>
  <c r="B33" i="130"/>
  <c r="C31" i="131"/>
  <c r="C33" i="132"/>
  <c r="B31" i="133"/>
  <c r="B33" i="134"/>
  <c r="C31" i="135"/>
  <c r="C33" i="136"/>
  <c r="B31" i="137"/>
  <c r="B33" i="138"/>
  <c r="C31" i="139"/>
  <c r="C33" i="140"/>
  <c r="B31" i="141"/>
  <c r="B33" i="142"/>
  <c r="C31" i="143"/>
  <c r="C33" i="144"/>
  <c r="B31" i="145"/>
  <c r="B33" i="146"/>
  <c r="C31" i="147"/>
  <c r="C33" i="148"/>
  <c r="B31" i="149"/>
  <c r="B33" i="150"/>
  <c r="C31" i="151"/>
  <c r="G31" i="137"/>
  <c r="H31" i="137" s="1"/>
  <c r="G31" i="145"/>
  <c r="H31" i="145" s="1"/>
  <c r="G31" i="118"/>
  <c r="H31" i="118" s="1"/>
  <c r="G31" i="119"/>
  <c r="H31" i="119" s="1"/>
  <c r="G31" i="122"/>
  <c r="H31" i="122" s="1"/>
  <c r="G31" i="123"/>
  <c r="H31" i="123" s="1"/>
  <c r="G31" i="125"/>
  <c r="H31" i="125" s="1"/>
  <c r="G31" i="126"/>
  <c r="H31" i="126" s="1"/>
  <c r="G31" i="127"/>
  <c r="H31" i="127" s="1"/>
  <c r="G31" i="129"/>
  <c r="H31" i="129" s="1"/>
  <c r="G31" i="130"/>
  <c r="H31" i="130" s="1"/>
  <c r="G31" i="131"/>
  <c r="H31" i="131" s="1"/>
  <c r="G31" i="133"/>
  <c r="H31" i="133" s="1"/>
  <c r="G31" i="134"/>
  <c r="H31" i="134" s="1"/>
  <c r="G31" i="135"/>
  <c r="H31" i="135" s="1"/>
  <c r="G33" i="140"/>
  <c r="H33" i="140" s="1"/>
  <c r="G33" i="148"/>
  <c r="H33" i="148" s="1"/>
  <c r="G32" i="132"/>
  <c r="H32" i="132" s="1"/>
  <c r="C32" i="132"/>
  <c r="G34" i="133"/>
  <c r="H34" i="133" s="1"/>
  <c r="C34" i="133"/>
  <c r="G32" i="136"/>
  <c r="H32" i="136" s="1"/>
  <c r="C32" i="136"/>
  <c r="G34" i="137"/>
  <c r="H34" i="137" s="1"/>
  <c r="C34" i="137"/>
  <c r="B32" i="138"/>
  <c r="B34" i="139"/>
  <c r="G32" i="140"/>
  <c r="H32" i="140" s="1"/>
  <c r="C32" i="140"/>
  <c r="G34" i="141"/>
  <c r="H34" i="141" s="1"/>
  <c r="C34" i="141"/>
  <c r="B32" i="142"/>
  <c r="B34" i="143"/>
  <c r="G32" i="144"/>
  <c r="H32" i="144" s="1"/>
  <c r="C32" i="144"/>
  <c r="G34" i="145"/>
  <c r="H34" i="145" s="1"/>
  <c r="C34" i="145"/>
  <c r="B32" i="146"/>
  <c r="B34" i="147"/>
  <c r="G32" i="148"/>
  <c r="H32" i="148" s="1"/>
  <c r="C32" i="148"/>
  <c r="G34" i="149"/>
  <c r="H34" i="149" s="1"/>
  <c r="C34" i="149"/>
  <c r="B32" i="150"/>
  <c r="B34" i="151"/>
  <c r="G31" i="151"/>
  <c r="H31" i="151" s="1"/>
  <c r="G33" i="139"/>
  <c r="H33" i="139" s="1"/>
  <c r="G33" i="147"/>
  <c r="H33" i="147" s="1"/>
  <c r="B33" i="151"/>
  <c r="G31" i="143"/>
  <c r="H31" i="143" s="1"/>
  <c r="G33" i="138"/>
  <c r="H33" i="138" s="1"/>
  <c r="G33" i="146"/>
  <c r="H33" i="146" s="1"/>
  <c r="G32" i="117"/>
  <c r="H32" i="117" s="1"/>
  <c r="G34" i="118"/>
  <c r="H34" i="118" s="1"/>
  <c r="C34" i="118"/>
  <c r="G34" i="122"/>
  <c r="H34" i="122" s="1"/>
  <c r="C34" i="122"/>
  <c r="G32" i="125"/>
  <c r="H32" i="125" s="1"/>
  <c r="C32" i="125"/>
  <c r="G34" i="126"/>
  <c r="H34" i="126" s="1"/>
  <c r="C34" i="126"/>
  <c r="G32" i="129"/>
  <c r="H32" i="129" s="1"/>
  <c r="C32" i="129"/>
  <c r="G34" i="130"/>
  <c r="H34" i="130" s="1"/>
  <c r="C34" i="130"/>
  <c r="G32" i="133"/>
  <c r="H32" i="133" s="1"/>
  <c r="C32" i="133"/>
  <c r="G34" i="134"/>
  <c r="H34" i="134" s="1"/>
  <c r="C34" i="134"/>
  <c r="B34" i="136"/>
  <c r="G32" i="137"/>
  <c r="H32" i="137" s="1"/>
  <c r="C32" i="137"/>
  <c r="G34" i="138"/>
  <c r="H34" i="138" s="1"/>
  <c r="C34" i="138"/>
  <c r="B32" i="139"/>
  <c r="B34" i="140"/>
  <c r="G32" i="141"/>
  <c r="H32" i="141" s="1"/>
  <c r="C32" i="141"/>
  <c r="G34" i="142"/>
  <c r="H34" i="142" s="1"/>
  <c r="C34" i="142"/>
  <c r="B32" i="143"/>
  <c r="B34" i="144"/>
  <c r="G32" i="145"/>
  <c r="H32" i="145" s="1"/>
  <c r="C32" i="145"/>
  <c r="G34" i="146"/>
  <c r="H34" i="146" s="1"/>
  <c r="C34" i="146"/>
  <c r="B32" i="147"/>
  <c r="B34" i="148"/>
  <c r="G32" i="149"/>
  <c r="H32" i="149" s="1"/>
  <c r="C32" i="149"/>
  <c r="G34" i="150"/>
  <c r="H34" i="150" s="1"/>
  <c r="C34" i="150"/>
  <c r="B32" i="151"/>
  <c r="G31" i="142"/>
  <c r="H31" i="142" s="1"/>
  <c r="G31" i="150"/>
  <c r="H31" i="150" s="1"/>
  <c r="AA17" i="149"/>
  <c r="AC18" i="149" s="1"/>
  <c r="AE18" i="149" s="1"/>
  <c r="S17" i="109"/>
  <c r="U17" i="109" s="1"/>
  <c r="Q17" i="142"/>
  <c r="S18" i="142" s="1"/>
  <c r="U18" i="142" s="1"/>
  <c r="F45" i="129"/>
  <c r="Q17" i="148"/>
  <c r="S18" i="148" s="1"/>
  <c r="U18" i="148" s="1"/>
  <c r="L17" i="150"/>
  <c r="N18" i="150" s="1"/>
  <c r="O18" i="150" s="1"/>
  <c r="L17" i="151"/>
  <c r="N18" i="151" s="1"/>
  <c r="O18" i="151" s="1"/>
  <c r="N17" i="144"/>
  <c r="P17" i="144" s="1"/>
  <c r="N17" i="138"/>
  <c r="P17" i="138" s="1"/>
  <c r="AA17" i="127"/>
  <c r="AC18" i="127" s="1"/>
  <c r="AE18" i="127" s="1"/>
  <c r="W17" i="129"/>
  <c r="W18" i="129" s="1"/>
  <c r="W19" i="129" s="1"/>
  <c r="W20" i="129" s="1"/>
  <c r="W21" i="129" s="1"/>
  <c r="W22" i="129" s="1"/>
  <c r="W23" i="129" s="1"/>
  <c r="W24" i="129" s="1"/>
  <c r="W25" i="129" s="1"/>
  <c r="W26" i="129" s="1"/>
  <c r="F44" i="151"/>
  <c r="F46" i="150"/>
  <c r="F43" i="150"/>
  <c r="AC17" i="150"/>
  <c r="AE17" i="150" s="1"/>
  <c r="AB17" i="150"/>
  <c r="AB18" i="150" s="1"/>
  <c r="AB19" i="150" s="1"/>
  <c r="AB20" i="150" s="1"/>
  <c r="AB21" i="150" s="1"/>
  <c r="AB22" i="150" s="1"/>
  <c r="AB23" i="150" s="1"/>
  <c r="AB24" i="150" s="1"/>
  <c r="AB25" i="150" s="1"/>
  <c r="AB26" i="150" s="1"/>
  <c r="F45" i="149"/>
  <c r="S17" i="149"/>
  <c r="U17" i="149" s="1"/>
  <c r="F45" i="148"/>
  <c r="V17" i="148"/>
  <c r="V18" i="148" s="1"/>
  <c r="V19" i="148" s="1"/>
  <c r="F45" i="147"/>
  <c r="L17" i="147"/>
  <c r="N18" i="147" s="1"/>
  <c r="O18" i="147" s="1"/>
  <c r="AC17" i="147"/>
  <c r="AD17" i="147" s="1"/>
  <c r="F43" i="146"/>
  <c r="Q17" i="146"/>
  <c r="S18" i="146" s="1"/>
  <c r="U18" i="146" s="1"/>
  <c r="F43" i="145"/>
  <c r="L17" i="145"/>
  <c r="N18" i="145" s="1"/>
  <c r="P18" i="145" s="1"/>
  <c r="S17" i="145"/>
  <c r="U17" i="145" s="1"/>
  <c r="F43" i="144"/>
  <c r="F45" i="143"/>
  <c r="F43" i="143"/>
  <c r="F44" i="143"/>
  <c r="L17" i="143"/>
  <c r="N18" i="143" s="1"/>
  <c r="P18" i="143" s="1"/>
  <c r="F46" i="142"/>
  <c r="F43" i="142"/>
  <c r="AC17" i="142"/>
  <c r="AD17" i="142" s="1"/>
  <c r="AB17" i="142"/>
  <c r="AB18" i="142" s="1"/>
  <c r="AB19" i="142" s="1"/>
  <c r="AB20" i="142" s="1"/>
  <c r="AB21" i="142" s="1"/>
  <c r="AB22" i="142" s="1"/>
  <c r="AB23" i="142" s="1"/>
  <c r="AB24" i="142" s="1"/>
  <c r="AB25" i="142" s="1"/>
  <c r="AB26" i="142" s="1"/>
  <c r="F44" i="141"/>
  <c r="F45" i="141"/>
  <c r="AC17" i="141"/>
  <c r="AE17" i="141" s="1"/>
  <c r="AB17" i="141"/>
  <c r="AB18" i="141" s="1"/>
  <c r="AB19" i="141" s="1"/>
  <c r="AB20" i="141" s="1"/>
  <c r="AB21" i="141" s="1"/>
  <c r="AB22" i="141" s="1"/>
  <c r="AB23" i="141" s="1"/>
  <c r="AB24" i="141" s="1"/>
  <c r="AB25" i="141" s="1"/>
  <c r="AB26" i="141" s="1"/>
  <c r="L17" i="141"/>
  <c r="N18" i="141" s="1"/>
  <c r="P18" i="141" s="1"/>
  <c r="X17" i="140"/>
  <c r="Y17" i="140" s="1"/>
  <c r="W17" i="140"/>
  <c r="W18" i="140" s="1"/>
  <c r="W19" i="140" s="1"/>
  <c r="W20" i="140" s="1"/>
  <c r="W21" i="140" s="1"/>
  <c r="W22" i="140" s="1"/>
  <c r="W23" i="140" s="1"/>
  <c r="W24" i="140" s="1"/>
  <c r="W25" i="140" s="1"/>
  <c r="W26" i="140" s="1"/>
  <c r="AC17" i="140"/>
  <c r="AE17" i="140" s="1"/>
  <c r="AB17" i="140"/>
  <c r="AB18" i="140" s="1"/>
  <c r="AB19" i="140" s="1"/>
  <c r="AB20" i="140" s="1"/>
  <c r="AB21" i="140" s="1"/>
  <c r="AB22" i="140" s="1"/>
  <c r="AB23" i="140" s="1"/>
  <c r="AB24" i="140" s="1"/>
  <c r="AB25" i="140" s="1"/>
  <c r="AB26" i="140" s="1"/>
  <c r="F43" i="139"/>
  <c r="F43" i="138"/>
  <c r="F43" i="137"/>
  <c r="AA17" i="137"/>
  <c r="AC18" i="137" s="1"/>
  <c r="AD18" i="137" s="1"/>
  <c r="AB17" i="137"/>
  <c r="AB18" i="137" s="1"/>
  <c r="AB19" i="137" s="1"/>
  <c r="AB20" i="137" s="1"/>
  <c r="AB21" i="137" s="1"/>
  <c r="AB22" i="137" s="1"/>
  <c r="AB23" i="137" s="1"/>
  <c r="AB24" i="137" s="1"/>
  <c r="AB25" i="137" s="1"/>
  <c r="AB26" i="137" s="1"/>
  <c r="AC17" i="136"/>
  <c r="AE17" i="136" s="1"/>
  <c r="F43" i="134"/>
  <c r="F46" i="133"/>
  <c r="X17" i="133"/>
  <c r="Z17" i="133" s="1"/>
  <c r="W17" i="133"/>
  <c r="W18" i="133" s="1"/>
  <c r="W19" i="133" s="1"/>
  <c r="W20" i="133" s="1"/>
  <c r="W21" i="133" s="1"/>
  <c r="W22" i="133" s="1"/>
  <c r="W23" i="133" s="1"/>
  <c r="W24" i="133" s="1"/>
  <c r="W25" i="133" s="1"/>
  <c r="W26" i="133" s="1"/>
  <c r="AA17" i="133"/>
  <c r="AC18" i="133" s="1"/>
  <c r="AD18" i="133" s="1"/>
  <c r="AB17" i="133"/>
  <c r="AB18" i="133" s="1"/>
  <c r="AB19" i="133" s="1"/>
  <c r="AB20" i="133" s="1"/>
  <c r="AB21" i="133" s="1"/>
  <c r="AB22" i="133" s="1"/>
  <c r="AB23" i="133" s="1"/>
  <c r="AB24" i="133" s="1"/>
  <c r="AB25" i="133" s="1"/>
  <c r="AB26" i="133" s="1"/>
  <c r="L17" i="132"/>
  <c r="N18" i="132" s="1"/>
  <c r="P18" i="132" s="1"/>
  <c r="F43" i="131"/>
  <c r="L17" i="131"/>
  <c r="N18" i="131" s="1"/>
  <c r="O18" i="131" s="1"/>
  <c r="F44" i="130"/>
  <c r="V17" i="130"/>
  <c r="V18" i="130" s="1"/>
  <c r="X19" i="130" s="1"/>
  <c r="F43" i="129"/>
  <c r="X17" i="129"/>
  <c r="Y17" i="129" s="1"/>
  <c r="N17" i="129"/>
  <c r="O17" i="129" s="1"/>
  <c r="Q17" i="129"/>
  <c r="S18" i="129" s="1"/>
  <c r="U18" i="129" s="1"/>
  <c r="AC17" i="129"/>
  <c r="AE17" i="129" s="1"/>
  <c r="F45" i="128"/>
  <c r="F43" i="128"/>
  <c r="N17" i="128"/>
  <c r="P17" i="128" s="1"/>
  <c r="F44" i="127"/>
  <c r="F45" i="127"/>
  <c r="AC17" i="127"/>
  <c r="AE17" i="127" s="1"/>
  <c r="AB17" i="127"/>
  <c r="AB18" i="127" s="1"/>
  <c r="AB19" i="127" s="1"/>
  <c r="AB20" i="127" s="1"/>
  <c r="AB21" i="127" s="1"/>
  <c r="AB22" i="127" s="1"/>
  <c r="AB23" i="127" s="1"/>
  <c r="AB24" i="127" s="1"/>
  <c r="AB25" i="127" s="1"/>
  <c r="AB26" i="127" s="1"/>
  <c r="N17" i="127"/>
  <c r="P17" i="127" s="1"/>
  <c r="F43" i="126"/>
  <c r="L17" i="126"/>
  <c r="N18" i="126" s="1"/>
  <c r="P18" i="126" s="1"/>
  <c r="F44" i="125"/>
  <c r="L17" i="125"/>
  <c r="N18" i="125" s="1"/>
  <c r="P18" i="125" s="1"/>
  <c r="F46" i="124"/>
  <c r="F44" i="124"/>
  <c r="N17" i="124"/>
  <c r="P17" i="124" s="1"/>
  <c r="AA17" i="123"/>
  <c r="AC18" i="123" s="1"/>
  <c r="AD18" i="123" s="1"/>
  <c r="F44" i="122"/>
  <c r="AB17" i="122"/>
  <c r="AB18" i="122" s="1"/>
  <c r="AB19" i="122" s="1"/>
  <c r="AB20" i="122" s="1"/>
  <c r="AB21" i="122" s="1"/>
  <c r="AB22" i="122" s="1"/>
  <c r="AB23" i="122" s="1"/>
  <c r="AB24" i="122" s="1"/>
  <c r="AB25" i="122" s="1"/>
  <c r="AB26" i="122" s="1"/>
  <c r="F45" i="119"/>
  <c r="AC17" i="118"/>
  <c r="AE17" i="118" s="1"/>
  <c r="AB17" i="118"/>
  <c r="AB18" i="118" s="1"/>
  <c r="AB19" i="118" s="1"/>
  <c r="AB20" i="118" s="1"/>
  <c r="AB21" i="118" s="1"/>
  <c r="AB22" i="118" s="1"/>
  <c r="AB23" i="118" s="1"/>
  <c r="AB24" i="118" s="1"/>
  <c r="AB25" i="118" s="1"/>
  <c r="AB26" i="118" s="1"/>
  <c r="L17" i="118"/>
  <c r="N18" i="118" s="1"/>
  <c r="P18" i="118" s="1"/>
  <c r="F46" i="117"/>
  <c r="F44" i="116"/>
  <c r="F44" i="115"/>
  <c r="F44" i="114"/>
  <c r="F46" i="114"/>
  <c r="X17" i="114"/>
  <c r="Z17" i="114" s="1"/>
  <c r="W17" i="114"/>
  <c r="W18" i="114" s="1"/>
  <c r="W19" i="114" s="1"/>
  <c r="W20" i="114" s="1"/>
  <c r="W21" i="114" s="1"/>
  <c r="W22" i="114" s="1"/>
  <c r="W23" i="114" s="1"/>
  <c r="W24" i="114" s="1"/>
  <c r="W25" i="114" s="1"/>
  <c r="W26" i="114" s="1"/>
  <c r="AA17" i="114"/>
  <c r="AC18" i="114" s="1"/>
  <c r="AD18" i="114" s="1"/>
  <c r="AB17" i="114"/>
  <c r="AB18" i="114" s="1"/>
  <c r="AB19" i="114" s="1"/>
  <c r="AB20" i="114" s="1"/>
  <c r="AB21" i="114" s="1"/>
  <c r="AB22" i="114" s="1"/>
  <c r="AB23" i="114" s="1"/>
  <c r="AB24" i="114" s="1"/>
  <c r="AB25" i="114" s="1"/>
  <c r="AB26" i="114" s="1"/>
  <c r="F44" i="113"/>
  <c r="R17" i="113"/>
  <c r="R18" i="113" s="1"/>
  <c r="R19" i="113" s="1"/>
  <c r="R20" i="113" s="1"/>
  <c r="R21" i="113" s="1"/>
  <c r="R22" i="113" s="1"/>
  <c r="R23" i="113" s="1"/>
  <c r="R24" i="113" s="1"/>
  <c r="R25" i="113" s="1"/>
  <c r="R26" i="113" s="1"/>
  <c r="AB17" i="113"/>
  <c r="AB18" i="113" s="1"/>
  <c r="AB19" i="113" s="1"/>
  <c r="AB20" i="113" s="1"/>
  <c r="AB21" i="113" s="1"/>
  <c r="AB22" i="113" s="1"/>
  <c r="AB23" i="113" s="1"/>
  <c r="AB24" i="113" s="1"/>
  <c r="AB25" i="113" s="1"/>
  <c r="AB26" i="113" s="1"/>
  <c r="AC17" i="113"/>
  <c r="AD17" i="113" s="1"/>
  <c r="F45" i="112"/>
  <c r="F46" i="112"/>
  <c r="Q17" i="112"/>
  <c r="S18" i="112" s="1"/>
  <c r="U18" i="112" s="1"/>
  <c r="F43" i="110"/>
  <c r="N17" i="110"/>
  <c r="P17" i="110" s="1"/>
  <c r="AC17" i="110"/>
  <c r="F44" i="109"/>
  <c r="F45" i="109"/>
  <c r="X17" i="109"/>
  <c r="Y17" i="109" s="1"/>
  <c r="W17" i="109"/>
  <c r="W18" i="109" s="1"/>
  <c r="W19" i="109" s="1"/>
  <c r="W20" i="109" s="1"/>
  <c r="W21" i="109" s="1"/>
  <c r="W22" i="109" s="1"/>
  <c r="W23" i="109" s="1"/>
  <c r="W24" i="109" s="1"/>
  <c r="W25" i="109" s="1"/>
  <c r="W26" i="109" s="1"/>
  <c r="AC17" i="109"/>
  <c r="AE17" i="109" s="1"/>
  <c r="AB17" i="109"/>
  <c r="AB18" i="109" s="1"/>
  <c r="AB19" i="109" s="1"/>
  <c r="AB20" i="109" s="1"/>
  <c r="AB21" i="109" s="1"/>
  <c r="AB22" i="109" s="1"/>
  <c r="AB23" i="109" s="1"/>
  <c r="AB24" i="109" s="1"/>
  <c r="AB25" i="109" s="1"/>
  <c r="AB26" i="109" s="1"/>
  <c r="F43" i="108"/>
  <c r="F45" i="108"/>
  <c r="F46" i="108"/>
  <c r="X17" i="108"/>
  <c r="Z17" i="108" s="1"/>
  <c r="AC17" i="108"/>
  <c r="AE17" i="108" s="1"/>
  <c r="AB17" i="108"/>
  <c r="AB18" i="108" s="1"/>
  <c r="AB19" i="108" s="1"/>
  <c r="AB20" i="108" s="1"/>
  <c r="AB21" i="108" s="1"/>
  <c r="AB22" i="108" s="1"/>
  <c r="AB23" i="108" s="1"/>
  <c r="AB24" i="108" s="1"/>
  <c r="AB25" i="108" s="1"/>
  <c r="AB26" i="108" s="1"/>
  <c r="W17" i="108"/>
  <c r="W18" i="108" s="1"/>
  <c r="W19" i="108" s="1"/>
  <c r="W20" i="108" s="1"/>
  <c r="W21" i="108" s="1"/>
  <c r="W22" i="108" s="1"/>
  <c r="W23" i="108" s="1"/>
  <c r="W24" i="108" s="1"/>
  <c r="W25" i="108" s="1"/>
  <c r="W26" i="108" s="1"/>
  <c r="F45" i="107"/>
  <c r="F44" i="106"/>
  <c r="N17" i="106"/>
  <c r="P17" i="106" s="1"/>
  <c r="R17" i="106"/>
  <c r="R18" i="106" s="1"/>
  <c r="R19" i="106" s="1"/>
  <c r="R20" i="106" s="1"/>
  <c r="R21" i="106" s="1"/>
  <c r="R22" i="106" s="1"/>
  <c r="R23" i="106" s="1"/>
  <c r="R24" i="106" s="1"/>
  <c r="R25" i="106" s="1"/>
  <c r="R26" i="106" s="1"/>
  <c r="W17" i="106"/>
  <c r="W18" i="106" s="1"/>
  <c r="W19" i="106" s="1"/>
  <c r="W20" i="106" s="1"/>
  <c r="W21" i="106" s="1"/>
  <c r="W22" i="106" s="1"/>
  <c r="W23" i="106" s="1"/>
  <c r="W24" i="106" s="1"/>
  <c r="W25" i="106" s="1"/>
  <c r="W26" i="106" s="1"/>
  <c r="S17" i="106"/>
  <c r="U17" i="106" s="1"/>
  <c r="F44" i="105"/>
  <c r="F44" i="104"/>
  <c r="N17" i="104"/>
  <c r="P17" i="104" s="1"/>
  <c r="Q17" i="104"/>
  <c r="S18" i="104" s="1"/>
  <c r="T18" i="104" s="1"/>
  <c r="F45" i="103"/>
  <c r="AA17" i="103"/>
  <c r="AC18" i="103" s="1"/>
  <c r="AD18" i="103" s="1"/>
  <c r="F44" i="53"/>
  <c r="AC18" i="124"/>
  <c r="AD18" i="124" s="1"/>
  <c r="AA18" i="124"/>
  <c r="AC19" i="124" s="1"/>
  <c r="AE19" i="124" s="1"/>
  <c r="AC17" i="104"/>
  <c r="AE17" i="104" s="1"/>
  <c r="AC17" i="105"/>
  <c r="AE17" i="105" s="1"/>
  <c r="AA17" i="106"/>
  <c r="AC18" i="106" s="1"/>
  <c r="AE18" i="106" s="1"/>
  <c r="N17" i="113"/>
  <c r="O17" i="113" s="1"/>
  <c r="N17" i="148"/>
  <c r="F43" i="112"/>
  <c r="Q17" i="113"/>
  <c r="S18" i="113" s="1"/>
  <c r="U18" i="113" s="1"/>
  <c r="F43" i="113"/>
  <c r="N17" i="114"/>
  <c r="P17" i="114" s="1"/>
  <c r="F43" i="114"/>
  <c r="F46" i="134"/>
  <c r="F46" i="136"/>
  <c r="F45" i="115"/>
  <c r="F43" i="148"/>
  <c r="AM7" i="129"/>
  <c r="AN7" i="129" s="1"/>
  <c r="AM7" i="144"/>
  <c r="AN7" i="144" s="1"/>
  <c r="AM7" i="145"/>
  <c r="AN7" i="145" s="1"/>
  <c r="F44" i="146"/>
  <c r="F44" i="150"/>
  <c r="AM7" i="106"/>
  <c r="AN7" i="106" s="1"/>
  <c r="AM7" i="142"/>
  <c r="AN7" i="142" s="1"/>
  <c r="V17" i="143"/>
  <c r="V18" i="143" s="1"/>
  <c r="X19" i="143" s="1"/>
  <c r="AM7" i="128"/>
  <c r="AN7" i="128" s="1"/>
  <c r="F44" i="128"/>
  <c r="V17" i="141"/>
  <c r="AA17" i="142"/>
  <c r="AC18" i="142" s="1"/>
  <c r="AE18" i="142" s="1"/>
  <c r="AA17" i="144"/>
  <c r="AC18" i="144" s="1"/>
  <c r="AE18" i="144" s="1"/>
  <c r="V17" i="145"/>
  <c r="V18" i="145" s="1"/>
  <c r="X19" i="145" s="1"/>
  <c r="F44" i="145"/>
  <c r="F46" i="147"/>
  <c r="AM7" i="104"/>
  <c r="AN7" i="104" s="1"/>
  <c r="AM7" i="105"/>
  <c r="AN7" i="105" s="1"/>
  <c r="F45" i="111"/>
  <c r="Q17" i="119"/>
  <c r="S18" i="119" s="1"/>
  <c r="U18" i="119" s="1"/>
  <c r="F43" i="119"/>
  <c r="F43" i="123"/>
  <c r="AM7" i="124"/>
  <c r="AN7" i="124" s="1"/>
  <c r="F43" i="127"/>
  <c r="AA17" i="130"/>
  <c r="AC18" i="130" s="1"/>
  <c r="AE18" i="130" s="1"/>
  <c r="V17" i="133"/>
  <c r="V18" i="133" s="1"/>
  <c r="V19" i="133" s="1"/>
  <c r="L17" i="135"/>
  <c r="N18" i="135" s="1"/>
  <c r="O18" i="135" s="1"/>
  <c r="F43" i="135"/>
  <c r="AM7" i="136"/>
  <c r="AN7" i="136" s="1"/>
  <c r="Q17" i="139"/>
  <c r="S18" i="139" s="1"/>
  <c r="T18" i="139" s="1"/>
  <c r="N17" i="140"/>
  <c r="P17" i="140" s="1"/>
  <c r="F44" i="142"/>
  <c r="F45" i="151"/>
  <c r="AA17" i="139"/>
  <c r="AC18" i="139" s="1"/>
  <c r="AE18" i="139" s="1"/>
  <c r="AM7" i="140"/>
  <c r="AN7" i="140" s="1"/>
  <c r="AM7" i="117"/>
  <c r="AN7" i="117" s="1"/>
  <c r="V17" i="118"/>
  <c r="V18" i="118" s="1"/>
  <c r="X19" i="118" s="1"/>
  <c r="F43" i="118"/>
  <c r="F43" i="122"/>
  <c r="AC17" i="124"/>
  <c r="AE17" i="124" s="1"/>
  <c r="V17" i="125"/>
  <c r="V18" i="125" s="1"/>
  <c r="X19" i="125" s="1"/>
  <c r="V17" i="126"/>
  <c r="V18" i="126" s="1"/>
  <c r="X19" i="126" s="1"/>
  <c r="AC17" i="131"/>
  <c r="AE17" i="131" s="1"/>
  <c r="AC17" i="133"/>
  <c r="AE17" i="133" s="1"/>
  <c r="AA17" i="135"/>
  <c r="AC18" i="135" s="1"/>
  <c r="AD18" i="135" s="1"/>
  <c r="AA17" i="136"/>
  <c r="AC18" i="136" s="1"/>
  <c r="AE18" i="136" s="1"/>
  <c r="AM7" i="139"/>
  <c r="AN7" i="139" s="1"/>
  <c r="F46" i="151"/>
  <c r="V17" i="137"/>
  <c r="V18" i="137" s="1"/>
  <c r="X19" i="137" s="1"/>
  <c r="F45" i="105"/>
  <c r="F45" i="104"/>
  <c r="AA17" i="117"/>
  <c r="AC18" i="117" s="1"/>
  <c r="AD18" i="117" s="1"/>
  <c r="AA17" i="118"/>
  <c r="AC18" i="118" s="1"/>
  <c r="AE18" i="118" s="1"/>
  <c r="S17" i="122"/>
  <c r="U17" i="122" s="1"/>
  <c r="F46" i="129"/>
  <c r="F44" i="133"/>
  <c r="F43" i="136"/>
  <c r="AC17" i="137"/>
  <c r="AE17" i="137" s="1"/>
  <c r="F45" i="140"/>
  <c r="N17" i="116"/>
  <c r="P17" i="116" s="1"/>
  <c r="V17" i="107"/>
  <c r="V18" i="107" s="1"/>
  <c r="X19" i="107" s="1"/>
  <c r="AM7" i="103"/>
  <c r="AN7" i="103" s="1"/>
  <c r="AM7" i="116"/>
  <c r="AN7" i="116" s="1"/>
  <c r="Q17" i="116"/>
  <c r="S18" i="116" s="1"/>
  <c r="T18" i="116" s="1"/>
  <c r="F45" i="117"/>
  <c r="F45" i="122"/>
  <c r="F45" i="126"/>
  <c r="F46" i="130"/>
  <c r="F45" i="134"/>
  <c r="F46" i="106"/>
  <c r="F45" i="116"/>
  <c r="AE17" i="112"/>
  <c r="AD17" i="112"/>
  <c r="P17" i="139"/>
  <c r="O17" i="139"/>
  <c r="AD17" i="144"/>
  <c r="AE17" i="144"/>
  <c r="AC18" i="143"/>
  <c r="AE18" i="143" s="1"/>
  <c r="AA18" i="143"/>
  <c r="AC19" i="143" s="1"/>
  <c r="AE19" i="143" s="1"/>
  <c r="AC18" i="104"/>
  <c r="AE18" i="104" s="1"/>
  <c r="AA18" i="104"/>
  <c r="AC19" i="104" s="1"/>
  <c r="AD19" i="104" s="1"/>
  <c r="P17" i="146"/>
  <c r="O17" i="146"/>
  <c r="N18" i="129"/>
  <c r="P18" i="129" s="1"/>
  <c r="L18" i="129"/>
  <c r="N19" i="129" s="1"/>
  <c r="P19" i="129" s="1"/>
  <c r="AC18" i="113"/>
  <c r="AE18" i="113" s="1"/>
  <c r="AA18" i="113"/>
  <c r="AC19" i="113" s="1"/>
  <c r="AD19" i="113" s="1"/>
  <c r="P17" i="143"/>
  <c r="O17" i="143"/>
  <c r="O17" i="132"/>
  <c r="P17" i="132"/>
  <c r="Q17" i="103"/>
  <c r="S18" i="103" s="1"/>
  <c r="U18" i="103" s="1"/>
  <c r="S17" i="105"/>
  <c r="U17" i="105" s="1"/>
  <c r="F43" i="106"/>
  <c r="AA17" i="108"/>
  <c r="V17" i="109"/>
  <c r="Q17" i="111"/>
  <c r="S18" i="111" s="1"/>
  <c r="U18" i="111" s="1"/>
  <c r="S17" i="117"/>
  <c r="U17" i="117" s="1"/>
  <c r="F46" i="118"/>
  <c r="AA17" i="119"/>
  <c r="AC18" i="119" s="1"/>
  <c r="AD18" i="119" s="1"/>
  <c r="F45" i="124"/>
  <c r="F44" i="126"/>
  <c r="F43" i="132"/>
  <c r="AM7" i="133"/>
  <c r="AN7" i="133" s="1"/>
  <c r="N17" i="133"/>
  <c r="F44" i="134"/>
  <c r="V17" i="135"/>
  <c r="N17" i="137"/>
  <c r="P17" i="137" s="1"/>
  <c r="AC17" i="143"/>
  <c r="F45" i="145"/>
  <c r="N17" i="103"/>
  <c r="AM7" i="120"/>
  <c r="AN7" i="120" s="1"/>
  <c r="F46" i="110"/>
  <c r="S17" i="123"/>
  <c r="U17" i="123" s="1"/>
  <c r="AA17" i="109"/>
  <c r="AC18" i="109" s="1"/>
  <c r="AD18" i="109" s="1"/>
  <c r="V17" i="123"/>
  <c r="AA17" i="125"/>
  <c r="AC18" i="125" s="1"/>
  <c r="AE18" i="125" s="1"/>
  <c r="V17" i="129"/>
  <c r="F43" i="130"/>
  <c r="Q17" i="131"/>
  <c r="S18" i="131" s="1"/>
  <c r="U18" i="131" s="1"/>
  <c r="V17" i="146"/>
  <c r="V17" i="105"/>
  <c r="V17" i="103"/>
  <c r="F45" i="106"/>
  <c r="F43" i="109"/>
  <c r="F45" i="110"/>
  <c r="V17" i="111"/>
  <c r="F46" i="116"/>
  <c r="F43" i="117"/>
  <c r="AM7" i="118"/>
  <c r="AN7" i="118" s="1"/>
  <c r="F44" i="119"/>
  <c r="F44" i="132"/>
  <c r="V17" i="142"/>
  <c r="AM4" i="148"/>
  <c r="AN4" i="148" s="1"/>
  <c r="AM4" i="150"/>
  <c r="AN4" i="150" s="1"/>
  <c r="AM7" i="122"/>
  <c r="AN7" i="122" s="1"/>
  <c r="F46" i="122"/>
  <c r="F46" i="126"/>
  <c r="F45" i="132"/>
  <c r="F44" i="147"/>
  <c r="F46" i="138"/>
  <c r="F43" i="151"/>
  <c r="F46" i="148"/>
  <c r="F44" i="103"/>
  <c r="V17" i="104"/>
  <c r="F43" i="105"/>
  <c r="Q17" i="106"/>
  <c r="S18" i="106" s="1"/>
  <c r="U18" i="106" s="1"/>
  <c r="AA17" i="107"/>
  <c r="AC18" i="107" s="1"/>
  <c r="AE18" i="107" s="1"/>
  <c r="AE17" i="111"/>
  <c r="F44" i="112"/>
  <c r="Q17" i="114"/>
  <c r="S18" i="114" s="1"/>
  <c r="T18" i="114" s="1"/>
  <c r="L17" i="115"/>
  <c r="P17" i="126"/>
  <c r="L17" i="130"/>
  <c r="N18" i="130" s="1"/>
  <c r="O18" i="130" s="1"/>
  <c r="Q17" i="140"/>
  <c r="S18" i="140" s="1"/>
  <c r="T18" i="140" s="1"/>
  <c r="O17" i="150"/>
  <c r="V17" i="110"/>
  <c r="L17" i="119"/>
  <c r="N18" i="119" s="1"/>
  <c r="O18" i="119" s="1"/>
  <c r="F46" i="119"/>
  <c r="V17" i="122"/>
  <c r="AA18" i="131"/>
  <c r="AC19" i="131" s="1"/>
  <c r="AD19" i="131" s="1"/>
  <c r="AM7" i="132"/>
  <c r="AN7" i="132" s="1"/>
  <c r="F44" i="135"/>
  <c r="F44" i="137"/>
  <c r="Q17" i="138"/>
  <c r="S18" i="138" s="1"/>
  <c r="U18" i="138" s="1"/>
  <c r="F44" i="139"/>
  <c r="F46" i="144"/>
  <c r="AA17" i="145"/>
  <c r="AC18" i="145" s="1"/>
  <c r="AE18" i="145" s="1"/>
  <c r="Q17" i="147"/>
  <c r="S18" i="147" s="1"/>
  <c r="U18" i="147" s="1"/>
  <c r="F44" i="149"/>
  <c r="AM7" i="109"/>
  <c r="AN7" i="109" s="1"/>
  <c r="V17" i="128"/>
  <c r="AM7" i="134"/>
  <c r="AN7" i="134" s="1"/>
  <c r="S17" i="136"/>
  <c r="U17" i="136" s="1"/>
  <c r="AM7" i="143"/>
  <c r="AN7" i="143" s="1"/>
  <c r="Q17" i="150"/>
  <c r="S18" i="150" s="1"/>
  <c r="U18" i="150" s="1"/>
  <c r="L17" i="112"/>
  <c r="N18" i="112" s="1"/>
  <c r="P18" i="112" s="1"/>
  <c r="AM7" i="115"/>
  <c r="AN7" i="115" s="1"/>
  <c r="V17" i="116"/>
  <c r="V17" i="106"/>
  <c r="L17" i="108"/>
  <c r="N18" i="108" s="1"/>
  <c r="O18" i="108" s="1"/>
  <c r="F44" i="108"/>
  <c r="F46" i="109"/>
  <c r="AA18" i="111"/>
  <c r="AC19" i="111" s="1"/>
  <c r="AE19" i="111" s="1"/>
  <c r="AM7" i="112"/>
  <c r="AN7" i="112" s="1"/>
  <c r="F45" i="113"/>
  <c r="AM7" i="119"/>
  <c r="AN7" i="119" s="1"/>
  <c r="F45" i="123"/>
  <c r="F45" i="125"/>
  <c r="F44" i="129"/>
  <c r="Q17" i="132"/>
  <c r="S18" i="132" s="1"/>
  <c r="U18" i="132" s="1"/>
  <c r="F45" i="135"/>
  <c r="V17" i="136"/>
  <c r="F45" i="139"/>
  <c r="AA17" i="140"/>
  <c r="AC18" i="140" s="1"/>
  <c r="AE18" i="140" s="1"/>
  <c r="AM7" i="141"/>
  <c r="AN7" i="141" s="1"/>
  <c r="Q17" i="144"/>
  <c r="S18" i="144" s="1"/>
  <c r="U18" i="144" s="1"/>
  <c r="L17" i="146"/>
  <c r="N18" i="146" s="1"/>
  <c r="O18" i="146" s="1"/>
  <c r="F46" i="103"/>
  <c r="V17" i="113"/>
  <c r="AM4" i="123"/>
  <c r="AN4" i="123" s="1"/>
  <c r="AA17" i="126"/>
  <c r="AC18" i="126" s="1"/>
  <c r="AE18" i="126" s="1"/>
  <c r="AA17" i="128"/>
  <c r="AC18" i="128" s="1"/>
  <c r="AD18" i="128" s="1"/>
  <c r="V17" i="132"/>
  <c r="V17" i="138"/>
  <c r="Q17" i="141"/>
  <c r="S18" i="141" s="1"/>
  <c r="U18" i="141" s="1"/>
  <c r="Q17" i="143"/>
  <c r="S18" i="143" s="1"/>
  <c r="U18" i="143" s="1"/>
  <c r="F45" i="146"/>
  <c r="V17" i="147"/>
  <c r="AA17" i="148"/>
  <c r="AC18" i="148" s="1"/>
  <c r="AD18" i="148" s="1"/>
  <c r="F46" i="105"/>
  <c r="F43" i="107"/>
  <c r="AM7" i="108"/>
  <c r="AN7" i="108" s="1"/>
  <c r="F44" i="111"/>
  <c r="F46" i="113"/>
  <c r="F44" i="118"/>
  <c r="F46" i="123"/>
  <c r="AM7" i="125"/>
  <c r="AN7" i="125" s="1"/>
  <c r="F45" i="131"/>
  <c r="V17" i="150"/>
  <c r="F43" i="104"/>
  <c r="N17" i="105"/>
  <c r="P17" i="105" s="1"/>
  <c r="L17" i="107"/>
  <c r="F44" i="107"/>
  <c r="Q17" i="108"/>
  <c r="S18" i="108" s="1"/>
  <c r="U18" i="108" s="1"/>
  <c r="L17" i="111"/>
  <c r="N18" i="111" s="1"/>
  <c r="P18" i="111" s="1"/>
  <c r="F45" i="114"/>
  <c r="F45" i="133"/>
  <c r="F46" i="135"/>
  <c r="F46" i="137"/>
  <c r="L17" i="139"/>
  <c r="L17" i="142"/>
  <c r="N18" i="142" s="1"/>
  <c r="P18" i="142" s="1"/>
  <c r="F46" i="143"/>
  <c r="V17" i="144"/>
  <c r="F46" i="146"/>
  <c r="L17" i="149"/>
  <c r="N18" i="149" s="1"/>
  <c r="P18" i="149" s="1"/>
  <c r="AA17" i="141"/>
  <c r="AC18" i="141" s="1"/>
  <c r="AD18" i="141" s="1"/>
  <c r="AA17" i="150"/>
  <c r="AC18" i="150" s="1"/>
  <c r="AD18" i="150" s="1"/>
  <c r="V17" i="108"/>
  <c r="V17" i="112"/>
  <c r="Q17" i="135"/>
  <c r="S18" i="135" s="1"/>
  <c r="T18" i="135" s="1"/>
  <c r="AM7" i="150"/>
  <c r="AN7" i="150" s="1"/>
  <c r="AK4" i="151"/>
  <c r="AK7" i="151"/>
  <c r="AK3" i="151"/>
  <c r="AK6" i="151"/>
  <c r="AK10" i="151"/>
  <c r="AK9" i="151"/>
  <c r="AK5" i="151"/>
  <c r="AK8" i="151"/>
  <c r="AM4" i="151"/>
  <c r="AN4" i="151" s="1"/>
  <c r="AM8" i="151"/>
  <c r="AN8" i="151" s="1"/>
  <c r="AM1" i="151"/>
  <c r="AM5" i="151"/>
  <c r="AN5" i="151" s="1"/>
  <c r="AM2" i="151"/>
  <c r="AN2" i="151" s="1"/>
  <c r="AM6" i="151"/>
  <c r="AN6" i="151" s="1"/>
  <c r="V17" i="151"/>
  <c r="AM3" i="151"/>
  <c r="AN3" i="151" s="1"/>
  <c r="AM4" i="149"/>
  <c r="AN4" i="149" s="1"/>
  <c r="Z17" i="150"/>
  <c r="Y17" i="150"/>
  <c r="AK4" i="150"/>
  <c r="AK7" i="150"/>
  <c r="AK3" i="150"/>
  <c r="AK6" i="150"/>
  <c r="AK10" i="150"/>
  <c r="AK5" i="150"/>
  <c r="AK9" i="150"/>
  <c r="AK8" i="150"/>
  <c r="AM8" i="150"/>
  <c r="AN8" i="150" s="1"/>
  <c r="AM1" i="150"/>
  <c r="AM5" i="150"/>
  <c r="AN5" i="150" s="1"/>
  <c r="AM2" i="150"/>
  <c r="AN2" i="150" s="1"/>
  <c r="AM6" i="150"/>
  <c r="AN6" i="150" s="1"/>
  <c r="T17" i="150"/>
  <c r="AM3" i="150"/>
  <c r="AN3" i="150" s="1"/>
  <c r="AM8" i="148"/>
  <c r="AN8" i="148" s="1"/>
  <c r="Z17" i="149"/>
  <c r="Y17" i="149"/>
  <c r="AK4" i="149"/>
  <c r="AK7" i="149"/>
  <c r="AK3" i="149"/>
  <c r="AK6" i="149"/>
  <c r="AK10" i="149"/>
  <c r="AK8" i="149"/>
  <c r="AK9" i="149"/>
  <c r="AK5" i="149"/>
  <c r="AM8" i="149"/>
  <c r="AN8" i="149" s="1"/>
  <c r="AM1" i="149"/>
  <c r="AD17" i="149"/>
  <c r="AM5" i="149"/>
  <c r="AN5" i="149" s="1"/>
  <c r="O17" i="149"/>
  <c r="AM2" i="149"/>
  <c r="AN2" i="149" s="1"/>
  <c r="AM6" i="149"/>
  <c r="AN6" i="149" s="1"/>
  <c r="AM3" i="149"/>
  <c r="AN3" i="149" s="1"/>
  <c r="AM4" i="147"/>
  <c r="AN4" i="147" s="1"/>
  <c r="Z17" i="148"/>
  <c r="Y17" i="148"/>
  <c r="P18" i="148"/>
  <c r="O18" i="148"/>
  <c r="AK4" i="148"/>
  <c r="AK6" i="148"/>
  <c r="AK7" i="148"/>
  <c r="AK3" i="148"/>
  <c r="AK10" i="148"/>
  <c r="AK9" i="148"/>
  <c r="AK5" i="148"/>
  <c r="AK8" i="148"/>
  <c r="AM1" i="148"/>
  <c r="AD17" i="148"/>
  <c r="AM5" i="148"/>
  <c r="AN5" i="148" s="1"/>
  <c r="L18" i="148"/>
  <c r="AM2" i="148"/>
  <c r="AN2" i="148" s="1"/>
  <c r="AM6" i="148"/>
  <c r="AN6" i="148" s="1"/>
  <c r="T17" i="148"/>
  <c r="AM3" i="148"/>
  <c r="AN3" i="148" s="1"/>
  <c r="AM4" i="146"/>
  <c r="AN4" i="146" s="1"/>
  <c r="AE18" i="147"/>
  <c r="AD18" i="147"/>
  <c r="Z17" i="147"/>
  <c r="Y17" i="147"/>
  <c r="AK4" i="147"/>
  <c r="AK7" i="147"/>
  <c r="AK3" i="147"/>
  <c r="AK6" i="147"/>
  <c r="AK10" i="147"/>
  <c r="AK9" i="147"/>
  <c r="AK5" i="147"/>
  <c r="AK8" i="147"/>
  <c r="AM8" i="147"/>
  <c r="AN8" i="147" s="1"/>
  <c r="AM1" i="147"/>
  <c r="AM5" i="147"/>
  <c r="AN5" i="147" s="1"/>
  <c r="O17" i="147"/>
  <c r="AA18" i="147"/>
  <c r="AM2" i="147"/>
  <c r="AN2" i="147" s="1"/>
  <c r="AM6" i="147"/>
  <c r="AN6" i="147" s="1"/>
  <c r="T17" i="147"/>
  <c r="AM3" i="147"/>
  <c r="AN3" i="147" s="1"/>
  <c r="AM4" i="145"/>
  <c r="AN4" i="145" s="1"/>
  <c r="AK4" i="146"/>
  <c r="AK7" i="146"/>
  <c r="AK3" i="146"/>
  <c r="AK6" i="146"/>
  <c r="AK9" i="146"/>
  <c r="AK10" i="146"/>
  <c r="AK5" i="146"/>
  <c r="AK8" i="146"/>
  <c r="Z17" i="146"/>
  <c r="Y17" i="146"/>
  <c r="T18" i="146"/>
  <c r="AM8" i="146"/>
  <c r="AN8" i="146" s="1"/>
  <c r="AM1" i="146"/>
  <c r="AD17" i="146"/>
  <c r="AM5" i="146"/>
  <c r="AN5" i="146" s="1"/>
  <c r="AM2" i="146"/>
  <c r="AN2" i="146" s="1"/>
  <c r="AM6" i="146"/>
  <c r="AN6" i="146" s="1"/>
  <c r="T17" i="146"/>
  <c r="AM3" i="146"/>
  <c r="AN3" i="146" s="1"/>
  <c r="AM8" i="144"/>
  <c r="AN8" i="144" s="1"/>
  <c r="AM5" i="144"/>
  <c r="AN5" i="144" s="1"/>
  <c r="AM4" i="144"/>
  <c r="AN4" i="144" s="1"/>
  <c r="AK4" i="145"/>
  <c r="AK7" i="145"/>
  <c r="AK3" i="145"/>
  <c r="AK6" i="145"/>
  <c r="AK10" i="145"/>
  <c r="AK5" i="145"/>
  <c r="AK9" i="145"/>
  <c r="AK8" i="145"/>
  <c r="Z17" i="145"/>
  <c r="Y17" i="145"/>
  <c r="AM8" i="145"/>
  <c r="AN8" i="145" s="1"/>
  <c r="AM1" i="145"/>
  <c r="AD17" i="145"/>
  <c r="AM5" i="145"/>
  <c r="AN5" i="145" s="1"/>
  <c r="O17" i="145"/>
  <c r="AM2" i="145"/>
  <c r="AN2" i="145" s="1"/>
  <c r="AM6" i="145"/>
  <c r="AN6" i="145" s="1"/>
  <c r="AM3" i="145"/>
  <c r="AN3" i="145" s="1"/>
  <c r="AM5" i="143"/>
  <c r="AN5" i="143" s="1"/>
  <c r="Z17" i="144"/>
  <c r="Y17" i="144"/>
  <c r="P18" i="144"/>
  <c r="O18" i="144"/>
  <c r="AK4" i="144"/>
  <c r="AK7" i="144"/>
  <c r="AK3" i="144"/>
  <c r="AK8" i="144"/>
  <c r="AK6" i="144"/>
  <c r="AK10" i="144"/>
  <c r="AK9" i="144"/>
  <c r="AK5" i="144"/>
  <c r="AM1" i="144"/>
  <c r="L18" i="144"/>
  <c r="AM2" i="144"/>
  <c r="AN2" i="144" s="1"/>
  <c r="AM6" i="144"/>
  <c r="AN6" i="144" s="1"/>
  <c r="T17" i="144"/>
  <c r="AM3" i="144"/>
  <c r="AN3" i="144" s="1"/>
  <c r="AM4" i="142"/>
  <c r="AN4" i="142" s="1"/>
  <c r="Z17" i="143"/>
  <c r="Y17" i="143"/>
  <c r="AM4" i="143"/>
  <c r="AN4" i="143" s="1"/>
  <c r="AK8" i="143"/>
  <c r="AM8" i="143"/>
  <c r="AN8" i="143" s="1"/>
  <c r="AK5" i="143"/>
  <c r="AM1" i="143"/>
  <c r="AK9" i="143"/>
  <c r="AK10" i="143"/>
  <c r="AM2" i="143"/>
  <c r="AN2" i="143" s="1"/>
  <c r="AM6" i="143"/>
  <c r="AN6" i="143" s="1"/>
  <c r="T17" i="143"/>
  <c r="AK3" i="143"/>
  <c r="AM3" i="143"/>
  <c r="AN3" i="143" s="1"/>
  <c r="AK7" i="143"/>
  <c r="AK6" i="143"/>
  <c r="U17" i="142"/>
  <c r="T17" i="142"/>
  <c r="Z17" i="142"/>
  <c r="Y17" i="142"/>
  <c r="AK4" i="142"/>
  <c r="AK7" i="142"/>
  <c r="AK3" i="142"/>
  <c r="AK6" i="142"/>
  <c r="AK10" i="142"/>
  <c r="AK8" i="142"/>
  <c r="AK9" i="142"/>
  <c r="AK5" i="142"/>
  <c r="AM8" i="142"/>
  <c r="AN8" i="142" s="1"/>
  <c r="AM1" i="142"/>
  <c r="AM5" i="142"/>
  <c r="AN5" i="142" s="1"/>
  <c r="AA18" i="142"/>
  <c r="AM2" i="142"/>
  <c r="AN2" i="142" s="1"/>
  <c r="AM6" i="142"/>
  <c r="AN6" i="142" s="1"/>
  <c r="AM3" i="142"/>
  <c r="AN3" i="142" s="1"/>
  <c r="Z17" i="141"/>
  <c r="Y17" i="141"/>
  <c r="AK4" i="141"/>
  <c r="AK7" i="141"/>
  <c r="AK3" i="141"/>
  <c r="AK6" i="141"/>
  <c r="AK10" i="141"/>
  <c r="AK9" i="141"/>
  <c r="AK5" i="141"/>
  <c r="AK8" i="141"/>
  <c r="AM4" i="141"/>
  <c r="AN4" i="141" s="1"/>
  <c r="AM8" i="141"/>
  <c r="AN8" i="141" s="1"/>
  <c r="AM1" i="141"/>
  <c r="AM5" i="141"/>
  <c r="AN5" i="141" s="1"/>
  <c r="O17" i="141"/>
  <c r="L18" i="141"/>
  <c r="AM2" i="141"/>
  <c r="AN2" i="141" s="1"/>
  <c r="AM6" i="141"/>
  <c r="AN6" i="141" s="1"/>
  <c r="AM3" i="141"/>
  <c r="AN3" i="141" s="1"/>
  <c r="AM5" i="139"/>
  <c r="AN5" i="139" s="1"/>
  <c r="AK4" i="140"/>
  <c r="AK7" i="140"/>
  <c r="AK3" i="140"/>
  <c r="AK6" i="140"/>
  <c r="AK10" i="140"/>
  <c r="AK9" i="140"/>
  <c r="AK5" i="140"/>
  <c r="AK8" i="140"/>
  <c r="P18" i="140"/>
  <c r="O18" i="140"/>
  <c r="AM4" i="140"/>
  <c r="AN4" i="140" s="1"/>
  <c r="AM8" i="140"/>
  <c r="AN8" i="140" s="1"/>
  <c r="AM1" i="140"/>
  <c r="AM5" i="140"/>
  <c r="AN5" i="140" s="1"/>
  <c r="L18" i="140"/>
  <c r="AM2" i="140"/>
  <c r="AN2" i="140" s="1"/>
  <c r="AM6" i="140"/>
  <c r="AN6" i="140" s="1"/>
  <c r="T17" i="140"/>
  <c r="V17" i="140"/>
  <c r="AM3" i="140"/>
  <c r="AN3" i="140" s="1"/>
  <c r="Z17" i="139"/>
  <c r="Y17" i="139"/>
  <c r="AK4" i="139"/>
  <c r="AK7" i="139"/>
  <c r="AK3" i="139"/>
  <c r="AK6" i="139"/>
  <c r="AK9" i="139"/>
  <c r="AK10" i="139"/>
  <c r="AK5" i="139"/>
  <c r="AK8" i="139"/>
  <c r="AM4" i="139"/>
  <c r="AN4" i="139" s="1"/>
  <c r="AM8" i="139"/>
  <c r="AN8" i="139" s="1"/>
  <c r="AM1" i="139"/>
  <c r="AD17" i="139"/>
  <c r="AM2" i="139"/>
  <c r="AN2" i="139" s="1"/>
  <c r="AM6" i="139"/>
  <c r="AN6" i="139" s="1"/>
  <c r="T17" i="139"/>
  <c r="V17" i="139"/>
  <c r="AM3" i="139"/>
  <c r="AN3" i="139" s="1"/>
  <c r="AM7" i="137"/>
  <c r="AN7" i="137" s="1"/>
  <c r="Z17" i="138"/>
  <c r="Y17" i="138"/>
  <c r="AK4" i="138"/>
  <c r="AK7" i="138"/>
  <c r="AK3" i="138"/>
  <c r="AK6" i="138"/>
  <c r="AK10" i="138"/>
  <c r="AK9" i="138"/>
  <c r="AK5" i="138"/>
  <c r="AK8" i="138"/>
  <c r="P18" i="138"/>
  <c r="O18" i="138"/>
  <c r="AM4" i="138"/>
  <c r="AN4" i="138" s="1"/>
  <c r="AM8" i="138"/>
  <c r="AN8" i="138" s="1"/>
  <c r="AM1" i="138"/>
  <c r="AM5" i="138"/>
  <c r="AN5" i="138" s="1"/>
  <c r="L18" i="138"/>
  <c r="AM2" i="138"/>
  <c r="AN2" i="138" s="1"/>
  <c r="AM6" i="138"/>
  <c r="AN6" i="138" s="1"/>
  <c r="T17" i="138"/>
  <c r="AM3" i="138"/>
  <c r="AN3" i="138" s="1"/>
  <c r="AM4" i="136"/>
  <c r="AN4" i="136" s="1"/>
  <c r="Z17" i="137"/>
  <c r="Y17" i="137"/>
  <c r="AK4" i="137"/>
  <c r="AK7" i="137"/>
  <c r="AK3" i="137"/>
  <c r="AK6" i="137"/>
  <c r="AK10" i="137"/>
  <c r="AK9" i="137"/>
  <c r="AK5" i="137"/>
  <c r="AK8" i="137"/>
  <c r="P18" i="137"/>
  <c r="O18" i="137"/>
  <c r="AM4" i="137"/>
  <c r="AN4" i="137" s="1"/>
  <c r="AM8" i="137"/>
  <c r="AN8" i="137" s="1"/>
  <c r="AM1" i="137"/>
  <c r="AM5" i="137"/>
  <c r="AN5" i="137" s="1"/>
  <c r="L18" i="137"/>
  <c r="AM2" i="137"/>
  <c r="AN2" i="137" s="1"/>
  <c r="AM6" i="137"/>
  <c r="AN6" i="137" s="1"/>
  <c r="AM3" i="137"/>
  <c r="AN3" i="137" s="1"/>
  <c r="S18" i="136"/>
  <c r="Q18" i="136"/>
  <c r="AK4" i="136"/>
  <c r="AK7" i="136"/>
  <c r="AK3" i="136"/>
  <c r="AK6" i="136"/>
  <c r="AK10" i="136"/>
  <c r="AK9" i="136"/>
  <c r="AK5" i="136"/>
  <c r="AK8" i="136"/>
  <c r="Z17" i="136"/>
  <c r="Y17" i="136"/>
  <c r="AM8" i="136"/>
  <c r="AN8" i="136" s="1"/>
  <c r="AM1" i="136"/>
  <c r="AM5" i="136"/>
  <c r="AN5" i="136" s="1"/>
  <c r="O17" i="136"/>
  <c r="AM2" i="136"/>
  <c r="AN2" i="136" s="1"/>
  <c r="AM6" i="136"/>
  <c r="AN6" i="136" s="1"/>
  <c r="AM3" i="136"/>
  <c r="AN3" i="136" s="1"/>
  <c r="U17" i="135"/>
  <c r="T17" i="135"/>
  <c r="Z17" i="135"/>
  <c r="Y17" i="135"/>
  <c r="AK4" i="135"/>
  <c r="AK7" i="135"/>
  <c r="AK3" i="135"/>
  <c r="AK6" i="135"/>
  <c r="AK10" i="135"/>
  <c r="AK9" i="135"/>
  <c r="AK5" i="135"/>
  <c r="AK8" i="135"/>
  <c r="U18" i="135"/>
  <c r="AM4" i="135"/>
  <c r="AN4" i="135" s="1"/>
  <c r="AM8" i="135"/>
  <c r="AN8" i="135" s="1"/>
  <c r="AM1" i="135"/>
  <c r="AD17" i="135"/>
  <c r="AM5" i="135"/>
  <c r="AN5" i="135" s="1"/>
  <c r="O17" i="135"/>
  <c r="AM2" i="135"/>
  <c r="AN2" i="135" s="1"/>
  <c r="AM6" i="135"/>
  <c r="AN6" i="135" s="1"/>
  <c r="AM3" i="135"/>
  <c r="AN3" i="135" s="1"/>
  <c r="AM8" i="133"/>
  <c r="AN8" i="133" s="1"/>
  <c r="AM4" i="133"/>
  <c r="AN4" i="133" s="1"/>
  <c r="T17" i="134"/>
  <c r="AK4" i="134"/>
  <c r="AK7" i="134"/>
  <c r="AK3" i="134"/>
  <c r="AK6" i="134"/>
  <c r="AK10" i="134"/>
  <c r="AK9" i="134"/>
  <c r="AK5" i="134"/>
  <c r="AK8" i="134"/>
  <c r="AM4" i="134"/>
  <c r="AN4" i="134" s="1"/>
  <c r="AM8" i="134"/>
  <c r="AN8" i="134" s="1"/>
  <c r="AM1" i="134"/>
  <c r="AM5" i="134"/>
  <c r="AN5" i="134" s="1"/>
  <c r="O17" i="134"/>
  <c r="AA18" i="134"/>
  <c r="AM2" i="134"/>
  <c r="AN2" i="134" s="1"/>
  <c r="AM6" i="134"/>
  <c r="AN6" i="134" s="1"/>
  <c r="AM3" i="134"/>
  <c r="AN3" i="134" s="1"/>
  <c r="AK4" i="133"/>
  <c r="AK7" i="133"/>
  <c r="AK3" i="133"/>
  <c r="AK6" i="133"/>
  <c r="AK10" i="133"/>
  <c r="AK9" i="133"/>
  <c r="AK5" i="133"/>
  <c r="AK8" i="133"/>
  <c r="P18" i="133"/>
  <c r="O18" i="133"/>
  <c r="AM1" i="133"/>
  <c r="AM5" i="133"/>
  <c r="AN5" i="133" s="1"/>
  <c r="L18" i="133"/>
  <c r="AM2" i="133"/>
  <c r="AN2" i="133" s="1"/>
  <c r="AM6" i="133"/>
  <c r="AN6" i="133" s="1"/>
  <c r="AM3" i="133"/>
  <c r="AN3" i="133" s="1"/>
  <c r="AM1" i="131"/>
  <c r="AN1" i="131" s="1"/>
  <c r="U17" i="132"/>
  <c r="T17" i="132"/>
  <c r="Z17" i="132"/>
  <c r="AK4" i="132"/>
  <c r="AK7" i="132"/>
  <c r="AK3" i="132"/>
  <c r="AK6" i="132"/>
  <c r="AK10" i="132"/>
  <c r="AK9" i="132"/>
  <c r="AK5" i="132"/>
  <c r="AK8" i="132"/>
  <c r="AM4" i="132"/>
  <c r="AN4" i="132" s="1"/>
  <c r="AM8" i="132"/>
  <c r="AN8" i="132" s="1"/>
  <c r="AM1" i="132"/>
  <c r="AM5" i="132"/>
  <c r="AN5" i="132" s="1"/>
  <c r="AM2" i="132"/>
  <c r="AN2" i="132" s="1"/>
  <c r="AM6" i="132"/>
  <c r="AN6" i="132" s="1"/>
  <c r="AM3" i="132"/>
  <c r="AN3" i="132" s="1"/>
  <c r="AM7" i="130"/>
  <c r="AN7" i="130" s="1"/>
  <c r="AM4" i="130"/>
  <c r="AN4" i="130" s="1"/>
  <c r="AK4" i="131"/>
  <c r="AK7" i="131"/>
  <c r="AK3" i="131"/>
  <c r="AK6" i="131"/>
  <c r="AK10" i="131"/>
  <c r="AK9" i="131"/>
  <c r="AK5" i="131"/>
  <c r="AK8" i="131"/>
  <c r="Z17" i="131"/>
  <c r="Y17" i="131"/>
  <c r="AM4" i="131"/>
  <c r="AN4" i="131" s="1"/>
  <c r="AM8" i="131"/>
  <c r="AN8" i="131" s="1"/>
  <c r="AM5" i="131"/>
  <c r="AN5" i="131" s="1"/>
  <c r="O17" i="131"/>
  <c r="AD18" i="131"/>
  <c r="AM2" i="131"/>
  <c r="AN2" i="131" s="1"/>
  <c r="AM6" i="131"/>
  <c r="AN6" i="131" s="1"/>
  <c r="T17" i="131"/>
  <c r="V17" i="131"/>
  <c r="AM3" i="131"/>
  <c r="AN3" i="131" s="1"/>
  <c r="AM4" i="129"/>
  <c r="AN4" i="129" s="1"/>
  <c r="AK4" i="130"/>
  <c r="AK7" i="130"/>
  <c r="AK3" i="130"/>
  <c r="AK6" i="130"/>
  <c r="AK10" i="130"/>
  <c r="AK9" i="130"/>
  <c r="AK8" i="130"/>
  <c r="AK5" i="130"/>
  <c r="Z17" i="130"/>
  <c r="Y17" i="130"/>
  <c r="AM8" i="130"/>
  <c r="AN8" i="130" s="1"/>
  <c r="AM1" i="130"/>
  <c r="AD17" i="130"/>
  <c r="AM5" i="130"/>
  <c r="AN5" i="130" s="1"/>
  <c r="O17" i="130"/>
  <c r="AM2" i="130"/>
  <c r="AN2" i="130" s="1"/>
  <c r="AM6" i="130"/>
  <c r="AN6" i="130" s="1"/>
  <c r="AM3" i="130"/>
  <c r="AN3" i="130" s="1"/>
  <c r="AE18" i="129"/>
  <c r="AD18" i="129"/>
  <c r="U17" i="129"/>
  <c r="T17" i="129"/>
  <c r="AK4" i="129"/>
  <c r="AK7" i="129"/>
  <c r="AK3" i="129"/>
  <c r="AK6" i="129"/>
  <c r="AK10" i="129"/>
  <c r="AK9" i="129"/>
  <c r="AK5" i="129"/>
  <c r="AK8" i="129"/>
  <c r="AM8" i="129"/>
  <c r="AN8" i="129" s="1"/>
  <c r="AM1" i="129"/>
  <c r="AD17" i="129"/>
  <c r="AM5" i="129"/>
  <c r="AN5" i="129" s="1"/>
  <c r="AA18" i="129"/>
  <c r="AM2" i="129"/>
  <c r="AN2" i="129" s="1"/>
  <c r="AM6" i="129"/>
  <c r="AN6" i="129" s="1"/>
  <c r="AM3" i="129"/>
  <c r="AN3" i="129" s="1"/>
  <c r="AM4" i="127"/>
  <c r="AN4" i="127" s="1"/>
  <c r="Z17" i="128"/>
  <c r="Y17" i="128"/>
  <c r="AK4" i="128"/>
  <c r="AK7" i="128"/>
  <c r="AK3" i="128"/>
  <c r="AK6" i="128"/>
  <c r="AK10" i="128"/>
  <c r="AK9" i="128"/>
  <c r="AK5" i="128"/>
  <c r="AK8" i="128"/>
  <c r="P18" i="128"/>
  <c r="U18" i="128"/>
  <c r="AM4" i="128"/>
  <c r="AN4" i="128" s="1"/>
  <c r="AM8" i="128"/>
  <c r="AN8" i="128" s="1"/>
  <c r="AM1" i="128"/>
  <c r="AM5" i="128"/>
  <c r="AN5" i="128" s="1"/>
  <c r="L18" i="128"/>
  <c r="AM2" i="128"/>
  <c r="AN2" i="128" s="1"/>
  <c r="AM6" i="128"/>
  <c r="AN6" i="128" s="1"/>
  <c r="T17" i="128"/>
  <c r="AM3" i="128"/>
  <c r="AN3" i="128" s="1"/>
  <c r="Z17" i="127"/>
  <c r="Y17" i="127"/>
  <c r="AK4" i="127"/>
  <c r="AK7" i="127"/>
  <c r="AK3" i="127"/>
  <c r="AK6" i="127"/>
  <c r="AK10" i="127"/>
  <c r="AK8" i="127"/>
  <c r="AK9" i="127"/>
  <c r="AK5" i="127"/>
  <c r="P18" i="127"/>
  <c r="O18" i="127"/>
  <c r="AM8" i="127"/>
  <c r="AN8" i="127" s="1"/>
  <c r="AM1" i="127"/>
  <c r="AM5" i="127"/>
  <c r="AN5" i="127" s="1"/>
  <c r="L18" i="127"/>
  <c r="AM2" i="127"/>
  <c r="AN2" i="127" s="1"/>
  <c r="AM6" i="127"/>
  <c r="AN6" i="127" s="1"/>
  <c r="V17" i="127"/>
  <c r="AM3" i="127"/>
  <c r="AN3" i="127" s="1"/>
  <c r="AM4" i="125"/>
  <c r="AN4" i="125" s="1"/>
  <c r="U17" i="126"/>
  <c r="T17" i="126"/>
  <c r="Z17" i="126"/>
  <c r="Y17" i="126"/>
  <c r="AK4" i="126"/>
  <c r="AK7" i="126"/>
  <c r="AK3" i="126"/>
  <c r="AK6" i="126"/>
  <c r="AK10" i="126"/>
  <c r="AK9" i="126"/>
  <c r="AK5" i="126"/>
  <c r="AK8" i="126"/>
  <c r="AM8" i="126"/>
  <c r="AN8" i="126" s="1"/>
  <c r="AM4" i="126"/>
  <c r="AN4" i="126" s="1"/>
  <c r="AM1" i="126"/>
  <c r="AD17" i="126"/>
  <c r="AM5" i="126"/>
  <c r="AN5" i="126" s="1"/>
  <c r="Q17" i="126"/>
  <c r="AM2" i="126"/>
  <c r="AN2" i="126" s="1"/>
  <c r="AM6" i="126"/>
  <c r="AN6" i="126" s="1"/>
  <c r="AM3" i="126"/>
  <c r="AN3" i="126" s="1"/>
  <c r="Z17" i="125"/>
  <c r="Y17" i="125"/>
  <c r="AK4" i="125"/>
  <c r="AK7" i="125"/>
  <c r="AK3" i="125"/>
  <c r="AK6" i="125"/>
  <c r="AK10" i="125"/>
  <c r="AK8" i="125"/>
  <c r="AK9" i="125"/>
  <c r="AK5" i="125"/>
  <c r="AM8" i="125"/>
  <c r="AN8" i="125" s="1"/>
  <c r="AM1" i="125"/>
  <c r="AD17" i="125"/>
  <c r="AM5" i="125"/>
  <c r="AN5" i="125" s="1"/>
  <c r="O17" i="125"/>
  <c r="L18" i="125"/>
  <c r="AM2" i="125"/>
  <c r="AN2" i="125" s="1"/>
  <c r="AM6" i="125"/>
  <c r="AN6" i="125" s="1"/>
  <c r="T17" i="125"/>
  <c r="AM3" i="125"/>
  <c r="AN3" i="125" s="1"/>
  <c r="AM7" i="123"/>
  <c r="AN7" i="123" s="1"/>
  <c r="AD19" i="124"/>
  <c r="Z17" i="124"/>
  <c r="Y17" i="124"/>
  <c r="AK4" i="124"/>
  <c r="AK7" i="124"/>
  <c r="AK3" i="124"/>
  <c r="AK6" i="124"/>
  <c r="AK10" i="124"/>
  <c r="AK9" i="124"/>
  <c r="AK5" i="124"/>
  <c r="AK8" i="124"/>
  <c r="P18" i="124"/>
  <c r="O18" i="124"/>
  <c r="AM4" i="124"/>
  <c r="AN4" i="124" s="1"/>
  <c r="AM8" i="124"/>
  <c r="AN8" i="124" s="1"/>
  <c r="AM1" i="124"/>
  <c r="AM5" i="124"/>
  <c r="AN5" i="124" s="1"/>
  <c r="L18" i="124"/>
  <c r="AM2" i="124"/>
  <c r="AN2" i="124" s="1"/>
  <c r="AM6" i="124"/>
  <c r="AN6" i="124" s="1"/>
  <c r="AA19" i="124"/>
  <c r="V17" i="124"/>
  <c r="AM3" i="124"/>
  <c r="AN3" i="124" s="1"/>
  <c r="Z17" i="123"/>
  <c r="Y17" i="123"/>
  <c r="AK4" i="123"/>
  <c r="AK8" i="123"/>
  <c r="AK7" i="123"/>
  <c r="AK3" i="123"/>
  <c r="AK6" i="123"/>
  <c r="AK10" i="123"/>
  <c r="AK5" i="123"/>
  <c r="AK9" i="123"/>
  <c r="U18" i="123"/>
  <c r="AM8" i="123"/>
  <c r="AN8" i="123" s="1"/>
  <c r="AM1" i="123"/>
  <c r="AD17" i="123"/>
  <c r="AM5" i="123"/>
  <c r="AN5" i="123" s="1"/>
  <c r="L18" i="123"/>
  <c r="AM2" i="123"/>
  <c r="AN2" i="123" s="1"/>
  <c r="AM6" i="123"/>
  <c r="AN6" i="123" s="1"/>
  <c r="AM3" i="123"/>
  <c r="AN3" i="123" s="1"/>
  <c r="AM7" i="121"/>
  <c r="AN7" i="121" s="1"/>
  <c r="Z17" i="122"/>
  <c r="Y17" i="122"/>
  <c r="AK4" i="122"/>
  <c r="AK7" i="122"/>
  <c r="AK3" i="122"/>
  <c r="AK6" i="122"/>
  <c r="AK10" i="122"/>
  <c r="AK9" i="122"/>
  <c r="AK5" i="122"/>
  <c r="AK8" i="122"/>
  <c r="P18" i="122"/>
  <c r="O18" i="122"/>
  <c r="U18" i="122"/>
  <c r="AM4" i="122"/>
  <c r="AN4" i="122" s="1"/>
  <c r="AM8" i="122"/>
  <c r="AN8" i="122" s="1"/>
  <c r="AM1" i="122"/>
  <c r="AM5" i="122"/>
  <c r="AN5" i="122" s="1"/>
  <c r="O17" i="122"/>
  <c r="L18" i="122"/>
  <c r="AM2" i="122"/>
  <c r="AN2" i="122" s="1"/>
  <c r="AM6" i="122"/>
  <c r="AN6" i="122" s="1"/>
  <c r="AM3" i="122"/>
  <c r="AN3" i="122" s="1"/>
  <c r="AM4" i="120"/>
  <c r="AN4" i="120" s="1"/>
  <c r="AK4" i="121"/>
  <c r="AK7" i="121"/>
  <c r="AK3" i="121"/>
  <c r="AK6" i="121"/>
  <c r="AK10" i="121"/>
  <c r="AK9" i="121"/>
  <c r="AK5" i="121"/>
  <c r="AK8" i="121"/>
  <c r="AM4" i="121"/>
  <c r="AN4" i="121" s="1"/>
  <c r="AM8" i="121"/>
  <c r="AN8" i="121" s="1"/>
  <c r="AM1" i="121"/>
  <c r="AM5" i="121"/>
  <c r="AN5" i="121" s="1"/>
  <c r="AM2" i="121"/>
  <c r="AN2" i="121" s="1"/>
  <c r="AM6" i="121"/>
  <c r="AN6" i="121" s="1"/>
  <c r="AM3" i="121"/>
  <c r="AN3" i="121" s="1"/>
  <c r="AK4" i="120"/>
  <c r="AK7" i="120"/>
  <c r="AK3" i="120"/>
  <c r="AK6" i="120"/>
  <c r="AK10" i="120"/>
  <c r="AK5" i="120"/>
  <c r="AK9" i="120"/>
  <c r="AK8" i="120"/>
  <c r="AM8" i="120"/>
  <c r="AN8" i="120" s="1"/>
  <c r="AM1" i="120"/>
  <c r="AM5" i="120"/>
  <c r="AN5" i="120" s="1"/>
  <c r="AM2" i="120"/>
  <c r="AN2" i="120" s="1"/>
  <c r="AM6" i="120"/>
  <c r="AN6" i="120" s="1"/>
  <c r="AM3" i="120"/>
  <c r="AN3" i="120" s="1"/>
  <c r="Y17" i="119"/>
  <c r="AK4" i="119"/>
  <c r="AK7" i="119"/>
  <c r="AK3" i="119"/>
  <c r="AK6" i="119"/>
  <c r="AK10" i="119"/>
  <c r="AK9" i="119"/>
  <c r="AK5" i="119"/>
  <c r="AK8" i="119"/>
  <c r="AM4" i="119"/>
  <c r="AN4" i="119" s="1"/>
  <c r="AM8" i="119"/>
  <c r="AN8" i="119" s="1"/>
  <c r="AM1" i="119"/>
  <c r="AD17" i="119"/>
  <c r="AM5" i="119"/>
  <c r="AN5" i="119" s="1"/>
  <c r="O17" i="119"/>
  <c r="AM2" i="119"/>
  <c r="AN2" i="119" s="1"/>
  <c r="AM6" i="119"/>
  <c r="AN6" i="119" s="1"/>
  <c r="T17" i="119"/>
  <c r="AM3" i="119"/>
  <c r="AN3" i="119" s="1"/>
  <c r="U17" i="118"/>
  <c r="T17" i="118"/>
  <c r="Z17" i="118"/>
  <c r="Y17" i="118"/>
  <c r="AK4" i="118"/>
  <c r="AK7" i="118"/>
  <c r="AK3" i="118"/>
  <c r="AK6" i="118"/>
  <c r="AK10" i="118"/>
  <c r="AK9" i="118"/>
  <c r="AK5" i="118"/>
  <c r="AK8" i="118"/>
  <c r="AM4" i="118"/>
  <c r="AN4" i="118" s="1"/>
  <c r="AM8" i="118"/>
  <c r="AN8" i="118" s="1"/>
  <c r="AM1" i="118"/>
  <c r="AM5" i="118"/>
  <c r="AN5" i="118" s="1"/>
  <c r="O17" i="118"/>
  <c r="L18" i="118"/>
  <c r="Q17" i="118"/>
  <c r="AM2" i="118"/>
  <c r="AN2" i="118" s="1"/>
  <c r="AM6" i="118"/>
  <c r="AN6" i="118" s="1"/>
  <c r="AM3" i="118"/>
  <c r="AN3" i="118" s="1"/>
  <c r="U18" i="117"/>
  <c r="T18" i="117"/>
  <c r="Z17" i="117"/>
  <c r="Y17" i="117"/>
  <c r="AK4" i="117"/>
  <c r="AK7" i="117"/>
  <c r="AK3" i="117"/>
  <c r="AK6" i="117"/>
  <c r="AK10" i="117"/>
  <c r="AK9" i="117"/>
  <c r="AK5" i="117"/>
  <c r="AK8" i="117"/>
  <c r="AM4" i="117"/>
  <c r="AN4" i="117" s="1"/>
  <c r="AM8" i="117"/>
  <c r="AN8" i="117" s="1"/>
  <c r="AM1" i="117"/>
  <c r="AD17" i="117"/>
  <c r="AM5" i="117"/>
  <c r="AN5" i="117" s="1"/>
  <c r="AM2" i="117"/>
  <c r="AN2" i="117" s="1"/>
  <c r="AM6" i="117"/>
  <c r="AN6" i="117" s="1"/>
  <c r="Q18" i="117"/>
  <c r="V17" i="117"/>
  <c r="AM3" i="117"/>
  <c r="AN3" i="117" s="1"/>
  <c r="AM1" i="115"/>
  <c r="AN1" i="115" s="1"/>
  <c r="AK4" i="115"/>
  <c r="AK5" i="115"/>
  <c r="Z17" i="116"/>
  <c r="Y17" i="116"/>
  <c r="AK4" i="116"/>
  <c r="AK7" i="116"/>
  <c r="AK3" i="116"/>
  <c r="AK6" i="116"/>
  <c r="AK10" i="116"/>
  <c r="AK9" i="116"/>
  <c r="AK5" i="116"/>
  <c r="AK8" i="116"/>
  <c r="P18" i="116"/>
  <c r="O18" i="116"/>
  <c r="AM4" i="116"/>
  <c r="AN4" i="116" s="1"/>
  <c r="AM8" i="116"/>
  <c r="AN8" i="116" s="1"/>
  <c r="AM1" i="116"/>
  <c r="AM5" i="116"/>
  <c r="AN5" i="116" s="1"/>
  <c r="L18" i="116"/>
  <c r="AM2" i="116"/>
  <c r="AN2" i="116" s="1"/>
  <c r="AM6" i="116"/>
  <c r="AN6" i="116" s="1"/>
  <c r="T17" i="116"/>
  <c r="AM3" i="116"/>
  <c r="AN3" i="116" s="1"/>
  <c r="AM4" i="115"/>
  <c r="AN4" i="115" s="1"/>
  <c r="AK8" i="115"/>
  <c r="AM8" i="115"/>
  <c r="AN8" i="115" s="1"/>
  <c r="AM5" i="115"/>
  <c r="AN5" i="115" s="1"/>
  <c r="AK9" i="115"/>
  <c r="O17" i="115"/>
  <c r="AK10" i="115"/>
  <c r="AM2" i="115"/>
  <c r="AN2" i="115" s="1"/>
  <c r="AM6" i="115"/>
  <c r="AN6" i="115" s="1"/>
  <c r="AK3" i="115"/>
  <c r="AM3" i="115"/>
  <c r="AN3" i="115" s="1"/>
  <c r="AK7" i="115"/>
  <c r="AK6" i="115"/>
  <c r="AM5" i="113"/>
  <c r="AN5" i="113" s="1"/>
  <c r="P18" i="114"/>
  <c r="O18" i="114"/>
  <c r="AK4" i="114"/>
  <c r="AK7" i="114"/>
  <c r="AK3" i="114"/>
  <c r="AK6" i="114"/>
  <c r="AK10" i="114"/>
  <c r="AK9" i="114"/>
  <c r="AK5" i="114"/>
  <c r="AK8" i="114"/>
  <c r="AM4" i="114"/>
  <c r="AN4" i="114" s="1"/>
  <c r="AM8" i="114"/>
  <c r="AN8" i="114" s="1"/>
  <c r="AM1" i="114"/>
  <c r="AM5" i="114"/>
  <c r="AN5" i="114" s="1"/>
  <c r="L18" i="114"/>
  <c r="AM2" i="114"/>
  <c r="AN2" i="114" s="1"/>
  <c r="AM6" i="114"/>
  <c r="AN6" i="114" s="1"/>
  <c r="T17" i="114"/>
  <c r="V17" i="114"/>
  <c r="AM3" i="114"/>
  <c r="AN3" i="114" s="1"/>
  <c r="AM1" i="112"/>
  <c r="AN1" i="112" s="1"/>
  <c r="AM4" i="112"/>
  <c r="AN4" i="112" s="1"/>
  <c r="AM8" i="112"/>
  <c r="AN8" i="112" s="1"/>
  <c r="P18" i="113"/>
  <c r="O18" i="113"/>
  <c r="Z17" i="113"/>
  <c r="Y17" i="113"/>
  <c r="AM4" i="113"/>
  <c r="AN4" i="113" s="1"/>
  <c r="AK8" i="113"/>
  <c r="AM8" i="113"/>
  <c r="AN8" i="113" s="1"/>
  <c r="AK5" i="113"/>
  <c r="AM1" i="113"/>
  <c r="AK9" i="113"/>
  <c r="AK10" i="113"/>
  <c r="L18" i="113"/>
  <c r="AK6" i="113"/>
  <c r="AM2" i="113"/>
  <c r="AN2" i="113" s="1"/>
  <c r="AM6" i="113"/>
  <c r="AN6" i="113" s="1"/>
  <c r="AK3" i="113"/>
  <c r="AM3" i="113"/>
  <c r="AN3" i="113" s="1"/>
  <c r="AK7" i="113"/>
  <c r="AK4" i="112"/>
  <c r="AK7" i="112"/>
  <c r="AK3" i="112"/>
  <c r="AK6" i="112"/>
  <c r="AK10" i="112"/>
  <c r="AK9" i="112"/>
  <c r="AK5" i="112"/>
  <c r="AK8" i="112"/>
  <c r="Z17" i="112"/>
  <c r="Y17" i="112"/>
  <c r="AM5" i="112"/>
  <c r="AN5" i="112" s="1"/>
  <c r="O17" i="112"/>
  <c r="AM2" i="112"/>
  <c r="AN2" i="112" s="1"/>
  <c r="AM6" i="112"/>
  <c r="AN6" i="112" s="1"/>
  <c r="T17" i="112"/>
  <c r="AM3" i="112"/>
  <c r="AN3" i="112" s="1"/>
  <c r="Z17" i="111"/>
  <c r="Y17" i="111"/>
  <c r="AK4" i="111"/>
  <c r="AK7" i="111"/>
  <c r="AK3" i="111"/>
  <c r="AK6" i="111"/>
  <c r="AK10" i="111"/>
  <c r="AK9" i="111"/>
  <c r="AK5" i="111"/>
  <c r="AK8" i="111"/>
  <c r="AE18" i="111"/>
  <c r="AD18" i="111"/>
  <c r="AM4" i="111"/>
  <c r="AN4" i="111" s="1"/>
  <c r="AM8" i="111"/>
  <c r="AN8" i="111" s="1"/>
  <c r="AM1" i="111"/>
  <c r="AM5" i="111"/>
  <c r="AN5" i="111" s="1"/>
  <c r="O17" i="111"/>
  <c r="AM2" i="111"/>
  <c r="AN2" i="111" s="1"/>
  <c r="AM6" i="111"/>
  <c r="AN6" i="111" s="1"/>
  <c r="T17" i="111"/>
  <c r="AM3" i="111"/>
  <c r="AN3" i="111" s="1"/>
  <c r="Z17" i="110"/>
  <c r="Y17" i="110"/>
  <c r="AK4" i="110"/>
  <c r="AK7" i="110"/>
  <c r="AK3" i="110"/>
  <c r="AK6" i="110"/>
  <c r="AK10" i="110"/>
  <c r="AK9" i="110"/>
  <c r="AK5" i="110"/>
  <c r="AK8" i="110"/>
  <c r="P18" i="110"/>
  <c r="O18" i="110"/>
  <c r="AM4" i="110"/>
  <c r="AN4" i="110" s="1"/>
  <c r="AM8" i="110"/>
  <c r="AN8" i="110" s="1"/>
  <c r="AM1" i="110"/>
  <c r="AM5" i="110"/>
  <c r="AN5" i="110" s="1"/>
  <c r="AM2" i="110"/>
  <c r="AN2" i="110" s="1"/>
  <c r="AM6" i="110"/>
  <c r="AN6" i="110" s="1"/>
  <c r="T17" i="110"/>
  <c r="AM3" i="110"/>
  <c r="AN3" i="110" s="1"/>
  <c r="AK4" i="109"/>
  <c r="AK7" i="109"/>
  <c r="AK3" i="109"/>
  <c r="AK6" i="109"/>
  <c r="AK10" i="109"/>
  <c r="AK9" i="109"/>
  <c r="AK5" i="109"/>
  <c r="AK8" i="109"/>
  <c r="U18" i="109"/>
  <c r="AM4" i="109"/>
  <c r="AN4" i="109" s="1"/>
  <c r="AM8" i="109"/>
  <c r="AN8" i="109" s="1"/>
  <c r="AM1" i="109"/>
  <c r="AD17" i="109"/>
  <c r="AM5" i="109"/>
  <c r="AN5" i="109" s="1"/>
  <c r="O17" i="109"/>
  <c r="AM2" i="109"/>
  <c r="AN2" i="109" s="1"/>
  <c r="AM6" i="109"/>
  <c r="AN6" i="109" s="1"/>
  <c r="Q18" i="109"/>
  <c r="AM3" i="109"/>
  <c r="AN3" i="109" s="1"/>
  <c r="AM4" i="107"/>
  <c r="AN4" i="107" s="1"/>
  <c r="U17" i="108"/>
  <c r="T17" i="108"/>
  <c r="AK4" i="108"/>
  <c r="AK7" i="108"/>
  <c r="AK3" i="108"/>
  <c r="AK6" i="108"/>
  <c r="AK10" i="108"/>
  <c r="AK9" i="108"/>
  <c r="AK5" i="108"/>
  <c r="AK8" i="108"/>
  <c r="AM4" i="108"/>
  <c r="AN4" i="108" s="1"/>
  <c r="AM8" i="108"/>
  <c r="AN8" i="108" s="1"/>
  <c r="AM1" i="108"/>
  <c r="AM5" i="108"/>
  <c r="AN5" i="108" s="1"/>
  <c r="O17" i="108"/>
  <c r="AM2" i="108"/>
  <c r="AN2" i="108" s="1"/>
  <c r="AM6" i="108"/>
  <c r="AN6" i="108" s="1"/>
  <c r="AM3" i="108"/>
  <c r="AN3" i="108" s="1"/>
  <c r="AK4" i="107"/>
  <c r="AK7" i="107"/>
  <c r="AK3" i="107"/>
  <c r="AK6" i="107"/>
  <c r="AK5" i="107"/>
  <c r="AK10" i="107"/>
  <c r="AK9" i="107"/>
  <c r="AK8" i="107"/>
  <c r="Z17" i="107"/>
  <c r="Y17" i="107"/>
  <c r="AM8" i="107"/>
  <c r="AN8" i="107" s="1"/>
  <c r="AM1" i="107"/>
  <c r="AD17" i="107"/>
  <c r="AM5" i="107"/>
  <c r="AN5" i="107" s="1"/>
  <c r="O17" i="107"/>
  <c r="AM2" i="107"/>
  <c r="AN2" i="107" s="1"/>
  <c r="AM6" i="107"/>
  <c r="AN6" i="107" s="1"/>
  <c r="AM3" i="107"/>
  <c r="AN3" i="107" s="1"/>
  <c r="AK4" i="106"/>
  <c r="AK7" i="106"/>
  <c r="AK3" i="106"/>
  <c r="AK6" i="106"/>
  <c r="AK10" i="106"/>
  <c r="AK9" i="106"/>
  <c r="AK5" i="106"/>
  <c r="AK8" i="106"/>
  <c r="P18" i="106"/>
  <c r="O18" i="106"/>
  <c r="AM4" i="106"/>
  <c r="AN4" i="106" s="1"/>
  <c r="AM8" i="106"/>
  <c r="AN8" i="106" s="1"/>
  <c r="AD17" i="106"/>
  <c r="AM5" i="106"/>
  <c r="AN5" i="106" s="1"/>
  <c r="L18" i="106"/>
  <c r="AM1" i="106"/>
  <c r="AM2" i="106"/>
  <c r="AN2" i="106" s="1"/>
  <c r="AM6" i="106"/>
  <c r="AN6" i="106" s="1"/>
  <c r="AM3" i="106"/>
  <c r="AN3" i="106" s="1"/>
  <c r="AE18" i="105"/>
  <c r="AD18" i="105"/>
  <c r="N18" i="105"/>
  <c r="L18" i="105"/>
  <c r="AK4" i="105"/>
  <c r="AK7" i="105"/>
  <c r="AK3" i="105"/>
  <c r="AK6" i="105"/>
  <c r="AK10" i="105"/>
  <c r="AK9" i="105"/>
  <c r="AK5" i="105"/>
  <c r="AK8" i="105"/>
  <c r="U18" i="105"/>
  <c r="T18" i="105"/>
  <c r="AM4" i="105"/>
  <c r="AN4" i="105" s="1"/>
  <c r="AM8" i="105"/>
  <c r="AN8" i="105" s="1"/>
  <c r="AM1" i="105"/>
  <c r="AM5" i="105"/>
  <c r="AN5" i="105" s="1"/>
  <c r="AA18" i="105"/>
  <c r="AM2" i="105"/>
  <c r="AN2" i="105" s="1"/>
  <c r="AM6" i="105"/>
  <c r="AN6" i="105" s="1"/>
  <c r="Q18" i="105"/>
  <c r="AM3" i="105"/>
  <c r="AN3" i="105" s="1"/>
  <c r="AM8" i="103"/>
  <c r="AN8" i="103" s="1"/>
  <c r="AM4" i="103"/>
  <c r="AN4" i="103" s="1"/>
  <c r="U17" i="104"/>
  <c r="T17" i="104"/>
  <c r="Z17" i="104"/>
  <c r="Y17" i="104"/>
  <c r="AK4" i="104"/>
  <c r="AK7" i="104"/>
  <c r="AK3" i="104"/>
  <c r="AK6" i="104"/>
  <c r="AK10" i="104"/>
  <c r="AK9" i="104"/>
  <c r="AK5" i="104"/>
  <c r="AK8" i="104"/>
  <c r="P18" i="104"/>
  <c r="O18" i="104"/>
  <c r="AM4" i="104"/>
  <c r="AN4" i="104" s="1"/>
  <c r="AM8" i="104"/>
  <c r="AN8" i="104" s="1"/>
  <c r="AM1" i="104"/>
  <c r="AD17" i="104"/>
  <c r="AM5" i="104"/>
  <c r="AN5" i="104" s="1"/>
  <c r="AM2" i="104"/>
  <c r="AN2" i="104" s="1"/>
  <c r="AM6" i="104"/>
  <c r="AN6" i="104" s="1"/>
  <c r="AM3" i="104"/>
  <c r="AN3" i="104" s="1"/>
  <c r="Z17" i="103"/>
  <c r="Y17" i="103"/>
  <c r="AK4" i="103"/>
  <c r="AK7" i="103"/>
  <c r="AK8" i="103"/>
  <c r="AK3" i="103"/>
  <c r="AK5" i="103"/>
  <c r="AK6" i="103"/>
  <c r="AK10" i="103"/>
  <c r="AK9" i="103"/>
  <c r="P18" i="103"/>
  <c r="O18" i="103"/>
  <c r="AM1" i="103"/>
  <c r="AM5" i="103"/>
  <c r="AN5" i="103" s="1"/>
  <c r="L18" i="103"/>
  <c r="AM2" i="103"/>
  <c r="AN2" i="103" s="1"/>
  <c r="AM6" i="103"/>
  <c r="AN6" i="103" s="1"/>
  <c r="T17" i="103"/>
  <c r="AM3" i="103"/>
  <c r="AN3" i="103" s="1"/>
  <c r="F45" i="53"/>
  <c r="B23" i="52"/>
  <c r="D23" i="52" s="1"/>
  <c r="AC17" i="53"/>
  <c r="AE17" i="53" s="1"/>
  <c r="AM4" i="53"/>
  <c r="AN4" i="53" s="1"/>
  <c r="F46" i="53"/>
  <c r="B26" i="52"/>
  <c r="D26" i="52" s="1"/>
  <c r="N17" i="53"/>
  <c r="Q17" i="53"/>
  <c r="S18" i="53" s="1"/>
  <c r="T18" i="53" s="1"/>
  <c r="F43" i="53"/>
  <c r="AM6" i="53"/>
  <c r="AN6" i="53" s="1"/>
  <c r="AM7" i="53"/>
  <c r="AN7" i="53" s="1"/>
  <c r="AM8" i="53"/>
  <c r="AN8" i="53" s="1"/>
  <c r="AM1" i="53"/>
  <c r="AM2" i="53"/>
  <c r="AN2" i="53" s="1"/>
  <c r="AM3" i="53"/>
  <c r="AN3" i="53" s="1"/>
  <c r="AM5" i="53"/>
  <c r="AN5" i="53" s="1"/>
  <c r="AK7" i="53"/>
  <c r="AK6" i="53"/>
  <c r="AK5" i="53"/>
  <c r="AK10" i="53"/>
  <c r="AK4" i="53"/>
  <c r="AK3" i="53"/>
  <c r="AK9" i="53"/>
  <c r="AK8" i="53"/>
  <c r="N18" i="53"/>
  <c r="L18" i="53"/>
  <c r="Y17" i="53"/>
  <c r="Z17" i="53"/>
  <c r="V17" i="53"/>
  <c r="B25" i="52"/>
  <c r="D25" i="52" s="1"/>
  <c r="AC3" i="52"/>
  <c r="B24" i="52"/>
  <c r="D24" i="52" s="1"/>
  <c r="B7" i="52"/>
  <c r="B22" i="52"/>
  <c r="D22" i="52" s="1"/>
  <c r="B21" i="52"/>
  <c r="D21" i="52" s="1"/>
  <c r="B20" i="52"/>
  <c r="D20" i="52" s="1"/>
  <c r="AB2" i="52"/>
  <c r="AB8" i="52"/>
  <c r="AB7" i="52"/>
  <c r="AB6" i="52"/>
  <c r="AB5" i="52"/>
  <c r="AB4" i="52"/>
  <c r="AB3" i="52"/>
  <c r="AC2" i="52"/>
  <c r="AC8" i="52"/>
  <c r="AC7" i="52"/>
  <c r="AC6" i="52"/>
  <c r="AC5" i="52"/>
  <c r="AC4" i="52"/>
  <c r="C18" i="52"/>
  <c r="C17" i="52"/>
  <c r="C16" i="52"/>
  <c r="C14" i="52"/>
  <c r="C13" i="52"/>
  <c r="C28" i="52"/>
  <c r="B35" i="52"/>
  <c r="Z9" i="52" s="1"/>
  <c r="B19" i="52"/>
  <c r="D19" i="52" s="1"/>
  <c r="C27" i="52"/>
  <c r="B31" i="52"/>
  <c r="D31" i="52" s="1"/>
  <c r="B15" i="52"/>
  <c r="D15" i="52" s="1"/>
  <c r="B29" i="52"/>
  <c r="D29" i="52" s="1"/>
  <c r="C34" i="52"/>
  <c r="C33" i="52"/>
  <c r="C32" i="52"/>
  <c r="C30" i="52"/>
  <c r="C12" i="52"/>
  <c r="P18" i="136" l="1"/>
  <c r="V19" i="149"/>
  <c r="AC644" i="152"/>
  <c r="X625" i="152"/>
  <c r="W625" i="152"/>
  <c r="AC702" i="152"/>
  <c r="AB694" i="152"/>
  <c r="W575" i="152"/>
  <c r="AC694" i="152"/>
  <c r="W642" i="152"/>
  <c r="AO634" i="152"/>
  <c r="AJ687" i="152"/>
  <c r="AM700" i="152"/>
  <c r="AO700" i="152" s="1"/>
  <c r="AC613" i="152"/>
  <c r="T18" i="142"/>
  <c r="AB706" i="152"/>
  <c r="AH533" i="152"/>
  <c r="AL700" i="152"/>
  <c r="X642" i="152"/>
  <c r="W672" i="152"/>
  <c r="Z672" i="152" s="1"/>
  <c r="Z661" i="152"/>
  <c r="AC18" i="110"/>
  <c r="AA18" i="110"/>
  <c r="AE17" i="114"/>
  <c r="AD17" i="114"/>
  <c r="Y17" i="105"/>
  <c r="AE18" i="134"/>
  <c r="AD18" i="142"/>
  <c r="Q17" i="133"/>
  <c r="S18" i="133" s="1"/>
  <c r="T18" i="133" s="1"/>
  <c r="V17" i="119"/>
  <c r="V18" i="119" s="1"/>
  <c r="X19" i="119" s="1"/>
  <c r="AB628" i="152"/>
  <c r="AE628" i="152" s="1"/>
  <c r="AH600" i="152"/>
  <c r="Q17" i="151"/>
  <c r="AG527" i="152"/>
  <c r="AI527" i="152"/>
  <c r="AL619" i="152"/>
  <c r="T18" i="145"/>
  <c r="V17" i="134"/>
  <c r="V18" i="134" s="1"/>
  <c r="X19" i="134" s="1"/>
  <c r="L17" i="117"/>
  <c r="N18" i="117" s="1"/>
  <c r="P18" i="117" s="1"/>
  <c r="Q17" i="134"/>
  <c r="S18" i="134" s="1"/>
  <c r="U18" i="134" s="1"/>
  <c r="AH663" i="152"/>
  <c r="AL644" i="152"/>
  <c r="AO644" i="152" s="1"/>
  <c r="AH694" i="152"/>
  <c r="X556" i="152"/>
  <c r="Z556" i="152" s="1"/>
  <c r="U17" i="137"/>
  <c r="Q18" i="122"/>
  <c r="S17" i="130"/>
  <c r="U17" i="130" s="1"/>
  <c r="Q17" i="124"/>
  <c r="S18" i="124" s="1"/>
  <c r="U18" i="124" s="1"/>
  <c r="AG625" i="152"/>
  <c r="AJ625" i="152" s="1"/>
  <c r="AC686" i="152"/>
  <c r="S666" i="152"/>
  <c r="AH706" i="152"/>
  <c r="AD706" i="152"/>
  <c r="AA17" i="115"/>
  <c r="T17" i="113"/>
  <c r="T17" i="124"/>
  <c r="W684" i="152"/>
  <c r="L18" i="104"/>
  <c r="O18" i="123"/>
  <c r="Q18" i="145"/>
  <c r="T17" i="151"/>
  <c r="R632" i="152"/>
  <c r="W678" i="152"/>
  <c r="O17" i="104"/>
  <c r="Y17" i="151"/>
  <c r="Q17" i="125"/>
  <c r="S18" i="125" s="1"/>
  <c r="U18" i="125" s="1"/>
  <c r="X689" i="152"/>
  <c r="S584" i="152"/>
  <c r="AM708" i="152"/>
  <c r="AB642" i="152"/>
  <c r="Q17" i="127"/>
  <c r="X684" i="152"/>
  <c r="L18" i="110"/>
  <c r="O17" i="117"/>
  <c r="AD17" i="132"/>
  <c r="T17" i="141"/>
  <c r="Q17" i="115"/>
  <c r="S18" i="115" s="1"/>
  <c r="U18" i="115" s="1"/>
  <c r="AC17" i="138"/>
  <c r="AE17" i="138" s="1"/>
  <c r="N17" i="123"/>
  <c r="P17" i="123" s="1"/>
  <c r="R702" i="152"/>
  <c r="U702" i="152" s="1"/>
  <c r="AA17" i="151"/>
  <c r="AC18" i="151" s="1"/>
  <c r="AH577" i="152"/>
  <c r="AB686" i="152"/>
  <c r="AE686" i="152" s="1"/>
  <c r="AG667" i="152"/>
  <c r="AM706" i="152"/>
  <c r="AO706" i="152" s="1"/>
  <c r="AG635" i="152"/>
  <c r="AB688" i="152"/>
  <c r="S634" i="152"/>
  <c r="T17" i="115"/>
  <c r="AA18" i="138"/>
  <c r="O18" i="109"/>
  <c r="T17" i="133"/>
  <c r="AD18" i="138"/>
  <c r="L17" i="134"/>
  <c r="N18" i="134" s="1"/>
  <c r="P18" i="134" s="1"/>
  <c r="P17" i="142"/>
  <c r="W689" i="152"/>
  <c r="Z689" i="152" s="1"/>
  <c r="AB676" i="152"/>
  <c r="AE676" i="152" s="1"/>
  <c r="R584" i="152"/>
  <c r="U584" i="152" s="1"/>
  <c r="AG694" i="152"/>
  <c r="AJ694" i="152" s="1"/>
  <c r="AG706" i="152"/>
  <c r="AJ706" i="152" s="1"/>
  <c r="Z642" i="152"/>
  <c r="U690" i="152"/>
  <c r="AH667" i="152"/>
  <c r="O17" i="151"/>
  <c r="AC17" i="134"/>
  <c r="AE17" i="134" s="1"/>
  <c r="Q18" i="130"/>
  <c r="Y17" i="134"/>
  <c r="Q18" i="142"/>
  <c r="AD17" i="151"/>
  <c r="X17" i="115"/>
  <c r="Y17" i="115" s="1"/>
  <c r="W673" i="152"/>
  <c r="Z673" i="152" s="1"/>
  <c r="AM628" i="152"/>
  <c r="AO628" i="152" s="1"/>
  <c r="X678" i="152"/>
  <c r="Z575" i="152"/>
  <c r="AH655" i="152"/>
  <c r="W613" i="152"/>
  <c r="Z613" i="152" s="1"/>
  <c r="AM677" i="152"/>
  <c r="Q18" i="123"/>
  <c r="O17" i="127"/>
  <c r="Q17" i="137"/>
  <c r="S18" i="137" s="1"/>
  <c r="U18" i="137" s="1"/>
  <c r="AG663" i="152"/>
  <c r="AG577" i="152"/>
  <c r="W635" i="152"/>
  <c r="R666" i="152"/>
  <c r="AC642" i="152"/>
  <c r="AE642" i="152" s="1"/>
  <c r="AJ533" i="152"/>
  <c r="S649" i="152"/>
  <c r="AG600" i="152"/>
  <c r="AJ600" i="152" s="1"/>
  <c r="U17" i="53"/>
  <c r="T17" i="53"/>
  <c r="AE17" i="103"/>
  <c r="AD17" i="103"/>
  <c r="AA18" i="53"/>
  <c r="AC18" i="53"/>
  <c r="Z655" i="152"/>
  <c r="Z625" i="152"/>
  <c r="AO580" i="152"/>
  <c r="AO642" i="152"/>
  <c r="AE694" i="152"/>
  <c r="X627" i="152"/>
  <c r="AL587" i="152"/>
  <c r="AO587" i="152" s="1"/>
  <c r="Z697" i="152"/>
  <c r="AG530" i="152"/>
  <c r="U662" i="152"/>
  <c r="Z684" i="152"/>
  <c r="AN677" i="152"/>
  <c r="AL694" i="152"/>
  <c r="AO694" i="152" s="1"/>
  <c r="R672" i="152"/>
  <c r="AI655" i="152"/>
  <c r="AH530" i="152"/>
  <c r="AJ679" i="152"/>
  <c r="AJ559" i="152"/>
  <c r="AJ667" i="152"/>
  <c r="Y704" i="152"/>
  <c r="X704" i="152"/>
  <c r="W704" i="152"/>
  <c r="AJ635" i="152"/>
  <c r="AM683" i="152"/>
  <c r="AE644" i="152"/>
  <c r="W620" i="152"/>
  <c r="Z620" i="152" s="1"/>
  <c r="AL665" i="152"/>
  <c r="AO665" i="152" s="1"/>
  <c r="AJ663" i="152"/>
  <c r="Z641" i="152"/>
  <c r="AJ577" i="152"/>
  <c r="Z635" i="152"/>
  <c r="AE613" i="152"/>
  <c r="S18" i="149"/>
  <c r="Q18" i="149"/>
  <c r="AE17" i="128"/>
  <c r="AD17" i="128"/>
  <c r="AA18" i="132"/>
  <c r="AC654" i="152"/>
  <c r="AC17" i="122"/>
  <c r="AE17" i="122" s="1"/>
  <c r="AB700" i="152"/>
  <c r="Q17" i="107"/>
  <c r="S18" i="107" s="1"/>
  <c r="T18" i="107" s="1"/>
  <c r="AC700" i="152"/>
  <c r="P18" i="108"/>
  <c r="R620" i="152"/>
  <c r="AC688" i="152"/>
  <c r="AE688" i="152" s="1"/>
  <c r="AA18" i="109"/>
  <c r="AD17" i="116"/>
  <c r="O18" i="125"/>
  <c r="AD17" i="118"/>
  <c r="T17" i="107"/>
  <c r="S672" i="152"/>
  <c r="AG649" i="152"/>
  <c r="S620" i="152"/>
  <c r="AH649" i="152"/>
  <c r="AA17" i="116"/>
  <c r="AC18" i="116" s="1"/>
  <c r="AE18" i="116" s="1"/>
  <c r="AD17" i="136"/>
  <c r="X603" i="152"/>
  <c r="AB627" i="152"/>
  <c r="AE627" i="152" s="1"/>
  <c r="S678" i="152"/>
  <c r="U678" i="152" s="1"/>
  <c r="R575" i="152"/>
  <c r="AH647" i="152"/>
  <c r="S575" i="152"/>
  <c r="AG647" i="152"/>
  <c r="T684" i="152"/>
  <c r="R684" i="152"/>
  <c r="AB654" i="152"/>
  <c r="AM600" i="152"/>
  <c r="AO600" i="152" s="1"/>
  <c r="R588" i="152"/>
  <c r="AL671" i="152"/>
  <c r="AE18" i="117"/>
  <c r="T18" i="148"/>
  <c r="AA18" i="137"/>
  <c r="Z17" i="129"/>
  <c r="W603" i="152"/>
  <c r="S588" i="152"/>
  <c r="AM671" i="152"/>
  <c r="AN683" i="152"/>
  <c r="W559" i="152"/>
  <c r="Z559" i="152" s="1"/>
  <c r="AC611" i="152"/>
  <c r="AD611" i="152"/>
  <c r="AB611" i="152"/>
  <c r="AM682" i="152"/>
  <c r="AM633" i="152"/>
  <c r="AN633" i="152"/>
  <c r="AL633" i="152"/>
  <c r="AC600" i="152"/>
  <c r="AD600" i="152"/>
  <c r="AB600" i="152"/>
  <c r="AI693" i="152"/>
  <c r="AH693" i="152"/>
  <c r="AG693" i="152"/>
  <c r="AJ693" i="152" s="1"/>
  <c r="AL682" i="152"/>
  <c r="R598" i="152"/>
  <c r="AE18" i="114"/>
  <c r="AH587" i="152"/>
  <c r="AI587" i="152"/>
  <c r="AG587" i="152"/>
  <c r="AG699" i="152"/>
  <c r="AI699" i="152"/>
  <c r="AH699" i="152"/>
  <c r="T698" i="152"/>
  <c r="S698" i="152"/>
  <c r="R698" i="152"/>
  <c r="AM546" i="152"/>
  <c r="AH626" i="152"/>
  <c r="AI626" i="152"/>
  <c r="AG626" i="152"/>
  <c r="AJ626" i="152" s="1"/>
  <c r="AH689" i="152"/>
  <c r="AC661" i="152"/>
  <c r="AE661" i="152" s="1"/>
  <c r="AD661" i="152"/>
  <c r="AD655" i="152"/>
  <c r="AB655" i="152"/>
  <c r="AC655" i="152"/>
  <c r="T598" i="152"/>
  <c r="Y690" i="152"/>
  <c r="X690" i="152"/>
  <c r="AG689" i="152"/>
  <c r="AG700" i="152"/>
  <c r="AM574" i="152"/>
  <c r="AL574" i="152"/>
  <c r="AN574" i="152"/>
  <c r="AC530" i="152"/>
  <c r="AD530" i="152"/>
  <c r="AB530" i="152"/>
  <c r="AH700" i="152"/>
  <c r="S556" i="152"/>
  <c r="T556" i="152"/>
  <c r="R556" i="152"/>
  <c r="R649" i="152"/>
  <c r="U649" i="152" s="1"/>
  <c r="AI661" i="152"/>
  <c r="AH661" i="152"/>
  <c r="AD693" i="152"/>
  <c r="AC693" i="152"/>
  <c r="AB693" i="152"/>
  <c r="AL546" i="152"/>
  <c r="R634" i="152"/>
  <c r="U634" i="152" s="1"/>
  <c r="T704" i="152"/>
  <c r="S704" i="152"/>
  <c r="R704" i="152"/>
  <c r="AH631" i="152"/>
  <c r="W627" i="152"/>
  <c r="Z627" i="152" s="1"/>
  <c r="AN619" i="152"/>
  <c r="AO619" i="152" s="1"/>
  <c r="S642" i="152"/>
  <c r="T642" i="152"/>
  <c r="R642" i="152"/>
  <c r="AM648" i="152"/>
  <c r="AN648" i="152"/>
  <c r="AL648" i="152"/>
  <c r="T17" i="106"/>
  <c r="AG631" i="152"/>
  <c r="AI627" i="152"/>
  <c r="AH627" i="152"/>
  <c r="AG627" i="152"/>
  <c r="T578" i="152"/>
  <c r="S578" i="152"/>
  <c r="R578" i="152"/>
  <c r="AI696" i="152"/>
  <c r="AH696" i="152"/>
  <c r="AG696" i="152"/>
  <c r="AB629" i="152"/>
  <c r="AD629" i="152"/>
  <c r="AC629" i="152"/>
  <c r="T540" i="152"/>
  <c r="S540" i="152"/>
  <c r="R540" i="152"/>
  <c r="S685" i="152"/>
  <c r="T685" i="152"/>
  <c r="R685" i="152"/>
  <c r="T658" i="152"/>
  <c r="S658" i="152"/>
  <c r="R658" i="152"/>
  <c r="U658" i="152" s="1"/>
  <c r="AN606" i="152"/>
  <c r="AM606" i="152"/>
  <c r="AL606" i="152"/>
  <c r="AD658" i="152"/>
  <c r="AC658" i="152"/>
  <c r="AB658" i="152"/>
  <c r="X607" i="152"/>
  <c r="W607" i="152"/>
  <c r="Y607" i="152"/>
  <c r="AC681" i="152"/>
  <c r="AD681" i="152"/>
  <c r="AB681" i="152"/>
  <c r="AI681" i="152"/>
  <c r="AH681" i="152"/>
  <c r="AG681" i="152"/>
  <c r="Y671" i="152"/>
  <c r="X671" i="152"/>
  <c r="W671" i="152"/>
  <c r="AD610" i="152"/>
  <c r="AC610" i="152"/>
  <c r="AB610" i="152"/>
  <c r="Y572" i="152"/>
  <c r="X572" i="152"/>
  <c r="W572" i="152"/>
  <c r="Y694" i="152"/>
  <c r="X694" i="152"/>
  <c r="W694" i="152"/>
  <c r="X19" i="148"/>
  <c r="AM530" i="152"/>
  <c r="AN635" i="152"/>
  <c r="AM635" i="152"/>
  <c r="AL635" i="152"/>
  <c r="AN590" i="152"/>
  <c r="AM590" i="152"/>
  <c r="AL590" i="152"/>
  <c r="W701" i="152"/>
  <c r="Y701" i="152"/>
  <c r="X701" i="152"/>
  <c r="W636" i="152"/>
  <c r="Y636" i="152"/>
  <c r="X636" i="152"/>
  <c r="AI565" i="152"/>
  <c r="AH565" i="152"/>
  <c r="AG565" i="152"/>
  <c r="T691" i="152"/>
  <c r="S691" i="152"/>
  <c r="R691" i="152"/>
  <c r="AI662" i="152"/>
  <c r="AH662" i="152"/>
  <c r="AG662" i="152"/>
  <c r="AD616" i="152"/>
  <c r="AC616" i="152"/>
  <c r="AB616" i="152"/>
  <c r="AD664" i="152"/>
  <c r="AC664" i="152"/>
  <c r="AB664" i="152"/>
  <c r="AM616" i="152"/>
  <c r="AL616" i="152"/>
  <c r="AN616" i="152"/>
  <c r="AI546" i="152"/>
  <c r="AG546" i="152"/>
  <c r="AH546" i="152"/>
  <c r="AB687" i="152"/>
  <c r="AD687" i="152"/>
  <c r="AC687" i="152"/>
  <c r="AI549" i="152"/>
  <c r="AH549" i="152"/>
  <c r="AG549" i="152"/>
  <c r="Y677" i="152"/>
  <c r="X677" i="152"/>
  <c r="W677" i="152"/>
  <c r="T618" i="152"/>
  <c r="S618" i="152"/>
  <c r="R618" i="152"/>
  <c r="T585" i="152"/>
  <c r="S585" i="152"/>
  <c r="R585" i="152"/>
  <c r="Y700" i="152"/>
  <c r="W700" i="152"/>
  <c r="X700" i="152"/>
  <c r="AI613" i="152"/>
  <c r="AH613" i="152"/>
  <c r="AG613" i="152"/>
  <c r="AN536" i="152"/>
  <c r="AM536" i="152"/>
  <c r="AL536" i="152"/>
  <c r="AI684" i="152"/>
  <c r="AH684" i="152"/>
  <c r="AG684" i="152"/>
  <c r="AB614" i="152"/>
  <c r="AD614" i="152"/>
  <c r="AC614" i="152"/>
  <c r="AD674" i="152"/>
  <c r="AC674" i="152"/>
  <c r="AB674" i="152"/>
  <c r="Y645" i="152"/>
  <c r="X645" i="152"/>
  <c r="W645" i="152"/>
  <c r="Y581" i="152"/>
  <c r="X581" i="152"/>
  <c r="W581" i="152"/>
  <c r="AD697" i="152"/>
  <c r="AC697" i="152"/>
  <c r="AB697" i="152"/>
  <c r="AI645" i="152"/>
  <c r="AH645" i="152"/>
  <c r="AG645" i="152"/>
  <c r="AH581" i="152"/>
  <c r="AG581" i="152"/>
  <c r="AI581" i="152"/>
  <c r="AN697" i="152"/>
  <c r="AM697" i="152"/>
  <c r="AL697" i="152"/>
  <c r="AO697" i="152" s="1"/>
  <c r="W621" i="152"/>
  <c r="Y621" i="152"/>
  <c r="X621" i="152"/>
  <c r="AD680" i="152"/>
  <c r="AC680" i="152"/>
  <c r="AB680" i="152"/>
  <c r="T652" i="152"/>
  <c r="S652" i="152"/>
  <c r="R652" i="152"/>
  <c r="T594" i="152"/>
  <c r="S594" i="152"/>
  <c r="R594" i="152"/>
  <c r="AD703" i="152"/>
  <c r="AC703" i="152"/>
  <c r="AB703" i="152"/>
  <c r="AE703" i="152" s="1"/>
  <c r="AD652" i="152"/>
  <c r="AB652" i="152"/>
  <c r="AC594" i="152"/>
  <c r="AB594" i="152"/>
  <c r="AD594" i="152"/>
  <c r="AL703" i="152"/>
  <c r="AN703" i="152"/>
  <c r="AM703" i="152"/>
  <c r="Y688" i="152"/>
  <c r="X688" i="152"/>
  <c r="W688" i="152"/>
  <c r="AI603" i="152"/>
  <c r="AH603" i="152"/>
  <c r="AG603" i="152"/>
  <c r="AB643" i="152"/>
  <c r="AD643" i="152"/>
  <c r="AC643" i="152"/>
  <c r="Y623" i="152"/>
  <c r="X623" i="152"/>
  <c r="W623" i="152"/>
  <c r="T569" i="152"/>
  <c r="R569" i="152"/>
  <c r="S569" i="152"/>
  <c r="L18" i="136"/>
  <c r="N19" i="136" s="1"/>
  <c r="P19" i="136" s="1"/>
  <c r="AH609" i="152"/>
  <c r="AH623" i="152"/>
  <c r="AJ623" i="152" s="1"/>
  <c r="AN649" i="152"/>
  <c r="AM649" i="152"/>
  <c r="AL649" i="152"/>
  <c r="AN613" i="152"/>
  <c r="AM613" i="152"/>
  <c r="AL613" i="152"/>
  <c r="AO613" i="152" s="1"/>
  <c r="AG651" i="152"/>
  <c r="AI651" i="152"/>
  <c r="AH651" i="152"/>
  <c r="Y591" i="152"/>
  <c r="X591" i="152"/>
  <c r="W591" i="152"/>
  <c r="T703" i="152"/>
  <c r="S703" i="152"/>
  <c r="R703" i="152"/>
  <c r="AI674" i="152"/>
  <c r="AH674" i="152"/>
  <c r="AG674" i="152"/>
  <c r="AD630" i="152"/>
  <c r="AC630" i="152"/>
  <c r="AB630" i="152"/>
  <c r="T675" i="152"/>
  <c r="S675" i="152"/>
  <c r="R675" i="152"/>
  <c r="AM630" i="152"/>
  <c r="AL630" i="152"/>
  <c r="AN630" i="152"/>
  <c r="AN581" i="152"/>
  <c r="AL581" i="152"/>
  <c r="AM581" i="152"/>
  <c r="AD584" i="152"/>
  <c r="AC584" i="152"/>
  <c r="AB584" i="152"/>
  <c r="AN549" i="152"/>
  <c r="AM549" i="152"/>
  <c r="AL549" i="152"/>
  <c r="AN687" i="152"/>
  <c r="AM687" i="152"/>
  <c r="AL687" i="152"/>
  <c r="T633" i="152"/>
  <c r="S633" i="152"/>
  <c r="R633" i="152"/>
  <c r="AI610" i="152"/>
  <c r="AH610" i="152"/>
  <c r="AG610" i="152"/>
  <c r="S700" i="152"/>
  <c r="R700" i="152"/>
  <c r="T700" i="152"/>
  <c r="AD562" i="152"/>
  <c r="AC562" i="152"/>
  <c r="AB562" i="152"/>
  <c r="AD675" i="152"/>
  <c r="AC675" i="152"/>
  <c r="AB675" i="152"/>
  <c r="Y707" i="152"/>
  <c r="X707" i="152"/>
  <c r="W707" i="152"/>
  <c r="AI668" i="152"/>
  <c r="AH668" i="152"/>
  <c r="AG668" i="152"/>
  <c r="S624" i="152"/>
  <c r="R624" i="152"/>
  <c r="T624" i="152"/>
  <c r="X706" i="152"/>
  <c r="W706" i="152"/>
  <c r="Y706" i="152"/>
  <c r="L18" i="109"/>
  <c r="Q18" i="128"/>
  <c r="P18" i="131"/>
  <c r="AN655" i="152"/>
  <c r="AM655" i="152"/>
  <c r="AL655" i="152"/>
  <c r="T621" i="152"/>
  <c r="S621" i="152"/>
  <c r="R621" i="152"/>
  <c r="Y656" i="152"/>
  <c r="X656" i="152"/>
  <c r="W656" i="152"/>
  <c r="T604" i="152"/>
  <c r="S604" i="152"/>
  <c r="R604" i="152"/>
  <c r="AI707" i="152"/>
  <c r="AH707" i="152"/>
  <c r="AG707" i="152"/>
  <c r="AI680" i="152"/>
  <c r="AH680" i="152"/>
  <c r="AG680" i="152"/>
  <c r="AJ680" i="152" s="1"/>
  <c r="Y637" i="152"/>
  <c r="X637" i="152"/>
  <c r="W637" i="152"/>
  <c r="T681" i="152"/>
  <c r="S681" i="152"/>
  <c r="R681" i="152"/>
  <c r="S639" i="152"/>
  <c r="R639" i="152"/>
  <c r="T639" i="152"/>
  <c r="AI594" i="152"/>
  <c r="AG594" i="152"/>
  <c r="AH594" i="152"/>
  <c r="Y597" i="152"/>
  <c r="X597" i="152"/>
  <c r="W597" i="152"/>
  <c r="Z597" i="152" s="1"/>
  <c r="AN571" i="152"/>
  <c r="AM571" i="152"/>
  <c r="AL571" i="152"/>
  <c r="AM693" i="152"/>
  <c r="AN693" i="152"/>
  <c r="AL693" i="152"/>
  <c r="Y640" i="152"/>
  <c r="X640" i="152"/>
  <c r="W640" i="152"/>
  <c r="AI619" i="152"/>
  <c r="AH619" i="152"/>
  <c r="AG619" i="152"/>
  <c r="AI642" i="152"/>
  <c r="AH642" i="152"/>
  <c r="AG642" i="152"/>
  <c r="T697" i="152"/>
  <c r="S697" i="152"/>
  <c r="R697" i="152"/>
  <c r="S669" i="152"/>
  <c r="T669" i="152"/>
  <c r="R669" i="152"/>
  <c r="AD18" i="112"/>
  <c r="V19" i="130"/>
  <c r="AN661" i="152"/>
  <c r="AM661" i="152"/>
  <c r="AL661" i="152"/>
  <c r="Y629" i="152"/>
  <c r="X629" i="152"/>
  <c r="W629" i="152"/>
  <c r="Y662" i="152"/>
  <c r="X662" i="152"/>
  <c r="W662" i="152"/>
  <c r="Z662" i="152" s="1"/>
  <c r="AI614" i="152"/>
  <c r="AH614" i="152"/>
  <c r="AG614" i="152"/>
  <c r="Y540" i="152"/>
  <c r="X540" i="152"/>
  <c r="W540" i="152"/>
  <c r="Y685" i="152"/>
  <c r="X685" i="152"/>
  <c r="W685" i="152"/>
  <c r="AD645" i="152"/>
  <c r="AC645" i="152"/>
  <c r="AB645" i="152"/>
  <c r="AD543" i="152"/>
  <c r="AC543" i="152"/>
  <c r="AB543" i="152"/>
  <c r="T687" i="152"/>
  <c r="S687" i="152"/>
  <c r="R687" i="152"/>
  <c r="AM645" i="152"/>
  <c r="AL645" i="152"/>
  <c r="AN645" i="152"/>
  <c r="AD607" i="152"/>
  <c r="AB607" i="152"/>
  <c r="AC607" i="152"/>
  <c r="T610" i="152"/>
  <c r="S610" i="152"/>
  <c r="R610" i="152"/>
  <c r="AI584" i="152"/>
  <c r="AH584" i="152"/>
  <c r="AG584" i="152"/>
  <c r="AN699" i="152"/>
  <c r="AM699" i="152"/>
  <c r="AL699" i="152"/>
  <c r="AO699" i="152" s="1"/>
  <c r="AD648" i="152"/>
  <c r="AC648" i="152"/>
  <c r="AB648" i="152"/>
  <c r="AD626" i="152"/>
  <c r="AC626" i="152"/>
  <c r="AB626" i="152"/>
  <c r="AD527" i="152"/>
  <c r="AC527" i="152"/>
  <c r="AB527" i="152"/>
  <c r="AN620" i="152"/>
  <c r="AM620" i="152"/>
  <c r="AL620" i="152"/>
  <c r="AC660" i="152"/>
  <c r="AC652" i="152"/>
  <c r="AM667" i="152"/>
  <c r="AN667" i="152"/>
  <c r="AL667" i="152"/>
  <c r="T636" i="152"/>
  <c r="S636" i="152"/>
  <c r="R636" i="152"/>
  <c r="Y668" i="152"/>
  <c r="X668" i="152"/>
  <c r="W668" i="152"/>
  <c r="AN622" i="152"/>
  <c r="AM622" i="152"/>
  <c r="AL622" i="152"/>
  <c r="AN565" i="152"/>
  <c r="AM565" i="152"/>
  <c r="AL565" i="152"/>
  <c r="X691" i="152"/>
  <c r="W691" i="152"/>
  <c r="Y691" i="152"/>
  <c r="Y652" i="152"/>
  <c r="X652" i="152"/>
  <c r="W652" i="152"/>
  <c r="AI568" i="152"/>
  <c r="AH568" i="152"/>
  <c r="AG568" i="152"/>
  <c r="AI691" i="152"/>
  <c r="AH691" i="152"/>
  <c r="AG691" i="152"/>
  <c r="AI652" i="152"/>
  <c r="AH652" i="152"/>
  <c r="AG652" i="152"/>
  <c r="T617" i="152"/>
  <c r="R617" i="152"/>
  <c r="S617" i="152"/>
  <c r="AI617" i="152"/>
  <c r="AH617" i="152"/>
  <c r="AG617" i="152"/>
  <c r="AD597" i="152"/>
  <c r="AC597" i="152"/>
  <c r="AB597" i="152"/>
  <c r="AD704" i="152"/>
  <c r="AC704" i="152"/>
  <c r="AB704" i="152"/>
  <c r="AN654" i="152"/>
  <c r="AM654" i="152"/>
  <c r="AL654" i="152"/>
  <c r="AI633" i="152"/>
  <c r="AH633" i="152"/>
  <c r="AG633" i="152"/>
  <c r="AN584" i="152"/>
  <c r="AM584" i="152"/>
  <c r="AL584" i="152"/>
  <c r="AI690" i="152"/>
  <c r="AH690" i="152"/>
  <c r="AG690" i="152"/>
  <c r="AD578" i="152"/>
  <c r="AC578" i="152"/>
  <c r="AB578" i="152"/>
  <c r="AD672" i="152"/>
  <c r="AC672" i="152"/>
  <c r="AB672" i="152"/>
  <c r="Y643" i="152"/>
  <c r="X643" i="152"/>
  <c r="W643" i="152"/>
  <c r="Y674" i="152"/>
  <c r="X674" i="152"/>
  <c r="W674" i="152"/>
  <c r="AI629" i="152"/>
  <c r="AH629" i="152"/>
  <c r="AG629" i="152"/>
  <c r="AI578" i="152"/>
  <c r="AH578" i="152"/>
  <c r="AG578" i="152"/>
  <c r="Y658" i="152"/>
  <c r="X658" i="152"/>
  <c r="W658" i="152"/>
  <c r="AD581" i="152"/>
  <c r="AC581" i="152"/>
  <c r="AB581" i="152"/>
  <c r="AG697" i="152"/>
  <c r="AI697" i="152"/>
  <c r="AH697" i="152"/>
  <c r="AI658" i="152"/>
  <c r="AH658" i="152"/>
  <c r="AG658" i="152"/>
  <c r="Y624" i="152"/>
  <c r="W624" i="152"/>
  <c r="X624" i="152"/>
  <c r="AD624" i="152"/>
  <c r="AC624" i="152"/>
  <c r="AB624" i="152"/>
  <c r="Y610" i="152"/>
  <c r="X610" i="152"/>
  <c r="W610" i="152"/>
  <c r="AD659" i="152"/>
  <c r="AC659" i="152"/>
  <c r="AB659" i="152"/>
  <c r="AD640" i="152"/>
  <c r="AC640" i="152"/>
  <c r="AB640" i="152"/>
  <c r="AI597" i="152"/>
  <c r="AH597" i="152"/>
  <c r="AG597" i="152"/>
  <c r="AE18" i="146"/>
  <c r="AN597" i="152"/>
  <c r="AM597" i="152"/>
  <c r="AL597" i="152"/>
  <c r="AG609" i="152"/>
  <c r="AH673" i="152"/>
  <c r="AD678" i="152"/>
  <c r="AC678" i="152"/>
  <c r="AB678" i="152"/>
  <c r="T650" i="152"/>
  <c r="S650" i="152"/>
  <c r="R650" i="152"/>
  <c r="AL678" i="152"/>
  <c r="AN678" i="152"/>
  <c r="AM678" i="152"/>
  <c r="AN636" i="152"/>
  <c r="AM636" i="152"/>
  <c r="AL636" i="152"/>
  <c r="AD591" i="152"/>
  <c r="AC591" i="152"/>
  <c r="AB591" i="152"/>
  <c r="Y703" i="152"/>
  <c r="X703" i="152"/>
  <c r="W703" i="152"/>
  <c r="AM662" i="152"/>
  <c r="AN662" i="152"/>
  <c r="AL662" i="152"/>
  <c r="AO662" i="152" s="1"/>
  <c r="Y594" i="152"/>
  <c r="X594" i="152"/>
  <c r="W594" i="152"/>
  <c r="AI703" i="152"/>
  <c r="AH703" i="152"/>
  <c r="AI664" i="152"/>
  <c r="AH664" i="152"/>
  <c r="AG664" i="152"/>
  <c r="AD632" i="152"/>
  <c r="AB632" i="152"/>
  <c r="AC632" i="152"/>
  <c r="AI632" i="152"/>
  <c r="AH632" i="152"/>
  <c r="AG632" i="152"/>
  <c r="AN617" i="152"/>
  <c r="AM617" i="152"/>
  <c r="AL617" i="152"/>
  <c r="AD665" i="152"/>
  <c r="AB665" i="152"/>
  <c r="AC665" i="152"/>
  <c r="AI648" i="152"/>
  <c r="AH648" i="152"/>
  <c r="AG648" i="152"/>
  <c r="AN670" i="152"/>
  <c r="AM670" i="152"/>
  <c r="AL670" i="152"/>
  <c r="T553" i="152"/>
  <c r="S553" i="152"/>
  <c r="R553" i="152"/>
  <c r="AE17" i="142"/>
  <c r="AN533" i="152"/>
  <c r="AM533" i="152"/>
  <c r="AL533" i="152"/>
  <c r="AC684" i="152"/>
  <c r="AD684" i="152"/>
  <c r="AB684" i="152"/>
  <c r="T656" i="152"/>
  <c r="S656" i="152"/>
  <c r="R656" i="152"/>
  <c r="R537" i="152"/>
  <c r="T537" i="152"/>
  <c r="S537" i="152"/>
  <c r="AN684" i="152"/>
  <c r="AM684" i="152"/>
  <c r="AL684" i="152"/>
  <c r="AI643" i="152"/>
  <c r="AH643" i="152"/>
  <c r="AG643" i="152"/>
  <c r="AJ643" i="152" s="1"/>
  <c r="Y604" i="152"/>
  <c r="X604" i="152"/>
  <c r="W604" i="152"/>
  <c r="AN668" i="152"/>
  <c r="AM668" i="152"/>
  <c r="AL668" i="152"/>
  <c r="T607" i="152"/>
  <c r="S607" i="152"/>
  <c r="R607" i="152"/>
  <c r="Y669" i="152"/>
  <c r="X669" i="152"/>
  <c r="W669" i="152"/>
  <c r="Y639" i="152"/>
  <c r="W639" i="152"/>
  <c r="X639" i="152"/>
  <c r="AD639" i="152"/>
  <c r="AC639" i="152"/>
  <c r="AB639" i="152"/>
  <c r="T626" i="152"/>
  <c r="S626" i="152"/>
  <c r="R626" i="152"/>
  <c r="AB671" i="152"/>
  <c r="AD671" i="152"/>
  <c r="AC671" i="152"/>
  <c r="T655" i="152"/>
  <c r="S655" i="152"/>
  <c r="R655" i="152"/>
  <c r="AI683" i="152"/>
  <c r="AH683" i="152"/>
  <c r="AG683" i="152"/>
  <c r="Y665" i="152"/>
  <c r="W665" i="152"/>
  <c r="X665" i="152"/>
  <c r="AA18" i="151"/>
  <c r="AN681" i="152"/>
  <c r="AM681" i="152"/>
  <c r="AL681" i="152"/>
  <c r="AB660" i="152"/>
  <c r="AE660" i="152" s="1"/>
  <c r="S664" i="152"/>
  <c r="U664" i="152" s="1"/>
  <c r="X667" i="152"/>
  <c r="Z667" i="152" s="1"/>
  <c r="AL530" i="152"/>
  <c r="AO530" i="152" s="1"/>
  <c r="AD559" i="152"/>
  <c r="AC559" i="152"/>
  <c r="AB559" i="152"/>
  <c r="AD690" i="152"/>
  <c r="AC690" i="152"/>
  <c r="AB690" i="152"/>
  <c r="AG562" i="152"/>
  <c r="AI562" i="152"/>
  <c r="AH562" i="152"/>
  <c r="AM690" i="152"/>
  <c r="AN690" i="152"/>
  <c r="AN651" i="152"/>
  <c r="AM651" i="152"/>
  <c r="AL651" i="152"/>
  <c r="AN614" i="152"/>
  <c r="AM614" i="152"/>
  <c r="AL614" i="152"/>
  <c r="AL674" i="152"/>
  <c r="AN674" i="152"/>
  <c r="AM674" i="152"/>
  <c r="AI616" i="152"/>
  <c r="AH616" i="152"/>
  <c r="AG616" i="152"/>
  <c r="AJ616" i="152" s="1"/>
  <c r="X675" i="152"/>
  <c r="Y675" i="152"/>
  <c r="W675" i="152"/>
  <c r="AD646" i="152"/>
  <c r="AB646" i="152"/>
  <c r="AC646" i="152"/>
  <c r="AI646" i="152"/>
  <c r="AH646" i="152"/>
  <c r="AG646" i="152"/>
  <c r="AN632" i="152"/>
  <c r="AM632" i="152"/>
  <c r="AL632" i="152"/>
  <c r="AD677" i="152"/>
  <c r="AC677" i="152"/>
  <c r="AB677" i="152"/>
  <c r="AI659" i="152"/>
  <c r="AH659" i="152"/>
  <c r="AG659" i="152"/>
  <c r="Y659" i="152"/>
  <c r="X659" i="152"/>
  <c r="W659" i="152"/>
  <c r="T706" i="152"/>
  <c r="S706" i="152"/>
  <c r="R706" i="152"/>
  <c r="Y626" i="152"/>
  <c r="X626" i="152"/>
  <c r="W626" i="152"/>
  <c r="X18" i="130"/>
  <c r="Z18" i="130" s="1"/>
  <c r="AG673" i="152"/>
  <c r="AD575" i="152"/>
  <c r="AC575" i="152"/>
  <c r="AB575" i="152"/>
  <c r="AE575" i="152" s="1"/>
  <c r="AC696" i="152"/>
  <c r="AD696" i="152"/>
  <c r="AB696" i="152"/>
  <c r="T668" i="152"/>
  <c r="S668" i="152"/>
  <c r="R668" i="152"/>
  <c r="W578" i="152"/>
  <c r="Y578" i="152"/>
  <c r="X578" i="152"/>
  <c r="AN696" i="152"/>
  <c r="AM696" i="152"/>
  <c r="AL696" i="152"/>
  <c r="AB656" i="152"/>
  <c r="AD656" i="152"/>
  <c r="AC656" i="152"/>
  <c r="T623" i="152"/>
  <c r="S623" i="152"/>
  <c r="R623" i="152"/>
  <c r="AN680" i="152"/>
  <c r="AM680" i="152"/>
  <c r="AL680" i="152"/>
  <c r="AD623" i="152"/>
  <c r="AC623" i="152"/>
  <c r="AB623" i="152"/>
  <c r="Y681" i="152"/>
  <c r="X681" i="152"/>
  <c r="W681" i="152"/>
  <c r="AL652" i="152"/>
  <c r="AN652" i="152"/>
  <c r="AM652" i="152"/>
  <c r="T653" i="152"/>
  <c r="S653" i="152"/>
  <c r="R653" i="152"/>
  <c r="T640" i="152"/>
  <c r="S640" i="152"/>
  <c r="R640" i="152"/>
  <c r="Y527" i="152"/>
  <c r="X527" i="152"/>
  <c r="W527" i="152"/>
  <c r="T682" i="152"/>
  <c r="S682" i="152"/>
  <c r="R682" i="152"/>
  <c r="AI665" i="152"/>
  <c r="AH665" i="152"/>
  <c r="AG665" i="152"/>
  <c r="U18" i="104"/>
  <c r="O17" i="144"/>
  <c r="L18" i="126"/>
  <c r="N19" i="126" s="1"/>
  <c r="P19" i="126" s="1"/>
  <c r="Y588" i="152"/>
  <c r="X588" i="152"/>
  <c r="W588" i="152"/>
  <c r="T701" i="152"/>
  <c r="S701" i="152"/>
  <c r="R701" i="152"/>
  <c r="R674" i="152"/>
  <c r="T674" i="152"/>
  <c r="S674" i="152"/>
  <c r="R591" i="152"/>
  <c r="T591" i="152"/>
  <c r="S591" i="152"/>
  <c r="AN702" i="152"/>
  <c r="AM702" i="152"/>
  <c r="AL702" i="152"/>
  <c r="AD662" i="152"/>
  <c r="AC662" i="152"/>
  <c r="AB662" i="152"/>
  <c r="AN629" i="152"/>
  <c r="AM629" i="152"/>
  <c r="AL629" i="152"/>
  <c r="Y543" i="152"/>
  <c r="X543" i="152"/>
  <c r="W543" i="152"/>
  <c r="AN686" i="152"/>
  <c r="AM686" i="152"/>
  <c r="AL686" i="152"/>
  <c r="AI630" i="152"/>
  <c r="AH630" i="152"/>
  <c r="AG630" i="152"/>
  <c r="AC546" i="152"/>
  <c r="AB546" i="152"/>
  <c r="AD546" i="152"/>
  <c r="Y687" i="152"/>
  <c r="X687" i="152"/>
  <c r="W687" i="152"/>
  <c r="AN658" i="152"/>
  <c r="AL658" i="152"/>
  <c r="R659" i="152"/>
  <c r="T659" i="152"/>
  <c r="S659" i="152"/>
  <c r="AN646" i="152"/>
  <c r="AM646" i="152"/>
  <c r="AL646" i="152"/>
  <c r="AN552" i="152"/>
  <c r="AM552" i="152"/>
  <c r="AL552" i="152"/>
  <c r="T688" i="152"/>
  <c r="S688" i="152"/>
  <c r="R688" i="152"/>
  <c r="AI671" i="152"/>
  <c r="AG671" i="152"/>
  <c r="T671" i="152"/>
  <c r="S671" i="152"/>
  <c r="R671" i="152"/>
  <c r="AI675" i="152"/>
  <c r="AH675" i="152"/>
  <c r="AG675" i="152"/>
  <c r="AI571" i="152"/>
  <c r="AH571" i="152"/>
  <c r="AG571" i="152"/>
  <c r="O18" i="126"/>
  <c r="L18" i="131"/>
  <c r="V19" i="145"/>
  <c r="T601" i="152"/>
  <c r="S601" i="152"/>
  <c r="R601" i="152"/>
  <c r="T707" i="152"/>
  <c r="S707" i="152"/>
  <c r="R707" i="152"/>
  <c r="AI678" i="152"/>
  <c r="AH678" i="152"/>
  <c r="AG678" i="152"/>
  <c r="AL603" i="152"/>
  <c r="AN603" i="152"/>
  <c r="AM603" i="152"/>
  <c r="AB707" i="152"/>
  <c r="AD707" i="152"/>
  <c r="AC707" i="152"/>
  <c r="AD668" i="152"/>
  <c r="AC668" i="152"/>
  <c r="AE668" i="152" s="1"/>
  <c r="T637" i="152"/>
  <c r="S637" i="152"/>
  <c r="R637" i="152"/>
  <c r="AD568" i="152"/>
  <c r="AC568" i="152"/>
  <c r="AB568" i="152"/>
  <c r="AD691" i="152"/>
  <c r="AB691" i="152"/>
  <c r="AC691" i="152"/>
  <c r="AN638" i="152"/>
  <c r="AM638" i="152"/>
  <c r="AL638" i="152"/>
  <c r="AM568" i="152"/>
  <c r="AL568" i="152"/>
  <c r="AN568" i="152"/>
  <c r="Y693" i="152"/>
  <c r="X693" i="152"/>
  <c r="W693" i="152"/>
  <c r="AN664" i="152"/>
  <c r="AM664" i="152"/>
  <c r="AL664" i="152"/>
  <c r="T665" i="152"/>
  <c r="S665" i="152"/>
  <c r="R665" i="152"/>
  <c r="Y653" i="152"/>
  <c r="X653" i="152"/>
  <c r="W653" i="152"/>
  <c r="T572" i="152"/>
  <c r="S572" i="152"/>
  <c r="R572" i="152"/>
  <c r="U572" i="152" s="1"/>
  <c r="S694" i="152"/>
  <c r="T694" i="152"/>
  <c r="AG677" i="152"/>
  <c r="AI677" i="152"/>
  <c r="AH677" i="152"/>
  <c r="T18" i="131"/>
  <c r="T18" i="129"/>
  <c r="L18" i="151"/>
  <c r="AD18" i="144"/>
  <c r="Q18" i="111"/>
  <c r="R654" i="152"/>
  <c r="Y336" i="152"/>
  <c r="X336" i="152"/>
  <c r="W336" i="152"/>
  <c r="AI422" i="152"/>
  <c r="AH422" i="152"/>
  <c r="AG422" i="152"/>
  <c r="AN496" i="152"/>
  <c r="AM496" i="152"/>
  <c r="AL496" i="152"/>
  <c r="R551" i="152"/>
  <c r="T551" i="152"/>
  <c r="S551" i="152"/>
  <c r="Y602" i="152"/>
  <c r="X602" i="152"/>
  <c r="W602" i="152"/>
  <c r="AD653" i="152"/>
  <c r="AC653" i="152"/>
  <c r="AB653" i="152"/>
  <c r="AI704" i="152"/>
  <c r="AH704" i="152"/>
  <c r="AG704" i="152"/>
  <c r="AJ704" i="152" s="1"/>
  <c r="AD390" i="152"/>
  <c r="AC390" i="152"/>
  <c r="AB390" i="152"/>
  <c r="AI464" i="152"/>
  <c r="AH464" i="152"/>
  <c r="AG464" i="152"/>
  <c r="AN528" i="152"/>
  <c r="AM528" i="152"/>
  <c r="AL528" i="152"/>
  <c r="T580" i="152"/>
  <c r="S580" i="152"/>
  <c r="R580" i="152"/>
  <c r="Y631" i="152"/>
  <c r="X631" i="152"/>
  <c r="W631" i="152"/>
  <c r="AD682" i="152"/>
  <c r="AC682" i="152"/>
  <c r="AB682" i="152"/>
  <c r="AI352" i="152"/>
  <c r="AH352" i="152"/>
  <c r="AG352" i="152"/>
  <c r="AD432" i="152"/>
  <c r="AC432" i="152"/>
  <c r="AB432" i="152"/>
  <c r="AH506" i="152"/>
  <c r="AG506" i="152"/>
  <c r="AI506" i="152"/>
  <c r="AN557" i="152"/>
  <c r="AM557" i="152"/>
  <c r="AL557" i="152"/>
  <c r="T609" i="152"/>
  <c r="S609" i="152"/>
  <c r="R609" i="152"/>
  <c r="Y660" i="152"/>
  <c r="X660" i="152"/>
  <c r="W660" i="152"/>
  <c r="AD228" i="152"/>
  <c r="AC228" i="152"/>
  <c r="AB228" i="152"/>
  <c r="Y400" i="152"/>
  <c r="X400" i="152"/>
  <c r="W400" i="152"/>
  <c r="AB474" i="152"/>
  <c r="AD474" i="152"/>
  <c r="AC474" i="152"/>
  <c r="AI535" i="152"/>
  <c r="AH535" i="152"/>
  <c r="AG535" i="152"/>
  <c r="AJ535" i="152" s="1"/>
  <c r="AM586" i="152"/>
  <c r="AN586" i="152"/>
  <c r="T638" i="152"/>
  <c r="R638" i="152"/>
  <c r="AN365" i="152"/>
  <c r="AM365" i="152"/>
  <c r="AL365" i="152"/>
  <c r="Y442" i="152"/>
  <c r="X442" i="152"/>
  <c r="W442" i="152"/>
  <c r="AC513" i="152"/>
  <c r="AB513" i="152"/>
  <c r="AD513" i="152"/>
  <c r="AI564" i="152"/>
  <c r="AH564" i="152"/>
  <c r="AG564" i="152"/>
  <c r="AJ564" i="152" s="1"/>
  <c r="AN615" i="152"/>
  <c r="AM615" i="152"/>
  <c r="AL615" i="152"/>
  <c r="T667" i="152"/>
  <c r="S667" i="152"/>
  <c r="R667" i="152"/>
  <c r="R304" i="152"/>
  <c r="T304" i="152"/>
  <c r="S304" i="152"/>
  <c r="T410" i="152"/>
  <c r="S410" i="152"/>
  <c r="R410" i="152"/>
  <c r="Y484" i="152"/>
  <c r="X484" i="152"/>
  <c r="W484" i="152"/>
  <c r="AC542" i="152"/>
  <c r="AD542" i="152"/>
  <c r="AB542" i="152"/>
  <c r="AH593" i="152"/>
  <c r="AI593" i="152"/>
  <c r="AG593" i="152"/>
  <c r="S696" i="152"/>
  <c r="T696" i="152"/>
  <c r="AN377" i="152"/>
  <c r="AM377" i="152"/>
  <c r="AL377" i="152"/>
  <c r="T452" i="152"/>
  <c r="S452" i="152"/>
  <c r="R452" i="152"/>
  <c r="Y520" i="152"/>
  <c r="X520" i="152"/>
  <c r="W520" i="152"/>
  <c r="Z520" i="152" s="1"/>
  <c r="AD571" i="152"/>
  <c r="AC571" i="152"/>
  <c r="AB571" i="152"/>
  <c r="AI622" i="152"/>
  <c r="AH622" i="152"/>
  <c r="AG622" i="152"/>
  <c r="AN673" i="152"/>
  <c r="AM673" i="152"/>
  <c r="AL673" i="152"/>
  <c r="AI346" i="152"/>
  <c r="AH346" i="152"/>
  <c r="AG346" i="152"/>
  <c r="AD295" i="152"/>
  <c r="AC295" i="152"/>
  <c r="AB295" i="152"/>
  <c r="AN176" i="152"/>
  <c r="AM176" i="152"/>
  <c r="AL176" i="152"/>
  <c r="T308" i="152"/>
  <c r="S308" i="152"/>
  <c r="R308" i="152"/>
  <c r="AN221" i="152"/>
  <c r="AM221" i="152"/>
  <c r="AL221" i="152"/>
  <c r="AI320" i="152"/>
  <c r="AG320" i="152"/>
  <c r="AH320" i="152"/>
  <c r="AD256" i="152"/>
  <c r="AC256" i="152"/>
  <c r="AB256" i="152"/>
  <c r="AI173" i="152"/>
  <c r="AH173" i="152"/>
  <c r="AG173" i="152"/>
  <c r="AD209" i="152"/>
  <c r="AC209" i="152"/>
  <c r="AB209" i="152"/>
  <c r="Y237" i="152"/>
  <c r="X237" i="152"/>
  <c r="W237" i="152"/>
  <c r="T310" i="152"/>
  <c r="S310" i="152"/>
  <c r="R310" i="152"/>
  <c r="AD345" i="152"/>
  <c r="AC345" i="152"/>
  <c r="AB345" i="152"/>
  <c r="AN427" i="152"/>
  <c r="AM427" i="152"/>
  <c r="AL427" i="152"/>
  <c r="AO427" i="152" s="1"/>
  <c r="Y554" i="152"/>
  <c r="X554" i="152"/>
  <c r="W554" i="152"/>
  <c r="AD605" i="152"/>
  <c r="AC605" i="152"/>
  <c r="AB605" i="152"/>
  <c r="AI656" i="152"/>
  <c r="AH656" i="152"/>
  <c r="AG656" i="152"/>
  <c r="AN707" i="152"/>
  <c r="AM707" i="152"/>
  <c r="AL707" i="152"/>
  <c r="AI394" i="152"/>
  <c r="AH394" i="152"/>
  <c r="AG394" i="152"/>
  <c r="AN469" i="152"/>
  <c r="AM469" i="152"/>
  <c r="AL469" i="152"/>
  <c r="T532" i="152"/>
  <c r="S532" i="152"/>
  <c r="R532" i="152"/>
  <c r="Y583" i="152"/>
  <c r="X583" i="152"/>
  <c r="W583" i="152"/>
  <c r="AD634" i="152"/>
  <c r="AC634" i="152"/>
  <c r="AB634" i="152"/>
  <c r="AI685" i="152"/>
  <c r="AH685" i="152"/>
  <c r="AG685" i="152"/>
  <c r="T359" i="152"/>
  <c r="S359" i="152"/>
  <c r="R359" i="152"/>
  <c r="AI437" i="152"/>
  <c r="AH437" i="152"/>
  <c r="AG437" i="152"/>
  <c r="AN509" i="152"/>
  <c r="AL509" i="152"/>
  <c r="AM509" i="152"/>
  <c r="R561" i="152"/>
  <c r="T561" i="152"/>
  <c r="S561" i="152"/>
  <c r="Y612" i="152"/>
  <c r="X612" i="152"/>
  <c r="W612" i="152"/>
  <c r="AD663" i="152"/>
  <c r="AC663" i="152"/>
  <c r="AB663" i="152"/>
  <c r="AE663" i="152" s="1"/>
  <c r="T285" i="152"/>
  <c r="S285" i="152"/>
  <c r="R285" i="152"/>
  <c r="AD405" i="152"/>
  <c r="AC405" i="152"/>
  <c r="AB405" i="152"/>
  <c r="AI479" i="152"/>
  <c r="AG479" i="152"/>
  <c r="AM538" i="152"/>
  <c r="AL538" i="152"/>
  <c r="S590" i="152"/>
  <c r="T590" i="152"/>
  <c r="AN371" i="152"/>
  <c r="AM371" i="152"/>
  <c r="AL371" i="152"/>
  <c r="AD447" i="152"/>
  <c r="AC447" i="152"/>
  <c r="AB447" i="152"/>
  <c r="AI516" i="152"/>
  <c r="AH516" i="152"/>
  <c r="AG516" i="152"/>
  <c r="AN567" i="152"/>
  <c r="AM567" i="152"/>
  <c r="AL567" i="152"/>
  <c r="T619" i="152"/>
  <c r="S619" i="152"/>
  <c r="R619" i="152"/>
  <c r="Y670" i="152"/>
  <c r="X670" i="152"/>
  <c r="W670" i="152"/>
  <c r="AN316" i="152"/>
  <c r="AM316" i="152"/>
  <c r="AL316" i="152"/>
  <c r="Y415" i="152"/>
  <c r="X415" i="152"/>
  <c r="W415" i="152"/>
  <c r="AB489" i="152"/>
  <c r="AD489" i="152"/>
  <c r="AC489" i="152"/>
  <c r="AG545" i="152"/>
  <c r="AI545" i="152"/>
  <c r="AH545" i="152"/>
  <c r="AL596" i="152"/>
  <c r="AN596" i="152"/>
  <c r="AM596" i="152"/>
  <c r="T648" i="152"/>
  <c r="R648" i="152"/>
  <c r="Y699" i="152"/>
  <c r="W699" i="152"/>
  <c r="T383" i="152"/>
  <c r="S383" i="152"/>
  <c r="R383" i="152"/>
  <c r="X457" i="152"/>
  <c r="W457" i="152"/>
  <c r="Y457" i="152"/>
  <c r="AD523" i="152"/>
  <c r="AC523" i="152"/>
  <c r="AB523" i="152"/>
  <c r="AI574" i="152"/>
  <c r="AG574" i="152"/>
  <c r="AH574" i="152"/>
  <c r="AN625" i="152"/>
  <c r="AM625" i="152"/>
  <c r="AL625" i="152"/>
  <c r="AO625" i="152" s="1"/>
  <c r="R677" i="152"/>
  <c r="T677" i="152"/>
  <c r="S677" i="152"/>
  <c r="AD343" i="152"/>
  <c r="AC343" i="152"/>
  <c r="AB343" i="152"/>
  <c r="Y292" i="152"/>
  <c r="X292" i="152"/>
  <c r="W292" i="152"/>
  <c r="AN154" i="152"/>
  <c r="AM154" i="152"/>
  <c r="AL154" i="152"/>
  <c r="AN304" i="152"/>
  <c r="AM304" i="152"/>
  <c r="AL304" i="152"/>
  <c r="AI212" i="152"/>
  <c r="AH212" i="152"/>
  <c r="AG212" i="152"/>
  <c r="AJ212" i="152" s="1"/>
  <c r="AB317" i="152"/>
  <c r="AE317" i="152" s="1"/>
  <c r="AD317" i="152"/>
  <c r="AC317" i="152"/>
  <c r="Y247" i="152"/>
  <c r="X247" i="152"/>
  <c r="W247" i="152"/>
  <c r="AD148" i="152"/>
  <c r="AC148" i="152"/>
  <c r="AB148" i="152"/>
  <c r="AI196" i="152"/>
  <c r="AH196" i="152"/>
  <c r="AG196" i="152"/>
  <c r="T228" i="152"/>
  <c r="S228" i="152"/>
  <c r="R228" i="152"/>
  <c r="AN306" i="152"/>
  <c r="AM306" i="152"/>
  <c r="AL306" i="152"/>
  <c r="AI218" i="152"/>
  <c r="AH218" i="152"/>
  <c r="AG218" i="152"/>
  <c r="AB303" i="152"/>
  <c r="AC303" i="152"/>
  <c r="AD303" i="152"/>
  <c r="AN208" i="152"/>
  <c r="AM208" i="152"/>
  <c r="AL208" i="152"/>
  <c r="Y352" i="152"/>
  <c r="X352" i="152"/>
  <c r="W352" i="152"/>
  <c r="Z352" i="152" s="1"/>
  <c r="T432" i="152"/>
  <c r="S432" i="152"/>
  <c r="R432" i="152"/>
  <c r="Y506" i="152"/>
  <c r="X506" i="152"/>
  <c r="W506" i="152"/>
  <c r="AD557" i="152"/>
  <c r="AC557" i="152"/>
  <c r="AB557" i="152"/>
  <c r="AI608" i="152"/>
  <c r="AH608" i="152"/>
  <c r="AG608" i="152"/>
  <c r="AN659" i="152"/>
  <c r="AM659" i="152"/>
  <c r="AL659" i="152"/>
  <c r="Y221" i="152"/>
  <c r="X221" i="152"/>
  <c r="W221" i="152"/>
  <c r="Z221" i="152" s="1"/>
  <c r="AN399" i="152"/>
  <c r="AM399" i="152"/>
  <c r="AL399" i="152"/>
  <c r="T474" i="152"/>
  <c r="S474" i="152"/>
  <c r="R474" i="152"/>
  <c r="Y535" i="152"/>
  <c r="X535" i="152"/>
  <c r="W535" i="152"/>
  <c r="AC586" i="152"/>
  <c r="AB586" i="152"/>
  <c r="AD586" i="152"/>
  <c r="AI637" i="152"/>
  <c r="AH637" i="152"/>
  <c r="AG637" i="152"/>
  <c r="AN688" i="152"/>
  <c r="AM688" i="152"/>
  <c r="AL688" i="152"/>
  <c r="AD365" i="152"/>
  <c r="AC365" i="152"/>
  <c r="AB365" i="152"/>
  <c r="AN441" i="152"/>
  <c r="AM441" i="152"/>
  <c r="AL441" i="152"/>
  <c r="T513" i="152"/>
  <c r="S513" i="152"/>
  <c r="R513" i="152"/>
  <c r="Y564" i="152"/>
  <c r="X564" i="152"/>
  <c r="W564" i="152"/>
  <c r="Z564" i="152" s="1"/>
  <c r="AC615" i="152"/>
  <c r="AB615" i="152"/>
  <c r="AD615" i="152"/>
  <c r="AH666" i="152"/>
  <c r="AG666" i="152"/>
  <c r="AI666" i="152"/>
  <c r="X301" i="152"/>
  <c r="Y301" i="152"/>
  <c r="W301" i="152"/>
  <c r="AI409" i="152"/>
  <c r="AH409" i="152"/>
  <c r="AG409" i="152"/>
  <c r="AN483" i="152"/>
  <c r="AM483" i="152"/>
  <c r="AL483" i="152"/>
  <c r="R542" i="152"/>
  <c r="T542" i="152"/>
  <c r="Y593" i="152"/>
  <c r="X593" i="152"/>
  <c r="W593" i="152"/>
  <c r="AI695" i="152"/>
  <c r="AG695" i="152"/>
  <c r="AD377" i="152"/>
  <c r="AC377" i="152"/>
  <c r="AB377" i="152"/>
  <c r="AI451" i="152"/>
  <c r="AH451" i="152"/>
  <c r="AG451" i="152"/>
  <c r="AN519" i="152"/>
  <c r="AM519" i="152"/>
  <c r="AL519" i="152"/>
  <c r="T571" i="152"/>
  <c r="S571" i="152"/>
  <c r="R571" i="152"/>
  <c r="U571" i="152" s="1"/>
  <c r="Y622" i="152"/>
  <c r="X622" i="152"/>
  <c r="W622" i="152"/>
  <c r="AD673" i="152"/>
  <c r="AC673" i="152"/>
  <c r="AB673" i="152"/>
  <c r="AI329" i="152"/>
  <c r="AH329" i="152"/>
  <c r="AG329" i="152"/>
  <c r="AD419" i="152"/>
  <c r="AC419" i="152"/>
  <c r="AB419" i="152"/>
  <c r="AH493" i="152"/>
  <c r="AG493" i="152"/>
  <c r="AI493" i="152"/>
  <c r="AN548" i="152"/>
  <c r="AM548" i="152"/>
  <c r="T600" i="152"/>
  <c r="S600" i="152"/>
  <c r="Y651" i="152"/>
  <c r="W651" i="152"/>
  <c r="Z651" i="152" s="1"/>
  <c r="Y387" i="152"/>
  <c r="X387" i="152"/>
  <c r="W387" i="152"/>
  <c r="AD461" i="152"/>
  <c r="AC461" i="152"/>
  <c r="AB461" i="152"/>
  <c r="AI526" i="152"/>
  <c r="AH526" i="152"/>
  <c r="AG526" i="152"/>
  <c r="AJ526" i="152" s="1"/>
  <c r="AN577" i="152"/>
  <c r="AM577" i="152"/>
  <c r="AL577" i="152"/>
  <c r="T629" i="152"/>
  <c r="S629" i="152"/>
  <c r="R629" i="152"/>
  <c r="Y680" i="152"/>
  <c r="X680" i="152"/>
  <c r="W680" i="152"/>
  <c r="Y340" i="152"/>
  <c r="X340" i="152"/>
  <c r="W340" i="152"/>
  <c r="T289" i="152"/>
  <c r="S289" i="152"/>
  <c r="R289" i="152"/>
  <c r="Y129" i="152"/>
  <c r="X129" i="152"/>
  <c r="W129" i="152"/>
  <c r="Z129" i="152" s="1"/>
  <c r="AI301" i="152"/>
  <c r="AH301" i="152"/>
  <c r="AG301" i="152"/>
  <c r="AN199" i="152"/>
  <c r="AM199" i="152"/>
  <c r="AL199" i="152"/>
  <c r="Y314" i="152"/>
  <c r="X314" i="152"/>
  <c r="W314" i="152"/>
  <c r="T238" i="152"/>
  <c r="S238" i="152"/>
  <c r="R238" i="152"/>
  <c r="AN122" i="152"/>
  <c r="AM122" i="152"/>
  <c r="AL122" i="152"/>
  <c r="AN183" i="152"/>
  <c r="AM183" i="152"/>
  <c r="AL183" i="152"/>
  <c r="AN218" i="152"/>
  <c r="AM218" i="152"/>
  <c r="AL218" i="152"/>
  <c r="AI303" i="152"/>
  <c r="AH303" i="152"/>
  <c r="AG303" i="152"/>
  <c r="T209" i="152"/>
  <c r="S209" i="152"/>
  <c r="R209" i="152"/>
  <c r="W300" i="152"/>
  <c r="X300" i="152"/>
  <c r="Y300" i="152"/>
  <c r="T196" i="152"/>
  <c r="S196" i="152"/>
  <c r="R196" i="152"/>
  <c r="AI358" i="152"/>
  <c r="AH358" i="152"/>
  <c r="AG358" i="152"/>
  <c r="W436" i="152"/>
  <c r="Y436" i="152"/>
  <c r="X436" i="152"/>
  <c r="AB509" i="152"/>
  <c r="AD509" i="152"/>
  <c r="AC509" i="152"/>
  <c r="AI560" i="152"/>
  <c r="AH560" i="152"/>
  <c r="AG560" i="152"/>
  <c r="AN611" i="152"/>
  <c r="AM611" i="152"/>
  <c r="AL611" i="152"/>
  <c r="AO611" i="152" s="1"/>
  <c r="R663" i="152"/>
  <c r="U663" i="152" s="1"/>
  <c r="T663" i="152"/>
  <c r="S663" i="152"/>
  <c r="AN281" i="152"/>
  <c r="AM281" i="152"/>
  <c r="AL281" i="152"/>
  <c r="R404" i="152"/>
  <c r="T404" i="152"/>
  <c r="S404" i="152"/>
  <c r="X479" i="152"/>
  <c r="W479" i="152"/>
  <c r="Y479" i="152"/>
  <c r="AD538" i="152"/>
  <c r="AC538" i="152"/>
  <c r="AB538" i="152"/>
  <c r="AI589" i="152"/>
  <c r="AH589" i="152"/>
  <c r="AG589" i="152"/>
  <c r="AN640" i="152"/>
  <c r="AM640" i="152"/>
  <c r="AL640" i="152"/>
  <c r="R692" i="152"/>
  <c r="T692" i="152"/>
  <c r="S692" i="152"/>
  <c r="AD371" i="152"/>
  <c r="AC371" i="152"/>
  <c r="AB371" i="152"/>
  <c r="T447" i="152"/>
  <c r="S447" i="152"/>
  <c r="R447" i="152"/>
  <c r="U447" i="152" s="1"/>
  <c r="Y516" i="152"/>
  <c r="X516" i="152"/>
  <c r="W516" i="152"/>
  <c r="AD567" i="152"/>
  <c r="AC567" i="152"/>
  <c r="AB567" i="152"/>
  <c r="AI618" i="152"/>
  <c r="AH618" i="152"/>
  <c r="AG618" i="152"/>
  <c r="AN669" i="152"/>
  <c r="AM669" i="152"/>
  <c r="AL669" i="152"/>
  <c r="S314" i="152"/>
  <c r="R314" i="152"/>
  <c r="T314" i="152"/>
  <c r="AN413" i="152"/>
  <c r="AM413" i="152"/>
  <c r="AL413" i="152"/>
  <c r="AO413" i="152" s="1"/>
  <c r="T489" i="152"/>
  <c r="S489" i="152"/>
  <c r="R489" i="152"/>
  <c r="W545" i="152"/>
  <c r="Y545" i="152"/>
  <c r="AD596" i="152"/>
  <c r="AC596" i="152"/>
  <c r="AN698" i="152"/>
  <c r="AL698" i="152"/>
  <c r="AG381" i="152"/>
  <c r="AI381" i="152"/>
  <c r="AH381" i="152"/>
  <c r="AN456" i="152"/>
  <c r="AM456" i="152"/>
  <c r="AL456" i="152"/>
  <c r="T523" i="152"/>
  <c r="S523" i="152"/>
  <c r="R523" i="152"/>
  <c r="W574" i="152"/>
  <c r="Y574" i="152"/>
  <c r="X574" i="152"/>
  <c r="AD625" i="152"/>
  <c r="AC625" i="152"/>
  <c r="AB625" i="152"/>
  <c r="AI676" i="152"/>
  <c r="AH676" i="152"/>
  <c r="AG676" i="152"/>
  <c r="Y339" i="152"/>
  <c r="X339" i="152"/>
  <c r="W339" i="152"/>
  <c r="Z339" i="152" s="1"/>
  <c r="AI424" i="152"/>
  <c r="AG424" i="152"/>
  <c r="AH424" i="152"/>
  <c r="AL498" i="152"/>
  <c r="AN498" i="152"/>
  <c r="AM498" i="152"/>
  <c r="AI705" i="152"/>
  <c r="AH705" i="152"/>
  <c r="AD391" i="152"/>
  <c r="AC391" i="152"/>
  <c r="AB391" i="152"/>
  <c r="AI466" i="152"/>
  <c r="AH466" i="152"/>
  <c r="AG466" i="152"/>
  <c r="AL529" i="152"/>
  <c r="AN529" i="152"/>
  <c r="AM529" i="152"/>
  <c r="T581" i="152"/>
  <c r="S581" i="152"/>
  <c r="R581" i="152"/>
  <c r="Y632" i="152"/>
  <c r="X632" i="152"/>
  <c r="W632" i="152"/>
  <c r="AD683" i="152"/>
  <c r="AC683" i="152"/>
  <c r="AB683" i="152"/>
  <c r="T337" i="152"/>
  <c r="S337" i="152"/>
  <c r="R337" i="152"/>
  <c r="AN285" i="152"/>
  <c r="AM285" i="152"/>
  <c r="AL285" i="152"/>
  <c r="AO285" i="152" s="1"/>
  <c r="AI103" i="152"/>
  <c r="AH103" i="152"/>
  <c r="AG103" i="152"/>
  <c r="AD298" i="152"/>
  <c r="AC298" i="152"/>
  <c r="AB298" i="152"/>
  <c r="T187" i="152"/>
  <c r="S187" i="152"/>
  <c r="R187" i="152"/>
  <c r="T311" i="152"/>
  <c r="S311" i="152"/>
  <c r="R311" i="152"/>
  <c r="AN230" i="152"/>
  <c r="AM230" i="152"/>
  <c r="AL230" i="152"/>
  <c r="T365" i="152"/>
  <c r="S365" i="152"/>
  <c r="R365" i="152"/>
  <c r="U365" i="152" s="1"/>
  <c r="AC441" i="152"/>
  <c r="AB441" i="152"/>
  <c r="AD441" i="152"/>
  <c r="AI512" i="152"/>
  <c r="AH512" i="152"/>
  <c r="AG512" i="152"/>
  <c r="AN563" i="152"/>
  <c r="AM563" i="152"/>
  <c r="AL563" i="152"/>
  <c r="T615" i="152"/>
  <c r="S615" i="152"/>
  <c r="R615" i="152"/>
  <c r="Y666" i="152"/>
  <c r="X666" i="152"/>
  <c r="W666" i="152"/>
  <c r="AL300" i="152"/>
  <c r="AN300" i="152"/>
  <c r="AM300" i="152"/>
  <c r="X409" i="152"/>
  <c r="W409" i="152"/>
  <c r="Y409" i="152"/>
  <c r="AC483" i="152"/>
  <c r="AB483" i="152"/>
  <c r="AD483" i="152"/>
  <c r="AH541" i="152"/>
  <c r="AI541" i="152"/>
  <c r="AG541" i="152"/>
  <c r="AN592" i="152"/>
  <c r="AM592" i="152"/>
  <c r="AL592" i="152"/>
  <c r="AO592" i="152" s="1"/>
  <c r="R644" i="152"/>
  <c r="T644" i="152"/>
  <c r="S644" i="152"/>
  <c r="Y695" i="152"/>
  <c r="X695" i="152"/>
  <c r="W695" i="152"/>
  <c r="R377" i="152"/>
  <c r="T377" i="152"/>
  <c r="S377" i="152"/>
  <c r="W451" i="152"/>
  <c r="Y451" i="152"/>
  <c r="X451" i="152"/>
  <c r="AD519" i="152"/>
  <c r="AC519" i="152"/>
  <c r="AB519" i="152"/>
  <c r="AI570" i="152"/>
  <c r="AH570" i="152"/>
  <c r="AG570" i="152"/>
  <c r="AJ570" i="152" s="1"/>
  <c r="AN621" i="152"/>
  <c r="AM621" i="152"/>
  <c r="AL621" i="152"/>
  <c r="R673" i="152"/>
  <c r="T673" i="152"/>
  <c r="S673" i="152"/>
  <c r="AM326" i="152"/>
  <c r="AL326" i="152"/>
  <c r="AN326" i="152"/>
  <c r="T419" i="152"/>
  <c r="S419" i="152"/>
  <c r="R419" i="152"/>
  <c r="Y493" i="152"/>
  <c r="X493" i="152"/>
  <c r="W493" i="152"/>
  <c r="AB548" i="152"/>
  <c r="AD548" i="152"/>
  <c r="AI599" i="152"/>
  <c r="AH599" i="152"/>
  <c r="AJ599" i="152" s="1"/>
  <c r="AN386" i="152"/>
  <c r="AM386" i="152"/>
  <c r="AL386" i="152"/>
  <c r="T461" i="152"/>
  <c r="S461" i="152"/>
  <c r="R461" i="152"/>
  <c r="Y526" i="152"/>
  <c r="X526" i="152"/>
  <c r="W526" i="152"/>
  <c r="AD577" i="152"/>
  <c r="AC577" i="152"/>
  <c r="AB577" i="152"/>
  <c r="AI628" i="152"/>
  <c r="AH628" i="152"/>
  <c r="AG628" i="152"/>
  <c r="AN679" i="152"/>
  <c r="AM679" i="152"/>
  <c r="AL679" i="152"/>
  <c r="AD348" i="152"/>
  <c r="AC348" i="152"/>
  <c r="AB348" i="152"/>
  <c r="AN428" i="152"/>
  <c r="AM428" i="152"/>
  <c r="AL428" i="152"/>
  <c r="T503" i="152"/>
  <c r="S503" i="152"/>
  <c r="R503" i="152"/>
  <c r="U503" i="152" s="1"/>
  <c r="Y555" i="152"/>
  <c r="X555" i="152"/>
  <c r="Z555" i="152" s="1"/>
  <c r="AH657" i="152"/>
  <c r="AI657" i="152"/>
  <c r="AG657" i="152"/>
  <c r="AI396" i="152"/>
  <c r="AH396" i="152"/>
  <c r="AG396" i="152"/>
  <c r="AN470" i="152"/>
  <c r="AM470" i="152"/>
  <c r="AL470" i="152"/>
  <c r="T533" i="152"/>
  <c r="S533" i="152"/>
  <c r="R533" i="152"/>
  <c r="W584" i="152"/>
  <c r="Y584" i="152"/>
  <c r="X584" i="152"/>
  <c r="AD635" i="152"/>
  <c r="AC635" i="152"/>
  <c r="AB635" i="152"/>
  <c r="AI686" i="152"/>
  <c r="AH686" i="152"/>
  <c r="AG686" i="152"/>
  <c r="AN333" i="152"/>
  <c r="AM333" i="152"/>
  <c r="AL333" i="152"/>
  <c r="AI282" i="152"/>
  <c r="AH282" i="152"/>
  <c r="AG282" i="152"/>
  <c r="AB346" i="152"/>
  <c r="AD346" i="152"/>
  <c r="AC346" i="152"/>
  <c r="Y295" i="152"/>
  <c r="X295" i="152"/>
  <c r="W295" i="152"/>
  <c r="Y174" i="152"/>
  <c r="X174" i="152"/>
  <c r="W174" i="152"/>
  <c r="AN307" i="152"/>
  <c r="AM307" i="152"/>
  <c r="AL307" i="152"/>
  <c r="T371" i="152"/>
  <c r="S371" i="152"/>
  <c r="R371" i="152"/>
  <c r="AI445" i="152"/>
  <c r="AH445" i="152"/>
  <c r="AG445" i="152"/>
  <c r="AL515" i="152"/>
  <c r="AN515" i="152"/>
  <c r="AM515" i="152"/>
  <c r="R567" i="152"/>
  <c r="U567" i="152" s="1"/>
  <c r="T567" i="152"/>
  <c r="S567" i="152"/>
  <c r="Y618" i="152"/>
  <c r="X618" i="152"/>
  <c r="W618" i="152"/>
  <c r="AD669" i="152"/>
  <c r="AC669" i="152"/>
  <c r="AB669" i="152"/>
  <c r="AI313" i="152"/>
  <c r="AH313" i="152"/>
  <c r="AG313" i="152"/>
  <c r="AD413" i="152"/>
  <c r="AC413" i="152"/>
  <c r="AB413" i="152"/>
  <c r="AG488" i="152"/>
  <c r="AI488" i="152"/>
  <c r="AH488" i="152"/>
  <c r="AN544" i="152"/>
  <c r="AM544" i="152"/>
  <c r="AL544" i="152"/>
  <c r="R596" i="152"/>
  <c r="T596" i="152"/>
  <c r="S596" i="152"/>
  <c r="Y647" i="152"/>
  <c r="X647" i="152"/>
  <c r="W647" i="152"/>
  <c r="AC698" i="152"/>
  <c r="AB698" i="152"/>
  <c r="AD698" i="152"/>
  <c r="X381" i="152"/>
  <c r="W381" i="152"/>
  <c r="Y381" i="152"/>
  <c r="AC455" i="152"/>
  <c r="AB455" i="152"/>
  <c r="AD455" i="152"/>
  <c r="AH522" i="152"/>
  <c r="AG522" i="152"/>
  <c r="AI522" i="152"/>
  <c r="AN573" i="152"/>
  <c r="AM573" i="152"/>
  <c r="AL573" i="152"/>
  <c r="S625" i="152"/>
  <c r="R625" i="152"/>
  <c r="T625" i="152"/>
  <c r="Y676" i="152"/>
  <c r="X676" i="152"/>
  <c r="W676" i="152"/>
  <c r="Z676" i="152" s="1"/>
  <c r="AN338" i="152"/>
  <c r="AM338" i="152"/>
  <c r="AL338" i="152"/>
  <c r="W423" i="152"/>
  <c r="Y423" i="152"/>
  <c r="X423" i="152"/>
  <c r="AC498" i="152"/>
  <c r="AB498" i="152"/>
  <c r="AD498" i="152"/>
  <c r="AG551" i="152"/>
  <c r="AJ551" i="152" s="1"/>
  <c r="AI551" i="152"/>
  <c r="AN602" i="152"/>
  <c r="AM602" i="152"/>
  <c r="Y705" i="152"/>
  <c r="W705" i="152"/>
  <c r="Z705" i="152" s="1"/>
  <c r="T391" i="152"/>
  <c r="S391" i="152"/>
  <c r="R391" i="152"/>
  <c r="X466" i="152"/>
  <c r="W466" i="152"/>
  <c r="Y466" i="152"/>
  <c r="AD529" i="152"/>
  <c r="AC529" i="152"/>
  <c r="AB529" i="152"/>
  <c r="AI580" i="152"/>
  <c r="AH580" i="152"/>
  <c r="AG580" i="152"/>
  <c r="AN631" i="152"/>
  <c r="AM631" i="152"/>
  <c r="AL631" i="152"/>
  <c r="T683" i="152"/>
  <c r="S683" i="152"/>
  <c r="R683" i="152"/>
  <c r="AN354" i="152"/>
  <c r="AM354" i="152"/>
  <c r="AL354" i="152"/>
  <c r="T433" i="152"/>
  <c r="S433" i="152"/>
  <c r="R433" i="152"/>
  <c r="Y507" i="152"/>
  <c r="W507" i="152"/>
  <c r="AD558" i="152"/>
  <c r="AC558" i="152"/>
  <c r="AM660" i="152"/>
  <c r="AN660" i="152"/>
  <c r="AN237" i="152"/>
  <c r="AM237" i="152"/>
  <c r="AL237" i="152"/>
  <c r="AO237" i="152" s="1"/>
  <c r="AL400" i="152"/>
  <c r="AO400" i="152" s="1"/>
  <c r="AN400" i="152"/>
  <c r="AM400" i="152"/>
  <c r="T476" i="152"/>
  <c r="S476" i="152"/>
  <c r="R476" i="152"/>
  <c r="X536" i="152"/>
  <c r="W536" i="152"/>
  <c r="Y536" i="152"/>
  <c r="AD587" i="152"/>
  <c r="AC587" i="152"/>
  <c r="AB587" i="152"/>
  <c r="AI638" i="152"/>
  <c r="AH638" i="152"/>
  <c r="AG638" i="152"/>
  <c r="AJ638" i="152" s="1"/>
  <c r="AN689" i="152"/>
  <c r="AM689" i="152"/>
  <c r="AL689" i="152"/>
  <c r="AI330" i="152"/>
  <c r="AH330" i="152"/>
  <c r="AG330" i="152"/>
  <c r="AD279" i="152"/>
  <c r="AC279" i="152"/>
  <c r="AB279" i="152"/>
  <c r="W343" i="152"/>
  <c r="Y343" i="152"/>
  <c r="X343" i="152"/>
  <c r="T292" i="152"/>
  <c r="S292" i="152"/>
  <c r="R292" i="152"/>
  <c r="AN151" i="152"/>
  <c r="AM151" i="152"/>
  <c r="AL151" i="152"/>
  <c r="AG304" i="152"/>
  <c r="AI304" i="152"/>
  <c r="AH304" i="152"/>
  <c r="AD212" i="152"/>
  <c r="AC212" i="152"/>
  <c r="AB212" i="152"/>
  <c r="AI376" i="152"/>
  <c r="AH376" i="152"/>
  <c r="AG376" i="152"/>
  <c r="AM450" i="152"/>
  <c r="AL450" i="152"/>
  <c r="AN450" i="152"/>
  <c r="T519" i="152"/>
  <c r="S519" i="152"/>
  <c r="R519" i="152"/>
  <c r="U519" i="152" s="1"/>
  <c r="Y570" i="152"/>
  <c r="X570" i="152"/>
  <c r="W570" i="152"/>
  <c r="AC621" i="152"/>
  <c r="AB621" i="152"/>
  <c r="AD621" i="152"/>
  <c r="AI672" i="152"/>
  <c r="AH672" i="152"/>
  <c r="AG672" i="152"/>
  <c r="AD326" i="152"/>
  <c r="AC326" i="152"/>
  <c r="AB326" i="152"/>
  <c r="AI418" i="152"/>
  <c r="AH418" i="152"/>
  <c r="AG418" i="152"/>
  <c r="AJ418" i="152" s="1"/>
  <c r="AL492" i="152"/>
  <c r="AN492" i="152"/>
  <c r="AM492" i="152"/>
  <c r="T548" i="152"/>
  <c r="S548" i="152"/>
  <c r="R548" i="152"/>
  <c r="Y599" i="152"/>
  <c r="X599" i="152"/>
  <c r="W599" i="152"/>
  <c r="AB650" i="152"/>
  <c r="AD650" i="152"/>
  <c r="AC650" i="152"/>
  <c r="AI701" i="152"/>
  <c r="AH701" i="152"/>
  <c r="AG701" i="152"/>
  <c r="AD386" i="152"/>
  <c r="AC386" i="152"/>
  <c r="AB386" i="152"/>
  <c r="AI460" i="152"/>
  <c r="AH460" i="152"/>
  <c r="AG460" i="152"/>
  <c r="AN525" i="152"/>
  <c r="AM525" i="152"/>
  <c r="AL525" i="152"/>
  <c r="T577" i="152"/>
  <c r="S577" i="152"/>
  <c r="R577" i="152"/>
  <c r="Y628" i="152"/>
  <c r="X628" i="152"/>
  <c r="W628" i="152"/>
  <c r="AD679" i="152"/>
  <c r="AC679" i="152"/>
  <c r="AB679" i="152"/>
  <c r="AE679" i="152" s="1"/>
  <c r="S346" i="152"/>
  <c r="R346" i="152"/>
  <c r="T346" i="152"/>
  <c r="AC428" i="152"/>
  <c r="AB428" i="152"/>
  <c r="AD428" i="152"/>
  <c r="AI502" i="152"/>
  <c r="AH502" i="152"/>
  <c r="AG502" i="152"/>
  <c r="AL554" i="152"/>
  <c r="AN554" i="152"/>
  <c r="AM554" i="152"/>
  <c r="T606" i="152"/>
  <c r="S606" i="152"/>
  <c r="AD708" i="152"/>
  <c r="AC708" i="152"/>
  <c r="AE708" i="152" s="1"/>
  <c r="Y396" i="152"/>
  <c r="X396" i="152"/>
  <c r="W396" i="152"/>
  <c r="AD470" i="152"/>
  <c r="AC470" i="152"/>
  <c r="AB470" i="152"/>
  <c r="AI532" i="152"/>
  <c r="AH532" i="152"/>
  <c r="AG532" i="152"/>
  <c r="AN583" i="152"/>
  <c r="AM583" i="152"/>
  <c r="AL583" i="152"/>
  <c r="T635" i="152"/>
  <c r="S635" i="152"/>
  <c r="R635" i="152"/>
  <c r="U635" i="152" s="1"/>
  <c r="Y686" i="152"/>
  <c r="X686" i="152"/>
  <c r="W686" i="152"/>
  <c r="Y361" i="152"/>
  <c r="X361" i="152"/>
  <c r="W361" i="152"/>
  <c r="Y438" i="152"/>
  <c r="X438" i="152"/>
  <c r="W438" i="152"/>
  <c r="AC510" i="152"/>
  <c r="AD510" i="152"/>
  <c r="AI561" i="152"/>
  <c r="AG561" i="152"/>
  <c r="AN612" i="152"/>
  <c r="AL612" i="152"/>
  <c r="AD288" i="152"/>
  <c r="AC288" i="152"/>
  <c r="AB288" i="152"/>
  <c r="S406" i="152"/>
  <c r="R406" i="152"/>
  <c r="T406" i="152"/>
  <c r="Y480" i="152"/>
  <c r="X480" i="152"/>
  <c r="W480" i="152"/>
  <c r="AB539" i="152"/>
  <c r="AC539" i="152"/>
  <c r="AD539" i="152"/>
  <c r="AI590" i="152"/>
  <c r="AH590" i="152"/>
  <c r="AG590" i="152"/>
  <c r="AN641" i="152"/>
  <c r="AM641" i="152"/>
  <c r="AL641" i="152"/>
  <c r="AO641" i="152" s="1"/>
  <c r="T693" i="152"/>
  <c r="S693" i="152"/>
  <c r="R693" i="152"/>
  <c r="AD327" i="152"/>
  <c r="AC327" i="152"/>
  <c r="AB327" i="152"/>
  <c r="Y273" i="152"/>
  <c r="X273" i="152"/>
  <c r="W273" i="152"/>
  <c r="R340" i="152"/>
  <c r="T340" i="152"/>
  <c r="S340" i="152"/>
  <c r="AN288" i="152"/>
  <c r="AM288" i="152"/>
  <c r="AL288" i="152"/>
  <c r="AO288" i="152" s="1"/>
  <c r="Y126" i="152"/>
  <c r="X126" i="152"/>
  <c r="W126" i="152"/>
  <c r="AD301" i="152"/>
  <c r="AC301" i="152"/>
  <c r="AB301" i="152"/>
  <c r="R502" i="152"/>
  <c r="AN380" i="152"/>
  <c r="AM380" i="152"/>
  <c r="AL380" i="152"/>
  <c r="T455" i="152"/>
  <c r="S455" i="152"/>
  <c r="R455" i="152"/>
  <c r="Y522" i="152"/>
  <c r="X522" i="152"/>
  <c r="W522" i="152"/>
  <c r="Z522" i="152" s="1"/>
  <c r="AD573" i="152"/>
  <c r="AC573" i="152"/>
  <c r="AB573" i="152"/>
  <c r="AI624" i="152"/>
  <c r="AH624" i="152"/>
  <c r="AG624" i="152"/>
  <c r="AN675" i="152"/>
  <c r="AM675" i="152"/>
  <c r="AL675" i="152"/>
  <c r="AC336" i="152"/>
  <c r="AB336" i="152"/>
  <c r="AD336" i="152"/>
  <c r="AN422" i="152"/>
  <c r="AM422" i="152"/>
  <c r="AL422" i="152"/>
  <c r="T497" i="152"/>
  <c r="S497" i="152"/>
  <c r="R497" i="152"/>
  <c r="W551" i="152"/>
  <c r="X551" i="152"/>
  <c r="Y551" i="152"/>
  <c r="AD602" i="152"/>
  <c r="AC602" i="152"/>
  <c r="AB602" i="152"/>
  <c r="AI653" i="152"/>
  <c r="AH653" i="152"/>
  <c r="AG653" i="152"/>
  <c r="AL704" i="152"/>
  <c r="AN704" i="152"/>
  <c r="AM704" i="152"/>
  <c r="AI390" i="152"/>
  <c r="AH390" i="152"/>
  <c r="AG390" i="152"/>
  <c r="AJ390" i="152" s="1"/>
  <c r="AN464" i="152"/>
  <c r="AM464" i="152"/>
  <c r="AL464" i="152"/>
  <c r="T529" i="152"/>
  <c r="S529" i="152"/>
  <c r="R529" i="152"/>
  <c r="W580" i="152"/>
  <c r="Y580" i="152"/>
  <c r="X580" i="152"/>
  <c r="AC631" i="152"/>
  <c r="AB631" i="152"/>
  <c r="AD631" i="152"/>
  <c r="AI682" i="152"/>
  <c r="AH682" i="152"/>
  <c r="AG682" i="152"/>
  <c r="AJ682" i="152" s="1"/>
  <c r="AL352" i="152"/>
  <c r="AO352" i="152" s="1"/>
  <c r="AN352" i="152"/>
  <c r="AM352" i="152"/>
  <c r="AI432" i="152"/>
  <c r="AH432" i="152"/>
  <c r="AG432" i="152"/>
  <c r="AL506" i="152"/>
  <c r="AN506" i="152"/>
  <c r="AM506" i="152"/>
  <c r="R558" i="152"/>
  <c r="T558" i="152"/>
  <c r="S558" i="152"/>
  <c r="Y609" i="152"/>
  <c r="X609" i="152"/>
  <c r="Z609" i="152" s="1"/>
  <c r="AI228" i="152"/>
  <c r="AH228" i="152"/>
  <c r="AG228" i="152"/>
  <c r="AJ228" i="152" s="1"/>
  <c r="AD400" i="152"/>
  <c r="AC400" i="152"/>
  <c r="AB400" i="152"/>
  <c r="AI474" i="152"/>
  <c r="AH474" i="152"/>
  <c r="AG474" i="152"/>
  <c r="AN535" i="152"/>
  <c r="AM535" i="152"/>
  <c r="AL535" i="152"/>
  <c r="T587" i="152"/>
  <c r="S587" i="152"/>
  <c r="R587" i="152"/>
  <c r="Y638" i="152"/>
  <c r="X638" i="152"/>
  <c r="W638" i="152"/>
  <c r="Z638" i="152" s="1"/>
  <c r="AD689" i="152"/>
  <c r="AC689" i="152"/>
  <c r="AB689" i="152"/>
  <c r="AB367" i="152"/>
  <c r="AD367" i="152"/>
  <c r="AC367" i="152"/>
  <c r="AD442" i="152"/>
  <c r="AC442" i="152"/>
  <c r="AB442" i="152"/>
  <c r="AH513" i="152"/>
  <c r="AI513" i="152"/>
  <c r="AM564" i="152"/>
  <c r="AN564" i="152"/>
  <c r="AL564" i="152"/>
  <c r="S616" i="152"/>
  <c r="T616" i="152"/>
  <c r="R616" i="152"/>
  <c r="U616" i="152" s="1"/>
  <c r="X304" i="152"/>
  <c r="W304" i="152"/>
  <c r="Y304" i="152"/>
  <c r="Y410" i="152"/>
  <c r="X410" i="152"/>
  <c r="W410" i="152"/>
  <c r="AD485" i="152"/>
  <c r="AC485" i="152"/>
  <c r="AB485" i="152"/>
  <c r="AI542" i="152"/>
  <c r="AH542" i="152"/>
  <c r="AG542" i="152"/>
  <c r="AN593" i="152"/>
  <c r="AM593" i="152"/>
  <c r="AL593" i="152"/>
  <c r="T385" i="152"/>
  <c r="S385" i="152"/>
  <c r="R385" i="152"/>
  <c r="Y460" i="152"/>
  <c r="X460" i="152"/>
  <c r="W460" i="152"/>
  <c r="AB525" i="152"/>
  <c r="AD525" i="152"/>
  <c r="AC525" i="152"/>
  <c r="AG576" i="152"/>
  <c r="AI576" i="152"/>
  <c r="AH576" i="152"/>
  <c r="AN627" i="152"/>
  <c r="AM627" i="152"/>
  <c r="AL627" i="152"/>
  <c r="T679" i="152"/>
  <c r="S679" i="152"/>
  <c r="R679" i="152"/>
  <c r="AI345" i="152"/>
  <c r="AH345" i="152"/>
  <c r="AG345" i="152"/>
  <c r="T428" i="152"/>
  <c r="S428" i="152"/>
  <c r="R428" i="152"/>
  <c r="Y502" i="152"/>
  <c r="X502" i="152"/>
  <c r="W502" i="152"/>
  <c r="AD554" i="152"/>
  <c r="AC554" i="152"/>
  <c r="AB554" i="152"/>
  <c r="AI605" i="152"/>
  <c r="AH605" i="152"/>
  <c r="AG605" i="152"/>
  <c r="AJ605" i="152" s="1"/>
  <c r="AN656" i="152"/>
  <c r="AM656" i="152"/>
  <c r="AL656" i="152"/>
  <c r="T708" i="152"/>
  <c r="S708" i="152"/>
  <c r="R708" i="152"/>
  <c r="AL395" i="152"/>
  <c r="AN395" i="152"/>
  <c r="AM395" i="152"/>
  <c r="S470" i="152"/>
  <c r="T470" i="152"/>
  <c r="R470" i="152"/>
  <c r="Y532" i="152"/>
  <c r="X532" i="152"/>
  <c r="W532" i="152"/>
  <c r="Z532" i="152" s="1"/>
  <c r="AD583" i="152"/>
  <c r="AC583" i="152"/>
  <c r="AB583" i="152"/>
  <c r="AI634" i="152"/>
  <c r="AH634" i="152"/>
  <c r="AG634" i="152"/>
  <c r="AN685" i="152"/>
  <c r="AM685" i="152"/>
  <c r="AL685" i="152"/>
  <c r="W359" i="152"/>
  <c r="Y359" i="152"/>
  <c r="X359" i="152"/>
  <c r="AN437" i="152"/>
  <c r="AM437" i="152"/>
  <c r="AL437" i="152"/>
  <c r="S510" i="152"/>
  <c r="R510" i="152"/>
  <c r="U510" i="152" s="1"/>
  <c r="T510" i="152"/>
  <c r="W561" i="152"/>
  <c r="Y561" i="152"/>
  <c r="AD612" i="152"/>
  <c r="AC612" i="152"/>
  <c r="AE612" i="152" s="1"/>
  <c r="Y285" i="152"/>
  <c r="X285" i="152"/>
  <c r="W285" i="152"/>
  <c r="AI405" i="152"/>
  <c r="AH405" i="152"/>
  <c r="AG405" i="152"/>
  <c r="AN479" i="152"/>
  <c r="AM479" i="152"/>
  <c r="AL479" i="152"/>
  <c r="T539" i="152"/>
  <c r="S539" i="152"/>
  <c r="R539" i="152"/>
  <c r="W590" i="152"/>
  <c r="Y590" i="152"/>
  <c r="X590" i="152"/>
  <c r="AD641" i="152"/>
  <c r="AC641" i="152"/>
  <c r="AB641" i="152"/>
  <c r="AI692" i="152"/>
  <c r="AH692" i="152"/>
  <c r="AG692" i="152"/>
  <c r="R372" i="152"/>
  <c r="T372" i="152"/>
  <c r="S372" i="152"/>
  <c r="AH447" i="152"/>
  <c r="AG447" i="152"/>
  <c r="AI447" i="152"/>
  <c r="AM516" i="152"/>
  <c r="AN516" i="152"/>
  <c r="AL516" i="152"/>
  <c r="S568" i="152"/>
  <c r="T568" i="152"/>
  <c r="R568" i="152"/>
  <c r="X619" i="152"/>
  <c r="Y619" i="152"/>
  <c r="W619" i="152"/>
  <c r="AD670" i="152"/>
  <c r="AB670" i="152"/>
  <c r="AE670" i="152" s="1"/>
  <c r="T317" i="152"/>
  <c r="S317" i="152"/>
  <c r="R317" i="152"/>
  <c r="AD415" i="152"/>
  <c r="AC415" i="152"/>
  <c r="AB415" i="152"/>
  <c r="AH489" i="152"/>
  <c r="AG489" i="152"/>
  <c r="AI489" i="152"/>
  <c r="AN545" i="152"/>
  <c r="AM545" i="152"/>
  <c r="AL545" i="152"/>
  <c r="T597" i="152"/>
  <c r="S597" i="152"/>
  <c r="R597" i="152"/>
  <c r="T502" i="152"/>
  <c r="Y390" i="152"/>
  <c r="X390" i="152"/>
  <c r="W390" i="152"/>
  <c r="AD464" i="152"/>
  <c r="AC464" i="152"/>
  <c r="AB464" i="152"/>
  <c r="AG528" i="152"/>
  <c r="AH528" i="152"/>
  <c r="AI528" i="152"/>
  <c r="AN579" i="152"/>
  <c r="AM579" i="152"/>
  <c r="AL579" i="152"/>
  <c r="T631" i="152"/>
  <c r="S631" i="152"/>
  <c r="R631" i="152"/>
  <c r="Y682" i="152"/>
  <c r="X682" i="152"/>
  <c r="W682" i="152"/>
  <c r="AC352" i="152"/>
  <c r="AB352" i="152"/>
  <c r="AD352" i="152"/>
  <c r="Y432" i="152"/>
  <c r="X432" i="152"/>
  <c r="W432" i="152"/>
  <c r="AD506" i="152"/>
  <c r="AC506" i="152"/>
  <c r="AB506" i="152"/>
  <c r="AI557" i="152"/>
  <c r="AH557" i="152"/>
  <c r="AG557" i="152"/>
  <c r="AN608" i="152"/>
  <c r="AM608" i="152"/>
  <c r="AL608" i="152"/>
  <c r="T660" i="152"/>
  <c r="S660" i="152"/>
  <c r="R660" i="152"/>
  <c r="AD221" i="152"/>
  <c r="AC221" i="152"/>
  <c r="AB221" i="152"/>
  <c r="S400" i="152"/>
  <c r="R400" i="152"/>
  <c r="T400" i="152"/>
  <c r="W474" i="152"/>
  <c r="Y474" i="152"/>
  <c r="X474" i="152"/>
  <c r="AD535" i="152"/>
  <c r="AC535" i="152"/>
  <c r="AB535" i="152"/>
  <c r="AI586" i="152"/>
  <c r="AH586" i="152"/>
  <c r="AG586" i="152"/>
  <c r="AJ586" i="152" s="1"/>
  <c r="AL637" i="152"/>
  <c r="AN637" i="152"/>
  <c r="AM637" i="152"/>
  <c r="T689" i="152"/>
  <c r="S689" i="152"/>
  <c r="R689" i="152"/>
  <c r="AG365" i="152"/>
  <c r="AJ365" i="152" s="1"/>
  <c r="AI365" i="152"/>
  <c r="AH365" i="152"/>
  <c r="T442" i="152"/>
  <c r="S442" i="152"/>
  <c r="R442" i="152"/>
  <c r="W513" i="152"/>
  <c r="Y513" i="152"/>
  <c r="X513" i="152"/>
  <c r="AB564" i="152"/>
  <c r="AD564" i="152"/>
  <c r="AI615" i="152"/>
  <c r="AH615" i="152"/>
  <c r="AN666" i="152"/>
  <c r="AL666" i="152"/>
  <c r="AN303" i="152"/>
  <c r="AM303" i="152"/>
  <c r="AL303" i="152"/>
  <c r="AN409" i="152"/>
  <c r="AM409" i="152"/>
  <c r="AL409" i="152"/>
  <c r="T484" i="152"/>
  <c r="S484" i="152"/>
  <c r="R484" i="152"/>
  <c r="Y542" i="152"/>
  <c r="X542" i="152"/>
  <c r="W542" i="152"/>
  <c r="AD593" i="152"/>
  <c r="AC593" i="152"/>
  <c r="AB593" i="152"/>
  <c r="AI644" i="152"/>
  <c r="AH644" i="152"/>
  <c r="AG644" i="152"/>
  <c r="AN695" i="152"/>
  <c r="AM695" i="152"/>
  <c r="AL695" i="152"/>
  <c r="AI377" i="152"/>
  <c r="AH377" i="152"/>
  <c r="AG377" i="152"/>
  <c r="AN451" i="152"/>
  <c r="AM451" i="152"/>
  <c r="AL451" i="152"/>
  <c r="AO451" i="152" s="1"/>
  <c r="S520" i="152"/>
  <c r="T520" i="152"/>
  <c r="W571" i="152"/>
  <c r="Z571" i="152" s="1"/>
  <c r="Y571" i="152"/>
  <c r="X571" i="152"/>
  <c r="AD622" i="152"/>
  <c r="AC622" i="152"/>
  <c r="AB622" i="152"/>
  <c r="AN329" i="152"/>
  <c r="AM329" i="152"/>
  <c r="AL329" i="152"/>
  <c r="AI419" i="152"/>
  <c r="AH419" i="152"/>
  <c r="AG419" i="152"/>
  <c r="AM493" i="152"/>
  <c r="AL493" i="152"/>
  <c r="AN493" i="152"/>
  <c r="S549" i="152"/>
  <c r="T549" i="152"/>
  <c r="R549" i="152"/>
  <c r="Y600" i="152"/>
  <c r="X600" i="152"/>
  <c r="W600" i="152"/>
  <c r="AD651" i="152"/>
  <c r="AC651" i="152"/>
  <c r="AB651" i="152"/>
  <c r="AI702" i="152"/>
  <c r="AH702" i="152"/>
  <c r="AG702" i="152"/>
  <c r="AN317" i="152"/>
  <c r="AM317" i="152"/>
  <c r="AL317" i="152"/>
  <c r="AO317" i="152" s="1"/>
  <c r="AI247" i="152"/>
  <c r="AH247" i="152"/>
  <c r="AG247" i="152"/>
  <c r="AB394" i="152"/>
  <c r="AD394" i="152"/>
  <c r="AC394" i="152"/>
  <c r="AI469" i="152"/>
  <c r="AH469" i="152"/>
  <c r="AG469" i="152"/>
  <c r="AN531" i="152"/>
  <c r="AM531" i="152"/>
  <c r="AL531" i="152"/>
  <c r="T583" i="152"/>
  <c r="S583" i="152"/>
  <c r="R583" i="152"/>
  <c r="Y634" i="152"/>
  <c r="X634" i="152"/>
  <c r="W634" i="152"/>
  <c r="Z634" i="152" s="1"/>
  <c r="AD685" i="152"/>
  <c r="AC685" i="152"/>
  <c r="AB685" i="152"/>
  <c r="AM358" i="152"/>
  <c r="AL358" i="152"/>
  <c r="AN358" i="152"/>
  <c r="AD437" i="152"/>
  <c r="AC437" i="152"/>
  <c r="AB437" i="152"/>
  <c r="AI509" i="152"/>
  <c r="AG509" i="152"/>
  <c r="AH509" i="152"/>
  <c r="AN560" i="152"/>
  <c r="AM560" i="152"/>
  <c r="AL560" i="152"/>
  <c r="T612" i="152"/>
  <c r="S612" i="152"/>
  <c r="R612" i="152"/>
  <c r="Y663" i="152"/>
  <c r="X663" i="152"/>
  <c r="W663" i="152"/>
  <c r="T282" i="152"/>
  <c r="S282" i="152"/>
  <c r="R282" i="152"/>
  <c r="Y404" i="152"/>
  <c r="X404" i="152"/>
  <c r="W404" i="152"/>
  <c r="AC479" i="152"/>
  <c r="AB479" i="152"/>
  <c r="AD479" i="152"/>
  <c r="AI538" i="152"/>
  <c r="AH538" i="152"/>
  <c r="AG538" i="152"/>
  <c r="AN589" i="152"/>
  <c r="AM589" i="152"/>
  <c r="AL589" i="152"/>
  <c r="T641" i="152"/>
  <c r="S641" i="152"/>
  <c r="R641" i="152"/>
  <c r="Y692" i="152"/>
  <c r="X692" i="152"/>
  <c r="W692" i="152"/>
  <c r="AH371" i="152"/>
  <c r="AG371" i="152"/>
  <c r="AI371" i="152"/>
  <c r="Y447" i="152"/>
  <c r="X447" i="152"/>
  <c r="W447" i="152"/>
  <c r="Z447" i="152" s="1"/>
  <c r="AD516" i="152"/>
  <c r="AC516" i="152"/>
  <c r="AB516" i="152"/>
  <c r="AG567" i="152"/>
  <c r="AI567" i="152"/>
  <c r="AN618" i="152"/>
  <c r="AM618" i="152"/>
  <c r="AO618" i="152" s="1"/>
  <c r="T670" i="152"/>
  <c r="R670" i="152"/>
  <c r="U670" i="152" s="1"/>
  <c r="AI316" i="152"/>
  <c r="AH316" i="152"/>
  <c r="AG316" i="152"/>
  <c r="T415" i="152"/>
  <c r="S415" i="152"/>
  <c r="R415" i="152"/>
  <c r="Y489" i="152"/>
  <c r="X489" i="152"/>
  <c r="W489" i="152"/>
  <c r="AB545" i="152"/>
  <c r="AD545" i="152"/>
  <c r="AC545" i="152"/>
  <c r="AI596" i="152"/>
  <c r="AH596" i="152"/>
  <c r="AG596" i="152"/>
  <c r="AN647" i="152"/>
  <c r="AM647" i="152"/>
  <c r="AL647" i="152"/>
  <c r="T699" i="152"/>
  <c r="S699" i="152"/>
  <c r="R699" i="152"/>
  <c r="U699" i="152" s="1"/>
  <c r="AN381" i="152"/>
  <c r="AM381" i="152"/>
  <c r="AL381" i="152"/>
  <c r="T457" i="152"/>
  <c r="S457" i="152"/>
  <c r="R457" i="152"/>
  <c r="X523" i="152"/>
  <c r="Z523" i="152" s="1"/>
  <c r="Y523" i="152"/>
  <c r="AD574" i="152"/>
  <c r="AC574" i="152"/>
  <c r="AL676" i="152"/>
  <c r="AN676" i="152"/>
  <c r="AD339" i="152"/>
  <c r="AC339" i="152"/>
  <c r="AB339" i="152"/>
  <c r="AN424" i="152"/>
  <c r="AM424" i="152"/>
  <c r="AL424" i="152"/>
  <c r="AO424" i="152" s="1"/>
  <c r="T499" i="152"/>
  <c r="R499" i="152"/>
  <c r="S499" i="152"/>
  <c r="Y552" i="152"/>
  <c r="X552" i="152"/>
  <c r="W552" i="152"/>
  <c r="AD603" i="152"/>
  <c r="AC603" i="152"/>
  <c r="AB603" i="152"/>
  <c r="AI654" i="152"/>
  <c r="AH654" i="152"/>
  <c r="AG654" i="152"/>
  <c r="AN705" i="152"/>
  <c r="AM705" i="152"/>
  <c r="AL705" i="152"/>
  <c r="AI314" i="152"/>
  <c r="AH314" i="152"/>
  <c r="AG314" i="152"/>
  <c r="AD240" i="152"/>
  <c r="AC240" i="152"/>
  <c r="AB240" i="152"/>
  <c r="Y212" i="152"/>
  <c r="X212" i="152"/>
  <c r="W212" i="152"/>
  <c r="AH399" i="152"/>
  <c r="AG399" i="152"/>
  <c r="AI399" i="152"/>
  <c r="AN473" i="152"/>
  <c r="AM473" i="152"/>
  <c r="AL473" i="152"/>
  <c r="AO473" i="152" s="1"/>
  <c r="T535" i="152"/>
  <c r="S535" i="152"/>
  <c r="R535" i="152"/>
  <c r="Y586" i="152"/>
  <c r="X586" i="152"/>
  <c r="W586" i="152"/>
  <c r="AD637" i="152"/>
  <c r="AC637" i="152"/>
  <c r="AB637" i="152"/>
  <c r="AI688" i="152"/>
  <c r="AH688" i="152"/>
  <c r="AG688" i="152"/>
  <c r="X365" i="152"/>
  <c r="W365" i="152"/>
  <c r="Y365" i="152"/>
  <c r="AI441" i="152"/>
  <c r="AH441" i="152"/>
  <c r="AG441" i="152"/>
  <c r="AJ441" i="152" s="1"/>
  <c r="AN512" i="152"/>
  <c r="AM512" i="152"/>
  <c r="AL512" i="152"/>
  <c r="T564" i="152"/>
  <c r="S564" i="152"/>
  <c r="R564" i="152"/>
  <c r="Y615" i="152"/>
  <c r="X615" i="152"/>
  <c r="W615" i="152"/>
  <c r="AD666" i="152"/>
  <c r="AC666" i="152"/>
  <c r="AB666" i="152"/>
  <c r="S301" i="152"/>
  <c r="R301" i="152"/>
  <c r="T301" i="152"/>
  <c r="AD409" i="152"/>
  <c r="AC409" i="152"/>
  <c r="AB409" i="152"/>
  <c r="AH483" i="152"/>
  <c r="AG483" i="152"/>
  <c r="AI483" i="152"/>
  <c r="AN541" i="152"/>
  <c r="AM541" i="152"/>
  <c r="AL541" i="152"/>
  <c r="T593" i="152"/>
  <c r="S593" i="152"/>
  <c r="R593" i="152"/>
  <c r="Y644" i="152"/>
  <c r="X644" i="152"/>
  <c r="W644" i="152"/>
  <c r="Z644" i="152" s="1"/>
  <c r="AD695" i="152"/>
  <c r="AC695" i="152"/>
  <c r="AB695" i="152"/>
  <c r="Y377" i="152"/>
  <c r="X377" i="152"/>
  <c r="W377" i="152"/>
  <c r="AD451" i="152"/>
  <c r="AC451" i="152"/>
  <c r="AB451" i="152"/>
  <c r="AI519" i="152"/>
  <c r="AH519" i="152"/>
  <c r="AG519" i="152"/>
  <c r="AL570" i="152"/>
  <c r="AN570" i="152"/>
  <c r="T622" i="152"/>
  <c r="R622" i="152"/>
  <c r="U622" i="152" s="1"/>
  <c r="AD329" i="152"/>
  <c r="AC329" i="152"/>
  <c r="AB329" i="152"/>
  <c r="Y419" i="152"/>
  <c r="X419" i="152"/>
  <c r="W419" i="152"/>
  <c r="AC493" i="152"/>
  <c r="AB493" i="152"/>
  <c r="AD493" i="152"/>
  <c r="AI548" i="152"/>
  <c r="AH548" i="152"/>
  <c r="AG548" i="152"/>
  <c r="AN599" i="152"/>
  <c r="AM599" i="152"/>
  <c r="AL599" i="152"/>
  <c r="T651" i="152"/>
  <c r="S651" i="152"/>
  <c r="R651" i="152"/>
  <c r="U651" i="152" s="1"/>
  <c r="Y702" i="152"/>
  <c r="X702" i="152"/>
  <c r="W702" i="152"/>
  <c r="T387" i="152"/>
  <c r="S387" i="152"/>
  <c r="R387" i="152"/>
  <c r="Y461" i="152"/>
  <c r="X461" i="152"/>
  <c r="W461" i="152"/>
  <c r="AC526" i="152"/>
  <c r="AD526" i="152"/>
  <c r="AN278" i="152"/>
  <c r="AM278" i="152"/>
  <c r="AL278" i="152"/>
  <c r="AO278" i="152" s="1"/>
  <c r="AN403" i="152"/>
  <c r="AM403" i="152"/>
  <c r="AL403" i="152"/>
  <c r="T479" i="152"/>
  <c r="S479" i="152"/>
  <c r="R479" i="152"/>
  <c r="W538" i="152"/>
  <c r="Z538" i="152" s="1"/>
  <c r="X538" i="152"/>
  <c r="Y538" i="152"/>
  <c r="AD589" i="152"/>
  <c r="AC589" i="152"/>
  <c r="AB589" i="152"/>
  <c r="AI640" i="152"/>
  <c r="AH640" i="152"/>
  <c r="AG640" i="152"/>
  <c r="AN691" i="152"/>
  <c r="AM691" i="152"/>
  <c r="AL691" i="152"/>
  <c r="AO691" i="152" s="1"/>
  <c r="Y371" i="152"/>
  <c r="X371" i="152"/>
  <c r="W371" i="152"/>
  <c r="AN445" i="152"/>
  <c r="AM445" i="152"/>
  <c r="AL445" i="152"/>
  <c r="T516" i="152"/>
  <c r="S516" i="152"/>
  <c r="R516" i="152"/>
  <c r="W567" i="152"/>
  <c r="Y567" i="152"/>
  <c r="X567" i="152"/>
  <c r="AD618" i="152"/>
  <c r="AC618" i="152"/>
  <c r="AB618" i="152"/>
  <c r="AI669" i="152"/>
  <c r="AH669" i="152"/>
  <c r="AG669" i="152"/>
  <c r="AN313" i="152"/>
  <c r="AM313" i="152"/>
  <c r="AL313" i="152"/>
  <c r="AG413" i="152"/>
  <c r="AH413" i="152"/>
  <c r="AI413" i="152"/>
  <c r="AN488" i="152"/>
  <c r="AM488" i="152"/>
  <c r="AL488" i="152"/>
  <c r="R545" i="152"/>
  <c r="T545" i="152"/>
  <c r="S545" i="152"/>
  <c r="Y596" i="152"/>
  <c r="X596" i="152"/>
  <c r="W596" i="152"/>
  <c r="AD647" i="152"/>
  <c r="AC647" i="152"/>
  <c r="AB647" i="152"/>
  <c r="AI698" i="152"/>
  <c r="AH698" i="152"/>
  <c r="AG698" i="152"/>
  <c r="AD381" i="152"/>
  <c r="AC381" i="152"/>
  <c r="AB381" i="152"/>
  <c r="AI456" i="152"/>
  <c r="AH456" i="152"/>
  <c r="AG456" i="152"/>
  <c r="AN522" i="152"/>
  <c r="AM522" i="152"/>
  <c r="AL522" i="152"/>
  <c r="AO522" i="152" s="1"/>
  <c r="R574" i="152"/>
  <c r="T574" i="152"/>
  <c r="T339" i="152"/>
  <c r="S339" i="152"/>
  <c r="R339" i="152"/>
  <c r="AD423" i="152"/>
  <c r="AC423" i="152"/>
  <c r="AB423" i="152"/>
  <c r="AI498" i="152"/>
  <c r="AH498" i="152"/>
  <c r="AG498" i="152"/>
  <c r="AN551" i="152"/>
  <c r="AM551" i="152"/>
  <c r="AL551" i="152"/>
  <c r="AO551" i="152" s="1"/>
  <c r="T603" i="152"/>
  <c r="S603" i="152"/>
  <c r="R603" i="152"/>
  <c r="Y654" i="152"/>
  <c r="X654" i="152"/>
  <c r="W654" i="152"/>
  <c r="AD705" i="152"/>
  <c r="AC705" i="152"/>
  <c r="AB705" i="152"/>
  <c r="Y391" i="152"/>
  <c r="X391" i="152"/>
  <c r="W391" i="152"/>
  <c r="AD466" i="152"/>
  <c r="AC466" i="152"/>
  <c r="AB466" i="152"/>
  <c r="AH529" i="152"/>
  <c r="AI529" i="152"/>
  <c r="X657" i="152"/>
  <c r="AB596" i="152"/>
  <c r="AE596" i="152" s="1"/>
  <c r="S552" i="152"/>
  <c r="U552" i="152" s="1"/>
  <c r="AL708" i="152"/>
  <c r="AO708" i="152" s="1"/>
  <c r="S654" i="152"/>
  <c r="AB702" i="152"/>
  <c r="AE702" i="152" s="1"/>
  <c r="AH695" i="152"/>
  <c r="AM650" i="152"/>
  <c r="AO650" i="152" s="1"/>
  <c r="W657" i="152"/>
  <c r="AC606" i="152"/>
  <c r="AB606" i="152"/>
  <c r="AB558" i="152"/>
  <c r="AE558" i="152" s="1"/>
  <c r="R520" i="152"/>
  <c r="Y326" i="152"/>
  <c r="X326" i="152"/>
  <c r="W326" i="152"/>
  <c r="AD418" i="152"/>
  <c r="AC418" i="152"/>
  <c r="AB418" i="152"/>
  <c r="AI492" i="152"/>
  <c r="AH492" i="152"/>
  <c r="AG492" i="152"/>
  <c r="AL547" i="152"/>
  <c r="AN547" i="152"/>
  <c r="AM547" i="152"/>
  <c r="T599" i="152"/>
  <c r="S599" i="152"/>
  <c r="R599" i="152"/>
  <c r="Y650" i="152"/>
  <c r="X650" i="152"/>
  <c r="W650" i="152"/>
  <c r="Z650" i="152" s="1"/>
  <c r="AD701" i="152"/>
  <c r="AC701" i="152"/>
  <c r="AB701" i="152"/>
  <c r="Y386" i="152"/>
  <c r="X386" i="152"/>
  <c r="W386" i="152"/>
  <c r="AC460" i="152"/>
  <c r="AD460" i="152"/>
  <c r="AB460" i="152"/>
  <c r="AI525" i="152"/>
  <c r="AG525" i="152"/>
  <c r="AH525" i="152"/>
  <c r="AN576" i="152"/>
  <c r="AL576" i="152"/>
  <c r="AM576" i="152"/>
  <c r="T628" i="152"/>
  <c r="S628" i="152"/>
  <c r="R628" i="152"/>
  <c r="U628" i="152" s="1"/>
  <c r="X679" i="152"/>
  <c r="W679" i="152"/>
  <c r="Y679" i="152"/>
  <c r="AN345" i="152"/>
  <c r="AM345" i="152"/>
  <c r="AL345" i="152"/>
  <c r="Y428" i="152"/>
  <c r="X428" i="152"/>
  <c r="W428" i="152"/>
  <c r="AD502" i="152"/>
  <c r="AC502" i="152"/>
  <c r="AB502" i="152"/>
  <c r="AG554" i="152"/>
  <c r="AI554" i="152"/>
  <c r="AH554" i="152"/>
  <c r="AN605" i="152"/>
  <c r="AM605" i="152"/>
  <c r="AL605" i="152"/>
  <c r="T657" i="152"/>
  <c r="S657" i="152"/>
  <c r="R657" i="152"/>
  <c r="Y708" i="152"/>
  <c r="X708" i="152"/>
  <c r="W708" i="152"/>
  <c r="T396" i="152"/>
  <c r="S396" i="152"/>
  <c r="R396" i="152"/>
  <c r="Y470" i="152"/>
  <c r="X470" i="152"/>
  <c r="W470" i="152"/>
  <c r="Z470" i="152" s="1"/>
  <c r="AD532" i="152"/>
  <c r="AC532" i="152"/>
  <c r="AB532" i="152"/>
  <c r="AH583" i="152"/>
  <c r="AI583" i="152"/>
  <c r="T686" i="152"/>
  <c r="R686" i="152"/>
  <c r="U686" i="152" s="1"/>
  <c r="R361" i="152"/>
  <c r="T361" i="152"/>
  <c r="S361" i="152"/>
  <c r="S438" i="152"/>
  <c r="R438" i="152"/>
  <c r="T438" i="152"/>
  <c r="Y510" i="152"/>
  <c r="X510" i="152"/>
  <c r="W510" i="152"/>
  <c r="Z510" i="152" s="1"/>
  <c r="AC561" i="152"/>
  <c r="AB561" i="152"/>
  <c r="AD561" i="152"/>
  <c r="AI612" i="152"/>
  <c r="AH612" i="152"/>
  <c r="AG612" i="152"/>
  <c r="AN663" i="152"/>
  <c r="AM663" i="152"/>
  <c r="AL663" i="152"/>
  <c r="Y288" i="152"/>
  <c r="X288" i="152"/>
  <c r="W288" i="152"/>
  <c r="AN405" i="152"/>
  <c r="AM405" i="152"/>
  <c r="AL405" i="152"/>
  <c r="T480" i="152"/>
  <c r="S480" i="152"/>
  <c r="R480" i="152"/>
  <c r="U480" i="152" s="1"/>
  <c r="X539" i="152"/>
  <c r="Y539" i="152"/>
  <c r="W539" i="152"/>
  <c r="AC590" i="152"/>
  <c r="AD590" i="152"/>
  <c r="AB590" i="152"/>
  <c r="AI641" i="152"/>
  <c r="AG641" i="152"/>
  <c r="AH641" i="152"/>
  <c r="AN227" i="152"/>
  <c r="AM227" i="152"/>
  <c r="AL227" i="152"/>
  <c r="AG306" i="152"/>
  <c r="AH306" i="152"/>
  <c r="AI306" i="152"/>
  <c r="AD218" i="152"/>
  <c r="AC218" i="152"/>
  <c r="AB218" i="152"/>
  <c r="AN344" i="152"/>
  <c r="AM344" i="152"/>
  <c r="AL344" i="152"/>
  <c r="AI293" i="152"/>
  <c r="AH293" i="152"/>
  <c r="AG293" i="152"/>
  <c r="AI164" i="152"/>
  <c r="AH164" i="152"/>
  <c r="AG164" i="152"/>
  <c r="AN331" i="152"/>
  <c r="AM331" i="152"/>
  <c r="AL331" i="152"/>
  <c r="AO331" i="152" s="1"/>
  <c r="AI280" i="152"/>
  <c r="AH280" i="152"/>
  <c r="AG280" i="152"/>
  <c r="Y501" i="152"/>
  <c r="X501" i="152"/>
  <c r="W501" i="152"/>
  <c r="R450" i="152"/>
  <c r="U450" i="152" s="1"/>
  <c r="T450" i="152"/>
  <c r="S450" i="152"/>
  <c r="AN398" i="152"/>
  <c r="AM398" i="152"/>
  <c r="AL398" i="152"/>
  <c r="AI347" i="152"/>
  <c r="AH347" i="152"/>
  <c r="AG347" i="152"/>
  <c r="AB296" i="152"/>
  <c r="AD296" i="152"/>
  <c r="AC296" i="152"/>
  <c r="Y180" i="152"/>
  <c r="X180" i="152"/>
  <c r="W180" i="152"/>
  <c r="AN465" i="152"/>
  <c r="AM465" i="152"/>
  <c r="AL465" i="152"/>
  <c r="AG414" i="152"/>
  <c r="AH414" i="152"/>
  <c r="AI414" i="152"/>
  <c r="AC363" i="152"/>
  <c r="AB363" i="152"/>
  <c r="AD363" i="152"/>
  <c r="Y312" i="152"/>
  <c r="X312" i="152"/>
  <c r="W312" i="152"/>
  <c r="T234" i="152"/>
  <c r="S234" i="152"/>
  <c r="R234" i="152"/>
  <c r="AI481" i="152"/>
  <c r="AH481" i="152"/>
  <c r="AG481" i="152"/>
  <c r="AD430" i="152"/>
  <c r="AC430" i="152"/>
  <c r="AB430" i="152"/>
  <c r="Y379" i="152"/>
  <c r="X379" i="152"/>
  <c r="W379" i="152"/>
  <c r="R328" i="152"/>
  <c r="T328" i="152"/>
  <c r="S328" i="152"/>
  <c r="AN275" i="152"/>
  <c r="AM275" i="152"/>
  <c r="AL275" i="152"/>
  <c r="AB497" i="152"/>
  <c r="AD497" i="152"/>
  <c r="AC497" i="152"/>
  <c r="Y446" i="152"/>
  <c r="X446" i="152"/>
  <c r="W446" i="152"/>
  <c r="T395" i="152"/>
  <c r="S395" i="152"/>
  <c r="R395" i="152"/>
  <c r="AN343" i="152"/>
  <c r="AM343" i="152"/>
  <c r="AL343" i="152"/>
  <c r="AI292" i="152"/>
  <c r="AH292" i="152"/>
  <c r="AG292" i="152"/>
  <c r="AJ292" i="152" s="1"/>
  <c r="T158" i="152"/>
  <c r="S158" i="152"/>
  <c r="R158" i="152"/>
  <c r="T462" i="152"/>
  <c r="S462" i="152"/>
  <c r="R462" i="152"/>
  <c r="AN410" i="152"/>
  <c r="AM410" i="152"/>
  <c r="AL410" i="152"/>
  <c r="AI359" i="152"/>
  <c r="AH359" i="152"/>
  <c r="AG359" i="152"/>
  <c r="AD308" i="152"/>
  <c r="AC308" i="152"/>
  <c r="AB308" i="152"/>
  <c r="Y222" i="152"/>
  <c r="X222" i="152"/>
  <c r="W222" i="152"/>
  <c r="Y251" i="152"/>
  <c r="X251" i="152"/>
  <c r="W251" i="152"/>
  <c r="T200" i="152"/>
  <c r="S200" i="152"/>
  <c r="R200" i="152"/>
  <c r="AL148" i="152"/>
  <c r="AN148" i="152"/>
  <c r="AM148" i="152"/>
  <c r="AG97" i="152"/>
  <c r="AI97" i="152"/>
  <c r="AH97" i="152"/>
  <c r="AB46" i="152"/>
  <c r="AD46" i="152"/>
  <c r="AC46" i="152"/>
  <c r="AD81" i="152"/>
  <c r="AC81" i="152"/>
  <c r="AB81" i="152"/>
  <c r="Y30" i="152"/>
  <c r="X30" i="152"/>
  <c r="W30" i="152"/>
  <c r="Y65" i="152"/>
  <c r="X65" i="152"/>
  <c r="W65" i="152"/>
  <c r="T14" i="152"/>
  <c r="S14" i="152"/>
  <c r="R14" i="152"/>
  <c r="AN125" i="152"/>
  <c r="AM125" i="152"/>
  <c r="AL125" i="152"/>
  <c r="AO125" i="152" s="1"/>
  <c r="AI74" i="152"/>
  <c r="AH74" i="152"/>
  <c r="AG74" i="152"/>
  <c r="AD23" i="152"/>
  <c r="AC23" i="152"/>
  <c r="AB23" i="152"/>
  <c r="Y135" i="152"/>
  <c r="X135" i="152"/>
  <c r="W135" i="152"/>
  <c r="T84" i="152"/>
  <c r="S84" i="152"/>
  <c r="R84" i="152"/>
  <c r="AN32" i="152"/>
  <c r="AM32" i="152"/>
  <c r="AL32" i="152"/>
  <c r="Y186" i="152"/>
  <c r="X186" i="152"/>
  <c r="W186" i="152"/>
  <c r="T135" i="152"/>
  <c r="S135" i="152"/>
  <c r="R135" i="152"/>
  <c r="AN83" i="152"/>
  <c r="AM83" i="152"/>
  <c r="AL83" i="152"/>
  <c r="AI32" i="152"/>
  <c r="AH32" i="152"/>
  <c r="AG32" i="152"/>
  <c r="T186" i="152"/>
  <c r="S186" i="152"/>
  <c r="R186" i="152"/>
  <c r="U186" i="152" s="1"/>
  <c r="AN134" i="152"/>
  <c r="AM134" i="152"/>
  <c r="AL134" i="152"/>
  <c r="AI83" i="152"/>
  <c r="AH83" i="152"/>
  <c r="AG83" i="152"/>
  <c r="AD32" i="152"/>
  <c r="AC32" i="152"/>
  <c r="AB32" i="152"/>
  <c r="AN249" i="152"/>
  <c r="AM249" i="152"/>
  <c r="AL249" i="152"/>
  <c r="AH198" i="152"/>
  <c r="AG198" i="152"/>
  <c r="AI198" i="152"/>
  <c r="AD147" i="152"/>
  <c r="AC147" i="152"/>
  <c r="AB147" i="152"/>
  <c r="AE147" i="152" s="1"/>
  <c r="Y96" i="152"/>
  <c r="X96" i="152"/>
  <c r="W96" i="152"/>
  <c r="T45" i="152"/>
  <c r="S45" i="152"/>
  <c r="R45" i="152"/>
  <c r="AD262" i="152"/>
  <c r="AC262" i="152"/>
  <c r="AB262" i="152"/>
  <c r="X211" i="152"/>
  <c r="W211" i="152"/>
  <c r="Y211" i="152"/>
  <c r="T160" i="152"/>
  <c r="S160" i="152"/>
  <c r="R160" i="152"/>
  <c r="AN108" i="152"/>
  <c r="AM108" i="152"/>
  <c r="AL108" i="152"/>
  <c r="AI57" i="152"/>
  <c r="AH57" i="152"/>
  <c r="AG57" i="152"/>
  <c r="S275" i="152"/>
  <c r="R275" i="152"/>
  <c r="T275" i="152"/>
  <c r="AM223" i="152"/>
  <c r="AL223" i="152"/>
  <c r="AN223" i="152"/>
  <c r="AH172" i="152"/>
  <c r="AG172" i="152"/>
  <c r="AI172" i="152"/>
  <c r="AD121" i="152"/>
  <c r="AC121" i="152"/>
  <c r="AB121" i="152"/>
  <c r="Y70" i="152"/>
  <c r="X70" i="152"/>
  <c r="W70" i="152"/>
  <c r="T19" i="152"/>
  <c r="S19" i="152"/>
  <c r="R19" i="152"/>
  <c r="AD236" i="152"/>
  <c r="AC236" i="152"/>
  <c r="AB236" i="152"/>
  <c r="Y185" i="152"/>
  <c r="X185" i="152"/>
  <c r="W185" i="152"/>
  <c r="T134" i="152"/>
  <c r="S134" i="152"/>
  <c r="R134" i="152"/>
  <c r="U134" i="152" s="1"/>
  <c r="AN82" i="152"/>
  <c r="AM82" i="152"/>
  <c r="AL82" i="152"/>
  <c r="AI31" i="152"/>
  <c r="AH31" i="152"/>
  <c r="AG31" i="152"/>
  <c r="T249" i="152"/>
  <c r="S249" i="152"/>
  <c r="R249" i="152"/>
  <c r="AN197" i="152"/>
  <c r="AM197" i="152"/>
  <c r="AL197" i="152"/>
  <c r="AH146" i="152"/>
  <c r="AG146" i="152"/>
  <c r="AI146" i="152"/>
  <c r="AC95" i="152"/>
  <c r="AB95" i="152"/>
  <c r="AD95" i="152"/>
  <c r="X44" i="152"/>
  <c r="W44" i="152"/>
  <c r="Y44" i="152"/>
  <c r="AN264" i="152"/>
  <c r="AM264" i="152"/>
  <c r="AL264" i="152"/>
  <c r="AI213" i="152"/>
  <c r="AH213" i="152"/>
  <c r="AG213" i="152"/>
  <c r="AD162" i="152"/>
  <c r="AC162" i="152"/>
  <c r="AB162" i="152"/>
  <c r="AE162" i="152" s="1"/>
  <c r="Y111" i="152"/>
  <c r="X111" i="152"/>
  <c r="W111" i="152"/>
  <c r="T60" i="152"/>
  <c r="S60" i="152"/>
  <c r="R60" i="152"/>
  <c r="AD277" i="152"/>
  <c r="AC277" i="152"/>
  <c r="AB277" i="152"/>
  <c r="W226" i="152"/>
  <c r="Y226" i="152"/>
  <c r="X226" i="152"/>
  <c r="R175" i="152"/>
  <c r="T175" i="152"/>
  <c r="S175" i="152"/>
  <c r="AN123" i="152"/>
  <c r="AM123" i="152"/>
  <c r="AL123" i="152"/>
  <c r="AO123" i="152" s="1"/>
  <c r="AI72" i="152"/>
  <c r="AH72" i="152"/>
  <c r="AG72" i="152"/>
  <c r="AD21" i="152"/>
  <c r="AC21" i="152"/>
  <c r="AB21" i="152"/>
  <c r="R242" i="152"/>
  <c r="T242" i="152"/>
  <c r="S242" i="152"/>
  <c r="AL190" i="152"/>
  <c r="AN190" i="152"/>
  <c r="AM190" i="152"/>
  <c r="AI139" i="152"/>
  <c r="AH139" i="152"/>
  <c r="AG139" i="152"/>
  <c r="AD88" i="152"/>
  <c r="AC88" i="152"/>
  <c r="AB88" i="152"/>
  <c r="Y37" i="152"/>
  <c r="X37" i="152"/>
  <c r="W37" i="152"/>
  <c r="AI254" i="152"/>
  <c r="AH254" i="152"/>
  <c r="AG254" i="152"/>
  <c r="AD203" i="152"/>
  <c r="AC203" i="152"/>
  <c r="AB203" i="152"/>
  <c r="Y152" i="152"/>
  <c r="X152" i="152"/>
  <c r="W152" i="152"/>
  <c r="Z152" i="152" s="1"/>
  <c r="T101" i="152"/>
  <c r="S101" i="152"/>
  <c r="R101" i="152"/>
  <c r="AN49" i="152"/>
  <c r="AM49" i="152"/>
  <c r="AL49" i="152"/>
  <c r="S330" i="152"/>
  <c r="R330" i="152"/>
  <c r="T330" i="152"/>
  <c r="AN419" i="152"/>
  <c r="AM419" i="152"/>
  <c r="AL419" i="152"/>
  <c r="S495" i="152"/>
  <c r="R495" i="152"/>
  <c r="T495" i="152"/>
  <c r="Y549" i="152"/>
  <c r="X549" i="152"/>
  <c r="W549" i="152"/>
  <c r="Z549" i="152" s="1"/>
  <c r="T374" i="152"/>
  <c r="S374" i="152"/>
  <c r="R374" i="152"/>
  <c r="Y448" i="152"/>
  <c r="X448" i="152"/>
  <c r="W448" i="152"/>
  <c r="AC517" i="152"/>
  <c r="AB517" i="152"/>
  <c r="AD517" i="152"/>
  <c r="T254" i="152"/>
  <c r="S254" i="152"/>
  <c r="R254" i="152"/>
  <c r="AD402" i="152"/>
  <c r="AC402" i="152"/>
  <c r="AB402" i="152"/>
  <c r="AI476" i="152"/>
  <c r="AH476" i="152"/>
  <c r="AG476" i="152"/>
  <c r="Y320" i="152"/>
  <c r="X320" i="152"/>
  <c r="W320" i="152"/>
  <c r="Y416" i="152"/>
  <c r="X416" i="152"/>
  <c r="W416" i="152"/>
  <c r="AC490" i="152"/>
  <c r="AB490" i="152"/>
  <c r="AD490" i="152"/>
  <c r="AD342" i="152"/>
  <c r="AC342" i="152"/>
  <c r="AB342" i="152"/>
  <c r="AE342" i="152" s="1"/>
  <c r="AN425" i="152"/>
  <c r="AM425" i="152"/>
  <c r="AL425" i="152"/>
  <c r="R500" i="152"/>
  <c r="T500" i="152"/>
  <c r="S500" i="152"/>
  <c r="X553" i="152"/>
  <c r="Y553" i="152"/>
  <c r="W553" i="152"/>
  <c r="AC604" i="152"/>
  <c r="AD604" i="152"/>
  <c r="AB604" i="152"/>
  <c r="AD263" i="152"/>
  <c r="AC263" i="152"/>
  <c r="AB263" i="152"/>
  <c r="T403" i="152"/>
  <c r="S403" i="152"/>
  <c r="R403" i="152"/>
  <c r="U403" i="152" s="1"/>
  <c r="Y477" i="152"/>
  <c r="X477" i="152"/>
  <c r="W477" i="152"/>
  <c r="AD537" i="152"/>
  <c r="AC537" i="152"/>
  <c r="AB537" i="152"/>
  <c r="AI588" i="152"/>
  <c r="AH588" i="152"/>
  <c r="AG588" i="152"/>
  <c r="AN639" i="152"/>
  <c r="AM639" i="152"/>
  <c r="AL639" i="152"/>
  <c r="W380" i="152"/>
  <c r="Y380" i="152"/>
  <c r="X380" i="152"/>
  <c r="AD454" i="152"/>
  <c r="AC454" i="152"/>
  <c r="AB454" i="152"/>
  <c r="AG521" i="152"/>
  <c r="AI521" i="152"/>
  <c r="AH521" i="152"/>
  <c r="AN572" i="152"/>
  <c r="AM572" i="152"/>
  <c r="AL572" i="152"/>
  <c r="AI310" i="152"/>
  <c r="AH310" i="152"/>
  <c r="AG310" i="152"/>
  <c r="AN412" i="152"/>
  <c r="AM412" i="152"/>
  <c r="AL412" i="152"/>
  <c r="AO412" i="152" s="1"/>
  <c r="S487" i="152"/>
  <c r="R487" i="152"/>
  <c r="U487" i="152" s="1"/>
  <c r="T487" i="152"/>
  <c r="W544" i="152"/>
  <c r="Y544" i="152"/>
  <c r="X544" i="152"/>
  <c r="AD595" i="152"/>
  <c r="AC595" i="152"/>
  <c r="AB595" i="152"/>
  <c r="AD375" i="152"/>
  <c r="AC375" i="152"/>
  <c r="AB375" i="152"/>
  <c r="AI450" i="152"/>
  <c r="AH450" i="152"/>
  <c r="AG450" i="152"/>
  <c r="AN518" i="152"/>
  <c r="AM518" i="152"/>
  <c r="AL518" i="152"/>
  <c r="AO518" i="152" s="1"/>
  <c r="T570" i="152"/>
  <c r="S570" i="152"/>
  <c r="R570" i="152"/>
  <c r="AI341" i="152"/>
  <c r="AH341" i="152"/>
  <c r="AG341" i="152"/>
  <c r="AD290" i="152"/>
  <c r="AC290" i="152"/>
  <c r="AB290" i="152"/>
  <c r="T139" i="152"/>
  <c r="S139" i="152"/>
  <c r="R139" i="152"/>
  <c r="AI328" i="152"/>
  <c r="AH328" i="152"/>
  <c r="AG328" i="152"/>
  <c r="AD276" i="152"/>
  <c r="AC276" i="152"/>
  <c r="AB276" i="152"/>
  <c r="T498" i="152"/>
  <c r="S498" i="152"/>
  <c r="R498" i="152"/>
  <c r="AL446" i="152"/>
  <c r="AN446" i="152"/>
  <c r="AM446" i="152"/>
  <c r="AI395" i="152"/>
  <c r="AH395" i="152"/>
  <c r="AG395" i="152"/>
  <c r="AD344" i="152"/>
  <c r="AC344" i="152"/>
  <c r="AB344" i="152"/>
  <c r="W293" i="152"/>
  <c r="Y293" i="152"/>
  <c r="X293" i="152"/>
  <c r="AD161" i="152"/>
  <c r="AC161" i="152"/>
  <c r="AB161" i="152"/>
  <c r="AI462" i="152"/>
  <c r="AH462" i="152"/>
  <c r="AG462" i="152"/>
  <c r="AB411" i="152"/>
  <c r="AC411" i="152"/>
  <c r="AD411" i="152"/>
  <c r="X360" i="152"/>
  <c r="W360" i="152"/>
  <c r="Y360" i="152"/>
  <c r="T309" i="152"/>
  <c r="S309" i="152"/>
  <c r="R309" i="152"/>
  <c r="U309" i="152" s="1"/>
  <c r="AN224" i="152"/>
  <c r="AM224" i="152"/>
  <c r="AL224" i="152"/>
  <c r="AB478" i="152"/>
  <c r="AD478" i="152"/>
  <c r="AC478" i="152"/>
  <c r="Y427" i="152"/>
  <c r="X427" i="152"/>
  <c r="W427" i="152"/>
  <c r="T376" i="152"/>
  <c r="S376" i="152"/>
  <c r="R376" i="152"/>
  <c r="AL324" i="152"/>
  <c r="AM324" i="152"/>
  <c r="AN324" i="152"/>
  <c r="AI266" i="152"/>
  <c r="AH266" i="152"/>
  <c r="AG266" i="152"/>
  <c r="Y494" i="152"/>
  <c r="X494" i="152"/>
  <c r="W494" i="152"/>
  <c r="T443" i="152"/>
  <c r="S443" i="152"/>
  <c r="R443" i="152"/>
  <c r="AN391" i="152"/>
  <c r="AM391" i="152"/>
  <c r="AL391" i="152"/>
  <c r="AI340" i="152"/>
  <c r="AH340" i="152"/>
  <c r="AG340" i="152"/>
  <c r="AJ340" i="152" s="1"/>
  <c r="AD289" i="152"/>
  <c r="AC289" i="152"/>
  <c r="AB289" i="152"/>
  <c r="AD132" i="152"/>
  <c r="AC132" i="152"/>
  <c r="AB132" i="152"/>
  <c r="AN458" i="152"/>
  <c r="AM458" i="152"/>
  <c r="AL458" i="152"/>
  <c r="AI407" i="152"/>
  <c r="AH407" i="152"/>
  <c r="AG407" i="152"/>
  <c r="AD356" i="152"/>
  <c r="AC356" i="152"/>
  <c r="AB356" i="152"/>
  <c r="Y305" i="152"/>
  <c r="X305" i="152"/>
  <c r="W305" i="152"/>
  <c r="Z305" i="152" s="1"/>
  <c r="T215" i="152"/>
  <c r="S215" i="152"/>
  <c r="R215" i="152"/>
  <c r="T248" i="152"/>
  <c r="S248" i="152"/>
  <c r="R248" i="152"/>
  <c r="AN196" i="152"/>
  <c r="AM196" i="152"/>
  <c r="AL196" i="152"/>
  <c r="AG145" i="152"/>
  <c r="AI145" i="152"/>
  <c r="AH145" i="152"/>
  <c r="AB94" i="152"/>
  <c r="AD94" i="152"/>
  <c r="AC94" i="152"/>
  <c r="W43" i="152"/>
  <c r="Y43" i="152"/>
  <c r="X43" i="152"/>
  <c r="Y78" i="152"/>
  <c r="X78" i="152"/>
  <c r="W78" i="152"/>
  <c r="T27" i="152"/>
  <c r="S27" i="152"/>
  <c r="R27" i="152"/>
  <c r="T62" i="152"/>
  <c r="S62" i="152"/>
  <c r="R62" i="152"/>
  <c r="AN10" i="152"/>
  <c r="AM10" i="152"/>
  <c r="AL10" i="152"/>
  <c r="AO10" i="152" s="1"/>
  <c r="AI122" i="152"/>
  <c r="AH122" i="152"/>
  <c r="AG122" i="152"/>
  <c r="AD71" i="152"/>
  <c r="AC71" i="152"/>
  <c r="AB71" i="152"/>
  <c r="Y20" i="152"/>
  <c r="X20" i="152"/>
  <c r="W20" i="152"/>
  <c r="T132" i="152"/>
  <c r="S132" i="152"/>
  <c r="R132" i="152"/>
  <c r="AN80" i="152"/>
  <c r="AM80" i="152"/>
  <c r="AL80" i="152"/>
  <c r="AI29" i="152"/>
  <c r="AH29" i="152"/>
  <c r="AG29" i="152"/>
  <c r="AJ29" i="152" s="1"/>
  <c r="T183" i="152"/>
  <c r="S183" i="152"/>
  <c r="R183" i="152"/>
  <c r="AN131" i="152"/>
  <c r="AM131" i="152"/>
  <c r="AL131" i="152"/>
  <c r="AI80" i="152"/>
  <c r="AH80" i="152"/>
  <c r="AG80" i="152"/>
  <c r="AD29" i="152"/>
  <c r="AC29" i="152"/>
  <c r="AB29" i="152"/>
  <c r="AN182" i="152"/>
  <c r="AM182" i="152"/>
  <c r="AL182" i="152"/>
  <c r="AI131" i="152"/>
  <c r="AH131" i="152"/>
  <c r="AG131" i="152"/>
  <c r="AD80" i="152"/>
  <c r="AC80" i="152"/>
  <c r="AB80" i="152"/>
  <c r="Y29" i="152"/>
  <c r="X29" i="152"/>
  <c r="W29" i="152"/>
  <c r="AI246" i="152"/>
  <c r="AH246" i="152"/>
  <c r="AG246" i="152"/>
  <c r="AD195" i="152"/>
  <c r="AC195" i="152"/>
  <c r="AB195" i="152"/>
  <c r="Y144" i="152"/>
  <c r="X144" i="152"/>
  <c r="W144" i="152"/>
  <c r="T93" i="152"/>
  <c r="S93" i="152"/>
  <c r="R93" i="152"/>
  <c r="AN41" i="152"/>
  <c r="AM41" i="152"/>
  <c r="AL41" i="152"/>
  <c r="Y259" i="152"/>
  <c r="X259" i="152"/>
  <c r="W259" i="152"/>
  <c r="S208" i="152"/>
  <c r="R208" i="152"/>
  <c r="T208" i="152"/>
  <c r="AN156" i="152"/>
  <c r="AM156" i="152"/>
  <c r="AL156" i="152"/>
  <c r="AO156" i="152" s="1"/>
  <c r="AI105" i="152"/>
  <c r="AH105" i="152"/>
  <c r="AG105" i="152"/>
  <c r="AD54" i="152"/>
  <c r="AC54" i="152"/>
  <c r="AB54" i="152"/>
  <c r="AM271" i="152"/>
  <c r="AL271" i="152"/>
  <c r="AN271" i="152"/>
  <c r="AH220" i="152"/>
  <c r="AG220" i="152"/>
  <c r="AI220" i="152"/>
  <c r="AC169" i="152"/>
  <c r="AB169" i="152"/>
  <c r="AD169" i="152"/>
  <c r="Y118" i="152"/>
  <c r="X118" i="152"/>
  <c r="W118" i="152"/>
  <c r="T67" i="152"/>
  <c r="S67" i="152"/>
  <c r="R67" i="152"/>
  <c r="AN15" i="152"/>
  <c r="AM15" i="152"/>
  <c r="AL15" i="152"/>
  <c r="Y233" i="152"/>
  <c r="X233" i="152"/>
  <c r="W233" i="152"/>
  <c r="T182" i="152"/>
  <c r="S182" i="152"/>
  <c r="R182" i="152"/>
  <c r="AN130" i="152"/>
  <c r="AM130" i="152"/>
  <c r="AL130" i="152"/>
  <c r="AI79" i="152"/>
  <c r="AH79" i="152"/>
  <c r="AG79" i="152"/>
  <c r="AD28" i="152"/>
  <c r="AC28" i="152"/>
  <c r="AB28" i="152"/>
  <c r="AN245" i="152"/>
  <c r="AM245" i="152"/>
  <c r="AL245" i="152"/>
  <c r="AI194" i="152"/>
  <c r="AH194" i="152"/>
  <c r="AG194" i="152"/>
  <c r="AC143" i="152"/>
  <c r="AB143" i="152"/>
  <c r="AD143" i="152"/>
  <c r="X92" i="152"/>
  <c r="W92" i="152"/>
  <c r="Y92" i="152"/>
  <c r="S41" i="152"/>
  <c r="R41" i="152"/>
  <c r="T41" i="152"/>
  <c r="AI261" i="152"/>
  <c r="AH261" i="152"/>
  <c r="AG261" i="152"/>
  <c r="AD210" i="152"/>
  <c r="AC210" i="152"/>
  <c r="AB210" i="152"/>
  <c r="Y159" i="152"/>
  <c r="X159" i="152"/>
  <c r="W159" i="152"/>
  <c r="T108" i="152"/>
  <c r="S108" i="152"/>
  <c r="R108" i="152"/>
  <c r="AN56" i="152"/>
  <c r="AM56" i="152"/>
  <c r="AL56" i="152"/>
  <c r="Y274" i="152"/>
  <c r="X274" i="152"/>
  <c r="W274" i="152"/>
  <c r="R223" i="152"/>
  <c r="T223" i="152"/>
  <c r="S223" i="152"/>
  <c r="AN171" i="152"/>
  <c r="AM171" i="152"/>
  <c r="AL171" i="152"/>
  <c r="AI120" i="152"/>
  <c r="AH120" i="152"/>
  <c r="AG120" i="152"/>
  <c r="AD69" i="152"/>
  <c r="AC69" i="152"/>
  <c r="AB69" i="152"/>
  <c r="Y18" i="152"/>
  <c r="X18" i="152"/>
  <c r="W18" i="152"/>
  <c r="AL238" i="152"/>
  <c r="AN238" i="152"/>
  <c r="AM238" i="152"/>
  <c r="AG187" i="152"/>
  <c r="AI187" i="152"/>
  <c r="AH187" i="152"/>
  <c r="AD136" i="152"/>
  <c r="AC136" i="152"/>
  <c r="AB136" i="152"/>
  <c r="AE136" i="152" s="1"/>
  <c r="Y85" i="152"/>
  <c r="X85" i="152"/>
  <c r="W85" i="152"/>
  <c r="T34" i="152"/>
  <c r="S34" i="152"/>
  <c r="R34" i="152"/>
  <c r="AD251" i="152"/>
  <c r="AC251" i="152"/>
  <c r="AB251" i="152"/>
  <c r="Y200" i="152"/>
  <c r="X200" i="152"/>
  <c r="W200" i="152"/>
  <c r="T149" i="152"/>
  <c r="S149" i="152"/>
  <c r="R149" i="152"/>
  <c r="AN97" i="152"/>
  <c r="AM97" i="152"/>
  <c r="AL97" i="152"/>
  <c r="AI46" i="152"/>
  <c r="AH46" i="152"/>
  <c r="AG46" i="152"/>
  <c r="AH339" i="152"/>
  <c r="AG339" i="152"/>
  <c r="AI339" i="152"/>
  <c r="T425" i="152"/>
  <c r="S425" i="152"/>
  <c r="R425" i="152"/>
  <c r="Y499" i="152"/>
  <c r="X499" i="152"/>
  <c r="W499" i="152"/>
  <c r="AB552" i="152"/>
  <c r="AD552" i="152"/>
  <c r="AC552" i="152"/>
  <c r="Y378" i="152"/>
  <c r="X378" i="152"/>
  <c r="W378" i="152"/>
  <c r="AD453" i="152"/>
  <c r="AC453" i="152"/>
  <c r="AB453" i="152"/>
  <c r="AI520" i="152"/>
  <c r="AH520" i="152"/>
  <c r="AG520" i="152"/>
  <c r="AD294" i="152"/>
  <c r="AC294" i="152"/>
  <c r="AB294" i="152"/>
  <c r="AI406" i="152"/>
  <c r="AH406" i="152"/>
  <c r="AG406" i="152"/>
  <c r="AJ406" i="152" s="1"/>
  <c r="AL480" i="152"/>
  <c r="AN480" i="152"/>
  <c r="AM480" i="152"/>
  <c r="T333" i="152"/>
  <c r="S333" i="152"/>
  <c r="R333" i="152"/>
  <c r="AD421" i="152"/>
  <c r="AC421" i="152"/>
  <c r="AB421" i="152"/>
  <c r="AH495" i="152"/>
  <c r="AI495" i="152"/>
  <c r="AG495" i="152"/>
  <c r="AG349" i="152"/>
  <c r="AI349" i="152"/>
  <c r="AH349" i="152"/>
  <c r="T431" i="152"/>
  <c r="S431" i="152"/>
  <c r="R431" i="152"/>
  <c r="AD556" i="152"/>
  <c r="AC556" i="152"/>
  <c r="AG607" i="152"/>
  <c r="AJ607" i="152" s="1"/>
  <c r="AI607" i="152"/>
  <c r="AC297" i="152"/>
  <c r="AB297" i="152"/>
  <c r="AD297" i="152"/>
  <c r="W407" i="152"/>
  <c r="Y407" i="152"/>
  <c r="X407" i="152"/>
  <c r="AD482" i="152"/>
  <c r="AC482" i="152"/>
  <c r="AB482" i="152"/>
  <c r="AE482" i="152" s="1"/>
  <c r="AG540" i="152"/>
  <c r="AH540" i="152"/>
  <c r="AI540" i="152"/>
  <c r="AN591" i="152"/>
  <c r="AM591" i="152"/>
  <c r="AL591" i="152"/>
  <c r="T643" i="152"/>
  <c r="S643" i="152"/>
  <c r="R643" i="152"/>
  <c r="AC384" i="152"/>
  <c r="AB384" i="152"/>
  <c r="AD384" i="152"/>
  <c r="AI458" i="152"/>
  <c r="AH458" i="152"/>
  <c r="AG458" i="152"/>
  <c r="AN524" i="152"/>
  <c r="AM524" i="152"/>
  <c r="AL524" i="152"/>
  <c r="T576" i="152"/>
  <c r="S576" i="152"/>
  <c r="R576" i="152"/>
  <c r="AD323" i="152"/>
  <c r="AC323" i="152"/>
  <c r="AB323" i="152"/>
  <c r="T417" i="152"/>
  <c r="S417" i="152"/>
  <c r="R417" i="152"/>
  <c r="W492" i="152"/>
  <c r="Y492" i="152"/>
  <c r="X492" i="152"/>
  <c r="AD547" i="152"/>
  <c r="AC547" i="152"/>
  <c r="AB547" i="152"/>
  <c r="AE547" i="152" s="1"/>
  <c r="AI598" i="152"/>
  <c r="AH598" i="152"/>
  <c r="AG598" i="152"/>
  <c r="AI380" i="152"/>
  <c r="AH380" i="152"/>
  <c r="AG380" i="152"/>
  <c r="AN454" i="152"/>
  <c r="AM454" i="152"/>
  <c r="AL454" i="152"/>
  <c r="T522" i="152"/>
  <c r="S522" i="152"/>
  <c r="R522" i="152"/>
  <c r="W573" i="152"/>
  <c r="Y573" i="152"/>
  <c r="X573" i="152"/>
  <c r="AD338" i="152"/>
  <c r="AC338" i="152"/>
  <c r="AB338" i="152"/>
  <c r="Y287" i="152"/>
  <c r="X287" i="152"/>
  <c r="W287" i="152"/>
  <c r="AD113" i="152"/>
  <c r="AC113" i="152"/>
  <c r="AB113" i="152"/>
  <c r="AD325" i="152"/>
  <c r="AC325" i="152"/>
  <c r="AB325" i="152"/>
  <c r="Y269" i="152"/>
  <c r="X269" i="152"/>
  <c r="W269" i="152"/>
  <c r="AL494" i="152"/>
  <c r="AN494" i="152"/>
  <c r="AM494" i="152"/>
  <c r="AG443" i="152"/>
  <c r="AI443" i="152"/>
  <c r="AH443" i="152"/>
  <c r="AD392" i="152"/>
  <c r="AC392" i="152"/>
  <c r="AB392" i="152"/>
  <c r="Y341" i="152"/>
  <c r="X341" i="152"/>
  <c r="W341" i="152"/>
  <c r="R290" i="152"/>
  <c r="T290" i="152"/>
  <c r="S290" i="152"/>
  <c r="AN135" i="152"/>
  <c r="AM135" i="152"/>
  <c r="AL135" i="152"/>
  <c r="AO135" i="152" s="1"/>
  <c r="AB459" i="152"/>
  <c r="AD459" i="152"/>
  <c r="AC459" i="152"/>
  <c r="W408" i="152"/>
  <c r="Z408" i="152" s="1"/>
  <c r="X408" i="152"/>
  <c r="Y408" i="152"/>
  <c r="S357" i="152"/>
  <c r="R357" i="152"/>
  <c r="T357" i="152"/>
  <c r="AN305" i="152"/>
  <c r="AM305" i="152"/>
  <c r="AL305" i="152"/>
  <c r="AI215" i="152"/>
  <c r="AH215" i="152"/>
  <c r="AG215" i="152"/>
  <c r="AJ215" i="152" s="1"/>
  <c r="Y475" i="152"/>
  <c r="X475" i="152"/>
  <c r="W475" i="152"/>
  <c r="T424" i="152"/>
  <c r="S424" i="152"/>
  <c r="R424" i="152"/>
  <c r="AN372" i="152"/>
  <c r="AM372" i="152"/>
  <c r="AL372" i="152"/>
  <c r="AG321" i="152"/>
  <c r="AI321" i="152"/>
  <c r="AH321" i="152"/>
  <c r="AD257" i="152"/>
  <c r="AC257" i="152"/>
  <c r="AB257" i="152"/>
  <c r="S491" i="152"/>
  <c r="R491" i="152"/>
  <c r="U491" i="152" s="1"/>
  <c r="T491" i="152"/>
  <c r="AN439" i="152"/>
  <c r="AM439" i="152"/>
  <c r="AL439" i="152"/>
  <c r="AI388" i="152"/>
  <c r="AH388" i="152"/>
  <c r="AG388" i="152"/>
  <c r="AD337" i="152"/>
  <c r="AC337" i="152"/>
  <c r="AB337" i="152"/>
  <c r="Y286" i="152"/>
  <c r="X286" i="152"/>
  <c r="W286" i="152"/>
  <c r="AN106" i="152"/>
  <c r="AM106" i="152"/>
  <c r="AL106" i="152"/>
  <c r="AO106" i="152" s="1"/>
  <c r="AI455" i="152"/>
  <c r="AH455" i="152"/>
  <c r="AG455" i="152"/>
  <c r="AD404" i="152"/>
  <c r="AC404" i="152"/>
  <c r="AB404" i="152"/>
  <c r="Y353" i="152"/>
  <c r="X353" i="152"/>
  <c r="W353" i="152"/>
  <c r="T302" i="152"/>
  <c r="S302" i="152"/>
  <c r="R302" i="152"/>
  <c r="AI202" i="152"/>
  <c r="AH202" i="152"/>
  <c r="AG202" i="152"/>
  <c r="AJ202" i="152" s="1"/>
  <c r="AN244" i="152"/>
  <c r="AM244" i="152"/>
  <c r="AL244" i="152"/>
  <c r="AI193" i="152"/>
  <c r="AH193" i="152"/>
  <c r="AG193" i="152"/>
  <c r="AB142" i="152"/>
  <c r="AD142" i="152"/>
  <c r="AC142" i="152"/>
  <c r="W91" i="152"/>
  <c r="Y91" i="152"/>
  <c r="X91" i="152"/>
  <c r="R40" i="152"/>
  <c r="T40" i="152"/>
  <c r="S40" i="152"/>
  <c r="T75" i="152"/>
  <c r="S75" i="152"/>
  <c r="R75" i="152"/>
  <c r="AN23" i="152"/>
  <c r="AM23" i="152"/>
  <c r="AL23" i="152"/>
  <c r="AN58" i="152"/>
  <c r="AM58" i="152"/>
  <c r="AL58" i="152"/>
  <c r="AG170" i="152"/>
  <c r="AH170" i="152"/>
  <c r="AI170" i="152"/>
  <c r="AD119" i="152"/>
  <c r="AC119" i="152"/>
  <c r="AB119" i="152"/>
  <c r="Y68" i="152"/>
  <c r="X68" i="152"/>
  <c r="W68" i="152"/>
  <c r="Z68" i="152" s="1"/>
  <c r="T17" i="152"/>
  <c r="S17" i="152"/>
  <c r="R17" i="152"/>
  <c r="AN128" i="152"/>
  <c r="AM128" i="152"/>
  <c r="AL128" i="152"/>
  <c r="AI77" i="152"/>
  <c r="AH77" i="152"/>
  <c r="AG77" i="152"/>
  <c r="AD26" i="152"/>
  <c r="AC26" i="152"/>
  <c r="AB26" i="152"/>
  <c r="AN179" i="152"/>
  <c r="AM179" i="152"/>
  <c r="AL179" i="152"/>
  <c r="AO179" i="152" s="1"/>
  <c r="AI128" i="152"/>
  <c r="AH128" i="152"/>
  <c r="AG128" i="152"/>
  <c r="AD77" i="152"/>
  <c r="AC77" i="152"/>
  <c r="AB77" i="152"/>
  <c r="Y26" i="152"/>
  <c r="X26" i="152"/>
  <c r="W26" i="152"/>
  <c r="AI179" i="152"/>
  <c r="AH179" i="152"/>
  <c r="AG179" i="152"/>
  <c r="AD128" i="152"/>
  <c r="AC128" i="152"/>
  <c r="AB128" i="152"/>
  <c r="Y77" i="152"/>
  <c r="X77" i="152"/>
  <c r="W77" i="152"/>
  <c r="T26" i="152"/>
  <c r="S26" i="152"/>
  <c r="R26" i="152"/>
  <c r="AD243" i="152"/>
  <c r="AC243" i="152"/>
  <c r="AB243" i="152"/>
  <c r="Y192" i="152"/>
  <c r="X192" i="152"/>
  <c r="W192" i="152"/>
  <c r="T141" i="152"/>
  <c r="S141" i="152"/>
  <c r="R141" i="152"/>
  <c r="AN89" i="152"/>
  <c r="AM89" i="152"/>
  <c r="AL89" i="152"/>
  <c r="AO89" i="152" s="1"/>
  <c r="AI38" i="152"/>
  <c r="AH38" i="152"/>
  <c r="AG38" i="152"/>
  <c r="T256" i="152"/>
  <c r="S256" i="152"/>
  <c r="R256" i="152"/>
  <c r="AM204" i="152"/>
  <c r="AL204" i="152"/>
  <c r="AN204" i="152"/>
  <c r="AI153" i="152"/>
  <c r="AH153" i="152"/>
  <c r="AG153" i="152"/>
  <c r="AD102" i="152"/>
  <c r="AC102" i="152"/>
  <c r="AB102" i="152"/>
  <c r="AE102" i="152" s="1"/>
  <c r="Y51" i="152"/>
  <c r="X51" i="152"/>
  <c r="W51" i="152"/>
  <c r="AH268" i="152"/>
  <c r="AG268" i="152"/>
  <c r="AI268" i="152"/>
  <c r="AC217" i="152"/>
  <c r="AB217" i="152"/>
  <c r="AD217" i="152"/>
  <c r="X166" i="152"/>
  <c r="W166" i="152"/>
  <c r="Y166" i="152"/>
  <c r="T115" i="152"/>
  <c r="S115" i="152"/>
  <c r="R115" i="152"/>
  <c r="AN63" i="152"/>
  <c r="AM63" i="152"/>
  <c r="AL63" i="152"/>
  <c r="AI12" i="152"/>
  <c r="AH12" i="152"/>
  <c r="AG12" i="152"/>
  <c r="T230" i="152"/>
  <c r="S230" i="152"/>
  <c r="R230" i="152"/>
  <c r="AN178" i="152"/>
  <c r="AM178" i="152"/>
  <c r="AL178" i="152"/>
  <c r="AI127" i="152"/>
  <c r="AH127" i="152"/>
  <c r="AG127" i="152"/>
  <c r="AD76" i="152"/>
  <c r="AC76" i="152"/>
  <c r="AB76" i="152"/>
  <c r="AE76" i="152" s="1"/>
  <c r="Y25" i="152"/>
  <c r="X25" i="152"/>
  <c r="W25" i="152"/>
  <c r="AI242" i="152"/>
  <c r="AH242" i="152"/>
  <c r="AG242" i="152"/>
  <c r="AD191" i="152"/>
  <c r="AC191" i="152"/>
  <c r="AB191" i="152"/>
  <c r="X140" i="152"/>
  <c r="W140" i="152"/>
  <c r="Y140" i="152"/>
  <c r="S89" i="152"/>
  <c r="R89" i="152"/>
  <c r="T89" i="152"/>
  <c r="AM37" i="152"/>
  <c r="AL37" i="152"/>
  <c r="AN37" i="152"/>
  <c r="AD258" i="152"/>
  <c r="AC258" i="152"/>
  <c r="AB258" i="152"/>
  <c r="Y207" i="152"/>
  <c r="W207" i="152"/>
  <c r="X207" i="152"/>
  <c r="T156" i="152"/>
  <c r="S156" i="152"/>
  <c r="R156" i="152"/>
  <c r="AN104" i="152"/>
  <c r="AM104" i="152"/>
  <c r="AL104" i="152"/>
  <c r="AI53" i="152"/>
  <c r="AH53" i="152"/>
  <c r="AG53" i="152"/>
  <c r="T271" i="152"/>
  <c r="S271" i="152"/>
  <c r="R271" i="152"/>
  <c r="AL219" i="152"/>
  <c r="AO219" i="152" s="1"/>
  <c r="AN219" i="152"/>
  <c r="AM219" i="152"/>
  <c r="AI168" i="152"/>
  <c r="AH168" i="152"/>
  <c r="AG168" i="152"/>
  <c r="AD117" i="152"/>
  <c r="AC117" i="152"/>
  <c r="AB117" i="152"/>
  <c r="Y66" i="152"/>
  <c r="X66" i="152"/>
  <c r="W66" i="152"/>
  <c r="Z66" i="152" s="1"/>
  <c r="T15" i="152"/>
  <c r="S15" i="152"/>
  <c r="R15" i="152"/>
  <c r="AG235" i="152"/>
  <c r="AJ235" i="152" s="1"/>
  <c r="AI235" i="152"/>
  <c r="AH235" i="152"/>
  <c r="AB184" i="152"/>
  <c r="AD184" i="152"/>
  <c r="AC184" i="152"/>
  <c r="Y133" i="152"/>
  <c r="X133" i="152"/>
  <c r="W133" i="152"/>
  <c r="T82" i="152"/>
  <c r="S82" i="152"/>
  <c r="R82" i="152"/>
  <c r="U82" i="152" s="1"/>
  <c r="AN30" i="152"/>
  <c r="AM30" i="152"/>
  <c r="AL30" i="152"/>
  <c r="Y248" i="152"/>
  <c r="X248" i="152"/>
  <c r="W248" i="152"/>
  <c r="T197" i="152"/>
  <c r="S197" i="152"/>
  <c r="R197" i="152"/>
  <c r="AN145" i="152"/>
  <c r="AM145" i="152"/>
  <c r="AL145" i="152"/>
  <c r="AI94" i="152"/>
  <c r="AH94" i="152"/>
  <c r="AG94" i="152"/>
  <c r="AD43" i="152"/>
  <c r="AC43" i="152"/>
  <c r="AB43" i="152"/>
  <c r="AN348" i="152"/>
  <c r="AM348" i="152"/>
  <c r="AL348" i="152"/>
  <c r="Y429" i="152"/>
  <c r="X429" i="152"/>
  <c r="W429" i="152"/>
  <c r="AD503" i="152"/>
  <c r="AC503" i="152"/>
  <c r="AB503" i="152"/>
  <c r="AI555" i="152"/>
  <c r="AH555" i="152"/>
  <c r="AG555" i="152"/>
  <c r="AB383" i="152"/>
  <c r="AD383" i="152"/>
  <c r="AC383" i="152"/>
  <c r="AI457" i="152"/>
  <c r="AH457" i="152"/>
  <c r="AG457" i="152"/>
  <c r="AM523" i="152"/>
  <c r="AL523" i="152"/>
  <c r="AN523" i="152"/>
  <c r="Y307" i="152"/>
  <c r="X307" i="152"/>
  <c r="W307" i="152"/>
  <c r="AN411" i="152"/>
  <c r="AM411" i="152"/>
  <c r="AL411" i="152"/>
  <c r="R486" i="152"/>
  <c r="S486" i="152"/>
  <c r="T486" i="152"/>
  <c r="Y342" i="152"/>
  <c r="X342" i="152"/>
  <c r="W342" i="152"/>
  <c r="AI425" i="152"/>
  <c r="AH425" i="152"/>
  <c r="AG425" i="152"/>
  <c r="AN499" i="152"/>
  <c r="AM499" i="152"/>
  <c r="AL499" i="152"/>
  <c r="R356" i="152"/>
  <c r="T356" i="152"/>
  <c r="S356" i="152"/>
  <c r="Y435" i="152"/>
  <c r="X435" i="152"/>
  <c r="W435" i="152"/>
  <c r="AD508" i="152"/>
  <c r="AC508" i="152"/>
  <c r="AB508" i="152"/>
  <c r="AN610" i="152"/>
  <c r="AL610" i="152"/>
  <c r="AM610" i="152"/>
  <c r="Y310" i="152"/>
  <c r="X310" i="152"/>
  <c r="W310" i="152"/>
  <c r="AC412" i="152"/>
  <c r="AB412" i="152"/>
  <c r="AD412" i="152"/>
  <c r="AI486" i="152"/>
  <c r="AH486" i="152"/>
  <c r="AG486" i="152"/>
  <c r="AN543" i="152"/>
  <c r="AM543" i="152"/>
  <c r="AL543" i="152"/>
  <c r="T595" i="152"/>
  <c r="S595" i="152"/>
  <c r="R595" i="152"/>
  <c r="Y646" i="152"/>
  <c r="X646" i="152"/>
  <c r="W646" i="152"/>
  <c r="AI389" i="152"/>
  <c r="AH389" i="152"/>
  <c r="AG389" i="152"/>
  <c r="AM463" i="152"/>
  <c r="AL463" i="152"/>
  <c r="AN463" i="152"/>
  <c r="T528" i="152"/>
  <c r="S528" i="152"/>
  <c r="R528" i="152"/>
  <c r="Y579" i="152"/>
  <c r="X579" i="152"/>
  <c r="W579" i="152"/>
  <c r="AN335" i="152"/>
  <c r="AM335" i="152"/>
  <c r="AL335" i="152"/>
  <c r="W422" i="152"/>
  <c r="Y422" i="152"/>
  <c r="X422" i="152"/>
  <c r="AB496" i="152"/>
  <c r="AD496" i="152"/>
  <c r="AC496" i="152"/>
  <c r="AI550" i="152"/>
  <c r="AH550" i="152"/>
  <c r="AG550" i="152"/>
  <c r="AN601" i="152"/>
  <c r="AM601" i="152"/>
  <c r="AL601" i="152"/>
  <c r="AL384" i="152"/>
  <c r="AN384" i="152"/>
  <c r="AM384" i="152"/>
  <c r="T460" i="152"/>
  <c r="S460" i="152"/>
  <c r="R460" i="152"/>
  <c r="Y525" i="152"/>
  <c r="X525" i="152"/>
  <c r="W525" i="152"/>
  <c r="AD576" i="152"/>
  <c r="AC576" i="152"/>
  <c r="AB576" i="152"/>
  <c r="Y97" i="152"/>
  <c r="X97" i="152"/>
  <c r="W97" i="152"/>
  <c r="T171" i="152"/>
  <c r="S171" i="152"/>
  <c r="R171" i="152"/>
  <c r="Y209" i="152"/>
  <c r="X209" i="152"/>
  <c r="W209" i="152"/>
  <c r="AD300" i="152"/>
  <c r="AC300" i="152"/>
  <c r="AB300" i="152"/>
  <c r="Y196" i="152"/>
  <c r="X196" i="152"/>
  <c r="W196" i="152"/>
  <c r="T297" i="152"/>
  <c r="S297" i="152"/>
  <c r="R297" i="152"/>
  <c r="Y183" i="152"/>
  <c r="X183" i="152"/>
  <c r="W183" i="152"/>
  <c r="Y335" i="152"/>
  <c r="X335" i="152"/>
  <c r="W335" i="152"/>
  <c r="T284" i="152"/>
  <c r="S284" i="152"/>
  <c r="R284" i="152"/>
  <c r="AD373" i="152"/>
  <c r="AC373" i="152"/>
  <c r="AB373" i="152"/>
  <c r="Y322" i="152"/>
  <c r="X322" i="152"/>
  <c r="W322" i="152"/>
  <c r="T260" i="152"/>
  <c r="S260" i="152"/>
  <c r="R260" i="152"/>
  <c r="AH491" i="152"/>
  <c r="AG491" i="152"/>
  <c r="AI491" i="152"/>
  <c r="AB440" i="152"/>
  <c r="AE440" i="152" s="1"/>
  <c r="AD440" i="152"/>
  <c r="AC440" i="152"/>
  <c r="Y389" i="152"/>
  <c r="X389" i="152"/>
  <c r="W389" i="152"/>
  <c r="T338" i="152"/>
  <c r="S338" i="152"/>
  <c r="R338" i="152"/>
  <c r="AL286" i="152"/>
  <c r="AN286" i="152"/>
  <c r="AM286" i="152"/>
  <c r="Y110" i="152"/>
  <c r="X110" i="152"/>
  <c r="W110" i="152"/>
  <c r="W456" i="152"/>
  <c r="Z456" i="152" s="1"/>
  <c r="Y456" i="152"/>
  <c r="X456" i="152"/>
  <c r="R405" i="152"/>
  <c r="S405" i="152"/>
  <c r="T405" i="152"/>
  <c r="AM353" i="152"/>
  <c r="AL353" i="152"/>
  <c r="AN353" i="152"/>
  <c r="AI302" i="152"/>
  <c r="AH302" i="152"/>
  <c r="AG302" i="152"/>
  <c r="AI205" i="152"/>
  <c r="AH205" i="152"/>
  <c r="AG205" i="152"/>
  <c r="R472" i="152"/>
  <c r="T472" i="152"/>
  <c r="S472" i="152"/>
  <c r="AN420" i="152"/>
  <c r="AM420" i="152"/>
  <c r="AL420" i="152"/>
  <c r="AI369" i="152"/>
  <c r="AH369" i="152"/>
  <c r="AG369" i="152"/>
  <c r="AB318" i="152"/>
  <c r="AD318" i="152"/>
  <c r="AC318" i="152"/>
  <c r="Y250" i="152"/>
  <c r="X250" i="152"/>
  <c r="W250" i="152"/>
  <c r="AN487" i="152"/>
  <c r="AM487" i="152"/>
  <c r="AL487" i="152"/>
  <c r="AI436" i="152"/>
  <c r="AH436" i="152"/>
  <c r="AG436" i="152"/>
  <c r="AD385" i="152"/>
  <c r="AC385" i="152"/>
  <c r="AB385" i="152"/>
  <c r="Y334" i="152"/>
  <c r="X334" i="152"/>
  <c r="W334" i="152"/>
  <c r="T283" i="152"/>
  <c r="S283" i="152"/>
  <c r="R283" i="152"/>
  <c r="AI503" i="152"/>
  <c r="AH503" i="152"/>
  <c r="AG503" i="152"/>
  <c r="AD452" i="152"/>
  <c r="AC452" i="152"/>
  <c r="AB452" i="152"/>
  <c r="Y401" i="152"/>
  <c r="X401" i="152"/>
  <c r="W401" i="152"/>
  <c r="T350" i="152"/>
  <c r="S350" i="152"/>
  <c r="R350" i="152"/>
  <c r="AN298" i="152"/>
  <c r="AM298" i="152"/>
  <c r="AL298" i="152"/>
  <c r="AN189" i="152"/>
  <c r="AM189" i="152"/>
  <c r="AL189" i="152"/>
  <c r="AI241" i="152"/>
  <c r="AH241" i="152"/>
  <c r="AG241" i="152"/>
  <c r="AD190" i="152"/>
  <c r="AC190" i="152"/>
  <c r="AB190" i="152"/>
  <c r="W139" i="152"/>
  <c r="Y139" i="152"/>
  <c r="X139" i="152"/>
  <c r="R88" i="152"/>
  <c r="T88" i="152"/>
  <c r="S88" i="152"/>
  <c r="AL36" i="152"/>
  <c r="AN36" i="152"/>
  <c r="AM36" i="152"/>
  <c r="AN71" i="152"/>
  <c r="AM71" i="152"/>
  <c r="AL71" i="152"/>
  <c r="AI20" i="152"/>
  <c r="AH20" i="152"/>
  <c r="AG20" i="152"/>
  <c r="AI55" i="152"/>
  <c r="AH55" i="152"/>
  <c r="AG55" i="152"/>
  <c r="AB167" i="152"/>
  <c r="AD167" i="152"/>
  <c r="AC167" i="152"/>
  <c r="Y116" i="152"/>
  <c r="X116" i="152"/>
  <c r="W116" i="152"/>
  <c r="T65" i="152"/>
  <c r="S65" i="152"/>
  <c r="R65" i="152"/>
  <c r="AN13" i="152"/>
  <c r="AM13" i="152"/>
  <c r="AL13" i="152"/>
  <c r="AI125" i="152"/>
  <c r="AH125" i="152"/>
  <c r="AG125" i="152"/>
  <c r="AD74" i="152"/>
  <c r="AC74" i="152"/>
  <c r="AB74" i="152"/>
  <c r="Y23" i="152"/>
  <c r="X23" i="152"/>
  <c r="W23" i="152"/>
  <c r="AI176" i="152"/>
  <c r="AH176" i="152"/>
  <c r="AG176" i="152"/>
  <c r="AD125" i="152"/>
  <c r="AC125" i="152"/>
  <c r="AB125" i="152"/>
  <c r="Y74" i="152"/>
  <c r="X74" i="152"/>
  <c r="W74" i="152"/>
  <c r="T23" i="152"/>
  <c r="S23" i="152"/>
  <c r="R23" i="152"/>
  <c r="AD176" i="152"/>
  <c r="AC176" i="152"/>
  <c r="AB176" i="152"/>
  <c r="Y125" i="152"/>
  <c r="X125" i="152"/>
  <c r="W125" i="152"/>
  <c r="T74" i="152"/>
  <c r="S74" i="152"/>
  <c r="R74" i="152"/>
  <c r="AN22" i="152"/>
  <c r="AM22" i="152"/>
  <c r="AL22" i="152"/>
  <c r="Y240" i="152"/>
  <c r="X240" i="152"/>
  <c r="W240" i="152"/>
  <c r="T189" i="152"/>
  <c r="S189" i="152"/>
  <c r="R189" i="152"/>
  <c r="AN137" i="152"/>
  <c r="AM137" i="152"/>
  <c r="AL137" i="152"/>
  <c r="AI86" i="152"/>
  <c r="AH86" i="152"/>
  <c r="AG86" i="152"/>
  <c r="AD35" i="152"/>
  <c r="AC35" i="152"/>
  <c r="AB35" i="152"/>
  <c r="AN252" i="152"/>
  <c r="AM252" i="152"/>
  <c r="AL252" i="152"/>
  <c r="AH201" i="152"/>
  <c r="AG201" i="152"/>
  <c r="AI201" i="152"/>
  <c r="AD150" i="152"/>
  <c r="AC150" i="152"/>
  <c r="AB150" i="152"/>
  <c r="Y99" i="152"/>
  <c r="X99" i="152"/>
  <c r="W99" i="152"/>
  <c r="T48" i="152"/>
  <c r="S48" i="152"/>
  <c r="R48" i="152"/>
  <c r="AC265" i="152"/>
  <c r="AB265" i="152"/>
  <c r="AD265" i="152"/>
  <c r="X214" i="152"/>
  <c r="W214" i="152"/>
  <c r="Y214" i="152"/>
  <c r="S163" i="152"/>
  <c r="R163" i="152"/>
  <c r="T163" i="152"/>
  <c r="AN111" i="152"/>
  <c r="AM111" i="152"/>
  <c r="AL111" i="152"/>
  <c r="AI60" i="152"/>
  <c r="AH60" i="152"/>
  <c r="AG60" i="152"/>
  <c r="AD9" i="152"/>
  <c r="AC9" i="152"/>
  <c r="AB9" i="152"/>
  <c r="AA9" i="152"/>
  <c r="AN226" i="152"/>
  <c r="AM226" i="152"/>
  <c r="AL226" i="152"/>
  <c r="AI175" i="152"/>
  <c r="AH175" i="152"/>
  <c r="AG175" i="152"/>
  <c r="AJ175" i="152" s="1"/>
  <c r="AD124" i="152"/>
  <c r="AC124" i="152"/>
  <c r="AB124" i="152"/>
  <c r="Y73" i="152"/>
  <c r="X73" i="152"/>
  <c r="W73" i="152"/>
  <c r="T22" i="152"/>
  <c r="S22" i="152"/>
  <c r="R22" i="152"/>
  <c r="AD239" i="152"/>
  <c r="AC239" i="152"/>
  <c r="AB239" i="152"/>
  <c r="Y188" i="152"/>
  <c r="X188" i="152"/>
  <c r="W188" i="152"/>
  <c r="S137" i="152"/>
  <c r="R137" i="152"/>
  <c r="T137" i="152"/>
  <c r="AM85" i="152"/>
  <c r="AL85" i="152"/>
  <c r="AN85" i="152"/>
  <c r="AH34" i="152"/>
  <c r="AG34" i="152"/>
  <c r="AI34" i="152"/>
  <c r="Y255" i="152"/>
  <c r="X255" i="152"/>
  <c r="W255" i="152"/>
  <c r="T204" i="152"/>
  <c r="S204" i="152"/>
  <c r="R204" i="152"/>
  <c r="AN152" i="152"/>
  <c r="AM152" i="152"/>
  <c r="AL152" i="152"/>
  <c r="AI101" i="152"/>
  <c r="AH101" i="152"/>
  <c r="AG101" i="152"/>
  <c r="AD50" i="152"/>
  <c r="AC50" i="152"/>
  <c r="AB50" i="152"/>
  <c r="AN267" i="152"/>
  <c r="AM267" i="152"/>
  <c r="AL267" i="152"/>
  <c r="AG216" i="152"/>
  <c r="AI216" i="152"/>
  <c r="AH216" i="152"/>
  <c r="AD165" i="152"/>
  <c r="AC165" i="152"/>
  <c r="AB165" i="152"/>
  <c r="AE165" i="152" s="1"/>
  <c r="Y114" i="152"/>
  <c r="X114" i="152"/>
  <c r="W114" i="152"/>
  <c r="T63" i="152"/>
  <c r="S63" i="152"/>
  <c r="R63" i="152"/>
  <c r="AN11" i="152"/>
  <c r="AM11" i="152"/>
  <c r="AL11" i="152"/>
  <c r="AB232" i="152"/>
  <c r="AD232" i="152"/>
  <c r="AC232" i="152"/>
  <c r="W181" i="152"/>
  <c r="Y181" i="152"/>
  <c r="X181" i="152"/>
  <c r="T130" i="152"/>
  <c r="S130" i="152"/>
  <c r="R130" i="152"/>
  <c r="AN78" i="152"/>
  <c r="AM78" i="152"/>
  <c r="AL78" i="152"/>
  <c r="AI27" i="152"/>
  <c r="AH27" i="152"/>
  <c r="AG27" i="152"/>
  <c r="T245" i="152"/>
  <c r="S245" i="152"/>
  <c r="R245" i="152"/>
  <c r="AN193" i="152"/>
  <c r="AM193" i="152"/>
  <c r="AL193" i="152"/>
  <c r="AI142" i="152"/>
  <c r="AH142" i="152"/>
  <c r="AG142" i="152"/>
  <c r="AD91" i="152"/>
  <c r="AC91" i="152"/>
  <c r="AB91" i="152"/>
  <c r="Y40" i="152"/>
  <c r="X40" i="152"/>
  <c r="W40" i="152"/>
  <c r="Y355" i="152"/>
  <c r="X355" i="152"/>
  <c r="W355" i="152"/>
  <c r="AD434" i="152"/>
  <c r="AC434" i="152"/>
  <c r="AB434" i="152"/>
  <c r="AI507" i="152"/>
  <c r="AH507" i="152"/>
  <c r="AG507" i="152"/>
  <c r="AJ507" i="152" s="1"/>
  <c r="AM558" i="152"/>
  <c r="AL558" i="152"/>
  <c r="AO558" i="152" s="1"/>
  <c r="AN558" i="152"/>
  <c r="AH387" i="152"/>
  <c r="AG387" i="152"/>
  <c r="AI387" i="152"/>
  <c r="AL461" i="152"/>
  <c r="AN461" i="152"/>
  <c r="AM461" i="152"/>
  <c r="T527" i="152"/>
  <c r="S527" i="152"/>
  <c r="R527" i="152"/>
  <c r="T320" i="152"/>
  <c r="S320" i="152"/>
  <c r="R320" i="152"/>
  <c r="U320" i="152" s="1"/>
  <c r="S416" i="152"/>
  <c r="R416" i="152"/>
  <c r="T416" i="152"/>
  <c r="Y490" i="152"/>
  <c r="X490" i="152"/>
  <c r="W490" i="152"/>
  <c r="AD349" i="152"/>
  <c r="AC349" i="152"/>
  <c r="AB349" i="152"/>
  <c r="AN429" i="152"/>
  <c r="AM429" i="152"/>
  <c r="AL429" i="152"/>
  <c r="T505" i="152"/>
  <c r="S505" i="152"/>
  <c r="R505" i="152"/>
  <c r="AB362" i="152"/>
  <c r="AD362" i="152"/>
  <c r="AC362" i="152"/>
  <c r="AD439" i="152"/>
  <c r="AC439" i="152"/>
  <c r="AB439" i="152"/>
  <c r="AG511" i="152"/>
  <c r="AI511" i="152"/>
  <c r="AH511" i="152"/>
  <c r="AM562" i="152"/>
  <c r="AO562" i="152" s="1"/>
  <c r="AN562" i="152"/>
  <c r="T614" i="152"/>
  <c r="S614" i="152"/>
  <c r="R614" i="152"/>
  <c r="T323" i="152"/>
  <c r="S323" i="152"/>
  <c r="R323" i="152"/>
  <c r="U323" i="152" s="1"/>
  <c r="AI416" i="152"/>
  <c r="AH416" i="152"/>
  <c r="AG416" i="152"/>
  <c r="AN491" i="152"/>
  <c r="AM491" i="152"/>
  <c r="AL491" i="152"/>
  <c r="T547" i="152"/>
  <c r="S547" i="152"/>
  <c r="R547" i="152"/>
  <c r="Y598" i="152"/>
  <c r="X598" i="152"/>
  <c r="W598" i="152"/>
  <c r="AD649" i="152"/>
  <c r="AC649" i="152"/>
  <c r="AB649" i="152"/>
  <c r="AN393" i="152"/>
  <c r="AM393" i="152"/>
  <c r="AL393" i="152"/>
  <c r="T468" i="152"/>
  <c r="S468" i="152"/>
  <c r="R468" i="152"/>
  <c r="Y531" i="152"/>
  <c r="X531" i="152"/>
  <c r="W531" i="152"/>
  <c r="AD582" i="152"/>
  <c r="AC582" i="152"/>
  <c r="AB582" i="152"/>
  <c r="R345" i="152"/>
  <c r="T345" i="152"/>
  <c r="S345" i="152"/>
  <c r="AB426" i="152"/>
  <c r="AD426" i="152"/>
  <c r="AC426" i="152"/>
  <c r="AH501" i="152"/>
  <c r="AI501" i="152"/>
  <c r="AG501" i="152"/>
  <c r="AN553" i="152"/>
  <c r="AL553" i="152"/>
  <c r="AM553" i="152"/>
  <c r="T605" i="152"/>
  <c r="S605" i="152"/>
  <c r="R605" i="152"/>
  <c r="T390" i="152"/>
  <c r="S390" i="152"/>
  <c r="R390" i="152"/>
  <c r="W464" i="152"/>
  <c r="Y464" i="152"/>
  <c r="X464" i="152"/>
  <c r="AD528" i="152"/>
  <c r="AC528" i="152"/>
  <c r="AB528" i="152"/>
  <c r="AI579" i="152"/>
  <c r="AH579" i="152"/>
  <c r="AG579" i="152"/>
  <c r="AI221" i="152"/>
  <c r="AH221" i="152"/>
  <c r="AG221" i="152"/>
  <c r="Y291" i="152"/>
  <c r="X291" i="152"/>
  <c r="W291" i="152"/>
  <c r="AD145" i="152"/>
  <c r="AC145" i="152"/>
  <c r="AB145" i="152"/>
  <c r="AD196" i="152"/>
  <c r="AC196" i="152"/>
  <c r="AB196" i="152"/>
  <c r="Y297" i="152"/>
  <c r="X297" i="152"/>
  <c r="W297" i="152"/>
  <c r="AD183" i="152"/>
  <c r="AC183" i="152"/>
  <c r="AB183" i="152"/>
  <c r="AN293" i="152"/>
  <c r="AM293" i="152"/>
  <c r="AL293" i="152"/>
  <c r="AG167" i="152"/>
  <c r="AI167" i="152"/>
  <c r="AH167" i="152"/>
  <c r="T332" i="152"/>
  <c r="S332" i="152"/>
  <c r="R332" i="152"/>
  <c r="AN280" i="152"/>
  <c r="AM280" i="152"/>
  <c r="AL280" i="152"/>
  <c r="Y370" i="152"/>
  <c r="X370" i="152"/>
  <c r="W370" i="152"/>
  <c r="T319" i="152"/>
  <c r="S319" i="152"/>
  <c r="R319" i="152"/>
  <c r="AN250" i="152"/>
  <c r="AM250" i="152"/>
  <c r="AL250" i="152"/>
  <c r="AB488" i="152"/>
  <c r="AD488" i="152"/>
  <c r="AC488" i="152"/>
  <c r="Y437" i="152"/>
  <c r="X437" i="152"/>
  <c r="W437" i="152"/>
  <c r="T386" i="152"/>
  <c r="S386" i="152"/>
  <c r="R386" i="152"/>
  <c r="AN334" i="152"/>
  <c r="AM334" i="152"/>
  <c r="AL334" i="152"/>
  <c r="AG283" i="152"/>
  <c r="AI283" i="152"/>
  <c r="AH283" i="152"/>
  <c r="Y504" i="152"/>
  <c r="X504" i="152"/>
  <c r="W504" i="152"/>
  <c r="R453" i="152"/>
  <c r="T453" i="152"/>
  <c r="S453" i="152"/>
  <c r="AL401" i="152"/>
  <c r="AM401" i="152"/>
  <c r="AN401" i="152"/>
  <c r="AH350" i="152"/>
  <c r="AG350" i="152"/>
  <c r="AI350" i="152"/>
  <c r="AD299" i="152"/>
  <c r="AC299" i="152"/>
  <c r="AB299" i="152"/>
  <c r="AN192" i="152"/>
  <c r="AM192" i="152"/>
  <c r="AL192" i="152"/>
  <c r="AL468" i="152"/>
  <c r="AN468" i="152"/>
  <c r="AM468" i="152"/>
  <c r="AI417" i="152"/>
  <c r="AH417" i="152"/>
  <c r="AG417" i="152"/>
  <c r="AD366" i="152"/>
  <c r="AC366" i="152"/>
  <c r="AB366" i="152"/>
  <c r="W315" i="152"/>
  <c r="Z315" i="152" s="1"/>
  <c r="Y315" i="152"/>
  <c r="X315" i="152"/>
  <c r="T241" i="152"/>
  <c r="S241" i="152"/>
  <c r="R241" i="152"/>
  <c r="AI484" i="152"/>
  <c r="AH484" i="152"/>
  <c r="AG484" i="152"/>
  <c r="AJ484" i="152" s="1"/>
  <c r="AD433" i="152"/>
  <c r="AC433" i="152"/>
  <c r="AB433" i="152"/>
  <c r="Y382" i="152"/>
  <c r="X382" i="152"/>
  <c r="W382" i="152"/>
  <c r="T331" i="152"/>
  <c r="S331" i="152"/>
  <c r="R331" i="152"/>
  <c r="AN279" i="152"/>
  <c r="AM279" i="152"/>
  <c r="AL279" i="152"/>
  <c r="AD500" i="152"/>
  <c r="AC500" i="152"/>
  <c r="AB500" i="152"/>
  <c r="Y449" i="152"/>
  <c r="X449" i="152"/>
  <c r="W449" i="152"/>
  <c r="T398" i="152"/>
  <c r="S398" i="152"/>
  <c r="R398" i="152"/>
  <c r="AN346" i="152"/>
  <c r="AM346" i="152"/>
  <c r="AL346" i="152"/>
  <c r="AI295" i="152"/>
  <c r="AH295" i="152"/>
  <c r="AG295" i="152"/>
  <c r="T177" i="152"/>
  <c r="S177" i="152"/>
  <c r="R177" i="152"/>
  <c r="AD238" i="152"/>
  <c r="AC238" i="152"/>
  <c r="AB238" i="152"/>
  <c r="Y187" i="152"/>
  <c r="X187" i="152"/>
  <c r="W187" i="152"/>
  <c r="R136" i="152"/>
  <c r="T136" i="152"/>
  <c r="S136" i="152"/>
  <c r="AL84" i="152"/>
  <c r="AO84" i="152" s="1"/>
  <c r="AN84" i="152"/>
  <c r="AM84" i="152"/>
  <c r="AG33" i="152"/>
  <c r="AI33" i="152"/>
  <c r="AH33" i="152"/>
  <c r="AI68" i="152"/>
  <c r="AH68" i="152"/>
  <c r="AG68" i="152"/>
  <c r="AJ68" i="152" s="1"/>
  <c r="AD17" i="152"/>
  <c r="AC17" i="152"/>
  <c r="AB17" i="152"/>
  <c r="AD52" i="152"/>
  <c r="AC52" i="152"/>
  <c r="AB52" i="152"/>
  <c r="W164" i="152"/>
  <c r="Y164" i="152"/>
  <c r="X164" i="152"/>
  <c r="T113" i="152"/>
  <c r="S113" i="152"/>
  <c r="R113" i="152"/>
  <c r="AN61" i="152"/>
  <c r="AM61" i="152"/>
  <c r="AL61" i="152"/>
  <c r="AI10" i="152"/>
  <c r="AH10" i="152"/>
  <c r="AG10" i="152"/>
  <c r="AD122" i="152"/>
  <c r="AC122" i="152"/>
  <c r="AB122" i="152"/>
  <c r="Y71" i="152"/>
  <c r="X71" i="152"/>
  <c r="W71" i="152"/>
  <c r="T20" i="152"/>
  <c r="S20" i="152"/>
  <c r="R20" i="152"/>
  <c r="AD173" i="152"/>
  <c r="AC173" i="152"/>
  <c r="AB173" i="152"/>
  <c r="Y122" i="152"/>
  <c r="X122" i="152"/>
  <c r="W122" i="152"/>
  <c r="T71" i="152"/>
  <c r="S71" i="152"/>
  <c r="R71" i="152"/>
  <c r="AN19" i="152"/>
  <c r="AM19" i="152"/>
  <c r="AL19" i="152"/>
  <c r="Y173" i="152"/>
  <c r="X173" i="152"/>
  <c r="W173" i="152"/>
  <c r="T122" i="152"/>
  <c r="S122" i="152"/>
  <c r="R122" i="152"/>
  <c r="AN70" i="152"/>
  <c r="AM70" i="152"/>
  <c r="AL70" i="152"/>
  <c r="AO70" i="152" s="1"/>
  <c r="AI19" i="152"/>
  <c r="AH19" i="152"/>
  <c r="AG19" i="152"/>
  <c r="T237" i="152"/>
  <c r="S237" i="152"/>
  <c r="R237" i="152"/>
  <c r="AM185" i="152"/>
  <c r="AL185" i="152"/>
  <c r="AN185" i="152"/>
  <c r="AI134" i="152"/>
  <c r="AH134" i="152"/>
  <c r="AG134" i="152"/>
  <c r="AD83" i="152"/>
  <c r="AC83" i="152"/>
  <c r="AB83" i="152"/>
  <c r="Y32" i="152"/>
  <c r="X32" i="152"/>
  <c r="W32" i="152"/>
  <c r="AI249" i="152"/>
  <c r="AH249" i="152"/>
  <c r="AG249" i="152"/>
  <c r="AC198" i="152"/>
  <c r="AB198" i="152"/>
  <c r="AD198" i="152"/>
  <c r="Y147" i="152"/>
  <c r="X147" i="152"/>
  <c r="W147" i="152"/>
  <c r="T96" i="152"/>
  <c r="S96" i="152"/>
  <c r="R96" i="152"/>
  <c r="AN44" i="152"/>
  <c r="AM44" i="152"/>
  <c r="AL44" i="152"/>
  <c r="X262" i="152"/>
  <c r="W262" i="152"/>
  <c r="Z262" i="152" s="1"/>
  <c r="Y262" i="152"/>
  <c r="S211" i="152"/>
  <c r="R211" i="152"/>
  <c r="T211" i="152"/>
  <c r="AN159" i="152"/>
  <c r="AM159" i="152"/>
  <c r="AL159" i="152"/>
  <c r="AI108" i="152"/>
  <c r="AH108" i="152"/>
  <c r="AG108" i="152"/>
  <c r="AD57" i="152"/>
  <c r="AC57" i="152"/>
  <c r="AB57" i="152"/>
  <c r="AE57" i="152" s="1"/>
  <c r="AN274" i="152"/>
  <c r="AM274" i="152"/>
  <c r="AL274" i="152"/>
  <c r="AI223" i="152"/>
  <c r="AH223" i="152"/>
  <c r="AG223" i="152"/>
  <c r="AD172" i="152"/>
  <c r="AC172" i="152"/>
  <c r="AB172" i="152"/>
  <c r="Y121" i="152"/>
  <c r="X121" i="152"/>
  <c r="W121" i="152"/>
  <c r="T70" i="152"/>
  <c r="S70" i="152"/>
  <c r="R70" i="152"/>
  <c r="AN18" i="152"/>
  <c r="AM18" i="152"/>
  <c r="AL18" i="152"/>
  <c r="Y236" i="152"/>
  <c r="X236" i="152"/>
  <c r="W236" i="152"/>
  <c r="T185" i="152"/>
  <c r="S185" i="152"/>
  <c r="R185" i="152"/>
  <c r="AM133" i="152"/>
  <c r="AL133" i="152"/>
  <c r="AN133" i="152"/>
  <c r="AH82" i="152"/>
  <c r="AG82" i="152"/>
  <c r="AI82" i="152"/>
  <c r="AC31" i="152"/>
  <c r="AB31" i="152"/>
  <c r="AD31" i="152"/>
  <c r="T252" i="152"/>
  <c r="S252" i="152"/>
  <c r="R252" i="152"/>
  <c r="AN200" i="152"/>
  <c r="AM200" i="152"/>
  <c r="AL200" i="152"/>
  <c r="AI149" i="152"/>
  <c r="AH149" i="152"/>
  <c r="AG149" i="152"/>
  <c r="AD98" i="152"/>
  <c r="AC98" i="152"/>
  <c r="AB98" i="152"/>
  <c r="Y47" i="152"/>
  <c r="X47" i="152"/>
  <c r="W47" i="152"/>
  <c r="AI264" i="152"/>
  <c r="AH264" i="152"/>
  <c r="AG264" i="152"/>
  <c r="AB213" i="152"/>
  <c r="AD213" i="152"/>
  <c r="AC213" i="152"/>
  <c r="Y162" i="152"/>
  <c r="X162" i="152"/>
  <c r="W162" i="152"/>
  <c r="T111" i="152"/>
  <c r="S111" i="152"/>
  <c r="R111" i="152"/>
  <c r="AN59" i="152"/>
  <c r="AM59" i="152"/>
  <c r="AL59" i="152"/>
  <c r="W229" i="152"/>
  <c r="Y229" i="152"/>
  <c r="X229" i="152"/>
  <c r="R178" i="152"/>
  <c r="U178" i="152" s="1"/>
  <c r="T178" i="152"/>
  <c r="S178" i="152"/>
  <c r="AN126" i="152"/>
  <c r="AM126" i="152"/>
  <c r="AL126" i="152"/>
  <c r="AI75" i="152"/>
  <c r="AH75" i="152"/>
  <c r="AG75" i="152"/>
  <c r="AD24" i="152"/>
  <c r="AC24" i="152"/>
  <c r="AB24" i="152"/>
  <c r="AN241" i="152"/>
  <c r="AM241" i="152"/>
  <c r="AL241" i="152"/>
  <c r="AI190" i="152"/>
  <c r="AH190" i="152"/>
  <c r="AG190" i="152"/>
  <c r="AD139" i="152"/>
  <c r="AC139" i="152"/>
  <c r="AB139" i="152"/>
  <c r="Y88" i="152"/>
  <c r="X88" i="152"/>
  <c r="W88" i="152"/>
  <c r="T37" i="152"/>
  <c r="S37" i="152"/>
  <c r="R37" i="152"/>
  <c r="AI361" i="152"/>
  <c r="AH361" i="152"/>
  <c r="AG361" i="152"/>
  <c r="AI438" i="152"/>
  <c r="AH438" i="152"/>
  <c r="AG438" i="152"/>
  <c r="AN510" i="152"/>
  <c r="AM510" i="152"/>
  <c r="AL510" i="152"/>
  <c r="T562" i="152"/>
  <c r="S562" i="152"/>
  <c r="R562" i="152"/>
  <c r="AN392" i="152"/>
  <c r="AM392" i="152"/>
  <c r="AL392" i="152"/>
  <c r="T467" i="152"/>
  <c r="S467" i="152"/>
  <c r="R467" i="152"/>
  <c r="Y530" i="152"/>
  <c r="X530" i="152"/>
  <c r="W530" i="152"/>
  <c r="AN332" i="152"/>
  <c r="AM332" i="152"/>
  <c r="AL332" i="152"/>
  <c r="Y420" i="152"/>
  <c r="X420" i="152"/>
  <c r="W420" i="152"/>
  <c r="AD495" i="152"/>
  <c r="AC495" i="152"/>
  <c r="AB495" i="152"/>
  <c r="AN355" i="152"/>
  <c r="AM355" i="152"/>
  <c r="AL355" i="152"/>
  <c r="T435" i="152"/>
  <c r="S435" i="152"/>
  <c r="R435" i="152"/>
  <c r="Y508" i="152"/>
  <c r="X508" i="152"/>
  <c r="W508" i="152"/>
  <c r="AI368" i="152"/>
  <c r="AH368" i="152"/>
  <c r="AG368" i="152"/>
  <c r="AH444" i="152"/>
  <c r="AG444" i="152"/>
  <c r="AI444" i="152"/>
  <c r="AN514" i="152"/>
  <c r="AM514" i="152"/>
  <c r="AL514" i="152"/>
  <c r="R566" i="152"/>
  <c r="T566" i="152"/>
  <c r="S566" i="152"/>
  <c r="Y617" i="152"/>
  <c r="X617" i="152"/>
  <c r="AB335" i="152"/>
  <c r="AE335" i="152" s="1"/>
  <c r="AC335" i="152"/>
  <c r="AD335" i="152"/>
  <c r="AN421" i="152"/>
  <c r="AM421" i="152"/>
  <c r="AL421" i="152"/>
  <c r="T496" i="152"/>
  <c r="S496" i="152"/>
  <c r="R496" i="152"/>
  <c r="W550" i="152"/>
  <c r="Y550" i="152"/>
  <c r="X550" i="152"/>
  <c r="AD601" i="152"/>
  <c r="AC601" i="152"/>
  <c r="AB601" i="152"/>
  <c r="Y199" i="152"/>
  <c r="X199" i="152"/>
  <c r="W199" i="152"/>
  <c r="T399" i="152"/>
  <c r="S399" i="152"/>
  <c r="R399" i="152"/>
  <c r="Y473" i="152"/>
  <c r="W473" i="152"/>
  <c r="AC534" i="152"/>
  <c r="AB534" i="152"/>
  <c r="AD534" i="152"/>
  <c r="AI585" i="152"/>
  <c r="AH585" i="152"/>
  <c r="AG585" i="152"/>
  <c r="AN351" i="152"/>
  <c r="AM351" i="152"/>
  <c r="AL351" i="152"/>
  <c r="AH431" i="152"/>
  <c r="AG431" i="152"/>
  <c r="AI431" i="152"/>
  <c r="AN505" i="152"/>
  <c r="AL505" i="152"/>
  <c r="AM505" i="152"/>
  <c r="T557" i="152"/>
  <c r="S557" i="152"/>
  <c r="R557" i="152"/>
  <c r="Y608" i="152"/>
  <c r="X608" i="152"/>
  <c r="W608" i="152"/>
  <c r="Y394" i="152"/>
  <c r="X394" i="152"/>
  <c r="W394" i="152"/>
  <c r="AD469" i="152"/>
  <c r="AC469" i="152"/>
  <c r="AB469" i="152"/>
  <c r="AI531" i="152"/>
  <c r="AH531" i="152"/>
  <c r="AG531" i="152"/>
  <c r="AL582" i="152"/>
  <c r="AO582" i="152" s="1"/>
  <c r="AN582" i="152"/>
  <c r="AM582" i="152"/>
  <c r="T288" i="152"/>
  <c r="S288" i="152"/>
  <c r="R288" i="152"/>
  <c r="AN119" i="152"/>
  <c r="AM119" i="152"/>
  <c r="AL119" i="152"/>
  <c r="AO119" i="152" s="1"/>
  <c r="AI183" i="152"/>
  <c r="AH183" i="152"/>
  <c r="AG183" i="152"/>
  <c r="T294" i="152"/>
  <c r="S294" i="152"/>
  <c r="R294" i="152"/>
  <c r="AN167" i="152"/>
  <c r="AM167" i="152"/>
  <c r="AL167" i="152"/>
  <c r="AI290" i="152"/>
  <c r="AH290" i="152"/>
  <c r="AG290" i="152"/>
  <c r="T142" i="152"/>
  <c r="S142" i="152"/>
  <c r="R142" i="152"/>
  <c r="AN328" i="152"/>
  <c r="AM328" i="152"/>
  <c r="AL328" i="152"/>
  <c r="AI276" i="152"/>
  <c r="AH276" i="152"/>
  <c r="AG276" i="152"/>
  <c r="T367" i="152"/>
  <c r="S367" i="152"/>
  <c r="R367" i="152"/>
  <c r="AN315" i="152"/>
  <c r="AM315" i="152"/>
  <c r="AL315" i="152"/>
  <c r="AI243" i="152"/>
  <c r="AH243" i="152"/>
  <c r="AG243" i="152"/>
  <c r="Y485" i="152"/>
  <c r="X485" i="152"/>
  <c r="W485" i="152"/>
  <c r="T434" i="152"/>
  <c r="S434" i="152"/>
  <c r="R434" i="152"/>
  <c r="AN382" i="152"/>
  <c r="AM382" i="152"/>
  <c r="AL382" i="152"/>
  <c r="AI331" i="152"/>
  <c r="AH331" i="152"/>
  <c r="AG331" i="152"/>
  <c r="AB280" i="152"/>
  <c r="AD280" i="152"/>
  <c r="AC280" i="152"/>
  <c r="T501" i="152"/>
  <c r="S501" i="152"/>
  <c r="R501" i="152"/>
  <c r="U501" i="152" s="1"/>
  <c r="AL449" i="152"/>
  <c r="AN449" i="152"/>
  <c r="AM449" i="152"/>
  <c r="AG398" i="152"/>
  <c r="AH398" i="152"/>
  <c r="AI398" i="152"/>
  <c r="AC347" i="152"/>
  <c r="AB347" i="152"/>
  <c r="AD347" i="152"/>
  <c r="Y296" i="152"/>
  <c r="X296" i="152"/>
  <c r="W296" i="152"/>
  <c r="T180" i="152"/>
  <c r="S180" i="152"/>
  <c r="R180" i="152"/>
  <c r="AG465" i="152"/>
  <c r="AI465" i="152"/>
  <c r="AH465" i="152"/>
  <c r="AD414" i="152"/>
  <c r="AC414" i="152"/>
  <c r="AB414" i="152"/>
  <c r="Y363" i="152"/>
  <c r="X363" i="152"/>
  <c r="W363" i="152"/>
  <c r="R312" i="152"/>
  <c r="T312" i="152"/>
  <c r="S312" i="152"/>
  <c r="AN231" i="152"/>
  <c r="AM231" i="152"/>
  <c r="AL231" i="152"/>
  <c r="AB481" i="152"/>
  <c r="AD481" i="152"/>
  <c r="AC481" i="152"/>
  <c r="Y430" i="152"/>
  <c r="X430" i="152"/>
  <c r="W430" i="152"/>
  <c r="T379" i="152"/>
  <c r="S379" i="152"/>
  <c r="R379" i="152"/>
  <c r="AN327" i="152"/>
  <c r="AM327" i="152"/>
  <c r="AL327" i="152"/>
  <c r="AI275" i="152"/>
  <c r="AH275" i="152"/>
  <c r="AG275" i="152"/>
  <c r="X497" i="152"/>
  <c r="W497" i="152"/>
  <c r="Y497" i="152"/>
  <c r="T446" i="152"/>
  <c r="S446" i="152"/>
  <c r="R446" i="152"/>
  <c r="AN394" i="152"/>
  <c r="AM394" i="152"/>
  <c r="AL394" i="152"/>
  <c r="AI343" i="152"/>
  <c r="AH343" i="152"/>
  <c r="AG343" i="152"/>
  <c r="AD292" i="152"/>
  <c r="AC292" i="152"/>
  <c r="AB292" i="152"/>
  <c r="T155" i="152"/>
  <c r="S155" i="152"/>
  <c r="R155" i="152"/>
  <c r="Y235" i="152"/>
  <c r="X235" i="152"/>
  <c r="W235" i="152"/>
  <c r="T184" i="152"/>
  <c r="S184" i="152"/>
  <c r="R184" i="152"/>
  <c r="AL132" i="152"/>
  <c r="AN132" i="152"/>
  <c r="AM132" i="152"/>
  <c r="AG81" i="152"/>
  <c r="AI81" i="152"/>
  <c r="AH81" i="152"/>
  <c r="AB30" i="152"/>
  <c r="AD30" i="152"/>
  <c r="AC30" i="152"/>
  <c r="AD65" i="152"/>
  <c r="AC65" i="152"/>
  <c r="AB65" i="152"/>
  <c r="AE65" i="152" s="1"/>
  <c r="Y14" i="152"/>
  <c r="X14" i="152"/>
  <c r="W14" i="152"/>
  <c r="Y49" i="152"/>
  <c r="X49" i="152"/>
  <c r="W49" i="152"/>
  <c r="T161" i="152"/>
  <c r="S161" i="152"/>
  <c r="R161" i="152"/>
  <c r="AN109" i="152"/>
  <c r="AM109" i="152"/>
  <c r="AL109" i="152"/>
  <c r="AI58" i="152"/>
  <c r="AH58" i="152"/>
  <c r="AG58" i="152"/>
  <c r="AJ58" i="152" s="1"/>
  <c r="AD170" i="152"/>
  <c r="AC170" i="152"/>
  <c r="AB170" i="152"/>
  <c r="Y119" i="152"/>
  <c r="X119" i="152"/>
  <c r="W119" i="152"/>
  <c r="T68" i="152"/>
  <c r="S68" i="152"/>
  <c r="R68" i="152"/>
  <c r="AN16" i="152"/>
  <c r="AM16" i="152"/>
  <c r="AL16" i="152"/>
  <c r="Y170" i="152"/>
  <c r="X170" i="152"/>
  <c r="W170" i="152"/>
  <c r="T119" i="152"/>
  <c r="S119" i="152"/>
  <c r="R119" i="152"/>
  <c r="AN67" i="152"/>
  <c r="AM67" i="152"/>
  <c r="AL67" i="152"/>
  <c r="AI16" i="152"/>
  <c r="AH16" i="152"/>
  <c r="AG16" i="152"/>
  <c r="T170" i="152"/>
  <c r="S170" i="152"/>
  <c r="R170" i="152"/>
  <c r="AN118" i="152"/>
  <c r="AM118" i="152"/>
  <c r="AL118" i="152"/>
  <c r="AI67" i="152"/>
  <c r="AH67" i="152"/>
  <c r="AG67" i="152"/>
  <c r="AJ67" i="152" s="1"/>
  <c r="AD16" i="152"/>
  <c r="AC16" i="152"/>
  <c r="AB16" i="152"/>
  <c r="AN233" i="152"/>
  <c r="AM233" i="152"/>
  <c r="AL233" i="152"/>
  <c r="AI182" i="152"/>
  <c r="AH182" i="152"/>
  <c r="AG182" i="152"/>
  <c r="AD131" i="152"/>
  <c r="AC131" i="152"/>
  <c r="AB131" i="152"/>
  <c r="Y80" i="152"/>
  <c r="X80" i="152"/>
  <c r="W80" i="152"/>
  <c r="Z80" i="152" s="1"/>
  <c r="T29" i="152"/>
  <c r="S29" i="152"/>
  <c r="R29" i="152"/>
  <c r="AC246" i="152"/>
  <c r="AB246" i="152"/>
  <c r="AD246" i="152"/>
  <c r="X195" i="152"/>
  <c r="W195" i="152"/>
  <c r="Y195" i="152"/>
  <c r="T144" i="152"/>
  <c r="S144" i="152"/>
  <c r="R144" i="152"/>
  <c r="AN92" i="152"/>
  <c r="AM92" i="152"/>
  <c r="AL92" i="152"/>
  <c r="AI41" i="152"/>
  <c r="AH41" i="152"/>
  <c r="AG41" i="152"/>
  <c r="S259" i="152"/>
  <c r="R259" i="152"/>
  <c r="T259" i="152"/>
  <c r="AM207" i="152"/>
  <c r="AL207" i="152"/>
  <c r="AN207" i="152"/>
  <c r="AI156" i="152"/>
  <c r="AH156" i="152"/>
  <c r="AG156" i="152"/>
  <c r="AD105" i="152"/>
  <c r="AC105" i="152"/>
  <c r="AB105" i="152"/>
  <c r="Y54" i="152"/>
  <c r="X54" i="152"/>
  <c r="W54" i="152"/>
  <c r="Z54" i="152" s="1"/>
  <c r="AI271" i="152"/>
  <c r="AH271" i="152"/>
  <c r="AG271" i="152"/>
  <c r="AD220" i="152"/>
  <c r="AC220" i="152"/>
  <c r="AB220" i="152"/>
  <c r="Y169" i="152"/>
  <c r="X169" i="152"/>
  <c r="W169" i="152"/>
  <c r="T118" i="152"/>
  <c r="S118" i="152"/>
  <c r="R118" i="152"/>
  <c r="AN66" i="152"/>
  <c r="AM66" i="152"/>
  <c r="AL66" i="152"/>
  <c r="AO66" i="152" s="1"/>
  <c r="AI15" i="152"/>
  <c r="AH15" i="152"/>
  <c r="AG15" i="152"/>
  <c r="T233" i="152"/>
  <c r="S233" i="152"/>
  <c r="R233" i="152"/>
  <c r="AN181" i="152"/>
  <c r="AM181" i="152"/>
  <c r="AL181" i="152"/>
  <c r="AH130" i="152"/>
  <c r="AG130" i="152"/>
  <c r="AI130" i="152"/>
  <c r="AC79" i="152"/>
  <c r="AB79" i="152"/>
  <c r="AD79" i="152"/>
  <c r="X28" i="152"/>
  <c r="W28" i="152"/>
  <c r="Y28" i="152"/>
  <c r="AN248" i="152"/>
  <c r="AM248" i="152"/>
  <c r="AL248" i="152"/>
  <c r="AI197" i="152"/>
  <c r="AH197" i="152"/>
  <c r="AG197" i="152"/>
  <c r="AD146" i="152"/>
  <c r="AC146" i="152"/>
  <c r="AB146" i="152"/>
  <c r="Y95" i="152"/>
  <c r="X95" i="152"/>
  <c r="W95" i="152"/>
  <c r="T44" i="152"/>
  <c r="S44" i="152"/>
  <c r="R44" i="152"/>
  <c r="U44" i="152" s="1"/>
  <c r="AD261" i="152"/>
  <c r="AC261" i="152"/>
  <c r="AB261" i="152"/>
  <c r="W210" i="152"/>
  <c r="Y210" i="152"/>
  <c r="X210" i="152"/>
  <c r="T159" i="152"/>
  <c r="S159" i="152"/>
  <c r="R159" i="152"/>
  <c r="AN107" i="152"/>
  <c r="AM107" i="152"/>
  <c r="AL107" i="152"/>
  <c r="AI56" i="152"/>
  <c r="AH56" i="152"/>
  <c r="AG56" i="152"/>
  <c r="AJ56" i="152" s="1"/>
  <c r="W277" i="152"/>
  <c r="Y277" i="152"/>
  <c r="X277" i="152"/>
  <c r="R226" i="152"/>
  <c r="T226" i="152"/>
  <c r="S226" i="152"/>
  <c r="AL174" i="152"/>
  <c r="AN174" i="152"/>
  <c r="AM174" i="152"/>
  <c r="AI123" i="152"/>
  <c r="AH123" i="152"/>
  <c r="AG123" i="152"/>
  <c r="AD72" i="152"/>
  <c r="AC72" i="152"/>
  <c r="AB72" i="152"/>
  <c r="Y21" i="152"/>
  <c r="X21" i="152"/>
  <c r="W21" i="152"/>
  <c r="AI238" i="152"/>
  <c r="AH238" i="152"/>
  <c r="AG238" i="152"/>
  <c r="AD187" i="152"/>
  <c r="AC187" i="152"/>
  <c r="AB187" i="152"/>
  <c r="Y136" i="152"/>
  <c r="X136" i="152"/>
  <c r="W136" i="152"/>
  <c r="T85" i="152"/>
  <c r="S85" i="152"/>
  <c r="R85" i="152"/>
  <c r="AN33" i="152"/>
  <c r="AM33" i="152"/>
  <c r="AL33" i="152"/>
  <c r="AO33" i="152" s="1"/>
  <c r="AN367" i="152"/>
  <c r="AM367" i="152"/>
  <c r="AL367" i="152"/>
  <c r="AN443" i="152"/>
  <c r="AM443" i="152"/>
  <c r="AL443" i="152"/>
  <c r="T514" i="152"/>
  <c r="S514" i="152"/>
  <c r="R514" i="152"/>
  <c r="Y565" i="152"/>
  <c r="W565" i="152"/>
  <c r="X565" i="152"/>
  <c r="T397" i="152"/>
  <c r="S397" i="152"/>
  <c r="R397" i="152"/>
  <c r="U397" i="152" s="1"/>
  <c r="Y471" i="152"/>
  <c r="X471" i="152"/>
  <c r="W471" i="152"/>
  <c r="AB533" i="152"/>
  <c r="AD533" i="152"/>
  <c r="AC533" i="152"/>
  <c r="T342" i="152"/>
  <c r="S342" i="152"/>
  <c r="R342" i="152"/>
  <c r="AD425" i="152"/>
  <c r="AC425" i="152"/>
  <c r="AB425" i="152"/>
  <c r="AG499" i="152"/>
  <c r="AI499" i="152"/>
  <c r="AH499" i="152"/>
  <c r="Y362" i="152"/>
  <c r="X362" i="152"/>
  <c r="W362" i="152"/>
  <c r="W439" i="152"/>
  <c r="Z439" i="152" s="1"/>
  <c r="X439" i="152"/>
  <c r="Y439" i="152"/>
  <c r="AD511" i="152"/>
  <c r="AC511" i="152"/>
  <c r="AB511" i="152"/>
  <c r="AI374" i="152"/>
  <c r="AH374" i="152"/>
  <c r="AG374" i="152"/>
  <c r="AN448" i="152"/>
  <c r="AM448" i="152"/>
  <c r="AL448" i="152"/>
  <c r="S518" i="152"/>
  <c r="T518" i="152"/>
  <c r="R518" i="152"/>
  <c r="U518" i="152" s="1"/>
  <c r="X569" i="152"/>
  <c r="Y569" i="152"/>
  <c r="AD620" i="152"/>
  <c r="AC620" i="152"/>
  <c r="AI342" i="152"/>
  <c r="AH342" i="152"/>
  <c r="AG342" i="152"/>
  <c r="T426" i="152"/>
  <c r="S426" i="152"/>
  <c r="R426" i="152"/>
  <c r="Y500" i="152"/>
  <c r="W500" i="152"/>
  <c r="X500" i="152"/>
  <c r="AD553" i="152"/>
  <c r="AC553" i="152"/>
  <c r="AB553" i="152"/>
  <c r="AE553" i="152" s="1"/>
  <c r="AH604" i="152"/>
  <c r="AG604" i="152"/>
  <c r="AJ604" i="152" s="1"/>
  <c r="AI604" i="152"/>
  <c r="AD272" i="152"/>
  <c r="AC272" i="152"/>
  <c r="AB272" i="152"/>
  <c r="Y403" i="152"/>
  <c r="X403" i="152"/>
  <c r="W403" i="152"/>
  <c r="AD477" i="152"/>
  <c r="AC477" i="152"/>
  <c r="AB477" i="152"/>
  <c r="AI537" i="152"/>
  <c r="AH537" i="152"/>
  <c r="AG537" i="152"/>
  <c r="AJ537" i="152" s="1"/>
  <c r="AN588" i="152"/>
  <c r="AM588" i="152"/>
  <c r="AL588" i="152"/>
  <c r="Y358" i="152"/>
  <c r="X358" i="152"/>
  <c r="W358" i="152"/>
  <c r="AN435" i="152"/>
  <c r="AM435" i="152"/>
  <c r="AL435" i="152"/>
  <c r="R509" i="152"/>
  <c r="T509" i="152"/>
  <c r="S509" i="152"/>
  <c r="Y560" i="152"/>
  <c r="X560" i="152"/>
  <c r="W560" i="152"/>
  <c r="T212" i="152"/>
  <c r="S212" i="152"/>
  <c r="R212" i="152"/>
  <c r="AD399" i="152"/>
  <c r="AC399" i="152"/>
  <c r="AB399" i="152"/>
  <c r="AH473" i="152"/>
  <c r="AG473" i="152"/>
  <c r="AI473" i="152"/>
  <c r="AN534" i="152"/>
  <c r="AM534" i="152"/>
  <c r="AL534" i="152"/>
  <c r="T586" i="152"/>
  <c r="S586" i="152"/>
  <c r="R586" i="152"/>
  <c r="AI199" i="152"/>
  <c r="AH199" i="152"/>
  <c r="AG199" i="152"/>
  <c r="AJ199" i="152" s="1"/>
  <c r="AN284" i="152"/>
  <c r="AM284" i="152"/>
  <c r="AL284" i="152"/>
  <c r="X294" i="152"/>
  <c r="W294" i="152"/>
  <c r="Y294" i="152"/>
  <c r="AN170" i="152"/>
  <c r="AM170" i="152"/>
  <c r="AL170" i="152"/>
  <c r="AN290" i="152"/>
  <c r="AM290" i="152"/>
  <c r="AL290" i="152"/>
  <c r="Y142" i="152"/>
  <c r="X142" i="152"/>
  <c r="W142" i="152"/>
  <c r="Z142" i="152" s="1"/>
  <c r="AD287" i="152"/>
  <c r="AC287" i="152"/>
  <c r="AB287" i="152"/>
  <c r="AD116" i="152"/>
  <c r="AC116" i="152"/>
  <c r="AB116" i="152"/>
  <c r="AI325" i="152"/>
  <c r="AH325" i="152"/>
  <c r="AG325" i="152"/>
  <c r="AD269" i="152"/>
  <c r="AC269" i="152"/>
  <c r="AB269" i="152"/>
  <c r="AN363" i="152"/>
  <c r="AM363" i="152"/>
  <c r="AL363" i="152"/>
  <c r="AI312" i="152"/>
  <c r="AH312" i="152"/>
  <c r="AG312" i="152"/>
  <c r="AD234" i="152"/>
  <c r="AC234" i="152"/>
  <c r="AB234" i="152"/>
  <c r="S482" i="152"/>
  <c r="R482" i="152"/>
  <c r="T482" i="152"/>
  <c r="AN430" i="152"/>
  <c r="AM430" i="152"/>
  <c r="AL430" i="152"/>
  <c r="AI379" i="152"/>
  <c r="AH379" i="152"/>
  <c r="AG379" i="152"/>
  <c r="AD328" i="152"/>
  <c r="AC328" i="152"/>
  <c r="AB328" i="152"/>
  <c r="AE328" i="152" s="1"/>
  <c r="Y276" i="152"/>
  <c r="X276" i="152"/>
  <c r="W276" i="152"/>
  <c r="AM497" i="152"/>
  <c r="AN497" i="152"/>
  <c r="AL497" i="152"/>
  <c r="AG446" i="152"/>
  <c r="AJ446" i="152" s="1"/>
  <c r="AI446" i="152"/>
  <c r="AH446" i="152"/>
  <c r="AB395" i="152"/>
  <c r="AC395" i="152"/>
  <c r="AD395" i="152"/>
  <c r="X344" i="152"/>
  <c r="W344" i="152"/>
  <c r="Y344" i="152"/>
  <c r="T293" i="152"/>
  <c r="S293" i="152"/>
  <c r="R293" i="152"/>
  <c r="Y161" i="152"/>
  <c r="X161" i="152"/>
  <c r="W161" i="152"/>
  <c r="AB462" i="152"/>
  <c r="AD462" i="152"/>
  <c r="AC462" i="152"/>
  <c r="Y411" i="152"/>
  <c r="X411" i="152"/>
  <c r="W411" i="152"/>
  <c r="T360" i="152"/>
  <c r="S360" i="152"/>
  <c r="R360" i="152"/>
  <c r="AL308" i="152"/>
  <c r="AM308" i="152"/>
  <c r="AN308" i="152"/>
  <c r="AI224" i="152"/>
  <c r="AH224" i="152"/>
  <c r="AG224" i="152"/>
  <c r="X478" i="152"/>
  <c r="W478" i="152"/>
  <c r="Y478" i="152"/>
  <c r="T427" i="152"/>
  <c r="S427" i="152"/>
  <c r="R427" i="152"/>
  <c r="AN375" i="152"/>
  <c r="AM375" i="152"/>
  <c r="AL375" i="152"/>
  <c r="AI324" i="152"/>
  <c r="AH324" i="152"/>
  <c r="AG324" i="152"/>
  <c r="AJ324" i="152" s="1"/>
  <c r="AD266" i="152"/>
  <c r="AC266" i="152"/>
  <c r="AB266" i="152"/>
  <c r="T494" i="152"/>
  <c r="S494" i="152"/>
  <c r="R494" i="152"/>
  <c r="AN442" i="152"/>
  <c r="AM442" i="152"/>
  <c r="AL442" i="152"/>
  <c r="AI391" i="152"/>
  <c r="AH391" i="152"/>
  <c r="AG391" i="152"/>
  <c r="AD340" i="152"/>
  <c r="AC340" i="152"/>
  <c r="AB340" i="152"/>
  <c r="AE340" i="152" s="1"/>
  <c r="Y289" i="152"/>
  <c r="X289" i="152"/>
  <c r="W289" i="152"/>
  <c r="AD129" i="152"/>
  <c r="AC129" i="152"/>
  <c r="AB129" i="152"/>
  <c r="T232" i="152"/>
  <c r="S232" i="152"/>
  <c r="R232" i="152"/>
  <c r="AN180" i="152"/>
  <c r="AM180" i="152"/>
  <c r="AL180" i="152"/>
  <c r="AG129" i="152"/>
  <c r="AI129" i="152"/>
  <c r="AH129" i="152"/>
  <c r="AB78" i="152"/>
  <c r="AD78" i="152"/>
  <c r="AC78" i="152"/>
  <c r="W27" i="152"/>
  <c r="Z27" i="152" s="1"/>
  <c r="Y27" i="152"/>
  <c r="X27" i="152"/>
  <c r="Y62" i="152"/>
  <c r="X62" i="152"/>
  <c r="W62" i="152"/>
  <c r="T11" i="152"/>
  <c r="S11" i="152"/>
  <c r="R11" i="152"/>
  <c r="T46" i="152"/>
  <c r="S46" i="152"/>
  <c r="R46" i="152"/>
  <c r="AN157" i="152"/>
  <c r="AM157" i="152"/>
  <c r="AL157" i="152"/>
  <c r="AO157" i="152" s="1"/>
  <c r="AI106" i="152"/>
  <c r="AH106" i="152"/>
  <c r="AG106" i="152"/>
  <c r="AD55" i="152"/>
  <c r="AC55" i="152"/>
  <c r="AB55" i="152"/>
  <c r="Y167" i="152"/>
  <c r="X167" i="152"/>
  <c r="W167" i="152"/>
  <c r="T116" i="152"/>
  <c r="S116" i="152"/>
  <c r="R116" i="152"/>
  <c r="AN64" i="152"/>
  <c r="AM64" i="152"/>
  <c r="AL64" i="152"/>
  <c r="AO64" i="152" s="1"/>
  <c r="AI13" i="152"/>
  <c r="AH13" i="152"/>
  <c r="AG13" i="152"/>
  <c r="T167" i="152"/>
  <c r="S167" i="152"/>
  <c r="R167" i="152"/>
  <c r="AN115" i="152"/>
  <c r="AM115" i="152"/>
  <c r="AL115" i="152"/>
  <c r="AI64" i="152"/>
  <c r="AH64" i="152"/>
  <c r="AG64" i="152"/>
  <c r="AD13" i="152"/>
  <c r="AC13" i="152"/>
  <c r="AB13" i="152"/>
  <c r="AN166" i="152"/>
  <c r="AM166" i="152"/>
  <c r="AL166" i="152"/>
  <c r="AI115" i="152"/>
  <c r="AH115" i="152"/>
  <c r="AG115" i="152"/>
  <c r="AD64" i="152"/>
  <c r="AC64" i="152"/>
  <c r="AB64" i="152"/>
  <c r="Y13" i="152"/>
  <c r="X13" i="152"/>
  <c r="W13" i="152"/>
  <c r="AI230" i="152"/>
  <c r="AH230" i="152"/>
  <c r="AG230" i="152"/>
  <c r="AD179" i="152"/>
  <c r="AC179" i="152"/>
  <c r="AB179" i="152"/>
  <c r="AE179" i="152" s="1"/>
  <c r="Y128" i="152"/>
  <c r="X128" i="152"/>
  <c r="W128" i="152"/>
  <c r="T77" i="152"/>
  <c r="S77" i="152"/>
  <c r="R77" i="152"/>
  <c r="AN25" i="152"/>
  <c r="AM25" i="152"/>
  <c r="AL25" i="152"/>
  <c r="X243" i="152"/>
  <c r="W243" i="152"/>
  <c r="Y243" i="152"/>
  <c r="S192" i="152"/>
  <c r="R192" i="152"/>
  <c r="T192" i="152"/>
  <c r="AN140" i="152"/>
  <c r="AM140" i="152"/>
  <c r="AL140" i="152"/>
  <c r="AI89" i="152"/>
  <c r="AH89" i="152"/>
  <c r="AG89" i="152"/>
  <c r="AD38" i="152"/>
  <c r="AC38" i="152"/>
  <c r="AB38" i="152"/>
  <c r="AM255" i="152"/>
  <c r="AL255" i="152"/>
  <c r="AN255" i="152"/>
  <c r="AH204" i="152"/>
  <c r="AG204" i="152"/>
  <c r="AI204" i="152"/>
  <c r="AD153" i="152"/>
  <c r="AC153" i="152"/>
  <c r="AB153" i="152"/>
  <c r="Y102" i="152"/>
  <c r="X102" i="152"/>
  <c r="W102" i="152"/>
  <c r="T51" i="152"/>
  <c r="S51" i="152"/>
  <c r="R51" i="152"/>
  <c r="AD268" i="152"/>
  <c r="AC268" i="152"/>
  <c r="AB268" i="152"/>
  <c r="Y217" i="152"/>
  <c r="X217" i="152"/>
  <c r="W217" i="152"/>
  <c r="T166" i="152"/>
  <c r="S166" i="152"/>
  <c r="R166" i="152"/>
  <c r="U166" i="152" s="1"/>
  <c r="AN114" i="152"/>
  <c r="AM114" i="152"/>
  <c r="AL114" i="152"/>
  <c r="AI63" i="152"/>
  <c r="AH63" i="152"/>
  <c r="AG63" i="152"/>
  <c r="AD12" i="152"/>
  <c r="AC12" i="152"/>
  <c r="AB12" i="152"/>
  <c r="AN229" i="152"/>
  <c r="AM229" i="152"/>
  <c r="AL229" i="152"/>
  <c r="AI178" i="152"/>
  <c r="AH178" i="152"/>
  <c r="AG178" i="152"/>
  <c r="AJ178" i="152" s="1"/>
  <c r="AC127" i="152"/>
  <c r="AB127" i="152"/>
  <c r="AD127" i="152"/>
  <c r="X76" i="152"/>
  <c r="W76" i="152"/>
  <c r="Y76" i="152"/>
  <c r="S25" i="152"/>
  <c r="R25" i="152"/>
  <c r="T25" i="152"/>
  <c r="AI245" i="152"/>
  <c r="AH245" i="152"/>
  <c r="AG245" i="152"/>
  <c r="AD194" i="152"/>
  <c r="AB194" i="152"/>
  <c r="AC194" i="152"/>
  <c r="Y143" i="152"/>
  <c r="X143" i="152"/>
  <c r="W143" i="152"/>
  <c r="T92" i="152"/>
  <c r="S92" i="152"/>
  <c r="R92" i="152"/>
  <c r="AN40" i="152"/>
  <c r="AM40" i="152"/>
  <c r="AL40" i="152"/>
  <c r="Y258" i="152"/>
  <c r="X258" i="152"/>
  <c r="W258" i="152"/>
  <c r="R207" i="152"/>
  <c r="T207" i="152"/>
  <c r="S207" i="152"/>
  <c r="AN155" i="152"/>
  <c r="AM155" i="152"/>
  <c r="AL155" i="152"/>
  <c r="AO155" i="152" s="1"/>
  <c r="AI104" i="152"/>
  <c r="AH104" i="152"/>
  <c r="AG104" i="152"/>
  <c r="AD53" i="152"/>
  <c r="AC53" i="152"/>
  <c r="AB53" i="152"/>
  <c r="R274" i="152"/>
  <c r="T274" i="152"/>
  <c r="S274" i="152"/>
  <c r="AL222" i="152"/>
  <c r="AN222" i="152"/>
  <c r="AM222" i="152"/>
  <c r="AG171" i="152"/>
  <c r="AH171" i="152"/>
  <c r="AI171" i="152"/>
  <c r="AD120" i="152"/>
  <c r="AC120" i="152"/>
  <c r="AB120" i="152"/>
  <c r="Y69" i="152"/>
  <c r="X69" i="152"/>
  <c r="W69" i="152"/>
  <c r="T18" i="152"/>
  <c r="S18" i="152"/>
  <c r="R18" i="152"/>
  <c r="AD235" i="152"/>
  <c r="AC235" i="152"/>
  <c r="AB235" i="152"/>
  <c r="Y184" i="152"/>
  <c r="X184" i="152"/>
  <c r="W184" i="152"/>
  <c r="T133" i="152"/>
  <c r="S133" i="152"/>
  <c r="R133" i="152"/>
  <c r="AN81" i="152"/>
  <c r="AM81" i="152"/>
  <c r="AL81" i="152"/>
  <c r="AI30" i="152"/>
  <c r="AH30" i="152"/>
  <c r="AG30" i="152"/>
  <c r="AL373" i="152"/>
  <c r="AN373" i="152"/>
  <c r="AM373" i="152"/>
  <c r="T448" i="152"/>
  <c r="S448" i="152"/>
  <c r="R448" i="152"/>
  <c r="X517" i="152"/>
  <c r="W517" i="152"/>
  <c r="Y517" i="152"/>
  <c r="T247" i="152"/>
  <c r="S247" i="152"/>
  <c r="R247" i="152"/>
  <c r="W402" i="152"/>
  <c r="Y402" i="152"/>
  <c r="X402" i="152"/>
  <c r="AD476" i="152"/>
  <c r="AB476" i="152"/>
  <c r="AI536" i="152"/>
  <c r="AH536" i="152"/>
  <c r="AG536" i="152"/>
  <c r="X349" i="152"/>
  <c r="W349" i="152"/>
  <c r="Y349" i="152"/>
  <c r="AG429" i="152"/>
  <c r="AI429" i="152"/>
  <c r="AH429" i="152"/>
  <c r="AN504" i="152"/>
  <c r="AM504" i="152"/>
  <c r="AL504" i="152"/>
  <c r="AC368" i="152"/>
  <c r="AB368" i="152"/>
  <c r="AD368" i="152"/>
  <c r="AC444" i="152"/>
  <c r="AB444" i="152"/>
  <c r="AD444" i="152"/>
  <c r="AH514" i="152"/>
  <c r="AG514" i="152"/>
  <c r="AI514" i="152"/>
  <c r="AN379" i="152"/>
  <c r="AM379" i="152"/>
  <c r="AL379" i="152"/>
  <c r="AO379" i="152" s="1"/>
  <c r="S454" i="152"/>
  <c r="R454" i="152"/>
  <c r="U454" i="152" s="1"/>
  <c r="T454" i="152"/>
  <c r="X521" i="152"/>
  <c r="Y521" i="152"/>
  <c r="AB572" i="152"/>
  <c r="AE572" i="152" s="1"/>
  <c r="AD572" i="152"/>
  <c r="AB351" i="152"/>
  <c r="AD351" i="152"/>
  <c r="AC351" i="152"/>
  <c r="Y431" i="152"/>
  <c r="X431" i="152"/>
  <c r="W431" i="152"/>
  <c r="AD505" i="152"/>
  <c r="AC505" i="152"/>
  <c r="AB505" i="152"/>
  <c r="AE505" i="152" s="1"/>
  <c r="AI556" i="152"/>
  <c r="AH556" i="152"/>
  <c r="AG556" i="152"/>
  <c r="AN607" i="152"/>
  <c r="AM607" i="152"/>
  <c r="AL607" i="152"/>
  <c r="AI297" i="152"/>
  <c r="AH297" i="152"/>
  <c r="AG297" i="152"/>
  <c r="AD407" i="152"/>
  <c r="AC407" i="152"/>
  <c r="AB407" i="152"/>
  <c r="AI482" i="152"/>
  <c r="AH482" i="152"/>
  <c r="AG482" i="152"/>
  <c r="AJ482" i="152" s="1"/>
  <c r="AN540" i="152"/>
  <c r="AM540" i="152"/>
  <c r="AL540" i="152"/>
  <c r="T592" i="152"/>
  <c r="S592" i="152"/>
  <c r="R592" i="152"/>
  <c r="AI364" i="152"/>
  <c r="AH364" i="152"/>
  <c r="AG364" i="152"/>
  <c r="T441" i="152"/>
  <c r="S441" i="152"/>
  <c r="R441" i="152"/>
  <c r="Y512" i="152"/>
  <c r="W512" i="152"/>
  <c r="X512" i="152"/>
  <c r="AD563" i="152"/>
  <c r="AC563" i="152"/>
  <c r="AB563" i="152"/>
  <c r="AI278" i="152"/>
  <c r="AH278" i="152"/>
  <c r="AG278" i="152"/>
  <c r="AI403" i="152"/>
  <c r="AH403" i="152"/>
  <c r="AG403" i="152"/>
  <c r="AN477" i="152"/>
  <c r="AM477" i="152"/>
  <c r="AL477" i="152"/>
  <c r="T538" i="152"/>
  <c r="S538" i="152"/>
  <c r="R538" i="152"/>
  <c r="Y589" i="152"/>
  <c r="X589" i="152"/>
  <c r="W589" i="152"/>
  <c r="Z589" i="152" s="1"/>
  <c r="T645" i="152"/>
  <c r="S645" i="152"/>
  <c r="R645" i="152"/>
  <c r="Y696" i="152"/>
  <c r="X696" i="152"/>
  <c r="W696" i="152"/>
  <c r="Y324" i="152"/>
  <c r="X324" i="152"/>
  <c r="W324" i="152"/>
  <c r="T266" i="152"/>
  <c r="S266" i="152"/>
  <c r="R266" i="152"/>
  <c r="AL336" i="152"/>
  <c r="AN336" i="152"/>
  <c r="AM336" i="152"/>
  <c r="AI285" i="152"/>
  <c r="AH285" i="152"/>
  <c r="AG285" i="152"/>
  <c r="AI100" i="152"/>
  <c r="AH100" i="152"/>
  <c r="AG100" i="152"/>
  <c r="Y298" i="152"/>
  <c r="X298" i="152"/>
  <c r="W298" i="152"/>
  <c r="AN186" i="152"/>
  <c r="AM186" i="152"/>
  <c r="AL186" i="152"/>
  <c r="AI281" i="152"/>
  <c r="AH281" i="152"/>
  <c r="AG281" i="152"/>
  <c r="S291" i="152"/>
  <c r="R291" i="152"/>
  <c r="T291" i="152"/>
  <c r="Y145" i="152"/>
  <c r="X145" i="152"/>
  <c r="W145" i="152"/>
  <c r="AI287" i="152"/>
  <c r="AH287" i="152"/>
  <c r="AG287" i="152"/>
  <c r="AI116" i="152"/>
  <c r="AH116" i="152"/>
  <c r="AG116" i="152"/>
  <c r="Y284" i="152"/>
  <c r="X284" i="152"/>
  <c r="W284" i="152"/>
  <c r="AI373" i="152"/>
  <c r="AH373" i="152"/>
  <c r="AG373" i="152"/>
  <c r="AJ373" i="152" s="1"/>
  <c r="AD322" i="152"/>
  <c r="AC322" i="152"/>
  <c r="AB322" i="152"/>
  <c r="Y260" i="152"/>
  <c r="X260" i="152"/>
  <c r="W260" i="152"/>
  <c r="AI360" i="152"/>
  <c r="AH360" i="152"/>
  <c r="AG360" i="152"/>
  <c r="AD309" i="152"/>
  <c r="AC309" i="152"/>
  <c r="AB309" i="152"/>
  <c r="Y225" i="152"/>
  <c r="X225" i="152"/>
  <c r="W225" i="152"/>
  <c r="Z225" i="152" s="1"/>
  <c r="AN478" i="152"/>
  <c r="AM478" i="152"/>
  <c r="AL478" i="152"/>
  <c r="AH427" i="152"/>
  <c r="AG427" i="152"/>
  <c r="AI427" i="152"/>
  <c r="AD376" i="152"/>
  <c r="AC376" i="152"/>
  <c r="AB376" i="152"/>
  <c r="Y325" i="152"/>
  <c r="X325" i="152"/>
  <c r="W325" i="152"/>
  <c r="T267" i="152"/>
  <c r="S267" i="152"/>
  <c r="R267" i="152"/>
  <c r="AI494" i="152"/>
  <c r="AH494" i="152"/>
  <c r="AG494" i="152"/>
  <c r="AB443" i="152"/>
  <c r="AE443" i="152" s="1"/>
  <c r="AD443" i="152"/>
  <c r="AC443" i="152"/>
  <c r="Y392" i="152"/>
  <c r="X392" i="152"/>
  <c r="W392" i="152"/>
  <c r="S341" i="152"/>
  <c r="R341" i="152"/>
  <c r="T341" i="152"/>
  <c r="AN289" i="152"/>
  <c r="AM289" i="152"/>
  <c r="AL289" i="152"/>
  <c r="AI135" i="152"/>
  <c r="AH135" i="152"/>
  <c r="AG135" i="152"/>
  <c r="AJ135" i="152" s="1"/>
  <c r="Y459" i="152"/>
  <c r="X459" i="152"/>
  <c r="W459" i="152"/>
  <c r="T408" i="152"/>
  <c r="S408" i="152"/>
  <c r="R408" i="152"/>
  <c r="AN356" i="152"/>
  <c r="AM356" i="152"/>
  <c r="AL356" i="152"/>
  <c r="AG305" i="152"/>
  <c r="AI305" i="152"/>
  <c r="AH305" i="152"/>
  <c r="AD215" i="152"/>
  <c r="AC215" i="152"/>
  <c r="AB215" i="152"/>
  <c r="AE215" i="152" s="1"/>
  <c r="T475" i="152"/>
  <c r="S475" i="152"/>
  <c r="R475" i="152"/>
  <c r="AN423" i="152"/>
  <c r="AM423" i="152"/>
  <c r="AL423" i="152"/>
  <c r="AI372" i="152"/>
  <c r="AH372" i="152"/>
  <c r="AG372" i="152"/>
  <c r="AD321" i="152"/>
  <c r="AC321" i="152"/>
  <c r="AB321" i="152"/>
  <c r="Y257" i="152"/>
  <c r="X257" i="152"/>
  <c r="W257" i="152"/>
  <c r="AM490" i="152"/>
  <c r="AL490" i="152"/>
  <c r="AN490" i="152"/>
  <c r="AI439" i="152"/>
  <c r="AH439" i="152"/>
  <c r="AG439" i="152"/>
  <c r="AD388" i="152"/>
  <c r="AC388" i="152"/>
  <c r="AB388" i="152"/>
  <c r="Y337" i="152"/>
  <c r="X337" i="152"/>
  <c r="W337" i="152"/>
  <c r="T286" i="152"/>
  <c r="S286" i="152"/>
  <c r="R286" i="152"/>
  <c r="AN103" i="152"/>
  <c r="AM103" i="152"/>
  <c r="AL103" i="152"/>
  <c r="AO103" i="152" s="1"/>
  <c r="AN228" i="152"/>
  <c r="AM228" i="152"/>
  <c r="AL228" i="152"/>
  <c r="AI177" i="152"/>
  <c r="AH177" i="152"/>
  <c r="AG177" i="152"/>
  <c r="AB126" i="152"/>
  <c r="AD126" i="152"/>
  <c r="AC126" i="152"/>
  <c r="W75" i="152"/>
  <c r="Y75" i="152"/>
  <c r="X75" i="152"/>
  <c r="R24" i="152"/>
  <c r="T24" i="152"/>
  <c r="S24" i="152"/>
  <c r="T59" i="152"/>
  <c r="S59" i="152"/>
  <c r="R59" i="152"/>
  <c r="T94" i="152"/>
  <c r="S94" i="152"/>
  <c r="R94" i="152"/>
  <c r="AN42" i="152"/>
  <c r="AM42" i="152"/>
  <c r="AL42" i="152"/>
  <c r="AI154" i="152"/>
  <c r="AH154" i="152"/>
  <c r="AG154" i="152"/>
  <c r="AD103" i="152"/>
  <c r="AC103" i="152"/>
  <c r="AB103" i="152"/>
  <c r="Y52" i="152"/>
  <c r="X52" i="152"/>
  <c r="W52" i="152"/>
  <c r="T164" i="152"/>
  <c r="S164" i="152"/>
  <c r="R164" i="152"/>
  <c r="AN112" i="152"/>
  <c r="AM112" i="152"/>
  <c r="AL112" i="152"/>
  <c r="AI61" i="152"/>
  <c r="AH61" i="152"/>
  <c r="AG61" i="152"/>
  <c r="AD10" i="152"/>
  <c r="AC10" i="152"/>
  <c r="AB10" i="152"/>
  <c r="AN163" i="152"/>
  <c r="AM163" i="152"/>
  <c r="AL163" i="152"/>
  <c r="AO163" i="152" s="1"/>
  <c r="AI112" i="152"/>
  <c r="AH112" i="152"/>
  <c r="AG112" i="152"/>
  <c r="AD61" i="152"/>
  <c r="AC61" i="152"/>
  <c r="AB61" i="152"/>
  <c r="Y10" i="152"/>
  <c r="X10" i="152"/>
  <c r="W10" i="152"/>
  <c r="AI163" i="152"/>
  <c r="AH163" i="152"/>
  <c r="AG163" i="152"/>
  <c r="AD112" i="152"/>
  <c r="AC112" i="152"/>
  <c r="AB112" i="152"/>
  <c r="AE112" i="152" s="1"/>
  <c r="Y61" i="152"/>
  <c r="X61" i="152"/>
  <c r="W61" i="152"/>
  <c r="T10" i="152"/>
  <c r="S10" i="152"/>
  <c r="R10" i="152"/>
  <c r="AD227" i="152"/>
  <c r="AC227" i="152"/>
  <c r="AB227" i="152"/>
  <c r="Y176" i="152"/>
  <c r="X176" i="152"/>
  <c r="W176" i="152"/>
  <c r="T125" i="152"/>
  <c r="S125" i="152"/>
  <c r="R125" i="152"/>
  <c r="AN73" i="152"/>
  <c r="AM73" i="152"/>
  <c r="AL73" i="152"/>
  <c r="AI22" i="152"/>
  <c r="AH22" i="152"/>
  <c r="AG22" i="152"/>
  <c r="S240" i="152"/>
  <c r="R240" i="152"/>
  <c r="T240" i="152"/>
  <c r="AM188" i="152"/>
  <c r="AL188" i="152"/>
  <c r="AN188" i="152"/>
  <c r="AI137" i="152"/>
  <c r="AH137" i="152"/>
  <c r="AG137" i="152"/>
  <c r="AD86" i="152"/>
  <c r="AC86" i="152"/>
  <c r="AB86" i="152"/>
  <c r="AE86" i="152" s="1"/>
  <c r="Y35" i="152"/>
  <c r="X35" i="152"/>
  <c r="W35" i="152"/>
  <c r="AH252" i="152"/>
  <c r="AG252" i="152"/>
  <c r="AI252" i="152"/>
  <c r="AC201" i="152"/>
  <c r="AB201" i="152"/>
  <c r="AD201" i="152"/>
  <c r="Y150" i="152"/>
  <c r="X150" i="152"/>
  <c r="W150" i="152"/>
  <c r="T99" i="152"/>
  <c r="S99" i="152"/>
  <c r="R99" i="152"/>
  <c r="U99" i="152" s="1"/>
  <c r="AN47" i="152"/>
  <c r="AM47" i="152"/>
  <c r="AL47" i="152"/>
  <c r="Y265" i="152"/>
  <c r="X265" i="152"/>
  <c r="W265" i="152"/>
  <c r="T214" i="152"/>
  <c r="S214" i="152"/>
  <c r="R214" i="152"/>
  <c r="AN162" i="152"/>
  <c r="AM162" i="152"/>
  <c r="AL162" i="152"/>
  <c r="AI111" i="152"/>
  <c r="AH111" i="152"/>
  <c r="AG111" i="152"/>
  <c r="AD60" i="152"/>
  <c r="AC60" i="152"/>
  <c r="AB60" i="152"/>
  <c r="X9" i="152"/>
  <c r="W9" i="152"/>
  <c r="V9" i="152"/>
  <c r="Y9" i="152"/>
  <c r="AI226" i="152"/>
  <c r="AH226" i="152"/>
  <c r="AG226" i="152"/>
  <c r="AD175" i="152"/>
  <c r="AC175" i="152"/>
  <c r="AB175" i="152"/>
  <c r="X124" i="152"/>
  <c r="W124" i="152"/>
  <c r="Y124" i="152"/>
  <c r="S73" i="152"/>
  <c r="R73" i="152"/>
  <c r="T73" i="152"/>
  <c r="AM21" i="152"/>
  <c r="AL21" i="152"/>
  <c r="AN21" i="152"/>
  <c r="AD242" i="152"/>
  <c r="AC242" i="152"/>
  <c r="AB242" i="152"/>
  <c r="Y191" i="152"/>
  <c r="X191" i="152"/>
  <c r="W191" i="152"/>
  <c r="T140" i="152"/>
  <c r="S140" i="152"/>
  <c r="R140" i="152"/>
  <c r="AN88" i="152"/>
  <c r="AM88" i="152"/>
  <c r="AL88" i="152"/>
  <c r="AO88" i="152" s="1"/>
  <c r="AI37" i="152"/>
  <c r="AH37" i="152"/>
  <c r="AG37" i="152"/>
  <c r="T255" i="152"/>
  <c r="S255" i="152"/>
  <c r="R255" i="152"/>
  <c r="AL203" i="152"/>
  <c r="AN203" i="152"/>
  <c r="AM203" i="152"/>
  <c r="AI152" i="152"/>
  <c r="AH152" i="152"/>
  <c r="AG152" i="152"/>
  <c r="AD101" i="152"/>
  <c r="AC101" i="152"/>
  <c r="AB101" i="152"/>
  <c r="AE101" i="152" s="1"/>
  <c r="Y50" i="152"/>
  <c r="X50" i="152"/>
  <c r="W50" i="152"/>
  <c r="AL270" i="152"/>
  <c r="AN270" i="152"/>
  <c r="AM270" i="152"/>
  <c r="AG219" i="152"/>
  <c r="AI219" i="152"/>
  <c r="AH219" i="152"/>
  <c r="AB168" i="152"/>
  <c r="AC168" i="152"/>
  <c r="AD168" i="152"/>
  <c r="Y117" i="152"/>
  <c r="X117" i="152"/>
  <c r="W117" i="152"/>
  <c r="T66" i="152"/>
  <c r="S66" i="152"/>
  <c r="R66" i="152"/>
  <c r="AN14" i="152"/>
  <c r="AM14" i="152"/>
  <c r="AL14" i="152"/>
  <c r="Y232" i="152"/>
  <c r="X232" i="152"/>
  <c r="W232" i="152"/>
  <c r="T181" i="152"/>
  <c r="S181" i="152"/>
  <c r="R181" i="152"/>
  <c r="AN129" i="152"/>
  <c r="AM129" i="152"/>
  <c r="AL129" i="152"/>
  <c r="AI78" i="152"/>
  <c r="AH78" i="152"/>
  <c r="AG78" i="152"/>
  <c r="AJ78" i="152" s="1"/>
  <c r="AD27" i="152"/>
  <c r="AC27" i="152"/>
  <c r="AB27" i="152"/>
  <c r="S378" i="152"/>
  <c r="R378" i="152"/>
  <c r="T378" i="152"/>
  <c r="Y452" i="152"/>
  <c r="X452" i="152"/>
  <c r="W452" i="152"/>
  <c r="AB520" i="152"/>
  <c r="AD520" i="152"/>
  <c r="AC520" i="152"/>
  <c r="AI291" i="152"/>
  <c r="AH291" i="152"/>
  <c r="AG291" i="152"/>
  <c r="AJ291" i="152" s="1"/>
  <c r="AC406" i="152"/>
  <c r="AB406" i="152"/>
  <c r="AD406" i="152"/>
  <c r="AG480" i="152"/>
  <c r="AI480" i="152"/>
  <c r="AH480" i="152"/>
  <c r="AN539" i="152"/>
  <c r="AM539" i="152"/>
  <c r="AL539" i="152"/>
  <c r="AH355" i="152"/>
  <c r="AG355" i="152"/>
  <c r="AI355" i="152"/>
  <c r="AM434" i="152"/>
  <c r="AL434" i="152"/>
  <c r="AN434" i="152"/>
  <c r="T508" i="152"/>
  <c r="S508" i="152"/>
  <c r="R508" i="152"/>
  <c r="AD374" i="152"/>
  <c r="AC374" i="152"/>
  <c r="AB374" i="152"/>
  <c r="AI448" i="152"/>
  <c r="AH448" i="152"/>
  <c r="AG448" i="152"/>
  <c r="AN517" i="152"/>
  <c r="AM517" i="152"/>
  <c r="AL517" i="152"/>
  <c r="T384" i="152"/>
  <c r="S384" i="152"/>
  <c r="R384" i="152"/>
  <c r="Y458" i="152"/>
  <c r="X458" i="152"/>
  <c r="W458" i="152"/>
  <c r="Z458" i="152" s="1"/>
  <c r="AD524" i="152"/>
  <c r="AC524" i="152"/>
  <c r="AE524" i="152" s="1"/>
  <c r="AI575" i="152"/>
  <c r="AH575" i="152"/>
  <c r="AG575" i="152"/>
  <c r="AN626" i="152"/>
  <c r="AL626" i="152"/>
  <c r="AL357" i="152"/>
  <c r="AN357" i="152"/>
  <c r="AM357" i="152"/>
  <c r="AD435" i="152"/>
  <c r="AC435" i="152"/>
  <c r="AB435" i="152"/>
  <c r="AI508" i="152"/>
  <c r="AG508" i="152"/>
  <c r="AH508" i="152"/>
  <c r="AN559" i="152"/>
  <c r="AM559" i="152"/>
  <c r="AL559" i="152"/>
  <c r="T611" i="152"/>
  <c r="S611" i="152"/>
  <c r="R611" i="152"/>
  <c r="AD310" i="152"/>
  <c r="AC310" i="152"/>
  <c r="AB310" i="152"/>
  <c r="AI412" i="152"/>
  <c r="AH412" i="152"/>
  <c r="AG412" i="152"/>
  <c r="AN486" i="152"/>
  <c r="AM486" i="152"/>
  <c r="AL486" i="152"/>
  <c r="AO486" i="152" s="1"/>
  <c r="T544" i="152"/>
  <c r="S544" i="152"/>
  <c r="R544" i="152"/>
  <c r="Y595" i="152"/>
  <c r="X595" i="152"/>
  <c r="W595" i="152"/>
  <c r="AG370" i="152"/>
  <c r="AI370" i="152"/>
  <c r="AH370" i="152"/>
  <c r="Y445" i="152"/>
  <c r="X445" i="152"/>
  <c r="W445" i="152"/>
  <c r="AD515" i="152"/>
  <c r="AC515" i="152"/>
  <c r="AB515" i="152"/>
  <c r="AI566" i="152"/>
  <c r="AH566" i="152"/>
  <c r="AG566" i="152"/>
  <c r="T298" i="152"/>
  <c r="S298" i="152"/>
  <c r="R298" i="152"/>
  <c r="AN408" i="152"/>
  <c r="AM408" i="152"/>
  <c r="AL408" i="152"/>
  <c r="T483" i="152"/>
  <c r="S483" i="152"/>
  <c r="R483" i="152"/>
  <c r="Y541" i="152"/>
  <c r="X541" i="152"/>
  <c r="W541" i="152"/>
  <c r="AC592" i="152"/>
  <c r="AB592" i="152"/>
  <c r="AD592" i="152"/>
  <c r="Y648" i="152"/>
  <c r="X648" i="152"/>
  <c r="W648" i="152"/>
  <c r="AD699" i="152"/>
  <c r="AC699" i="152"/>
  <c r="AB699" i="152"/>
  <c r="T321" i="152"/>
  <c r="S321" i="152"/>
  <c r="R321" i="152"/>
  <c r="AN256" i="152"/>
  <c r="AM256" i="152"/>
  <c r="AL256" i="152"/>
  <c r="AG333" i="152"/>
  <c r="AI333" i="152"/>
  <c r="AH333" i="152"/>
  <c r="AD282" i="152"/>
  <c r="AC282" i="152"/>
  <c r="AB282" i="152"/>
  <c r="Y346" i="152"/>
  <c r="X346" i="152"/>
  <c r="W346" i="152"/>
  <c r="T295" i="152"/>
  <c r="S295" i="152"/>
  <c r="R295" i="152"/>
  <c r="T174" i="152"/>
  <c r="S174" i="152"/>
  <c r="R174" i="152"/>
  <c r="AD278" i="152"/>
  <c r="AC278" i="152"/>
  <c r="AB278" i="152"/>
  <c r="AM287" i="152"/>
  <c r="AL287" i="152"/>
  <c r="AN287" i="152"/>
  <c r="AI119" i="152"/>
  <c r="AH119" i="152"/>
  <c r="AG119" i="152"/>
  <c r="AD284" i="152"/>
  <c r="AC284" i="152"/>
  <c r="AB284" i="152"/>
  <c r="W332" i="152"/>
  <c r="X332" i="152"/>
  <c r="Y332" i="152"/>
  <c r="T281" i="152"/>
  <c r="S281" i="152"/>
  <c r="R281" i="152"/>
  <c r="AD370" i="152"/>
  <c r="AC370" i="152"/>
  <c r="AB370" i="152"/>
  <c r="Y319" i="152"/>
  <c r="X319" i="152"/>
  <c r="W319" i="152"/>
  <c r="T251" i="152"/>
  <c r="S251" i="152"/>
  <c r="R251" i="152"/>
  <c r="AD357" i="152"/>
  <c r="AC357" i="152"/>
  <c r="AB357" i="152"/>
  <c r="Y306" i="152"/>
  <c r="W306" i="152"/>
  <c r="X306" i="152"/>
  <c r="T218" i="152"/>
  <c r="S218" i="152"/>
  <c r="R218" i="152"/>
  <c r="U218" i="152" s="1"/>
  <c r="AI475" i="152"/>
  <c r="AG475" i="152"/>
  <c r="AH475" i="152"/>
  <c r="AD424" i="152"/>
  <c r="AC424" i="152"/>
  <c r="AB424" i="152"/>
  <c r="Y373" i="152"/>
  <c r="X373" i="152"/>
  <c r="W373" i="152"/>
  <c r="T322" i="152"/>
  <c r="S322" i="152"/>
  <c r="R322" i="152"/>
  <c r="AN259" i="152"/>
  <c r="AM259" i="152"/>
  <c r="AL259" i="152"/>
  <c r="AD491" i="152"/>
  <c r="AC491" i="152"/>
  <c r="AB491" i="152"/>
  <c r="W440" i="152"/>
  <c r="X440" i="152"/>
  <c r="Y440" i="152"/>
  <c r="T389" i="152"/>
  <c r="S389" i="152"/>
  <c r="R389" i="152"/>
  <c r="AM337" i="152"/>
  <c r="AL337" i="152"/>
  <c r="AN337" i="152"/>
  <c r="AI286" i="152"/>
  <c r="AH286" i="152"/>
  <c r="AG286" i="152"/>
  <c r="T110" i="152"/>
  <c r="S110" i="152"/>
  <c r="R110" i="152"/>
  <c r="T456" i="152"/>
  <c r="S456" i="152"/>
  <c r="R456" i="152"/>
  <c r="AN404" i="152"/>
  <c r="AM404" i="152"/>
  <c r="AL404" i="152"/>
  <c r="AI353" i="152"/>
  <c r="AH353" i="152"/>
  <c r="AG353" i="152"/>
  <c r="AB302" i="152"/>
  <c r="AD302" i="152"/>
  <c r="AC302" i="152"/>
  <c r="T203" i="152"/>
  <c r="S203" i="152"/>
  <c r="R203" i="152"/>
  <c r="U203" i="152" s="1"/>
  <c r="AL471" i="152"/>
  <c r="AN471" i="152"/>
  <c r="AM471" i="152"/>
  <c r="AI420" i="152"/>
  <c r="AH420" i="152"/>
  <c r="AG420" i="152"/>
  <c r="AD369" i="152"/>
  <c r="AC369" i="152"/>
  <c r="AB369" i="152"/>
  <c r="Y318" i="152"/>
  <c r="X318" i="152"/>
  <c r="W318" i="152"/>
  <c r="T250" i="152"/>
  <c r="S250" i="152"/>
  <c r="R250" i="152"/>
  <c r="AI487" i="152"/>
  <c r="AH487" i="152"/>
  <c r="AG487" i="152"/>
  <c r="AD436" i="152"/>
  <c r="AC436" i="152"/>
  <c r="AB436" i="152"/>
  <c r="Y385" i="152"/>
  <c r="X385" i="152"/>
  <c r="W385" i="152"/>
  <c r="T334" i="152"/>
  <c r="S334" i="152"/>
  <c r="R334" i="152"/>
  <c r="AN282" i="152"/>
  <c r="AM282" i="152"/>
  <c r="AL282" i="152"/>
  <c r="AN276" i="152"/>
  <c r="AM276" i="152"/>
  <c r="AL276" i="152"/>
  <c r="AI225" i="152"/>
  <c r="AH225" i="152"/>
  <c r="AG225" i="152"/>
  <c r="AD174" i="152"/>
  <c r="AC174" i="152"/>
  <c r="AB174" i="152"/>
  <c r="W123" i="152"/>
  <c r="Y123" i="152"/>
  <c r="X123" i="152"/>
  <c r="R72" i="152"/>
  <c r="T72" i="152"/>
  <c r="S72" i="152"/>
  <c r="AL20" i="152"/>
  <c r="AN20" i="152"/>
  <c r="AM20" i="152"/>
  <c r="AN55" i="152"/>
  <c r="AM55" i="152"/>
  <c r="AL55" i="152"/>
  <c r="AN90" i="152"/>
  <c r="AM90" i="152"/>
  <c r="AL90" i="152"/>
  <c r="AI39" i="152"/>
  <c r="AH39" i="152"/>
  <c r="AG39" i="152"/>
  <c r="AD151" i="152"/>
  <c r="AC151" i="152"/>
  <c r="AB151" i="152"/>
  <c r="Y100" i="152"/>
  <c r="X100" i="152"/>
  <c r="W100" i="152"/>
  <c r="T49" i="152"/>
  <c r="S49" i="152"/>
  <c r="R49" i="152"/>
  <c r="AN160" i="152"/>
  <c r="AM160" i="152"/>
  <c r="AL160" i="152"/>
  <c r="AI109" i="152"/>
  <c r="AH109" i="152"/>
  <c r="AG109" i="152"/>
  <c r="AD58" i="152"/>
  <c r="AC58" i="152"/>
  <c r="AB58" i="152"/>
  <c r="AN211" i="152"/>
  <c r="AM211" i="152"/>
  <c r="AL211" i="152"/>
  <c r="AI160" i="152"/>
  <c r="AH160" i="152"/>
  <c r="AG160" i="152"/>
  <c r="AD109" i="152"/>
  <c r="AC109" i="152"/>
  <c r="AB109" i="152"/>
  <c r="Y58" i="152"/>
  <c r="X58" i="152"/>
  <c r="W58" i="152"/>
  <c r="AI211" i="152"/>
  <c r="AH211" i="152"/>
  <c r="AG211" i="152"/>
  <c r="AD160" i="152"/>
  <c r="AC160" i="152"/>
  <c r="AB160" i="152"/>
  <c r="Y109" i="152"/>
  <c r="X109" i="152"/>
  <c r="W109" i="152"/>
  <c r="Z109" i="152" s="1"/>
  <c r="T58" i="152"/>
  <c r="S58" i="152"/>
  <c r="R58" i="152"/>
  <c r="AD275" i="152"/>
  <c r="AC275" i="152"/>
  <c r="AB275" i="152"/>
  <c r="X224" i="152"/>
  <c r="W224" i="152"/>
  <c r="Y224" i="152"/>
  <c r="S173" i="152"/>
  <c r="R173" i="152"/>
  <c r="T173" i="152"/>
  <c r="AN121" i="152"/>
  <c r="AM121" i="152"/>
  <c r="AL121" i="152"/>
  <c r="AI70" i="152"/>
  <c r="AH70" i="152"/>
  <c r="AG70" i="152"/>
  <c r="AD19" i="152"/>
  <c r="AC19" i="152"/>
  <c r="AB19" i="152"/>
  <c r="AM236" i="152"/>
  <c r="AL236" i="152"/>
  <c r="AN236" i="152"/>
  <c r="AH185" i="152"/>
  <c r="AG185" i="152"/>
  <c r="AI185" i="152"/>
  <c r="AD134" i="152"/>
  <c r="AC134" i="152"/>
  <c r="AB134" i="152"/>
  <c r="Y83" i="152"/>
  <c r="X83" i="152"/>
  <c r="W83" i="152"/>
  <c r="T32" i="152"/>
  <c r="S32" i="152"/>
  <c r="R32" i="152"/>
  <c r="AC249" i="152"/>
  <c r="AB249" i="152"/>
  <c r="AD249" i="152"/>
  <c r="X198" i="152"/>
  <c r="W198" i="152"/>
  <c r="Y198" i="152"/>
  <c r="T147" i="152"/>
  <c r="S147" i="152"/>
  <c r="R147" i="152"/>
  <c r="AN95" i="152"/>
  <c r="AM95" i="152"/>
  <c r="AL95" i="152"/>
  <c r="AO95" i="152" s="1"/>
  <c r="AI44" i="152"/>
  <c r="AH44" i="152"/>
  <c r="AG44" i="152"/>
  <c r="T262" i="152"/>
  <c r="S262" i="152"/>
  <c r="R262" i="152"/>
  <c r="AN210" i="152"/>
  <c r="AM210" i="152"/>
  <c r="AL210" i="152"/>
  <c r="AH159" i="152"/>
  <c r="AG159" i="152"/>
  <c r="AI159" i="152"/>
  <c r="AD108" i="152"/>
  <c r="AC108" i="152"/>
  <c r="AB108" i="152"/>
  <c r="Y57" i="152"/>
  <c r="X57" i="152"/>
  <c r="W57" i="152"/>
  <c r="AI274" i="152"/>
  <c r="AH274" i="152"/>
  <c r="AG274" i="152"/>
  <c r="AD223" i="152"/>
  <c r="AC223" i="152"/>
  <c r="AB223" i="152"/>
  <c r="Y172" i="152"/>
  <c r="X172" i="152"/>
  <c r="W172" i="152"/>
  <c r="S121" i="152"/>
  <c r="R121" i="152"/>
  <c r="T121" i="152"/>
  <c r="AM69" i="152"/>
  <c r="AL69" i="152"/>
  <c r="AN69" i="152"/>
  <c r="AH18" i="152"/>
  <c r="AG18" i="152"/>
  <c r="AI18" i="152"/>
  <c r="Y239" i="152"/>
  <c r="X239" i="152"/>
  <c r="W239" i="152"/>
  <c r="T188" i="152"/>
  <c r="S188" i="152"/>
  <c r="R188" i="152"/>
  <c r="AN136" i="152"/>
  <c r="AM136" i="152"/>
  <c r="AL136" i="152"/>
  <c r="AI85" i="152"/>
  <c r="AH85" i="152"/>
  <c r="AG85" i="152"/>
  <c r="AJ85" i="152" s="1"/>
  <c r="AD34" i="152"/>
  <c r="AC34" i="152"/>
  <c r="AB34" i="152"/>
  <c r="AN251" i="152"/>
  <c r="AM251" i="152"/>
  <c r="AL251" i="152"/>
  <c r="AG200" i="152"/>
  <c r="AJ200" i="152" s="1"/>
  <c r="AI200" i="152"/>
  <c r="AH200" i="152"/>
  <c r="AD149" i="152"/>
  <c r="AC149" i="152"/>
  <c r="AB149" i="152"/>
  <c r="Y98" i="152"/>
  <c r="X98" i="152"/>
  <c r="W98" i="152"/>
  <c r="T47" i="152"/>
  <c r="S47" i="152"/>
  <c r="R47" i="152"/>
  <c r="AG267" i="152"/>
  <c r="AI267" i="152"/>
  <c r="AH267" i="152"/>
  <c r="AB216" i="152"/>
  <c r="AD216" i="152"/>
  <c r="AC216" i="152"/>
  <c r="W165" i="152"/>
  <c r="X165" i="152"/>
  <c r="Y165" i="152"/>
  <c r="T114" i="152"/>
  <c r="S114" i="152"/>
  <c r="R114" i="152"/>
  <c r="AN62" i="152"/>
  <c r="AM62" i="152"/>
  <c r="AL62" i="152"/>
  <c r="AI11" i="152"/>
  <c r="AH11" i="152"/>
  <c r="AG11" i="152"/>
  <c r="T229" i="152"/>
  <c r="S229" i="152"/>
  <c r="R229" i="152"/>
  <c r="AN177" i="152"/>
  <c r="AM177" i="152"/>
  <c r="AL177" i="152"/>
  <c r="AI126" i="152"/>
  <c r="AH126" i="152"/>
  <c r="AG126" i="152"/>
  <c r="AD75" i="152"/>
  <c r="AC75" i="152"/>
  <c r="AB75" i="152"/>
  <c r="AE75" i="152" s="1"/>
  <c r="Y24" i="152"/>
  <c r="X24" i="152"/>
  <c r="W24" i="152"/>
  <c r="Y383" i="152"/>
  <c r="X383" i="152"/>
  <c r="W383" i="152"/>
  <c r="AC457" i="152"/>
  <c r="AB457" i="152"/>
  <c r="AD457" i="152"/>
  <c r="AH523" i="152"/>
  <c r="AI523" i="152"/>
  <c r="AG523" i="152"/>
  <c r="T307" i="152"/>
  <c r="S307" i="152"/>
  <c r="R307" i="152"/>
  <c r="AI410" i="152"/>
  <c r="AH410" i="152"/>
  <c r="AG410" i="152"/>
  <c r="AN485" i="152"/>
  <c r="AM485" i="152"/>
  <c r="AL485" i="152"/>
  <c r="R543" i="152"/>
  <c r="T543" i="152"/>
  <c r="S543" i="152"/>
  <c r="S362" i="152"/>
  <c r="R362" i="152"/>
  <c r="T362" i="152"/>
  <c r="T439" i="152"/>
  <c r="S439" i="152"/>
  <c r="R439" i="152"/>
  <c r="X511" i="152"/>
  <c r="W511" i="152"/>
  <c r="Y511" i="152"/>
  <c r="AI378" i="152"/>
  <c r="AH378" i="152"/>
  <c r="AG378" i="152"/>
  <c r="AN453" i="152"/>
  <c r="AM453" i="152"/>
  <c r="AL453" i="152"/>
  <c r="S521" i="152"/>
  <c r="R521" i="152"/>
  <c r="T521" i="152"/>
  <c r="Y388" i="152"/>
  <c r="X388" i="152"/>
  <c r="W388" i="152"/>
  <c r="AD463" i="152"/>
  <c r="AC463" i="152"/>
  <c r="AB463" i="152"/>
  <c r="AE463" i="152" s="1"/>
  <c r="AL578" i="152"/>
  <c r="AN578" i="152"/>
  <c r="AM578" i="152"/>
  <c r="T630" i="152"/>
  <c r="R630" i="152"/>
  <c r="W364" i="152"/>
  <c r="Y364" i="152"/>
  <c r="X364" i="152"/>
  <c r="AI440" i="152"/>
  <c r="AH440" i="152"/>
  <c r="AG440" i="152"/>
  <c r="AN511" i="152"/>
  <c r="AM511" i="152"/>
  <c r="AL511" i="152"/>
  <c r="T563" i="152"/>
  <c r="S563" i="152"/>
  <c r="R563" i="152"/>
  <c r="Y614" i="152"/>
  <c r="X614" i="152"/>
  <c r="W614" i="152"/>
  <c r="Y323" i="152"/>
  <c r="X323" i="152"/>
  <c r="W323" i="152"/>
  <c r="AL416" i="152"/>
  <c r="AN416" i="152"/>
  <c r="AM416" i="152"/>
  <c r="T492" i="152"/>
  <c r="S492" i="152"/>
  <c r="R492" i="152"/>
  <c r="Y547" i="152"/>
  <c r="X547" i="152"/>
  <c r="W547" i="152"/>
  <c r="Z547" i="152" s="1"/>
  <c r="AD598" i="152"/>
  <c r="AC598" i="152"/>
  <c r="AB598" i="152"/>
  <c r="W375" i="152"/>
  <c r="Y375" i="152"/>
  <c r="X375" i="152"/>
  <c r="AD450" i="152"/>
  <c r="AC450" i="152"/>
  <c r="AB450" i="152"/>
  <c r="AI518" i="152"/>
  <c r="AH518" i="152"/>
  <c r="AG518" i="152"/>
  <c r="AN569" i="152"/>
  <c r="AM569" i="152"/>
  <c r="AL569" i="152"/>
  <c r="AM310" i="152"/>
  <c r="AL310" i="152"/>
  <c r="AN310" i="152"/>
  <c r="T413" i="152"/>
  <c r="S413" i="152"/>
  <c r="R413" i="152"/>
  <c r="X487" i="152"/>
  <c r="W487" i="152"/>
  <c r="Y487" i="152"/>
  <c r="AD544" i="152"/>
  <c r="AC544" i="152"/>
  <c r="AB544" i="152"/>
  <c r="AI595" i="152"/>
  <c r="AH595" i="152"/>
  <c r="AG595" i="152"/>
  <c r="AB330" i="152"/>
  <c r="AD330" i="152"/>
  <c r="AC330" i="152"/>
  <c r="Y279" i="152"/>
  <c r="X279" i="152"/>
  <c r="W279" i="152"/>
  <c r="T343" i="152"/>
  <c r="S343" i="152"/>
  <c r="R343" i="152"/>
  <c r="AN291" i="152"/>
  <c r="AM291" i="152"/>
  <c r="AL291" i="152"/>
  <c r="AI151" i="152"/>
  <c r="AH151" i="152"/>
  <c r="AG151" i="152"/>
  <c r="Y270" i="152"/>
  <c r="X270" i="152"/>
  <c r="W270" i="152"/>
  <c r="Z270" i="152" s="1"/>
  <c r="AH284" i="152"/>
  <c r="AG284" i="152"/>
  <c r="AI284" i="152"/>
  <c r="AD332" i="152"/>
  <c r="AC332" i="152"/>
  <c r="AB332" i="152"/>
  <c r="Y281" i="152"/>
  <c r="X281" i="152"/>
  <c r="W281" i="152"/>
  <c r="R329" i="152"/>
  <c r="S329" i="152"/>
  <c r="T329" i="152"/>
  <c r="AN277" i="152"/>
  <c r="AM277" i="152"/>
  <c r="AL277" i="152"/>
  <c r="Y367" i="152"/>
  <c r="X367" i="152"/>
  <c r="W367" i="152"/>
  <c r="T316" i="152"/>
  <c r="S316" i="152"/>
  <c r="R316" i="152"/>
  <c r="AN243" i="152"/>
  <c r="AM243" i="152"/>
  <c r="AL243" i="152"/>
  <c r="Y354" i="152"/>
  <c r="X354" i="152"/>
  <c r="W354" i="152"/>
  <c r="T303" i="152"/>
  <c r="S303" i="152"/>
  <c r="R303" i="152"/>
  <c r="T206" i="152"/>
  <c r="S206" i="152"/>
  <c r="R206" i="152"/>
  <c r="AC472" i="152"/>
  <c r="AB472" i="152"/>
  <c r="AD472" i="152"/>
  <c r="Y421" i="152"/>
  <c r="X421" i="152"/>
  <c r="W421" i="152"/>
  <c r="T370" i="152"/>
  <c r="S370" i="152"/>
  <c r="R370" i="152"/>
  <c r="AN318" i="152"/>
  <c r="AM318" i="152"/>
  <c r="AL318" i="152"/>
  <c r="AI250" i="152"/>
  <c r="AH250" i="152"/>
  <c r="AG250" i="152"/>
  <c r="AJ250" i="152" s="1"/>
  <c r="X488" i="152"/>
  <c r="W488" i="152"/>
  <c r="Y488" i="152"/>
  <c r="R437" i="152"/>
  <c r="S437" i="152"/>
  <c r="T437" i="152"/>
  <c r="AN385" i="152"/>
  <c r="AM385" i="152"/>
  <c r="AL385" i="152"/>
  <c r="AH334" i="152"/>
  <c r="AG334" i="152"/>
  <c r="AI334" i="152"/>
  <c r="AD283" i="152"/>
  <c r="AC283" i="152"/>
  <c r="AB283" i="152"/>
  <c r="T504" i="152"/>
  <c r="R504" i="152"/>
  <c r="AN452" i="152"/>
  <c r="AM452" i="152"/>
  <c r="AL452" i="152"/>
  <c r="AI401" i="152"/>
  <c r="AH401" i="152"/>
  <c r="AG401" i="152"/>
  <c r="AD350" i="152"/>
  <c r="AC350" i="152"/>
  <c r="AB350" i="152"/>
  <c r="Y299" i="152"/>
  <c r="X299" i="152"/>
  <c r="W299" i="152"/>
  <c r="Y190" i="152"/>
  <c r="X190" i="152"/>
  <c r="W190" i="152"/>
  <c r="Z190" i="152" s="1"/>
  <c r="AI468" i="152"/>
  <c r="AH468" i="152"/>
  <c r="AG468" i="152"/>
  <c r="AD417" i="152"/>
  <c r="AC417" i="152"/>
  <c r="AB417" i="152"/>
  <c r="Y366" i="152"/>
  <c r="X366" i="152"/>
  <c r="W366" i="152"/>
  <c r="T315" i="152"/>
  <c r="S315" i="152"/>
  <c r="R315" i="152"/>
  <c r="AN240" i="152"/>
  <c r="AM240" i="152"/>
  <c r="AL240" i="152"/>
  <c r="AD484" i="152"/>
  <c r="AC484" i="152"/>
  <c r="AB484" i="152"/>
  <c r="Y433" i="152"/>
  <c r="X433" i="152"/>
  <c r="W433" i="152"/>
  <c r="T382" i="152"/>
  <c r="S382" i="152"/>
  <c r="R382" i="152"/>
  <c r="AN330" i="152"/>
  <c r="AM330" i="152"/>
  <c r="AL330" i="152"/>
  <c r="AI279" i="152"/>
  <c r="AH279" i="152"/>
  <c r="AG279" i="152"/>
  <c r="AI273" i="152"/>
  <c r="AH273" i="152"/>
  <c r="AG273" i="152"/>
  <c r="AD222" i="152"/>
  <c r="AC222" i="152"/>
  <c r="AB222" i="152"/>
  <c r="Y171" i="152"/>
  <c r="X171" i="152"/>
  <c r="W171" i="152"/>
  <c r="R120" i="152"/>
  <c r="T120" i="152"/>
  <c r="S120" i="152"/>
  <c r="AL68" i="152"/>
  <c r="AN68" i="152"/>
  <c r="AM68" i="152"/>
  <c r="AG17" i="152"/>
  <c r="AI17" i="152"/>
  <c r="AH17" i="152"/>
  <c r="AI52" i="152"/>
  <c r="AH52" i="152"/>
  <c r="AG52" i="152"/>
  <c r="AI87" i="152"/>
  <c r="AH87" i="152"/>
  <c r="AG87" i="152"/>
  <c r="AD36" i="152"/>
  <c r="AC36" i="152"/>
  <c r="AB36" i="152"/>
  <c r="Y148" i="152"/>
  <c r="X148" i="152"/>
  <c r="W148" i="152"/>
  <c r="T97" i="152"/>
  <c r="S97" i="152"/>
  <c r="R97" i="152"/>
  <c r="AN45" i="152"/>
  <c r="AM45" i="152"/>
  <c r="AL45" i="152"/>
  <c r="AI157" i="152"/>
  <c r="AH157" i="152"/>
  <c r="AG157" i="152"/>
  <c r="AD106" i="152"/>
  <c r="AC106" i="152"/>
  <c r="AB106" i="152"/>
  <c r="Y55" i="152"/>
  <c r="X55" i="152"/>
  <c r="W55" i="152"/>
  <c r="AI208" i="152"/>
  <c r="AH208" i="152"/>
  <c r="AG208" i="152"/>
  <c r="AD157" i="152"/>
  <c r="AC157" i="152"/>
  <c r="AB157" i="152"/>
  <c r="Y106" i="152"/>
  <c r="X106" i="152"/>
  <c r="W106" i="152"/>
  <c r="T55" i="152"/>
  <c r="S55" i="152"/>
  <c r="R55" i="152"/>
  <c r="AD208" i="152"/>
  <c r="AC208" i="152"/>
  <c r="AB208" i="152"/>
  <c r="Y157" i="152"/>
  <c r="X157" i="152"/>
  <c r="W157" i="152"/>
  <c r="T106" i="152"/>
  <c r="S106" i="152"/>
  <c r="R106" i="152"/>
  <c r="U106" i="152" s="1"/>
  <c r="AN54" i="152"/>
  <c r="AM54" i="152"/>
  <c r="AL54" i="152"/>
  <c r="Y272" i="152"/>
  <c r="X272" i="152"/>
  <c r="W272" i="152"/>
  <c r="T221" i="152"/>
  <c r="S221" i="152"/>
  <c r="R221" i="152"/>
  <c r="AN169" i="152"/>
  <c r="AM169" i="152"/>
  <c r="AL169" i="152"/>
  <c r="AI118" i="152"/>
  <c r="AH118" i="152"/>
  <c r="AG118" i="152"/>
  <c r="AD67" i="152"/>
  <c r="AC67" i="152"/>
  <c r="AB67" i="152"/>
  <c r="Y16" i="152"/>
  <c r="X16" i="152"/>
  <c r="W16" i="152"/>
  <c r="AH233" i="152"/>
  <c r="AG233" i="152"/>
  <c r="AI233" i="152"/>
  <c r="AC182" i="152"/>
  <c r="AB182" i="152"/>
  <c r="AD182" i="152"/>
  <c r="Y131" i="152"/>
  <c r="X131" i="152"/>
  <c r="W131" i="152"/>
  <c r="T80" i="152"/>
  <c r="S80" i="152"/>
  <c r="R80" i="152"/>
  <c r="AN28" i="152"/>
  <c r="AM28" i="152"/>
  <c r="AL28" i="152"/>
  <c r="X246" i="152"/>
  <c r="W246" i="152"/>
  <c r="Y246" i="152"/>
  <c r="S195" i="152"/>
  <c r="R195" i="152"/>
  <c r="T195" i="152"/>
  <c r="AN143" i="152"/>
  <c r="AM143" i="152"/>
  <c r="AL143" i="152"/>
  <c r="AI92" i="152"/>
  <c r="AH92" i="152"/>
  <c r="AG92" i="152"/>
  <c r="AJ92" i="152" s="1"/>
  <c r="AD41" i="152"/>
  <c r="AC41" i="152"/>
  <c r="AB41" i="152"/>
  <c r="AN258" i="152"/>
  <c r="AM258" i="152"/>
  <c r="AL258" i="152"/>
  <c r="AI207" i="152"/>
  <c r="AH207" i="152"/>
  <c r="AG207" i="152"/>
  <c r="AD156" i="152"/>
  <c r="AC156" i="152"/>
  <c r="AB156" i="152"/>
  <c r="Y105" i="152"/>
  <c r="X105" i="152"/>
  <c r="W105" i="152"/>
  <c r="T54" i="152"/>
  <c r="S54" i="152"/>
  <c r="R54" i="152"/>
  <c r="AD271" i="152"/>
  <c r="AC271" i="152"/>
  <c r="AB271" i="152"/>
  <c r="Y220" i="152"/>
  <c r="X220" i="152"/>
  <c r="W220" i="152"/>
  <c r="T169" i="152"/>
  <c r="S169" i="152"/>
  <c r="R169" i="152"/>
  <c r="AM117" i="152"/>
  <c r="AL117" i="152"/>
  <c r="AN117" i="152"/>
  <c r="AH66" i="152"/>
  <c r="AG66" i="152"/>
  <c r="AI66" i="152"/>
  <c r="AC15" i="152"/>
  <c r="AB15" i="152"/>
  <c r="AD15" i="152"/>
  <c r="T236" i="152"/>
  <c r="S236" i="152"/>
  <c r="R236" i="152"/>
  <c r="AN184" i="152"/>
  <c r="AM184" i="152"/>
  <c r="AL184" i="152"/>
  <c r="AI133" i="152"/>
  <c r="AH133" i="152"/>
  <c r="AG133" i="152"/>
  <c r="AD82" i="152"/>
  <c r="AC82" i="152"/>
  <c r="AB82" i="152"/>
  <c r="AE82" i="152" s="1"/>
  <c r="Y31" i="152"/>
  <c r="X31" i="152"/>
  <c r="W31" i="152"/>
  <c r="AG248" i="152"/>
  <c r="AI248" i="152"/>
  <c r="AH248" i="152"/>
  <c r="AB197" i="152"/>
  <c r="AD197" i="152"/>
  <c r="AC197" i="152"/>
  <c r="Y146" i="152"/>
  <c r="X146" i="152"/>
  <c r="W146" i="152"/>
  <c r="T95" i="152"/>
  <c r="S95" i="152"/>
  <c r="R95" i="152"/>
  <c r="AN43" i="152"/>
  <c r="AM43" i="152"/>
  <c r="AL43" i="152"/>
  <c r="AB264" i="152"/>
  <c r="AD264" i="152"/>
  <c r="AC264" i="152"/>
  <c r="W213" i="152"/>
  <c r="Y213" i="152"/>
  <c r="X213" i="152"/>
  <c r="T162" i="152"/>
  <c r="S162" i="152"/>
  <c r="R162" i="152"/>
  <c r="AN110" i="152"/>
  <c r="AM110" i="152"/>
  <c r="AL110" i="152"/>
  <c r="AI59" i="152"/>
  <c r="AH59" i="152"/>
  <c r="AG59" i="152"/>
  <c r="T277" i="152"/>
  <c r="S277" i="152"/>
  <c r="R277" i="152"/>
  <c r="AN225" i="152"/>
  <c r="AM225" i="152"/>
  <c r="AL225" i="152"/>
  <c r="AI174" i="152"/>
  <c r="AH174" i="152"/>
  <c r="AG174" i="152"/>
  <c r="AD123" i="152"/>
  <c r="AC123" i="152"/>
  <c r="AB123" i="152"/>
  <c r="Y72" i="152"/>
  <c r="X72" i="152"/>
  <c r="W72" i="152"/>
  <c r="T21" i="152"/>
  <c r="S21" i="152"/>
  <c r="R21" i="152"/>
  <c r="AD387" i="152"/>
  <c r="AC387" i="152"/>
  <c r="AB387" i="152"/>
  <c r="AG461" i="152"/>
  <c r="AI461" i="152"/>
  <c r="AH461" i="152"/>
  <c r="AM526" i="152"/>
  <c r="AL526" i="152"/>
  <c r="AN526" i="152"/>
  <c r="AN319" i="152"/>
  <c r="AM319" i="152"/>
  <c r="AL319" i="152"/>
  <c r="AN415" i="152"/>
  <c r="AM415" i="152"/>
  <c r="AL415" i="152"/>
  <c r="T490" i="152"/>
  <c r="S490" i="152"/>
  <c r="R490" i="152"/>
  <c r="X546" i="152"/>
  <c r="W546" i="152"/>
  <c r="Y546" i="152"/>
  <c r="Y368" i="152"/>
  <c r="X368" i="152"/>
  <c r="W368" i="152"/>
  <c r="Y444" i="152"/>
  <c r="X444" i="152"/>
  <c r="W444" i="152"/>
  <c r="AD514" i="152"/>
  <c r="AC514" i="152"/>
  <c r="AB514" i="152"/>
  <c r="AN383" i="152"/>
  <c r="AM383" i="152"/>
  <c r="AL383" i="152"/>
  <c r="T458" i="152"/>
  <c r="S458" i="152"/>
  <c r="R458" i="152"/>
  <c r="Y524" i="152"/>
  <c r="X524" i="152"/>
  <c r="W524" i="152"/>
  <c r="AD393" i="152"/>
  <c r="AC393" i="152"/>
  <c r="AB393" i="152"/>
  <c r="AI467" i="152"/>
  <c r="AH467" i="152"/>
  <c r="AG467" i="152"/>
  <c r="T582" i="152"/>
  <c r="S582" i="152"/>
  <c r="Y633" i="152"/>
  <c r="W633" i="152"/>
  <c r="AL368" i="152"/>
  <c r="AN368" i="152"/>
  <c r="AM368" i="152"/>
  <c r="AN444" i="152"/>
  <c r="AM444" i="152"/>
  <c r="AL444" i="152"/>
  <c r="T515" i="152"/>
  <c r="S515" i="152"/>
  <c r="R515" i="152"/>
  <c r="Y566" i="152"/>
  <c r="X566" i="152"/>
  <c r="W566" i="152"/>
  <c r="AD617" i="152"/>
  <c r="AC617" i="152"/>
  <c r="AB617" i="152"/>
  <c r="AI335" i="152"/>
  <c r="AH335" i="152"/>
  <c r="AG335" i="152"/>
  <c r="S422" i="152"/>
  <c r="R422" i="152"/>
  <c r="T422" i="152"/>
  <c r="W496" i="152"/>
  <c r="Y496" i="152"/>
  <c r="X496" i="152"/>
  <c r="AD550" i="152"/>
  <c r="AC550" i="152"/>
  <c r="AB550" i="152"/>
  <c r="AI601" i="152"/>
  <c r="AH601" i="152"/>
  <c r="AG601" i="152"/>
  <c r="AD380" i="152"/>
  <c r="AC380" i="152"/>
  <c r="AB380" i="152"/>
  <c r="AI454" i="152"/>
  <c r="AH454" i="152"/>
  <c r="AG454" i="152"/>
  <c r="AN521" i="152"/>
  <c r="AM521" i="152"/>
  <c r="AL521" i="152"/>
  <c r="R573" i="152"/>
  <c r="T573" i="152"/>
  <c r="S573" i="152"/>
  <c r="AH323" i="152"/>
  <c r="AG323" i="152"/>
  <c r="AI323" i="152"/>
  <c r="Y418" i="152"/>
  <c r="X418" i="152"/>
  <c r="W418" i="152"/>
  <c r="AC492" i="152"/>
  <c r="AB492" i="152"/>
  <c r="AD492" i="152"/>
  <c r="AI547" i="152"/>
  <c r="AH547" i="152"/>
  <c r="AG547" i="152"/>
  <c r="AN598" i="152"/>
  <c r="AM598" i="152"/>
  <c r="AL598" i="152"/>
  <c r="W327" i="152"/>
  <c r="Y327" i="152"/>
  <c r="X327" i="152"/>
  <c r="T273" i="152"/>
  <c r="S273" i="152"/>
  <c r="R273" i="152"/>
  <c r="AN339" i="152"/>
  <c r="AM339" i="152"/>
  <c r="AL339" i="152"/>
  <c r="AI288" i="152"/>
  <c r="AH288" i="152"/>
  <c r="AG288" i="152"/>
  <c r="T126" i="152"/>
  <c r="S126" i="152"/>
  <c r="R126" i="152"/>
  <c r="T263" i="152"/>
  <c r="S263" i="152"/>
  <c r="R263" i="152"/>
  <c r="AC281" i="152"/>
  <c r="AB281" i="152"/>
  <c r="AD281" i="152"/>
  <c r="Y329" i="152"/>
  <c r="X329" i="152"/>
  <c r="W329" i="152"/>
  <c r="T278" i="152"/>
  <c r="S278" i="152"/>
  <c r="R278" i="152"/>
  <c r="AL325" i="152"/>
  <c r="AM325" i="152"/>
  <c r="AN325" i="152"/>
  <c r="AI269" i="152"/>
  <c r="AH269" i="152"/>
  <c r="AG269" i="152"/>
  <c r="T364" i="152"/>
  <c r="S364" i="152"/>
  <c r="R364" i="152"/>
  <c r="AN312" i="152"/>
  <c r="AM312" i="152"/>
  <c r="AL312" i="152"/>
  <c r="AI234" i="152"/>
  <c r="AH234" i="152"/>
  <c r="AG234" i="152"/>
  <c r="T351" i="152"/>
  <c r="S351" i="152"/>
  <c r="R351" i="152"/>
  <c r="AN299" i="152"/>
  <c r="AM299" i="152"/>
  <c r="AL299" i="152"/>
  <c r="Y193" i="152"/>
  <c r="X193" i="152"/>
  <c r="W193" i="152"/>
  <c r="Y469" i="152"/>
  <c r="X469" i="152"/>
  <c r="W469" i="152"/>
  <c r="T418" i="152"/>
  <c r="S418" i="152"/>
  <c r="R418" i="152"/>
  <c r="AN366" i="152"/>
  <c r="AM366" i="152"/>
  <c r="AL366" i="152"/>
  <c r="AI315" i="152"/>
  <c r="AH315" i="152"/>
  <c r="AG315" i="152"/>
  <c r="AD241" i="152"/>
  <c r="AC241" i="152"/>
  <c r="AB241" i="152"/>
  <c r="T485" i="152"/>
  <c r="S485" i="152"/>
  <c r="R485" i="152"/>
  <c r="AL433" i="152"/>
  <c r="AM433" i="152"/>
  <c r="AN433" i="152"/>
  <c r="AH382" i="152"/>
  <c r="AG382" i="152"/>
  <c r="AI382" i="152"/>
  <c r="AC331" i="152"/>
  <c r="AB331" i="152"/>
  <c r="AD331" i="152"/>
  <c r="Y280" i="152"/>
  <c r="X280" i="152"/>
  <c r="W280" i="152"/>
  <c r="AN500" i="152"/>
  <c r="AL500" i="152"/>
  <c r="AI449" i="152"/>
  <c r="AH449" i="152"/>
  <c r="AG449" i="152"/>
  <c r="AD398" i="152"/>
  <c r="AC398" i="152"/>
  <c r="AB398" i="152"/>
  <c r="Y347" i="152"/>
  <c r="X347" i="152"/>
  <c r="W347" i="152"/>
  <c r="T296" i="152"/>
  <c r="S296" i="152"/>
  <c r="R296" i="152"/>
  <c r="AD177" i="152"/>
  <c r="AC177" i="152"/>
  <c r="AB177" i="152"/>
  <c r="AD465" i="152"/>
  <c r="AC465" i="152"/>
  <c r="AB465" i="152"/>
  <c r="Y414" i="152"/>
  <c r="X414" i="152"/>
  <c r="W414" i="152"/>
  <c r="T363" i="152"/>
  <c r="S363" i="152"/>
  <c r="R363" i="152"/>
  <c r="AN311" i="152"/>
  <c r="AM311" i="152"/>
  <c r="AL311" i="152"/>
  <c r="AI231" i="152"/>
  <c r="AH231" i="152"/>
  <c r="AG231" i="152"/>
  <c r="Y481" i="152"/>
  <c r="X481" i="152"/>
  <c r="W481" i="152"/>
  <c r="T430" i="152"/>
  <c r="S430" i="152"/>
  <c r="R430" i="152"/>
  <c r="AN378" i="152"/>
  <c r="AM378" i="152"/>
  <c r="AL378" i="152"/>
  <c r="AI327" i="152"/>
  <c r="AH327" i="152"/>
  <c r="AG327" i="152"/>
  <c r="AD273" i="152"/>
  <c r="AC273" i="152"/>
  <c r="AB273" i="152"/>
  <c r="AD270" i="152"/>
  <c r="AC270" i="152"/>
  <c r="AB270" i="152"/>
  <c r="Y219" i="152"/>
  <c r="X219" i="152"/>
  <c r="W219" i="152"/>
  <c r="T168" i="152"/>
  <c r="S168" i="152"/>
  <c r="R168" i="152"/>
  <c r="AL116" i="152"/>
  <c r="AN116" i="152"/>
  <c r="AM116" i="152"/>
  <c r="AG65" i="152"/>
  <c r="AI65" i="152"/>
  <c r="AH65" i="152"/>
  <c r="AB14" i="152"/>
  <c r="AD14" i="152"/>
  <c r="AC14" i="152"/>
  <c r="AD49" i="152"/>
  <c r="AC49" i="152"/>
  <c r="AB49" i="152"/>
  <c r="AD84" i="152"/>
  <c r="AC84" i="152"/>
  <c r="AB84" i="152"/>
  <c r="Y33" i="152"/>
  <c r="X33" i="152"/>
  <c r="W33" i="152"/>
  <c r="T145" i="152"/>
  <c r="S145" i="152"/>
  <c r="R145" i="152"/>
  <c r="AN93" i="152"/>
  <c r="AM93" i="152"/>
  <c r="AL93" i="152"/>
  <c r="AI42" i="152"/>
  <c r="AH42" i="152"/>
  <c r="AG42" i="152"/>
  <c r="AD154" i="152"/>
  <c r="AC154" i="152"/>
  <c r="AB154" i="152"/>
  <c r="Y103" i="152"/>
  <c r="X103" i="152"/>
  <c r="W103" i="152"/>
  <c r="T52" i="152"/>
  <c r="S52" i="152"/>
  <c r="R52" i="152"/>
  <c r="AD205" i="152"/>
  <c r="AC205" i="152"/>
  <c r="AB205" i="152"/>
  <c r="Y154" i="152"/>
  <c r="X154" i="152"/>
  <c r="W154" i="152"/>
  <c r="T103" i="152"/>
  <c r="S103" i="152"/>
  <c r="R103" i="152"/>
  <c r="AN51" i="152"/>
  <c r="AM51" i="152"/>
  <c r="AL51" i="152"/>
  <c r="Y205" i="152"/>
  <c r="X205" i="152"/>
  <c r="W205" i="152"/>
  <c r="T154" i="152"/>
  <c r="S154" i="152"/>
  <c r="R154" i="152"/>
  <c r="AN102" i="152"/>
  <c r="AM102" i="152"/>
  <c r="AL102" i="152"/>
  <c r="AI51" i="152"/>
  <c r="AH51" i="152"/>
  <c r="AG51" i="152"/>
  <c r="T269" i="152"/>
  <c r="S269" i="152"/>
  <c r="R269" i="152"/>
  <c r="AN217" i="152"/>
  <c r="AM217" i="152"/>
  <c r="AL217" i="152"/>
  <c r="AI166" i="152"/>
  <c r="AH166" i="152"/>
  <c r="AG166" i="152"/>
  <c r="AD115" i="152"/>
  <c r="AC115" i="152"/>
  <c r="AB115" i="152"/>
  <c r="Y64" i="152"/>
  <c r="X64" i="152"/>
  <c r="W64" i="152"/>
  <c r="T13" i="152"/>
  <c r="S13" i="152"/>
  <c r="R13" i="152"/>
  <c r="AC230" i="152"/>
  <c r="AB230" i="152"/>
  <c r="AD230" i="152"/>
  <c r="X179" i="152"/>
  <c r="W179" i="152"/>
  <c r="Y179" i="152"/>
  <c r="T128" i="152"/>
  <c r="S128" i="152"/>
  <c r="R128" i="152"/>
  <c r="AN76" i="152"/>
  <c r="AM76" i="152"/>
  <c r="AL76" i="152"/>
  <c r="AI25" i="152"/>
  <c r="AH25" i="152"/>
  <c r="AG25" i="152"/>
  <c r="S243" i="152"/>
  <c r="R243" i="152"/>
  <c r="T243" i="152"/>
  <c r="AM191" i="152"/>
  <c r="AL191" i="152"/>
  <c r="AN191" i="152"/>
  <c r="AI140" i="152"/>
  <c r="AH140" i="152"/>
  <c r="AG140" i="152"/>
  <c r="AD89" i="152"/>
  <c r="AC89" i="152"/>
  <c r="AB89" i="152"/>
  <c r="Y38" i="152"/>
  <c r="X38" i="152"/>
  <c r="W38" i="152"/>
  <c r="AI255" i="152"/>
  <c r="AH255" i="152"/>
  <c r="AG255" i="152"/>
  <c r="AD204" i="152"/>
  <c r="AC204" i="152"/>
  <c r="AB204" i="152"/>
  <c r="Y153" i="152"/>
  <c r="X153" i="152"/>
  <c r="W153" i="152"/>
  <c r="T102" i="152"/>
  <c r="S102" i="152"/>
  <c r="R102" i="152"/>
  <c r="AN50" i="152"/>
  <c r="AM50" i="152"/>
  <c r="AL50" i="152"/>
  <c r="Y268" i="152"/>
  <c r="X268" i="152"/>
  <c r="W268" i="152"/>
  <c r="T217" i="152"/>
  <c r="S217" i="152"/>
  <c r="R217" i="152"/>
  <c r="AN165" i="152"/>
  <c r="AM165" i="152"/>
  <c r="AL165" i="152"/>
  <c r="AH114" i="152"/>
  <c r="AG114" i="152"/>
  <c r="AI114" i="152"/>
  <c r="AC63" i="152"/>
  <c r="AB63" i="152"/>
  <c r="AD63" i="152"/>
  <c r="X12" i="152"/>
  <c r="W12" i="152"/>
  <c r="Y12" i="152"/>
  <c r="AN232" i="152"/>
  <c r="AM232" i="152"/>
  <c r="AL232" i="152"/>
  <c r="AI181" i="152"/>
  <c r="AG181" i="152"/>
  <c r="AH181" i="152"/>
  <c r="AD130" i="152"/>
  <c r="AC130" i="152"/>
  <c r="AB130" i="152"/>
  <c r="Y79" i="152"/>
  <c r="X79" i="152"/>
  <c r="W79" i="152"/>
  <c r="T28" i="152"/>
  <c r="S28" i="152"/>
  <c r="R28" i="152"/>
  <c r="AB245" i="152"/>
  <c r="AC245" i="152"/>
  <c r="AD245" i="152"/>
  <c r="W194" i="152"/>
  <c r="Y194" i="152"/>
  <c r="X194" i="152"/>
  <c r="T143" i="152"/>
  <c r="S143" i="152"/>
  <c r="R143" i="152"/>
  <c r="AN91" i="152"/>
  <c r="AM91" i="152"/>
  <c r="AL91" i="152"/>
  <c r="AI40" i="152"/>
  <c r="AH40" i="152"/>
  <c r="AG40" i="152"/>
  <c r="W261" i="152"/>
  <c r="Y261" i="152"/>
  <c r="X261" i="152"/>
  <c r="R210" i="152"/>
  <c r="T210" i="152"/>
  <c r="S210" i="152"/>
  <c r="AL158" i="152"/>
  <c r="AN158" i="152"/>
  <c r="AM158" i="152"/>
  <c r="AI107" i="152"/>
  <c r="AH107" i="152"/>
  <c r="AG107" i="152"/>
  <c r="AD56" i="152"/>
  <c r="AC56" i="152"/>
  <c r="AB56" i="152"/>
  <c r="AN273" i="152"/>
  <c r="AM273" i="152"/>
  <c r="AL273" i="152"/>
  <c r="AI222" i="152"/>
  <c r="AH222" i="152"/>
  <c r="AG222" i="152"/>
  <c r="AD171" i="152"/>
  <c r="AC171" i="152"/>
  <c r="AB171" i="152"/>
  <c r="Y120" i="152"/>
  <c r="X120" i="152"/>
  <c r="W120" i="152"/>
  <c r="T69" i="152"/>
  <c r="S69" i="152"/>
  <c r="R69" i="152"/>
  <c r="AN17" i="152"/>
  <c r="AM17" i="152"/>
  <c r="AL17" i="152"/>
  <c r="AI392" i="152"/>
  <c r="AH392" i="152"/>
  <c r="AG392" i="152"/>
  <c r="AN466" i="152"/>
  <c r="AM466" i="152"/>
  <c r="AL466" i="152"/>
  <c r="T530" i="152"/>
  <c r="S530" i="152"/>
  <c r="R530" i="152"/>
  <c r="AI332" i="152"/>
  <c r="AH332" i="152"/>
  <c r="AG332" i="152"/>
  <c r="R420" i="152"/>
  <c r="T420" i="152"/>
  <c r="S420" i="152"/>
  <c r="Y495" i="152"/>
  <c r="X495" i="152"/>
  <c r="W495" i="152"/>
  <c r="AD549" i="152"/>
  <c r="AC549" i="152"/>
  <c r="AB549" i="152"/>
  <c r="Y374" i="152"/>
  <c r="X374" i="152"/>
  <c r="W374" i="152"/>
  <c r="AD448" i="152"/>
  <c r="AC448" i="152"/>
  <c r="AB448" i="152"/>
  <c r="AH517" i="152"/>
  <c r="AG517" i="152"/>
  <c r="AI517" i="152"/>
  <c r="T388" i="152"/>
  <c r="S388" i="152"/>
  <c r="R388" i="152"/>
  <c r="Y463" i="152"/>
  <c r="X463" i="152"/>
  <c r="W463" i="152"/>
  <c r="AD186" i="152"/>
  <c r="AC186" i="152"/>
  <c r="AB186" i="152"/>
  <c r="AG397" i="152"/>
  <c r="AI397" i="152"/>
  <c r="AH397" i="152"/>
  <c r="AM472" i="152"/>
  <c r="AL472" i="152"/>
  <c r="AN472" i="152"/>
  <c r="T534" i="152"/>
  <c r="S534" i="152"/>
  <c r="R534" i="152"/>
  <c r="Y585" i="152"/>
  <c r="W585" i="152"/>
  <c r="AB636" i="152"/>
  <c r="AD636" i="152"/>
  <c r="AC636" i="152"/>
  <c r="AM374" i="152"/>
  <c r="AL374" i="152"/>
  <c r="AN374" i="152"/>
  <c r="T449" i="152"/>
  <c r="S449" i="152"/>
  <c r="R449" i="152"/>
  <c r="Y518" i="152"/>
  <c r="X518" i="152"/>
  <c r="W518" i="152"/>
  <c r="AC569" i="152"/>
  <c r="AB569" i="152"/>
  <c r="AD569" i="152"/>
  <c r="AI620" i="152"/>
  <c r="AH620" i="152"/>
  <c r="AG620" i="152"/>
  <c r="AM342" i="152"/>
  <c r="AL342" i="152"/>
  <c r="AN342" i="152"/>
  <c r="Y426" i="152"/>
  <c r="X426" i="152"/>
  <c r="W426" i="152"/>
  <c r="AD501" i="152"/>
  <c r="AC501" i="152"/>
  <c r="AB501" i="152"/>
  <c r="AI553" i="152"/>
  <c r="AH553" i="152"/>
  <c r="AG553" i="152"/>
  <c r="AN604" i="152"/>
  <c r="AM604" i="152"/>
  <c r="AL604" i="152"/>
  <c r="AI384" i="152"/>
  <c r="AH384" i="152"/>
  <c r="AG384" i="152"/>
  <c r="AN459" i="152"/>
  <c r="AM459" i="152"/>
  <c r="AL459" i="152"/>
  <c r="S525" i="152"/>
  <c r="R525" i="152"/>
  <c r="T525" i="152"/>
  <c r="Y576" i="152"/>
  <c r="X576" i="152"/>
  <c r="W576" i="152"/>
  <c r="T336" i="152"/>
  <c r="S336" i="152"/>
  <c r="R336" i="152"/>
  <c r="AD422" i="152"/>
  <c r="AC422" i="152"/>
  <c r="AB422" i="152"/>
  <c r="AI496" i="152"/>
  <c r="AH496" i="152"/>
  <c r="AG496" i="152"/>
  <c r="AN550" i="152"/>
  <c r="AM550" i="152"/>
  <c r="AL550" i="152"/>
  <c r="T602" i="152"/>
  <c r="S602" i="152"/>
  <c r="R602" i="152"/>
  <c r="AI348" i="152"/>
  <c r="AH348" i="152"/>
  <c r="AG348" i="152"/>
  <c r="T429" i="152"/>
  <c r="S429" i="152"/>
  <c r="R429" i="152"/>
  <c r="W503" i="152"/>
  <c r="Y503" i="152"/>
  <c r="X503" i="152"/>
  <c r="AB555" i="152"/>
  <c r="AD555" i="152"/>
  <c r="AC555" i="152"/>
  <c r="AI606" i="152"/>
  <c r="AH606" i="152"/>
  <c r="AG606" i="152"/>
  <c r="AN657" i="152"/>
  <c r="AM657" i="152"/>
  <c r="AL657" i="152"/>
  <c r="AI362" i="152"/>
  <c r="AH362" i="152"/>
  <c r="AG362" i="152"/>
  <c r="AD311" i="152"/>
  <c r="AC311" i="152"/>
  <c r="AB311" i="152"/>
  <c r="Y231" i="152"/>
  <c r="X231" i="152"/>
  <c r="W231" i="152"/>
  <c r="R324" i="152"/>
  <c r="T324" i="152"/>
  <c r="S324" i="152"/>
  <c r="AN263" i="152"/>
  <c r="AM263" i="152"/>
  <c r="AL263" i="152"/>
  <c r="AI336" i="152"/>
  <c r="AH336" i="152"/>
  <c r="AG336" i="152"/>
  <c r="AD285" i="152"/>
  <c r="AC285" i="152"/>
  <c r="AB285" i="152"/>
  <c r="AD100" i="152"/>
  <c r="AC100" i="152"/>
  <c r="AB100" i="152"/>
  <c r="AN253" i="152"/>
  <c r="AM253" i="152"/>
  <c r="AL253" i="152"/>
  <c r="X278" i="152"/>
  <c r="W278" i="152"/>
  <c r="Y278" i="152"/>
  <c r="T326" i="152"/>
  <c r="S326" i="152"/>
  <c r="R326" i="152"/>
  <c r="AN269" i="152"/>
  <c r="AM269" i="152"/>
  <c r="AL269" i="152"/>
  <c r="AG322" i="152"/>
  <c r="AH322" i="152"/>
  <c r="AI322" i="152"/>
  <c r="AD260" i="152"/>
  <c r="AC260" i="152"/>
  <c r="AB260" i="152"/>
  <c r="AN360" i="152"/>
  <c r="AM360" i="152"/>
  <c r="AL360" i="152"/>
  <c r="AI309" i="152"/>
  <c r="AH309" i="152"/>
  <c r="AG309" i="152"/>
  <c r="AD225" i="152"/>
  <c r="AC225" i="152"/>
  <c r="AB225" i="152"/>
  <c r="AN347" i="152"/>
  <c r="AM347" i="152"/>
  <c r="AL347" i="152"/>
  <c r="AI296" i="152"/>
  <c r="AH296" i="152"/>
  <c r="AG296" i="152"/>
  <c r="AD180" i="152"/>
  <c r="AC180" i="152"/>
  <c r="AB180" i="152"/>
  <c r="S466" i="152"/>
  <c r="R466" i="152"/>
  <c r="T466" i="152"/>
  <c r="AN414" i="152"/>
  <c r="AM414" i="152"/>
  <c r="AL414" i="152"/>
  <c r="AI363" i="152"/>
  <c r="AH363" i="152"/>
  <c r="AG363" i="152"/>
  <c r="AD312" i="152"/>
  <c r="AC312" i="152"/>
  <c r="AB312" i="152"/>
  <c r="Y234" i="152"/>
  <c r="X234" i="152"/>
  <c r="W234" i="152"/>
  <c r="AM481" i="152"/>
  <c r="AL481" i="152"/>
  <c r="AN481" i="152"/>
  <c r="AG430" i="152"/>
  <c r="AH430" i="152"/>
  <c r="AI430" i="152"/>
  <c r="AC379" i="152"/>
  <c r="AB379" i="152"/>
  <c r="AD379" i="152"/>
  <c r="X328" i="152"/>
  <c r="W328" i="152"/>
  <c r="Y328" i="152"/>
  <c r="T276" i="152"/>
  <c r="S276" i="152"/>
  <c r="R276" i="152"/>
  <c r="AI497" i="152"/>
  <c r="AG497" i="152"/>
  <c r="AD446" i="152"/>
  <c r="AC446" i="152"/>
  <c r="AB446" i="152"/>
  <c r="Y395" i="152"/>
  <c r="X395" i="152"/>
  <c r="W395" i="152"/>
  <c r="T344" i="152"/>
  <c r="S344" i="152"/>
  <c r="R344" i="152"/>
  <c r="AN292" i="152"/>
  <c r="AM292" i="152"/>
  <c r="AL292" i="152"/>
  <c r="Y158" i="152"/>
  <c r="X158" i="152"/>
  <c r="W158" i="152"/>
  <c r="Y462" i="152"/>
  <c r="X462" i="152"/>
  <c r="W462" i="152"/>
  <c r="T411" i="152"/>
  <c r="S411" i="152"/>
  <c r="R411" i="152"/>
  <c r="AN359" i="152"/>
  <c r="AM359" i="152"/>
  <c r="AL359" i="152"/>
  <c r="AI308" i="152"/>
  <c r="AH308" i="152"/>
  <c r="AG308" i="152"/>
  <c r="AD224" i="152"/>
  <c r="AC224" i="152"/>
  <c r="AB224" i="152"/>
  <c r="S478" i="152"/>
  <c r="R478" i="152"/>
  <c r="T478" i="152"/>
  <c r="AN426" i="152"/>
  <c r="AM426" i="152"/>
  <c r="AL426" i="152"/>
  <c r="AI375" i="152"/>
  <c r="AH375" i="152"/>
  <c r="AG375" i="152"/>
  <c r="AD324" i="152"/>
  <c r="AC324" i="152"/>
  <c r="AB324" i="152"/>
  <c r="Y266" i="152"/>
  <c r="X266" i="152"/>
  <c r="W266" i="152"/>
  <c r="Y267" i="152"/>
  <c r="X267" i="152"/>
  <c r="W267" i="152"/>
  <c r="T216" i="152"/>
  <c r="S216" i="152"/>
  <c r="R216" i="152"/>
  <c r="AN164" i="152"/>
  <c r="AM164" i="152"/>
  <c r="AL164" i="152"/>
  <c r="AG113" i="152"/>
  <c r="AI113" i="152"/>
  <c r="AH113" i="152"/>
  <c r="AB62" i="152"/>
  <c r="AD62" i="152"/>
  <c r="AC62" i="152"/>
  <c r="W11" i="152"/>
  <c r="Y11" i="152"/>
  <c r="X11" i="152"/>
  <c r="Y46" i="152"/>
  <c r="X46" i="152"/>
  <c r="W46" i="152"/>
  <c r="Y81" i="152"/>
  <c r="X81" i="152"/>
  <c r="W81" i="152"/>
  <c r="T30" i="152"/>
  <c r="S30" i="152"/>
  <c r="R30" i="152"/>
  <c r="AN141" i="152"/>
  <c r="AM141" i="152"/>
  <c r="AL141" i="152"/>
  <c r="AI90" i="152"/>
  <c r="AH90" i="152"/>
  <c r="AG90" i="152"/>
  <c r="AD39" i="152"/>
  <c r="AC39" i="152"/>
  <c r="AB39" i="152"/>
  <c r="Y151" i="152"/>
  <c r="X151" i="152"/>
  <c r="W151" i="152"/>
  <c r="T100" i="152"/>
  <c r="S100" i="152"/>
  <c r="R100" i="152"/>
  <c r="AN48" i="152"/>
  <c r="AM48" i="152"/>
  <c r="AL48" i="152"/>
  <c r="Y202" i="152"/>
  <c r="X202" i="152"/>
  <c r="W202" i="152"/>
  <c r="T151" i="152"/>
  <c r="S151" i="152"/>
  <c r="R151" i="152"/>
  <c r="AN99" i="152"/>
  <c r="AM99" i="152"/>
  <c r="AL99" i="152"/>
  <c r="AI48" i="152"/>
  <c r="AH48" i="152"/>
  <c r="AG48" i="152"/>
  <c r="T202" i="152"/>
  <c r="S202" i="152"/>
  <c r="R202" i="152"/>
  <c r="AN150" i="152"/>
  <c r="AM150" i="152"/>
  <c r="AL150" i="152"/>
  <c r="AI99" i="152"/>
  <c r="AH99" i="152"/>
  <c r="AG99" i="152"/>
  <c r="AD48" i="152"/>
  <c r="AC48" i="152"/>
  <c r="AB48" i="152"/>
  <c r="AN265" i="152"/>
  <c r="AM265" i="152"/>
  <c r="AL265" i="152"/>
  <c r="AI214" i="152"/>
  <c r="AH214" i="152"/>
  <c r="AG214" i="152"/>
  <c r="AD163" i="152"/>
  <c r="AC163" i="152"/>
  <c r="AB163" i="152"/>
  <c r="Y112" i="152"/>
  <c r="X112" i="152"/>
  <c r="W112" i="152"/>
  <c r="T61" i="152"/>
  <c r="S61" i="152"/>
  <c r="R61" i="152"/>
  <c r="AN9" i="152"/>
  <c r="AM9" i="152"/>
  <c r="AL9" i="152"/>
  <c r="AK9" i="152"/>
  <c r="X227" i="152"/>
  <c r="W227" i="152"/>
  <c r="Y227" i="152"/>
  <c r="S176" i="152"/>
  <c r="R176" i="152"/>
  <c r="T176" i="152"/>
  <c r="AN124" i="152"/>
  <c r="AM124" i="152"/>
  <c r="AL124" i="152"/>
  <c r="AI73" i="152"/>
  <c r="AH73" i="152"/>
  <c r="AG73" i="152"/>
  <c r="AD22" i="152"/>
  <c r="AC22" i="152"/>
  <c r="AB22" i="152"/>
  <c r="AM239" i="152"/>
  <c r="AL239" i="152"/>
  <c r="AN239" i="152"/>
  <c r="AH188" i="152"/>
  <c r="AG188" i="152"/>
  <c r="AI188" i="152"/>
  <c r="AD137" i="152"/>
  <c r="AC137" i="152"/>
  <c r="AB137" i="152"/>
  <c r="Y86" i="152"/>
  <c r="X86" i="152"/>
  <c r="W86" i="152"/>
  <c r="T35" i="152"/>
  <c r="S35" i="152"/>
  <c r="R35" i="152"/>
  <c r="AD252" i="152"/>
  <c r="AC252" i="152"/>
  <c r="AB252" i="152"/>
  <c r="Y201" i="152"/>
  <c r="X201" i="152"/>
  <c r="W201" i="152"/>
  <c r="T150" i="152"/>
  <c r="S150" i="152"/>
  <c r="R150" i="152"/>
  <c r="AN98" i="152"/>
  <c r="AM98" i="152"/>
  <c r="AL98" i="152"/>
  <c r="AI47" i="152"/>
  <c r="AH47" i="152"/>
  <c r="AG47" i="152"/>
  <c r="T265" i="152"/>
  <c r="S265" i="152"/>
  <c r="R265" i="152"/>
  <c r="AN213" i="152"/>
  <c r="AM213" i="152"/>
  <c r="AL213" i="152"/>
  <c r="AI162" i="152"/>
  <c r="AH162" i="152"/>
  <c r="AG162" i="152"/>
  <c r="AC111" i="152"/>
  <c r="AB111" i="152"/>
  <c r="AD111" i="152"/>
  <c r="X60" i="152"/>
  <c r="W60" i="152"/>
  <c r="Y60" i="152"/>
  <c r="T9" i="152"/>
  <c r="S9" i="152"/>
  <c r="R9" i="152"/>
  <c r="Q9" i="152"/>
  <c r="AI229" i="152"/>
  <c r="AH229" i="152"/>
  <c r="AG229" i="152"/>
  <c r="AD178" i="152"/>
  <c r="AC178" i="152"/>
  <c r="AB178" i="152"/>
  <c r="Y127" i="152"/>
  <c r="X127" i="152"/>
  <c r="W127" i="152"/>
  <c r="T76" i="152"/>
  <c r="S76" i="152"/>
  <c r="R76" i="152"/>
  <c r="AN24" i="152"/>
  <c r="AM24" i="152"/>
  <c r="AL24" i="152"/>
  <c r="W242" i="152"/>
  <c r="Y242" i="152"/>
  <c r="X242" i="152"/>
  <c r="R191" i="152"/>
  <c r="T191" i="152"/>
  <c r="S191" i="152"/>
  <c r="AN139" i="152"/>
  <c r="AM139" i="152"/>
  <c r="AL139" i="152"/>
  <c r="AI88" i="152"/>
  <c r="AH88" i="152"/>
  <c r="AG88" i="152"/>
  <c r="AJ88" i="152" s="1"/>
  <c r="AD37" i="152"/>
  <c r="AC37" i="152"/>
  <c r="AB37" i="152"/>
  <c r="R258" i="152"/>
  <c r="T258" i="152"/>
  <c r="S258" i="152"/>
  <c r="AL206" i="152"/>
  <c r="AN206" i="152"/>
  <c r="AM206" i="152"/>
  <c r="AI155" i="152"/>
  <c r="AH155" i="152"/>
  <c r="AG155" i="152"/>
  <c r="AD104" i="152"/>
  <c r="AC104" i="152"/>
  <c r="AB104" i="152"/>
  <c r="Y53" i="152"/>
  <c r="X53" i="152"/>
  <c r="W53" i="152"/>
  <c r="AI270" i="152"/>
  <c r="AH270" i="152"/>
  <c r="AG270" i="152"/>
  <c r="AD219" i="152"/>
  <c r="AC219" i="152"/>
  <c r="AB219" i="152"/>
  <c r="Y168" i="152"/>
  <c r="X168" i="152"/>
  <c r="W168" i="152"/>
  <c r="T117" i="152"/>
  <c r="S117" i="152"/>
  <c r="R117" i="152"/>
  <c r="AN65" i="152"/>
  <c r="AM65" i="152"/>
  <c r="AL65" i="152"/>
  <c r="AI14" i="152"/>
  <c r="AH14" i="152"/>
  <c r="AG14" i="152"/>
  <c r="AN396" i="152"/>
  <c r="AM396" i="152"/>
  <c r="AL396" i="152"/>
  <c r="T471" i="152"/>
  <c r="S471" i="152"/>
  <c r="R471" i="152"/>
  <c r="Y533" i="152"/>
  <c r="X533" i="152"/>
  <c r="W533" i="152"/>
  <c r="AL341" i="152"/>
  <c r="AN341" i="152"/>
  <c r="AM341" i="152"/>
  <c r="X425" i="152"/>
  <c r="W425" i="152"/>
  <c r="Y425" i="152"/>
  <c r="AD499" i="152"/>
  <c r="AC499" i="152"/>
  <c r="AB499" i="152"/>
  <c r="AG552" i="152"/>
  <c r="AH552" i="152"/>
  <c r="AI552" i="152"/>
  <c r="AB378" i="152"/>
  <c r="AD378" i="152"/>
  <c r="AC378" i="152"/>
  <c r="AI453" i="152"/>
  <c r="AH453" i="152"/>
  <c r="AG453" i="152"/>
  <c r="AN520" i="152"/>
  <c r="AM520" i="152"/>
  <c r="AL520" i="152"/>
  <c r="X393" i="152"/>
  <c r="W393" i="152"/>
  <c r="Y393" i="152"/>
  <c r="AD467" i="152"/>
  <c r="AC467" i="152"/>
  <c r="AB467" i="152"/>
  <c r="Y263" i="152"/>
  <c r="X263" i="152"/>
  <c r="W263" i="152"/>
  <c r="AM402" i="152"/>
  <c r="AL402" i="152"/>
  <c r="AN402" i="152"/>
  <c r="R477" i="152"/>
  <c r="S477" i="152"/>
  <c r="T477" i="152"/>
  <c r="Y537" i="152"/>
  <c r="X537" i="152"/>
  <c r="W537" i="152"/>
  <c r="AD588" i="152"/>
  <c r="AB588" i="152"/>
  <c r="AI639" i="152"/>
  <c r="AG639" i="152"/>
  <c r="AJ639" i="152" s="1"/>
  <c r="T380" i="152"/>
  <c r="S380" i="152"/>
  <c r="R380" i="152"/>
  <c r="X454" i="152"/>
  <c r="W454" i="152"/>
  <c r="Y454" i="152"/>
  <c r="AD521" i="152"/>
  <c r="AB521" i="152"/>
  <c r="AC521" i="152"/>
  <c r="AI572" i="152"/>
  <c r="AH572" i="152"/>
  <c r="AG572" i="152"/>
  <c r="AN623" i="152"/>
  <c r="AM623" i="152"/>
  <c r="AL623" i="152"/>
  <c r="AI351" i="152"/>
  <c r="AH351" i="152"/>
  <c r="AG351" i="152"/>
  <c r="AD431" i="152"/>
  <c r="AC431" i="152"/>
  <c r="AB431" i="152"/>
  <c r="AG505" i="152"/>
  <c r="AI505" i="152"/>
  <c r="AH505" i="152"/>
  <c r="AN556" i="152"/>
  <c r="AM556" i="152"/>
  <c r="AL556" i="152"/>
  <c r="T608" i="152"/>
  <c r="S608" i="152"/>
  <c r="R608" i="152"/>
  <c r="AL389" i="152"/>
  <c r="AN389" i="152"/>
  <c r="AM389" i="152"/>
  <c r="S464" i="152"/>
  <c r="R464" i="152"/>
  <c r="T464" i="152"/>
  <c r="W528" i="152"/>
  <c r="Y528" i="152"/>
  <c r="X528" i="152"/>
  <c r="AD579" i="152"/>
  <c r="AC579" i="152"/>
  <c r="AB579" i="152"/>
  <c r="Y345" i="152"/>
  <c r="X345" i="152"/>
  <c r="W345" i="152"/>
  <c r="AI426" i="152"/>
  <c r="AH426" i="152"/>
  <c r="AG426" i="152"/>
  <c r="AM501" i="152"/>
  <c r="AL501" i="152"/>
  <c r="AN501" i="152"/>
  <c r="T554" i="152"/>
  <c r="S554" i="152"/>
  <c r="R554" i="152"/>
  <c r="Y605" i="152"/>
  <c r="X605" i="152"/>
  <c r="W605" i="152"/>
  <c r="T355" i="152"/>
  <c r="S355" i="152"/>
  <c r="R355" i="152"/>
  <c r="Y434" i="152"/>
  <c r="X434" i="152"/>
  <c r="W434" i="152"/>
  <c r="AD507" i="152"/>
  <c r="AC507" i="152"/>
  <c r="AB507" i="152"/>
  <c r="AH558" i="152"/>
  <c r="AG558" i="152"/>
  <c r="AI558" i="152"/>
  <c r="AN609" i="152"/>
  <c r="AM609" i="152"/>
  <c r="AL609" i="152"/>
  <c r="AO609" i="152" s="1"/>
  <c r="T661" i="152"/>
  <c r="S661" i="152"/>
  <c r="R661" i="152"/>
  <c r="AD359" i="152"/>
  <c r="AC359" i="152"/>
  <c r="AB359" i="152"/>
  <c r="Y308" i="152"/>
  <c r="X308" i="152"/>
  <c r="W308" i="152"/>
  <c r="T222" i="152"/>
  <c r="S222" i="152"/>
  <c r="R222" i="152"/>
  <c r="AL320" i="152"/>
  <c r="AN320" i="152"/>
  <c r="AM320" i="152"/>
  <c r="AI256" i="152"/>
  <c r="AH256" i="152"/>
  <c r="AG256" i="152"/>
  <c r="AD333" i="152"/>
  <c r="AB333" i="152"/>
  <c r="AC333" i="152"/>
  <c r="Y282" i="152"/>
  <c r="X282" i="152"/>
  <c r="W282" i="152"/>
  <c r="AN173" i="152"/>
  <c r="AM173" i="152"/>
  <c r="AL173" i="152"/>
  <c r="AI244" i="152"/>
  <c r="AH244" i="152"/>
  <c r="AG244" i="152"/>
  <c r="T270" i="152"/>
  <c r="S270" i="152"/>
  <c r="R270" i="152"/>
  <c r="AN322" i="152"/>
  <c r="AM322" i="152"/>
  <c r="AL322" i="152"/>
  <c r="AI260" i="152"/>
  <c r="AH260" i="152"/>
  <c r="AG260" i="152"/>
  <c r="AB319" i="152"/>
  <c r="AC319" i="152"/>
  <c r="AD319" i="152"/>
  <c r="Y253" i="152"/>
  <c r="X253" i="152"/>
  <c r="W253" i="152"/>
  <c r="AI357" i="152"/>
  <c r="AH357" i="152"/>
  <c r="AG357" i="152"/>
  <c r="AJ357" i="152" s="1"/>
  <c r="AB306" i="152"/>
  <c r="AD306" i="152"/>
  <c r="AC306" i="152"/>
  <c r="Y218" i="152"/>
  <c r="X218" i="152"/>
  <c r="W218" i="152"/>
  <c r="AI344" i="152"/>
  <c r="AH344" i="152"/>
  <c r="AG344" i="152"/>
  <c r="AD293" i="152"/>
  <c r="AC293" i="152"/>
  <c r="AB293" i="152"/>
  <c r="AD164" i="152"/>
  <c r="AC164" i="152"/>
  <c r="AB164" i="152"/>
  <c r="AN462" i="152"/>
  <c r="AM462" i="152"/>
  <c r="AL462" i="152"/>
  <c r="AI411" i="152"/>
  <c r="AH411" i="152"/>
  <c r="AG411" i="152"/>
  <c r="AD360" i="152"/>
  <c r="AC360" i="152"/>
  <c r="AB360" i="152"/>
  <c r="Y309" i="152"/>
  <c r="X309" i="152"/>
  <c r="W309" i="152"/>
  <c r="T225" i="152"/>
  <c r="S225" i="152"/>
  <c r="R225" i="152"/>
  <c r="AI478" i="152"/>
  <c r="AH478" i="152"/>
  <c r="AG478" i="152"/>
  <c r="AB427" i="152"/>
  <c r="AC427" i="152"/>
  <c r="AD427" i="152"/>
  <c r="X376" i="152"/>
  <c r="W376" i="152"/>
  <c r="Y376" i="152"/>
  <c r="S325" i="152"/>
  <c r="R325" i="152"/>
  <c r="T325" i="152"/>
  <c r="AN266" i="152"/>
  <c r="AM266" i="152"/>
  <c r="AL266" i="152"/>
  <c r="AD494" i="152"/>
  <c r="AB494" i="152"/>
  <c r="Y443" i="152"/>
  <c r="X443" i="152"/>
  <c r="W443" i="152"/>
  <c r="R392" i="152"/>
  <c r="S392" i="152"/>
  <c r="T392" i="152"/>
  <c r="AN340" i="152"/>
  <c r="AM340" i="152"/>
  <c r="AL340" i="152"/>
  <c r="AI289" i="152"/>
  <c r="AH289" i="152"/>
  <c r="AG289" i="152"/>
  <c r="AI132" i="152"/>
  <c r="AH132" i="152"/>
  <c r="AG132" i="152"/>
  <c r="T459" i="152"/>
  <c r="S459" i="152"/>
  <c r="R459" i="152"/>
  <c r="AN407" i="152"/>
  <c r="AM407" i="152"/>
  <c r="AL407" i="152"/>
  <c r="AI356" i="152"/>
  <c r="AH356" i="152"/>
  <c r="AG356" i="152"/>
  <c r="AD305" i="152"/>
  <c r="AC305" i="152"/>
  <c r="AB305" i="152"/>
  <c r="Y215" i="152"/>
  <c r="X215" i="152"/>
  <c r="W215" i="152"/>
  <c r="AN474" i="152"/>
  <c r="AM474" i="152"/>
  <c r="AL474" i="152"/>
  <c r="AO474" i="152" s="1"/>
  <c r="AI423" i="152"/>
  <c r="AH423" i="152"/>
  <c r="AG423" i="152"/>
  <c r="AD372" i="152"/>
  <c r="AC372" i="152"/>
  <c r="AB372" i="152"/>
  <c r="Y321" i="152"/>
  <c r="X321" i="152"/>
  <c r="W321" i="152"/>
  <c r="T257" i="152"/>
  <c r="S257" i="152"/>
  <c r="R257" i="152"/>
  <c r="T264" i="152"/>
  <c r="S264" i="152"/>
  <c r="R264" i="152"/>
  <c r="AN212" i="152"/>
  <c r="AM212" i="152"/>
  <c r="AL212" i="152"/>
  <c r="AI161" i="152"/>
  <c r="AH161" i="152"/>
  <c r="AG161" i="152"/>
  <c r="AB110" i="152"/>
  <c r="AD110" i="152"/>
  <c r="AC110" i="152"/>
  <c r="W59" i="152"/>
  <c r="Y59" i="152"/>
  <c r="X59" i="152"/>
  <c r="Y94" i="152"/>
  <c r="X94" i="152"/>
  <c r="W94" i="152"/>
  <c r="T43" i="152"/>
  <c r="S43" i="152"/>
  <c r="R43" i="152"/>
  <c r="T78" i="152"/>
  <c r="S78" i="152"/>
  <c r="R78" i="152"/>
  <c r="AN26" i="152"/>
  <c r="AM26" i="152"/>
  <c r="AL26" i="152"/>
  <c r="AI138" i="152"/>
  <c r="AH138" i="152"/>
  <c r="AG138" i="152"/>
  <c r="AD87" i="152"/>
  <c r="AC87" i="152"/>
  <c r="AB87" i="152"/>
  <c r="Y36" i="152"/>
  <c r="X36" i="152"/>
  <c r="W36" i="152"/>
  <c r="Z36" i="152" s="1"/>
  <c r="T148" i="152"/>
  <c r="S148" i="152"/>
  <c r="R148" i="152"/>
  <c r="AN96" i="152"/>
  <c r="AM96" i="152"/>
  <c r="AL96" i="152"/>
  <c r="AI45" i="152"/>
  <c r="AH45" i="152"/>
  <c r="AG45" i="152"/>
  <c r="T199" i="152"/>
  <c r="S199" i="152"/>
  <c r="R199" i="152"/>
  <c r="AN147" i="152"/>
  <c r="AM147" i="152"/>
  <c r="AL147" i="152"/>
  <c r="AI96" i="152"/>
  <c r="AH96" i="152"/>
  <c r="AG96" i="152"/>
  <c r="AD45" i="152"/>
  <c r="AC45" i="152"/>
  <c r="AB45" i="152"/>
  <c r="AN198" i="152"/>
  <c r="AM198" i="152"/>
  <c r="AL198" i="152"/>
  <c r="AI147" i="152"/>
  <c r="AH147" i="152"/>
  <c r="AG147" i="152"/>
  <c r="AD96" i="152"/>
  <c r="AC96" i="152"/>
  <c r="AB96" i="152"/>
  <c r="Y45" i="152"/>
  <c r="X45" i="152"/>
  <c r="W45" i="152"/>
  <c r="AI262" i="152"/>
  <c r="AH262" i="152"/>
  <c r="AG262" i="152"/>
  <c r="AC211" i="152"/>
  <c r="AB211" i="152"/>
  <c r="AD211" i="152"/>
  <c r="X160" i="152"/>
  <c r="W160" i="152"/>
  <c r="Y160" i="152"/>
  <c r="T109" i="152"/>
  <c r="S109" i="152"/>
  <c r="R109" i="152"/>
  <c r="AN57" i="152"/>
  <c r="AM57" i="152"/>
  <c r="AL57" i="152"/>
  <c r="AO57" i="152" s="1"/>
  <c r="Y275" i="152"/>
  <c r="X275" i="152"/>
  <c r="W275" i="152"/>
  <c r="Z275" i="152" s="1"/>
  <c r="S224" i="152"/>
  <c r="R224" i="152"/>
  <c r="T224" i="152"/>
  <c r="AN172" i="152"/>
  <c r="AM172" i="152"/>
  <c r="AL172" i="152"/>
  <c r="AI121" i="152"/>
  <c r="AH121" i="152"/>
  <c r="AG121" i="152"/>
  <c r="AD70" i="152"/>
  <c r="AC70" i="152"/>
  <c r="AB70" i="152"/>
  <c r="Y19" i="152"/>
  <c r="X19" i="152"/>
  <c r="W19" i="152"/>
  <c r="AH236" i="152"/>
  <c r="AG236" i="152"/>
  <c r="AI236" i="152"/>
  <c r="AC185" i="152"/>
  <c r="AB185" i="152"/>
  <c r="AD185" i="152"/>
  <c r="Y134" i="152"/>
  <c r="X134" i="152"/>
  <c r="W134" i="152"/>
  <c r="T83" i="152"/>
  <c r="S83" i="152"/>
  <c r="R83" i="152"/>
  <c r="AN31" i="152"/>
  <c r="AM31" i="152"/>
  <c r="AL31" i="152"/>
  <c r="Y249" i="152"/>
  <c r="X249" i="152"/>
  <c r="W249" i="152"/>
  <c r="T198" i="152"/>
  <c r="S198" i="152"/>
  <c r="R198" i="152"/>
  <c r="AN146" i="152"/>
  <c r="AM146" i="152"/>
  <c r="AL146" i="152"/>
  <c r="AI95" i="152"/>
  <c r="AH95" i="152"/>
  <c r="AG95" i="152"/>
  <c r="AD44" i="152"/>
  <c r="AC44" i="152"/>
  <c r="AB44" i="152"/>
  <c r="AE44" i="152" s="1"/>
  <c r="AN261" i="152"/>
  <c r="AM261" i="152"/>
  <c r="AL261" i="152"/>
  <c r="AO261" i="152" s="1"/>
  <c r="AI210" i="152"/>
  <c r="AH210" i="152"/>
  <c r="AG210" i="152"/>
  <c r="AD159" i="152"/>
  <c r="AC159" i="152"/>
  <c r="AB159" i="152"/>
  <c r="X108" i="152"/>
  <c r="W108" i="152"/>
  <c r="Y108" i="152"/>
  <c r="S57" i="152"/>
  <c r="R57" i="152"/>
  <c r="T57" i="152"/>
  <c r="AI277" i="152"/>
  <c r="AH277" i="152"/>
  <c r="AG277" i="152"/>
  <c r="AD226" i="152"/>
  <c r="AC226" i="152"/>
  <c r="AB226" i="152"/>
  <c r="Y175" i="152"/>
  <c r="X175" i="152"/>
  <c r="W175" i="152"/>
  <c r="T124" i="152"/>
  <c r="S124" i="152"/>
  <c r="R124" i="152"/>
  <c r="AN72" i="152"/>
  <c r="AM72" i="152"/>
  <c r="AL72" i="152"/>
  <c r="AI21" i="152"/>
  <c r="AH21" i="152"/>
  <c r="AG21" i="152"/>
  <c r="R239" i="152"/>
  <c r="T239" i="152"/>
  <c r="S239" i="152"/>
  <c r="AL187" i="152"/>
  <c r="AN187" i="152"/>
  <c r="AM187" i="152"/>
  <c r="AI136" i="152"/>
  <c r="AH136" i="152"/>
  <c r="AG136" i="152"/>
  <c r="AD85" i="152"/>
  <c r="AC85" i="152"/>
  <c r="AB85" i="152"/>
  <c r="Y34" i="152"/>
  <c r="X34" i="152"/>
  <c r="W34" i="152"/>
  <c r="Z34" i="152" s="1"/>
  <c r="AL254" i="152"/>
  <c r="AN254" i="152"/>
  <c r="AM254" i="152"/>
  <c r="AG203" i="152"/>
  <c r="AI203" i="152"/>
  <c r="AH203" i="152"/>
  <c r="AD152" i="152"/>
  <c r="AC152" i="152"/>
  <c r="AB152" i="152"/>
  <c r="Y101" i="152"/>
  <c r="X101" i="152"/>
  <c r="W101" i="152"/>
  <c r="T50" i="152"/>
  <c r="S50" i="152"/>
  <c r="R50" i="152"/>
  <c r="AD267" i="152"/>
  <c r="AC267" i="152"/>
  <c r="AB267" i="152"/>
  <c r="Y216" i="152"/>
  <c r="X216" i="152"/>
  <c r="W216" i="152"/>
  <c r="T165" i="152"/>
  <c r="S165" i="152"/>
  <c r="R165" i="152"/>
  <c r="AN113" i="152"/>
  <c r="AM113" i="152"/>
  <c r="AL113" i="152"/>
  <c r="AI62" i="152"/>
  <c r="AH62" i="152"/>
  <c r="AG62" i="152"/>
  <c r="AD11" i="152"/>
  <c r="AC11" i="152"/>
  <c r="AB11" i="152"/>
  <c r="T401" i="152"/>
  <c r="S401" i="152"/>
  <c r="R401" i="152"/>
  <c r="Y476" i="152"/>
  <c r="X476" i="152"/>
  <c r="W476" i="152"/>
  <c r="AD536" i="152"/>
  <c r="AC536" i="152"/>
  <c r="AB536" i="152"/>
  <c r="T349" i="152"/>
  <c r="S349" i="152"/>
  <c r="R349" i="152"/>
  <c r="AD429" i="152"/>
  <c r="AC429" i="152"/>
  <c r="AB429" i="152"/>
  <c r="AE429" i="152" s="1"/>
  <c r="AI504" i="152"/>
  <c r="AH504" i="152"/>
  <c r="AG504" i="152"/>
  <c r="AJ504" i="152" s="1"/>
  <c r="AN555" i="152"/>
  <c r="AM555" i="152"/>
  <c r="AL555" i="152"/>
  <c r="AI383" i="152"/>
  <c r="AH383" i="152"/>
  <c r="AG383" i="152"/>
  <c r="AN457" i="152"/>
  <c r="AM457" i="152"/>
  <c r="AL457" i="152"/>
  <c r="T524" i="152"/>
  <c r="S524" i="152"/>
  <c r="R524" i="152"/>
  <c r="AD397" i="152"/>
  <c r="AC397" i="152"/>
  <c r="AB397" i="152"/>
  <c r="AI472" i="152"/>
  <c r="AH472" i="152"/>
  <c r="AG472" i="152"/>
  <c r="AN294" i="152"/>
  <c r="AM294" i="152"/>
  <c r="AL294" i="152"/>
  <c r="T407" i="152"/>
  <c r="S407" i="152"/>
  <c r="R407" i="152"/>
  <c r="Y482" i="152"/>
  <c r="X482" i="152"/>
  <c r="W482" i="152"/>
  <c r="AD540" i="152"/>
  <c r="AC540" i="152"/>
  <c r="AE540" i="152" s="1"/>
  <c r="AH591" i="152"/>
  <c r="AI591" i="152"/>
  <c r="AG591" i="152"/>
  <c r="AJ591" i="152" s="1"/>
  <c r="Y384" i="152"/>
  <c r="X384" i="152"/>
  <c r="W384" i="152"/>
  <c r="AD458" i="152"/>
  <c r="AC458" i="152"/>
  <c r="AB458" i="152"/>
  <c r="AI524" i="152"/>
  <c r="AH524" i="152"/>
  <c r="AG524" i="152"/>
  <c r="AN575" i="152"/>
  <c r="AM575" i="152"/>
  <c r="AL575" i="152"/>
  <c r="T627" i="152"/>
  <c r="S627" i="152"/>
  <c r="R627" i="152"/>
  <c r="T358" i="152"/>
  <c r="S358" i="152"/>
  <c r="R358" i="152"/>
  <c r="AI435" i="152"/>
  <c r="AH435" i="152"/>
  <c r="AG435" i="152"/>
  <c r="AN508" i="152"/>
  <c r="AM508" i="152"/>
  <c r="AL508" i="152"/>
  <c r="T560" i="152"/>
  <c r="S560" i="152"/>
  <c r="R560" i="152"/>
  <c r="Y611" i="152"/>
  <c r="X611" i="152"/>
  <c r="W611" i="152"/>
  <c r="T394" i="152"/>
  <c r="S394" i="152"/>
  <c r="R394" i="152"/>
  <c r="W468" i="152"/>
  <c r="Y468" i="152"/>
  <c r="X468" i="152"/>
  <c r="AD531" i="152"/>
  <c r="AC531" i="152"/>
  <c r="AB531" i="152"/>
  <c r="AI582" i="152"/>
  <c r="AH582" i="152"/>
  <c r="AG582" i="152"/>
  <c r="T352" i="152"/>
  <c r="S352" i="152"/>
  <c r="R352" i="152"/>
  <c r="U352" i="152" s="1"/>
  <c r="AN431" i="152"/>
  <c r="AM431" i="152"/>
  <c r="AL431" i="152"/>
  <c r="AO431" i="152" s="1"/>
  <c r="T506" i="152"/>
  <c r="S506" i="152"/>
  <c r="R506" i="152"/>
  <c r="Y557" i="152"/>
  <c r="X557" i="152"/>
  <c r="W557" i="152"/>
  <c r="AD608" i="152"/>
  <c r="AC608" i="152"/>
  <c r="AB608" i="152"/>
  <c r="W683" i="152"/>
  <c r="AI300" i="152"/>
  <c r="AH300" i="152"/>
  <c r="AG300" i="152"/>
  <c r="AJ300" i="152" s="1"/>
  <c r="T409" i="152"/>
  <c r="S409" i="152"/>
  <c r="R409" i="152"/>
  <c r="U409" i="152" s="1"/>
  <c r="Y483" i="152"/>
  <c r="X483" i="152"/>
  <c r="W483" i="152"/>
  <c r="AC541" i="152"/>
  <c r="AB541" i="152"/>
  <c r="AD541" i="152"/>
  <c r="AI592" i="152"/>
  <c r="AH592" i="152"/>
  <c r="AG592" i="152"/>
  <c r="AN643" i="152"/>
  <c r="AM643" i="152"/>
  <c r="AL643" i="152"/>
  <c r="T695" i="152"/>
  <c r="S695" i="152"/>
  <c r="R695" i="152"/>
  <c r="AN376" i="152"/>
  <c r="AM376" i="152"/>
  <c r="AL376" i="152"/>
  <c r="S451" i="152"/>
  <c r="R451" i="152"/>
  <c r="T451" i="152"/>
  <c r="W519" i="152"/>
  <c r="Y519" i="152"/>
  <c r="X519" i="152"/>
  <c r="AD570" i="152"/>
  <c r="AC570" i="152"/>
  <c r="AB570" i="152"/>
  <c r="AI621" i="152"/>
  <c r="AH621" i="152"/>
  <c r="AG621" i="152"/>
  <c r="AN672" i="152"/>
  <c r="AM672" i="152"/>
  <c r="AL672" i="152"/>
  <c r="AI326" i="152"/>
  <c r="AH326" i="152"/>
  <c r="AG326" i="152"/>
  <c r="AM418" i="152"/>
  <c r="AL418" i="152"/>
  <c r="AN418" i="152"/>
  <c r="T493" i="152"/>
  <c r="S493" i="152"/>
  <c r="R493" i="152"/>
  <c r="Y548" i="152"/>
  <c r="X548" i="152"/>
  <c r="W548" i="152"/>
  <c r="Z548" i="152" s="1"/>
  <c r="AD599" i="152"/>
  <c r="AC599" i="152"/>
  <c r="AB599" i="152"/>
  <c r="AE599" i="152" s="1"/>
  <c r="AI650" i="152"/>
  <c r="AH650" i="152"/>
  <c r="AG650" i="152"/>
  <c r="AN701" i="152"/>
  <c r="AM701" i="152"/>
  <c r="AL701" i="152"/>
  <c r="AG386" i="152"/>
  <c r="AJ386" i="152" s="1"/>
  <c r="AI386" i="152"/>
  <c r="AH386" i="152"/>
  <c r="AN460" i="152"/>
  <c r="AM460" i="152"/>
  <c r="AL460" i="152"/>
  <c r="T526" i="152"/>
  <c r="S526" i="152"/>
  <c r="R526" i="152"/>
  <c r="W577" i="152"/>
  <c r="Z577" i="152" s="1"/>
  <c r="Y577" i="152"/>
  <c r="W348" i="152"/>
  <c r="Y348" i="152"/>
  <c r="X348" i="152"/>
  <c r="AI428" i="152"/>
  <c r="AH428" i="152"/>
  <c r="AG428" i="152"/>
  <c r="AN502" i="152"/>
  <c r="AM502" i="152"/>
  <c r="AL502" i="152"/>
  <c r="T555" i="152"/>
  <c r="S555" i="152"/>
  <c r="R555" i="152"/>
  <c r="U555" i="152" s="1"/>
  <c r="Y606" i="152"/>
  <c r="X606" i="152"/>
  <c r="W606" i="152"/>
  <c r="Z606" i="152" s="1"/>
  <c r="AD657" i="152"/>
  <c r="AC657" i="152"/>
  <c r="AB657" i="152"/>
  <c r="AH708" i="152"/>
  <c r="AG708" i="152"/>
  <c r="AI708" i="152"/>
  <c r="AC396" i="152"/>
  <c r="AB396" i="152"/>
  <c r="AD396" i="152"/>
  <c r="AI470" i="152"/>
  <c r="AH470" i="152"/>
  <c r="AG470" i="152"/>
  <c r="AN532" i="152"/>
  <c r="AL532" i="152"/>
  <c r="AD361" i="152"/>
  <c r="AC361" i="152"/>
  <c r="AB361" i="152"/>
  <c r="AD438" i="152"/>
  <c r="AC438" i="152"/>
  <c r="AB438" i="152"/>
  <c r="AI510" i="152"/>
  <c r="AH510" i="152"/>
  <c r="AG510" i="152"/>
  <c r="AN561" i="152"/>
  <c r="AM561" i="152"/>
  <c r="AL561" i="152"/>
  <c r="T613" i="152"/>
  <c r="S613" i="152"/>
  <c r="R613" i="152"/>
  <c r="U613" i="152" s="1"/>
  <c r="Y664" i="152"/>
  <c r="X664" i="152"/>
  <c r="W664" i="152"/>
  <c r="Z664" i="152" s="1"/>
  <c r="Y356" i="152"/>
  <c r="X356" i="152"/>
  <c r="W356" i="152"/>
  <c r="S305" i="152"/>
  <c r="R305" i="152"/>
  <c r="T305" i="152"/>
  <c r="AN214" i="152"/>
  <c r="AM214" i="152"/>
  <c r="AL214" i="152"/>
  <c r="AI317" i="152"/>
  <c r="AH317" i="152"/>
  <c r="AG317" i="152"/>
  <c r="AD247" i="152"/>
  <c r="AC247" i="152"/>
  <c r="AB247" i="152"/>
  <c r="Y330" i="152"/>
  <c r="X330" i="152"/>
  <c r="W330" i="152"/>
  <c r="T279" i="152"/>
  <c r="S279" i="152"/>
  <c r="R279" i="152"/>
  <c r="AI148" i="152"/>
  <c r="AH148" i="152"/>
  <c r="AG148" i="152"/>
  <c r="AD237" i="152"/>
  <c r="AC237" i="152"/>
  <c r="AB237" i="152"/>
  <c r="AN262" i="152"/>
  <c r="AM262" i="152"/>
  <c r="AL262" i="152"/>
  <c r="AI319" i="152"/>
  <c r="AH319" i="152"/>
  <c r="AG319" i="152"/>
  <c r="AD253" i="152"/>
  <c r="AC253" i="152"/>
  <c r="AB253" i="152"/>
  <c r="W316" i="152"/>
  <c r="X316" i="152"/>
  <c r="Y316" i="152"/>
  <c r="T244" i="152"/>
  <c r="S244" i="152"/>
  <c r="R244" i="152"/>
  <c r="AD354" i="152"/>
  <c r="AC354" i="152"/>
  <c r="AB354" i="152"/>
  <c r="AE354" i="152" s="1"/>
  <c r="W303" i="152"/>
  <c r="Y303" i="152"/>
  <c r="X303" i="152"/>
  <c r="Y206" i="152"/>
  <c r="X206" i="152"/>
  <c r="W206" i="152"/>
  <c r="AD341" i="152"/>
  <c r="AC341" i="152"/>
  <c r="AB341" i="152"/>
  <c r="Y290" i="152"/>
  <c r="X290" i="152"/>
  <c r="W290" i="152"/>
  <c r="AN138" i="152"/>
  <c r="AM138" i="152"/>
  <c r="AL138" i="152"/>
  <c r="AG459" i="152"/>
  <c r="AI459" i="152"/>
  <c r="AH459" i="152"/>
  <c r="AD408" i="152"/>
  <c r="AC408" i="152"/>
  <c r="AB408" i="152"/>
  <c r="Y357" i="152"/>
  <c r="X357" i="152"/>
  <c r="W357" i="152"/>
  <c r="T306" i="152"/>
  <c r="S306" i="152"/>
  <c r="R306" i="152"/>
  <c r="AN215" i="152"/>
  <c r="AM215" i="152"/>
  <c r="AL215" i="152"/>
  <c r="AB475" i="152"/>
  <c r="AD475" i="152"/>
  <c r="AC475" i="152"/>
  <c r="W424" i="152"/>
  <c r="X424" i="152"/>
  <c r="Y424" i="152"/>
  <c r="S373" i="152"/>
  <c r="R373" i="152"/>
  <c r="T373" i="152"/>
  <c r="AM321" i="152"/>
  <c r="AL321" i="152"/>
  <c r="AN321" i="152"/>
  <c r="AI259" i="152"/>
  <c r="AH259" i="152"/>
  <c r="AG259" i="152"/>
  <c r="Y491" i="152"/>
  <c r="W491" i="152"/>
  <c r="T440" i="152"/>
  <c r="S440" i="152"/>
  <c r="R440" i="152"/>
  <c r="AN388" i="152"/>
  <c r="AM388" i="152"/>
  <c r="AL388" i="152"/>
  <c r="AH337" i="152"/>
  <c r="AG337" i="152"/>
  <c r="AI337" i="152"/>
  <c r="AD286" i="152"/>
  <c r="AC286" i="152"/>
  <c r="AB286" i="152"/>
  <c r="T107" i="152"/>
  <c r="S107" i="152"/>
  <c r="R107" i="152"/>
  <c r="AN455" i="152"/>
  <c r="AM455" i="152"/>
  <c r="AL455" i="152"/>
  <c r="AI404" i="152"/>
  <c r="AH404" i="152"/>
  <c r="AG404" i="152"/>
  <c r="AD353" i="152"/>
  <c r="AC353" i="152"/>
  <c r="AB353" i="152"/>
  <c r="Y302" i="152"/>
  <c r="X302" i="152"/>
  <c r="W302" i="152"/>
  <c r="AN202" i="152"/>
  <c r="AM202" i="152"/>
  <c r="AL202" i="152"/>
  <c r="AG471" i="152"/>
  <c r="AI471" i="152"/>
  <c r="AH471" i="152"/>
  <c r="AD420" i="152"/>
  <c r="AC420" i="152"/>
  <c r="AB420" i="152"/>
  <c r="AE420" i="152" s="1"/>
  <c r="Y369" i="152"/>
  <c r="X369" i="152"/>
  <c r="W369" i="152"/>
  <c r="T318" i="152"/>
  <c r="S318" i="152"/>
  <c r="R318" i="152"/>
  <c r="AN247" i="152"/>
  <c r="AM247" i="152"/>
  <c r="AL247" i="152"/>
  <c r="AN260" i="152"/>
  <c r="AM260" i="152"/>
  <c r="AL260" i="152"/>
  <c r="AI209" i="152"/>
  <c r="AH209" i="152"/>
  <c r="AG209" i="152"/>
  <c r="AD158" i="152"/>
  <c r="AC158" i="152"/>
  <c r="AB158" i="152"/>
  <c r="W107" i="152"/>
  <c r="Y107" i="152"/>
  <c r="X107" i="152"/>
  <c r="R56" i="152"/>
  <c r="T56" i="152"/>
  <c r="S56" i="152"/>
  <c r="T91" i="152"/>
  <c r="S91" i="152"/>
  <c r="R91" i="152"/>
  <c r="AN39" i="152"/>
  <c r="AM39" i="152"/>
  <c r="AL39" i="152"/>
  <c r="AN74" i="152"/>
  <c r="AM74" i="152"/>
  <c r="AL74" i="152"/>
  <c r="AI23" i="152"/>
  <c r="AH23" i="152"/>
  <c r="AG23" i="152"/>
  <c r="AD135" i="152"/>
  <c r="AC135" i="152"/>
  <c r="AB135" i="152"/>
  <c r="Y84" i="152"/>
  <c r="X84" i="152"/>
  <c r="W84" i="152"/>
  <c r="T33" i="152"/>
  <c r="S33" i="152"/>
  <c r="R33" i="152"/>
  <c r="U33" i="152" s="1"/>
  <c r="AN144" i="152"/>
  <c r="AM144" i="152"/>
  <c r="AL144" i="152"/>
  <c r="AO144" i="152" s="1"/>
  <c r="AI93" i="152"/>
  <c r="AH93" i="152"/>
  <c r="AG93" i="152"/>
  <c r="AD42" i="152"/>
  <c r="AC42" i="152"/>
  <c r="AB42" i="152"/>
  <c r="AN195" i="152"/>
  <c r="AM195" i="152"/>
  <c r="AL195" i="152"/>
  <c r="AI144" i="152"/>
  <c r="AH144" i="152"/>
  <c r="AG144" i="152"/>
  <c r="AD93" i="152"/>
  <c r="AC93" i="152"/>
  <c r="AB93" i="152"/>
  <c r="Y42" i="152"/>
  <c r="X42" i="152"/>
  <c r="W42" i="152"/>
  <c r="AI195" i="152"/>
  <c r="AH195" i="152"/>
  <c r="AG195" i="152"/>
  <c r="AD144" i="152"/>
  <c r="AC144" i="152"/>
  <c r="AB144" i="152"/>
  <c r="Y93" i="152"/>
  <c r="X93" i="152"/>
  <c r="W93" i="152"/>
  <c r="T42" i="152"/>
  <c r="S42" i="152"/>
  <c r="R42" i="152"/>
  <c r="AD259" i="152"/>
  <c r="AC259" i="152"/>
  <c r="AB259" i="152"/>
  <c r="Y208" i="152"/>
  <c r="X208" i="152"/>
  <c r="W208" i="152"/>
  <c r="T157" i="152"/>
  <c r="S157" i="152"/>
  <c r="R157" i="152"/>
  <c r="AN105" i="152"/>
  <c r="AM105" i="152"/>
  <c r="AL105" i="152"/>
  <c r="AI54" i="152"/>
  <c r="AH54" i="152"/>
  <c r="AG54" i="152"/>
  <c r="AJ54" i="152" s="1"/>
  <c r="T272" i="152"/>
  <c r="S272" i="152"/>
  <c r="R272" i="152"/>
  <c r="U272" i="152" s="1"/>
  <c r="AM220" i="152"/>
  <c r="AL220" i="152"/>
  <c r="AN220" i="152"/>
  <c r="AI169" i="152"/>
  <c r="AH169" i="152"/>
  <c r="AG169" i="152"/>
  <c r="AD118" i="152"/>
  <c r="AC118" i="152"/>
  <c r="AB118" i="152"/>
  <c r="Y67" i="152"/>
  <c r="X67" i="152"/>
  <c r="W67" i="152"/>
  <c r="T16" i="152"/>
  <c r="S16" i="152"/>
  <c r="R16" i="152"/>
  <c r="AC233" i="152"/>
  <c r="AB233" i="152"/>
  <c r="AD233" i="152"/>
  <c r="X182" i="152"/>
  <c r="W182" i="152"/>
  <c r="Y182" i="152"/>
  <c r="T131" i="152"/>
  <c r="S131" i="152"/>
  <c r="R131" i="152"/>
  <c r="AN79" i="152"/>
  <c r="AM79" i="152"/>
  <c r="AL79" i="152"/>
  <c r="AI28" i="152"/>
  <c r="AH28" i="152"/>
  <c r="AG28" i="152"/>
  <c r="T246" i="152"/>
  <c r="S246" i="152"/>
  <c r="R246" i="152"/>
  <c r="AN194" i="152"/>
  <c r="AM194" i="152"/>
  <c r="AL194" i="152"/>
  <c r="AI143" i="152"/>
  <c r="AH143" i="152"/>
  <c r="AG143" i="152"/>
  <c r="AD92" i="152"/>
  <c r="AC92" i="152"/>
  <c r="AB92" i="152"/>
  <c r="Y41" i="152"/>
  <c r="X41" i="152"/>
  <c r="W41" i="152"/>
  <c r="Z41" i="152" s="1"/>
  <c r="AI258" i="152"/>
  <c r="AH258" i="152"/>
  <c r="AG258" i="152"/>
  <c r="AJ258" i="152" s="1"/>
  <c r="AD207" i="152"/>
  <c r="AC207" i="152"/>
  <c r="AB207" i="152"/>
  <c r="X156" i="152"/>
  <c r="W156" i="152"/>
  <c r="Y156" i="152"/>
  <c r="S105" i="152"/>
  <c r="R105" i="152"/>
  <c r="T105" i="152"/>
  <c r="AM53" i="152"/>
  <c r="AL53" i="152"/>
  <c r="AN53" i="152"/>
  <c r="AD274" i="152"/>
  <c r="AC274" i="152"/>
  <c r="AB274" i="152"/>
  <c r="Y223" i="152"/>
  <c r="X223" i="152"/>
  <c r="W223" i="152"/>
  <c r="T172" i="152"/>
  <c r="S172" i="152"/>
  <c r="R172" i="152"/>
  <c r="AN120" i="152"/>
  <c r="AM120" i="152"/>
  <c r="AL120" i="152"/>
  <c r="AI69" i="152"/>
  <c r="AH69" i="152"/>
  <c r="AG69" i="152"/>
  <c r="AD18" i="152"/>
  <c r="AC18" i="152"/>
  <c r="AB18" i="152"/>
  <c r="AL235" i="152"/>
  <c r="AN235" i="152"/>
  <c r="AM235" i="152"/>
  <c r="AG184" i="152"/>
  <c r="AI184" i="152"/>
  <c r="AH184" i="152"/>
  <c r="AD133" i="152"/>
  <c r="AC133" i="152"/>
  <c r="AB133" i="152"/>
  <c r="Y82" i="152"/>
  <c r="X82" i="152"/>
  <c r="W82" i="152"/>
  <c r="T31" i="152"/>
  <c r="S31" i="152"/>
  <c r="R31" i="152"/>
  <c r="U31" i="152" s="1"/>
  <c r="AG251" i="152"/>
  <c r="AI251" i="152"/>
  <c r="AH251" i="152"/>
  <c r="AB200" i="152"/>
  <c r="AD200" i="152"/>
  <c r="AC200" i="152"/>
  <c r="Y149" i="152"/>
  <c r="X149" i="152"/>
  <c r="W149" i="152"/>
  <c r="T98" i="152"/>
  <c r="S98" i="152"/>
  <c r="R98" i="152"/>
  <c r="AN46" i="152"/>
  <c r="AM46" i="152"/>
  <c r="AL46" i="152"/>
  <c r="Y264" i="152"/>
  <c r="X264" i="152"/>
  <c r="W264" i="152"/>
  <c r="T213" i="152"/>
  <c r="S213" i="152"/>
  <c r="R213" i="152"/>
  <c r="AL161" i="152"/>
  <c r="AN161" i="152"/>
  <c r="AM161" i="152"/>
  <c r="AI110" i="152"/>
  <c r="AH110" i="152"/>
  <c r="AG110" i="152"/>
  <c r="AD59" i="152"/>
  <c r="AC59" i="152"/>
  <c r="AB59" i="152"/>
  <c r="AD291" i="152"/>
  <c r="AC291" i="152"/>
  <c r="AB291" i="152"/>
  <c r="Y406" i="152"/>
  <c r="X406" i="152"/>
  <c r="W406" i="152"/>
  <c r="AD480" i="152"/>
  <c r="AC480" i="152"/>
  <c r="AB480" i="152"/>
  <c r="AI539" i="152"/>
  <c r="AH539" i="152"/>
  <c r="AG539" i="152"/>
  <c r="AD355" i="152"/>
  <c r="AC355" i="152"/>
  <c r="AB355" i="152"/>
  <c r="AI434" i="152"/>
  <c r="AH434" i="152"/>
  <c r="AG434" i="152"/>
  <c r="AJ434" i="152" s="1"/>
  <c r="AM507" i="152"/>
  <c r="AL507" i="152"/>
  <c r="AN507" i="152"/>
  <c r="T559" i="152"/>
  <c r="S559" i="152"/>
  <c r="R559" i="152"/>
  <c r="AN387" i="152"/>
  <c r="AM387" i="152"/>
  <c r="AL387" i="152"/>
  <c r="T463" i="152"/>
  <c r="S463" i="152"/>
  <c r="R463" i="152"/>
  <c r="Y254" i="152"/>
  <c r="X254" i="152"/>
  <c r="W254" i="152"/>
  <c r="AI402" i="152"/>
  <c r="AH402" i="152"/>
  <c r="AG402" i="152"/>
  <c r="AN476" i="152"/>
  <c r="AM476" i="152"/>
  <c r="AL476" i="152"/>
  <c r="AH307" i="152"/>
  <c r="AG307" i="152"/>
  <c r="AI307" i="152"/>
  <c r="Y412" i="152"/>
  <c r="X412" i="152"/>
  <c r="W412" i="152"/>
  <c r="AD486" i="152"/>
  <c r="AC486" i="152"/>
  <c r="AB486" i="152"/>
  <c r="AI543" i="152"/>
  <c r="AH543" i="152"/>
  <c r="AJ543" i="152" s="1"/>
  <c r="AN594" i="152"/>
  <c r="AL594" i="152"/>
  <c r="T646" i="152"/>
  <c r="R646" i="152"/>
  <c r="AD389" i="152"/>
  <c r="AC389" i="152"/>
  <c r="AB389" i="152"/>
  <c r="AI463" i="152"/>
  <c r="AH463" i="152"/>
  <c r="AG463" i="152"/>
  <c r="AN527" i="152"/>
  <c r="AM527" i="152"/>
  <c r="AL527" i="152"/>
  <c r="T579" i="152"/>
  <c r="S579" i="152"/>
  <c r="R579" i="152"/>
  <c r="U579" i="152" s="1"/>
  <c r="Y630" i="152"/>
  <c r="X630" i="152"/>
  <c r="W630" i="152"/>
  <c r="Z630" i="152" s="1"/>
  <c r="AD364" i="152"/>
  <c r="AC364" i="152"/>
  <c r="AB364" i="152"/>
  <c r="AN440" i="152"/>
  <c r="AM440" i="152"/>
  <c r="AL440" i="152"/>
  <c r="R512" i="152"/>
  <c r="T512" i="152"/>
  <c r="S512" i="152"/>
  <c r="Y563" i="152"/>
  <c r="X563" i="152"/>
  <c r="W563" i="152"/>
  <c r="AD199" i="152"/>
  <c r="AC199" i="152"/>
  <c r="AB199" i="152"/>
  <c r="Y399" i="152"/>
  <c r="X399" i="152"/>
  <c r="W399" i="152"/>
  <c r="AD473" i="152"/>
  <c r="AC473" i="152"/>
  <c r="AB473" i="152"/>
  <c r="AG534" i="152"/>
  <c r="AI534" i="152"/>
  <c r="AH534" i="152"/>
  <c r="AN585" i="152"/>
  <c r="AM585" i="152"/>
  <c r="AL585" i="152"/>
  <c r="AD358" i="152"/>
  <c r="AC358" i="152"/>
  <c r="AB358" i="152"/>
  <c r="R436" i="152"/>
  <c r="T436" i="152"/>
  <c r="S436" i="152"/>
  <c r="Y509" i="152"/>
  <c r="X509" i="152"/>
  <c r="W509" i="152"/>
  <c r="AD560" i="152"/>
  <c r="AC560" i="152"/>
  <c r="AB560" i="152"/>
  <c r="AI611" i="152"/>
  <c r="AH611" i="152"/>
  <c r="AG611" i="152"/>
  <c r="R680" i="152"/>
  <c r="U680" i="152" s="1"/>
  <c r="X683" i="152"/>
  <c r="S632" i="152"/>
  <c r="U632" i="152" s="1"/>
  <c r="AD313" i="152"/>
  <c r="AC313" i="152"/>
  <c r="AB313" i="152"/>
  <c r="AE313" i="152" s="1"/>
  <c r="Y413" i="152"/>
  <c r="X413" i="152"/>
  <c r="W413" i="152"/>
  <c r="AD487" i="152"/>
  <c r="AC487" i="152"/>
  <c r="AB487" i="152"/>
  <c r="AI544" i="152"/>
  <c r="AH544" i="152"/>
  <c r="AG544" i="152"/>
  <c r="AN595" i="152"/>
  <c r="AM595" i="152"/>
  <c r="AL595" i="152"/>
  <c r="T647" i="152"/>
  <c r="S647" i="152"/>
  <c r="R647" i="152"/>
  <c r="Y698" i="152"/>
  <c r="X698" i="152"/>
  <c r="W698" i="152"/>
  <c r="T381" i="152"/>
  <c r="S381" i="152"/>
  <c r="R381" i="152"/>
  <c r="Y455" i="152"/>
  <c r="X455" i="152"/>
  <c r="W455" i="152"/>
  <c r="AB522" i="152"/>
  <c r="AD522" i="152"/>
  <c r="AC522" i="152"/>
  <c r="AI573" i="152"/>
  <c r="AH573" i="152"/>
  <c r="AG573" i="152"/>
  <c r="AN624" i="152"/>
  <c r="AM624" i="152"/>
  <c r="AL624" i="152"/>
  <c r="T676" i="152"/>
  <c r="S676" i="152"/>
  <c r="R676" i="152"/>
  <c r="AG338" i="152"/>
  <c r="AI338" i="152"/>
  <c r="AH338" i="152"/>
  <c r="T423" i="152"/>
  <c r="S423" i="152"/>
  <c r="R423" i="152"/>
  <c r="Y498" i="152"/>
  <c r="X498" i="152"/>
  <c r="W498" i="152"/>
  <c r="Z498" i="152" s="1"/>
  <c r="AD551" i="152"/>
  <c r="AC551" i="152"/>
  <c r="AB551" i="152"/>
  <c r="AE551" i="152" s="1"/>
  <c r="AI602" i="152"/>
  <c r="AH602" i="152"/>
  <c r="AG602" i="152"/>
  <c r="AN653" i="152"/>
  <c r="AM653" i="152"/>
  <c r="AL653" i="152"/>
  <c r="T705" i="152"/>
  <c r="S705" i="152"/>
  <c r="R705" i="152"/>
  <c r="AM390" i="152"/>
  <c r="AL390" i="152"/>
  <c r="AN390" i="152"/>
  <c r="T465" i="152"/>
  <c r="S465" i="152"/>
  <c r="R465" i="152"/>
  <c r="Y529" i="152"/>
  <c r="X529" i="152"/>
  <c r="W529" i="152"/>
  <c r="AB580" i="152"/>
  <c r="AD580" i="152"/>
  <c r="AG354" i="152"/>
  <c r="AI354" i="152"/>
  <c r="AH354" i="152"/>
  <c r="AL432" i="152"/>
  <c r="AN432" i="152"/>
  <c r="AM432" i="152"/>
  <c r="T507" i="152"/>
  <c r="R507" i="152"/>
  <c r="S507" i="152"/>
  <c r="Y558" i="152"/>
  <c r="X558" i="152"/>
  <c r="W558" i="152"/>
  <c r="Z558" i="152" s="1"/>
  <c r="AD609" i="152"/>
  <c r="AC609" i="152"/>
  <c r="AB609" i="152"/>
  <c r="AI660" i="152"/>
  <c r="AH660" i="152"/>
  <c r="AG660" i="152"/>
  <c r="AI237" i="152"/>
  <c r="AH237" i="152"/>
  <c r="AG237" i="152"/>
  <c r="AI400" i="152"/>
  <c r="AH400" i="152"/>
  <c r="AG400" i="152"/>
  <c r="AL475" i="152"/>
  <c r="AN475" i="152"/>
  <c r="AM475" i="152"/>
  <c r="T536" i="152"/>
  <c r="S536" i="152"/>
  <c r="Y587" i="152"/>
  <c r="W587" i="152"/>
  <c r="AC638" i="152"/>
  <c r="AD638" i="152"/>
  <c r="AB638" i="152"/>
  <c r="AI367" i="152"/>
  <c r="AH367" i="152"/>
  <c r="AG367" i="152"/>
  <c r="AH442" i="152"/>
  <c r="AG442" i="152"/>
  <c r="AI442" i="152"/>
  <c r="AM513" i="152"/>
  <c r="AL513" i="152"/>
  <c r="AN513" i="152"/>
  <c r="R565" i="152"/>
  <c r="T565" i="152"/>
  <c r="S565" i="152"/>
  <c r="Y616" i="152"/>
  <c r="X616" i="152"/>
  <c r="W616" i="152"/>
  <c r="AD667" i="152"/>
  <c r="AC667" i="152"/>
  <c r="AB667" i="152"/>
  <c r="T353" i="152"/>
  <c r="S353" i="152"/>
  <c r="R353" i="152"/>
  <c r="AM301" i="152"/>
  <c r="AL301" i="152"/>
  <c r="AN301" i="152"/>
  <c r="AD202" i="152"/>
  <c r="AC202" i="152"/>
  <c r="AB202" i="152"/>
  <c r="AD314" i="152"/>
  <c r="AC314" i="152"/>
  <c r="AB314" i="152"/>
  <c r="Y238" i="152"/>
  <c r="X238" i="152"/>
  <c r="W238" i="152"/>
  <c r="T327" i="152"/>
  <c r="S327" i="152"/>
  <c r="R327" i="152"/>
  <c r="AN272" i="152"/>
  <c r="AM272" i="152"/>
  <c r="AL272" i="152"/>
  <c r="AO272" i="152" s="1"/>
  <c r="T123" i="152"/>
  <c r="S123" i="152"/>
  <c r="R123" i="152"/>
  <c r="U123" i="152" s="1"/>
  <c r="Y228" i="152"/>
  <c r="X228" i="152"/>
  <c r="W228" i="152"/>
  <c r="AI253" i="152"/>
  <c r="AH253" i="152"/>
  <c r="AG253" i="152"/>
  <c r="AD316" i="152"/>
  <c r="AC316" i="152"/>
  <c r="AB316" i="152"/>
  <c r="Y244" i="152"/>
  <c r="X244" i="152"/>
  <c r="W244" i="152"/>
  <c r="R313" i="152"/>
  <c r="S313" i="152"/>
  <c r="T313" i="152"/>
  <c r="AN234" i="152"/>
  <c r="AM234" i="152"/>
  <c r="AL234" i="152"/>
  <c r="Y351" i="152"/>
  <c r="X351" i="152"/>
  <c r="W351" i="152"/>
  <c r="R300" i="152"/>
  <c r="T300" i="152"/>
  <c r="S300" i="152"/>
  <c r="AD193" i="152"/>
  <c r="AC193" i="152"/>
  <c r="AB193" i="152"/>
  <c r="Y338" i="152"/>
  <c r="X338" i="152"/>
  <c r="W338" i="152"/>
  <c r="T287" i="152"/>
  <c r="S287" i="152"/>
  <c r="R287" i="152"/>
  <c r="Y113" i="152"/>
  <c r="X113" i="152"/>
  <c r="W113" i="152"/>
  <c r="AB456" i="152"/>
  <c r="AD456" i="152"/>
  <c r="AC456" i="152"/>
  <c r="Y405" i="152"/>
  <c r="X405" i="152"/>
  <c r="W405" i="152"/>
  <c r="T354" i="152"/>
  <c r="S354" i="152"/>
  <c r="R354" i="152"/>
  <c r="U354" i="152" s="1"/>
  <c r="AN302" i="152"/>
  <c r="AM302" i="152"/>
  <c r="AL302" i="152"/>
  <c r="AO302" i="152" s="1"/>
  <c r="AN205" i="152"/>
  <c r="AM205" i="152"/>
  <c r="AL205" i="152"/>
  <c r="Y472" i="152"/>
  <c r="X472" i="152"/>
  <c r="W472" i="152"/>
  <c r="R421" i="152"/>
  <c r="S421" i="152"/>
  <c r="T421" i="152"/>
  <c r="AM369" i="152"/>
  <c r="AL369" i="152"/>
  <c r="AN369" i="152"/>
  <c r="AI318" i="152"/>
  <c r="AH318" i="152"/>
  <c r="AG318" i="152"/>
  <c r="AD250" i="152"/>
  <c r="AC250" i="152"/>
  <c r="AB250" i="152"/>
  <c r="T488" i="152"/>
  <c r="R488" i="152"/>
  <c r="AN436" i="152"/>
  <c r="AM436" i="152"/>
  <c r="AL436" i="152"/>
  <c r="AI385" i="152"/>
  <c r="AH385" i="152"/>
  <c r="AG385" i="152"/>
  <c r="AB334" i="152"/>
  <c r="AD334" i="152"/>
  <c r="AC334" i="152"/>
  <c r="Y283" i="152"/>
  <c r="X283" i="152"/>
  <c r="W283" i="152"/>
  <c r="Z283" i="152" s="1"/>
  <c r="AN503" i="152"/>
  <c r="AM503" i="152"/>
  <c r="AL503" i="152"/>
  <c r="AI452" i="152"/>
  <c r="AH452" i="152"/>
  <c r="AG452" i="152"/>
  <c r="AD401" i="152"/>
  <c r="AC401" i="152"/>
  <c r="AB401" i="152"/>
  <c r="Y350" i="152"/>
  <c r="X350" i="152"/>
  <c r="W350" i="152"/>
  <c r="T299" i="152"/>
  <c r="S299" i="152"/>
  <c r="R299" i="152"/>
  <c r="T190" i="152"/>
  <c r="S190" i="152"/>
  <c r="R190" i="152"/>
  <c r="AB468" i="152"/>
  <c r="AD468" i="152"/>
  <c r="AC468" i="152"/>
  <c r="Y417" i="152"/>
  <c r="X417" i="152"/>
  <c r="W417" i="152"/>
  <c r="T366" i="152"/>
  <c r="S366" i="152"/>
  <c r="R366" i="152"/>
  <c r="AN314" i="152"/>
  <c r="AM314" i="152"/>
  <c r="AL314" i="152"/>
  <c r="AI240" i="152"/>
  <c r="AH240" i="152"/>
  <c r="AG240" i="152"/>
  <c r="AI257" i="152"/>
  <c r="AH257" i="152"/>
  <c r="AG257" i="152"/>
  <c r="AD206" i="152"/>
  <c r="AC206" i="152"/>
  <c r="AB206" i="152"/>
  <c r="W155" i="152"/>
  <c r="Y155" i="152"/>
  <c r="X155" i="152"/>
  <c r="R104" i="152"/>
  <c r="T104" i="152"/>
  <c r="S104" i="152"/>
  <c r="AL52" i="152"/>
  <c r="AN52" i="152"/>
  <c r="AM52" i="152"/>
  <c r="AN87" i="152"/>
  <c r="AM87" i="152"/>
  <c r="AL87" i="152"/>
  <c r="AI36" i="152"/>
  <c r="AH36" i="152"/>
  <c r="AG36" i="152"/>
  <c r="AI71" i="152"/>
  <c r="AH71" i="152"/>
  <c r="AG71" i="152"/>
  <c r="AD20" i="152"/>
  <c r="AC20" i="152"/>
  <c r="AB20" i="152"/>
  <c r="Y132" i="152"/>
  <c r="X132" i="152"/>
  <c r="W132" i="152"/>
  <c r="T81" i="152"/>
  <c r="S81" i="152"/>
  <c r="R81" i="152"/>
  <c r="AN29" i="152"/>
  <c r="AM29" i="152"/>
  <c r="AL29" i="152"/>
  <c r="AI141" i="152"/>
  <c r="AH141" i="152"/>
  <c r="AG141" i="152"/>
  <c r="AD90" i="152"/>
  <c r="AC90" i="152"/>
  <c r="AB90" i="152"/>
  <c r="Y39" i="152"/>
  <c r="X39" i="152"/>
  <c r="W39" i="152"/>
  <c r="AI192" i="152"/>
  <c r="AH192" i="152"/>
  <c r="AG192" i="152"/>
  <c r="AD141" i="152"/>
  <c r="AC141" i="152"/>
  <c r="AB141" i="152"/>
  <c r="Y90" i="152"/>
  <c r="X90" i="152"/>
  <c r="W90" i="152"/>
  <c r="T39" i="152"/>
  <c r="S39" i="152"/>
  <c r="R39" i="152"/>
  <c r="AD192" i="152"/>
  <c r="AC192" i="152"/>
  <c r="AB192" i="152"/>
  <c r="AE192" i="152" s="1"/>
  <c r="Y141" i="152"/>
  <c r="X141" i="152"/>
  <c r="W141" i="152"/>
  <c r="Z141" i="152" s="1"/>
  <c r="T90" i="152"/>
  <c r="S90" i="152"/>
  <c r="R90" i="152"/>
  <c r="AN38" i="152"/>
  <c r="AM38" i="152"/>
  <c r="AL38" i="152"/>
  <c r="Y256" i="152"/>
  <c r="X256" i="152"/>
  <c r="W256" i="152"/>
  <c r="T205" i="152"/>
  <c r="S205" i="152"/>
  <c r="R205" i="152"/>
  <c r="AN153" i="152"/>
  <c r="AM153" i="152"/>
  <c r="AL153" i="152"/>
  <c r="AI102" i="152"/>
  <c r="AH102" i="152"/>
  <c r="AG102" i="152"/>
  <c r="AD51" i="152"/>
  <c r="AC51" i="152"/>
  <c r="AB51" i="152"/>
  <c r="AN268" i="152"/>
  <c r="AM268" i="152"/>
  <c r="AL268" i="152"/>
  <c r="AH217" i="152"/>
  <c r="AG217" i="152"/>
  <c r="AI217" i="152"/>
  <c r="AD166" i="152"/>
  <c r="AC166" i="152"/>
  <c r="AB166" i="152"/>
  <c r="Y115" i="152"/>
  <c r="X115" i="152"/>
  <c r="W115" i="152"/>
  <c r="T64" i="152"/>
  <c r="S64" i="152"/>
  <c r="R64" i="152"/>
  <c r="AN12" i="152"/>
  <c r="AM12" i="152"/>
  <c r="AL12" i="152"/>
  <c r="X230" i="152"/>
  <c r="W230" i="152"/>
  <c r="Y230" i="152"/>
  <c r="S179" i="152"/>
  <c r="R179" i="152"/>
  <c r="T179" i="152"/>
  <c r="AN127" i="152"/>
  <c r="AM127" i="152"/>
  <c r="AL127" i="152"/>
  <c r="AO127" i="152" s="1"/>
  <c r="AI76" i="152"/>
  <c r="AH76" i="152"/>
  <c r="AG76" i="152"/>
  <c r="AD25" i="152"/>
  <c r="AC25" i="152"/>
  <c r="AB25" i="152"/>
  <c r="AN242" i="152"/>
  <c r="AM242" i="152"/>
  <c r="AL242" i="152"/>
  <c r="AI191" i="152"/>
  <c r="AH191" i="152"/>
  <c r="AG191" i="152"/>
  <c r="AD140" i="152"/>
  <c r="AC140" i="152"/>
  <c r="AB140" i="152"/>
  <c r="Y89" i="152"/>
  <c r="X89" i="152"/>
  <c r="W89" i="152"/>
  <c r="T38" i="152"/>
  <c r="S38" i="152"/>
  <c r="R38" i="152"/>
  <c r="AD255" i="152"/>
  <c r="AC255" i="152"/>
  <c r="AB255" i="152"/>
  <c r="Y204" i="152"/>
  <c r="X204" i="152"/>
  <c r="W204" i="152"/>
  <c r="S153" i="152"/>
  <c r="R153" i="152"/>
  <c r="T153" i="152"/>
  <c r="AM101" i="152"/>
  <c r="AL101" i="152"/>
  <c r="AO101" i="152" s="1"/>
  <c r="AN101" i="152"/>
  <c r="AH50" i="152"/>
  <c r="AG50" i="152"/>
  <c r="AI50" i="152"/>
  <c r="Y271" i="152"/>
  <c r="X271" i="152"/>
  <c r="W271" i="152"/>
  <c r="T220" i="152"/>
  <c r="R220" i="152"/>
  <c r="S220" i="152"/>
  <c r="AN168" i="152"/>
  <c r="AM168" i="152"/>
  <c r="AL168" i="152"/>
  <c r="AO168" i="152" s="1"/>
  <c r="AI117" i="152"/>
  <c r="AH117" i="152"/>
  <c r="AG117" i="152"/>
  <c r="AJ117" i="152" s="1"/>
  <c r="AD66" i="152"/>
  <c r="AC66" i="152"/>
  <c r="AB66" i="152"/>
  <c r="Y15" i="152"/>
  <c r="X15" i="152"/>
  <c r="W15" i="152"/>
  <c r="AG232" i="152"/>
  <c r="AI232" i="152"/>
  <c r="AH232" i="152"/>
  <c r="AB181" i="152"/>
  <c r="AD181" i="152"/>
  <c r="AC181" i="152"/>
  <c r="Y130" i="152"/>
  <c r="X130" i="152"/>
  <c r="W130" i="152"/>
  <c r="T79" i="152"/>
  <c r="S79" i="152"/>
  <c r="R79" i="152"/>
  <c r="AN27" i="152"/>
  <c r="AM27" i="152"/>
  <c r="AL27" i="152"/>
  <c r="AB248" i="152"/>
  <c r="AD248" i="152"/>
  <c r="AC248" i="152"/>
  <c r="W197" i="152"/>
  <c r="Y197" i="152"/>
  <c r="X197" i="152"/>
  <c r="T146" i="152"/>
  <c r="S146" i="152"/>
  <c r="R146" i="152"/>
  <c r="AN94" i="152"/>
  <c r="AM94" i="152"/>
  <c r="AL94" i="152"/>
  <c r="AI43" i="152"/>
  <c r="AH43" i="152"/>
  <c r="AG43" i="152"/>
  <c r="T261" i="152"/>
  <c r="S261" i="152"/>
  <c r="R261" i="152"/>
  <c r="AN209" i="152"/>
  <c r="AM209" i="152"/>
  <c r="AL209" i="152"/>
  <c r="AG158" i="152"/>
  <c r="AI158" i="152"/>
  <c r="AH158" i="152"/>
  <c r="AD107" i="152"/>
  <c r="AC107" i="152"/>
  <c r="AB107" i="152"/>
  <c r="AE107" i="152" s="1"/>
  <c r="Y56" i="152"/>
  <c r="X56" i="152"/>
  <c r="W56" i="152"/>
  <c r="AC304" i="152"/>
  <c r="AD304" i="152"/>
  <c r="AB304" i="152"/>
  <c r="AB410" i="152"/>
  <c r="AD410" i="152"/>
  <c r="AC410" i="152"/>
  <c r="AH485" i="152"/>
  <c r="AG485" i="152"/>
  <c r="AI485" i="152"/>
  <c r="AN542" i="152"/>
  <c r="AM542" i="152"/>
  <c r="AL542" i="152"/>
  <c r="AN361" i="152"/>
  <c r="AM361" i="152"/>
  <c r="AL361" i="152"/>
  <c r="AN438" i="152"/>
  <c r="AM438" i="152"/>
  <c r="AL438" i="152"/>
  <c r="T511" i="152"/>
  <c r="S511" i="152"/>
  <c r="R511" i="152"/>
  <c r="Y562" i="152"/>
  <c r="X562" i="152"/>
  <c r="W562" i="152"/>
  <c r="T393" i="152"/>
  <c r="S393" i="152"/>
  <c r="R393" i="152"/>
  <c r="Y467" i="152"/>
  <c r="X467" i="152"/>
  <c r="W467" i="152"/>
  <c r="AI294" i="152"/>
  <c r="AH294" i="152"/>
  <c r="AG294" i="152"/>
  <c r="AN406" i="152"/>
  <c r="AM406" i="152"/>
  <c r="AL406" i="152"/>
  <c r="T481" i="152"/>
  <c r="S481" i="152"/>
  <c r="R481" i="152"/>
  <c r="AC320" i="152"/>
  <c r="AB320" i="152"/>
  <c r="AD320" i="152"/>
  <c r="AD416" i="152"/>
  <c r="AC416" i="152"/>
  <c r="AB416" i="152"/>
  <c r="AE416" i="152" s="1"/>
  <c r="AI490" i="152"/>
  <c r="AH490" i="152"/>
  <c r="AG490" i="152"/>
  <c r="Y649" i="152"/>
  <c r="W649" i="152"/>
  <c r="Z649" i="152" s="1"/>
  <c r="AH393" i="152"/>
  <c r="AG393" i="152"/>
  <c r="AI393" i="152"/>
  <c r="AN467" i="152"/>
  <c r="AM467" i="152"/>
  <c r="AL467" i="152"/>
  <c r="S531" i="152"/>
  <c r="R531" i="152"/>
  <c r="T531" i="152"/>
  <c r="Y582" i="152"/>
  <c r="X582" i="152"/>
  <c r="W582" i="152"/>
  <c r="AD633" i="152"/>
  <c r="AC633" i="152"/>
  <c r="AB633" i="152"/>
  <c r="T369" i="152"/>
  <c r="S369" i="152"/>
  <c r="R369" i="152"/>
  <c r="T445" i="152"/>
  <c r="S445" i="152"/>
  <c r="R445" i="152"/>
  <c r="Y515" i="152"/>
  <c r="X515" i="152"/>
  <c r="W515" i="152"/>
  <c r="Z515" i="152" s="1"/>
  <c r="AD566" i="152"/>
  <c r="AC566" i="152"/>
  <c r="AB566" i="152"/>
  <c r="AE566" i="152" s="1"/>
  <c r="AI272" i="152"/>
  <c r="AH272" i="152"/>
  <c r="AG272" i="152"/>
  <c r="AD403" i="152"/>
  <c r="AC403" i="152"/>
  <c r="AB403" i="152"/>
  <c r="AI477" i="152"/>
  <c r="AH477" i="152"/>
  <c r="AG477" i="152"/>
  <c r="AN537" i="152"/>
  <c r="AM537" i="152"/>
  <c r="AL537" i="152"/>
  <c r="R589" i="152"/>
  <c r="T589" i="152"/>
  <c r="S589" i="152"/>
  <c r="AN364" i="152"/>
  <c r="AM364" i="152"/>
  <c r="AL364" i="152"/>
  <c r="X441" i="152"/>
  <c r="W441" i="152"/>
  <c r="Y441" i="152"/>
  <c r="AB512" i="152"/>
  <c r="AD512" i="152"/>
  <c r="AC512" i="152"/>
  <c r="AI563" i="152"/>
  <c r="AH563" i="152"/>
  <c r="AG563" i="152"/>
  <c r="Y372" i="152"/>
  <c r="X372" i="152"/>
  <c r="W372" i="152"/>
  <c r="AM447" i="152"/>
  <c r="AL447" i="152"/>
  <c r="AO447" i="152" s="1"/>
  <c r="AN447" i="152"/>
  <c r="R517" i="152"/>
  <c r="T517" i="152"/>
  <c r="S517" i="152"/>
  <c r="X568" i="152"/>
  <c r="W568" i="152"/>
  <c r="Y568" i="152"/>
  <c r="AD619" i="152"/>
  <c r="AC619" i="152"/>
  <c r="AB619" i="152"/>
  <c r="AI670" i="152"/>
  <c r="AH670" i="152"/>
  <c r="AG670" i="152"/>
  <c r="AJ670" i="152" s="1"/>
  <c r="AN349" i="152"/>
  <c r="AM349" i="152"/>
  <c r="AL349" i="152"/>
  <c r="AO349" i="152" s="1"/>
  <c r="AI298" i="152"/>
  <c r="AH298" i="152"/>
  <c r="AG298" i="152"/>
  <c r="AI189" i="152"/>
  <c r="AH189" i="152"/>
  <c r="AG189" i="152"/>
  <c r="X311" i="152"/>
  <c r="W311" i="152"/>
  <c r="Y311" i="152"/>
  <c r="T231" i="152"/>
  <c r="S231" i="152"/>
  <c r="R231" i="152"/>
  <c r="AN323" i="152"/>
  <c r="AM323" i="152"/>
  <c r="AL323" i="152"/>
  <c r="AI263" i="152"/>
  <c r="AH263" i="152"/>
  <c r="AG263" i="152"/>
  <c r="AD97" i="152"/>
  <c r="AC97" i="152"/>
  <c r="AB97" i="152"/>
  <c r="T219" i="152"/>
  <c r="S219" i="152"/>
  <c r="R219" i="152"/>
  <c r="AD244" i="152"/>
  <c r="AC244" i="152"/>
  <c r="AB244" i="152"/>
  <c r="Y313" i="152"/>
  <c r="X313" i="152"/>
  <c r="W313" i="152"/>
  <c r="T235" i="152"/>
  <c r="S235" i="152"/>
  <c r="R235" i="152"/>
  <c r="AL309" i="152"/>
  <c r="AM309" i="152"/>
  <c r="AN309" i="152"/>
  <c r="AI227" i="152"/>
  <c r="AH227" i="152"/>
  <c r="AG227" i="152"/>
  <c r="T348" i="152"/>
  <c r="S348" i="152"/>
  <c r="R348" i="152"/>
  <c r="AN296" i="152"/>
  <c r="AM296" i="152"/>
  <c r="AL296" i="152"/>
  <c r="AO296" i="152" s="1"/>
  <c r="AI180" i="152"/>
  <c r="AH180" i="152"/>
  <c r="AG180" i="152"/>
  <c r="AJ180" i="152" s="1"/>
  <c r="T335" i="152"/>
  <c r="S335" i="152"/>
  <c r="R335" i="152"/>
  <c r="AN283" i="152"/>
  <c r="AM283" i="152"/>
  <c r="AL283" i="152"/>
  <c r="AD504" i="152"/>
  <c r="AB504" i="152"/>
  <c r="AC504" i="152"/>
  <c r="W453" i="152"/>
  <c r="Y453" i="152"/>
  <c r="X453" i="152"/>
  <c r="T402" i="152"/>
  <c r="S402" i="152"/>
  <c r="R402" i="152"/>
  <c r="AN350" i="152"/>
  <c r="AM350" i="152"/>
  <c r="AL350" i="152"/>
  <c r="AG299" i="152"/>
  <c r="AI299" i="152"/>
  <c r="AH299" i="152"/>
  <c r="T193" i="152"/>
  <c r="S193" i="152"/>
  <c r="R193" i="152"/>
  <c r="T469" i="152"/>
  <c r="S469" i="152"/>
  <c r="R469" i="152"/>
  <c r="AL417" i="152"/>
  <c r="AM417" i="152"/>
  <c r="AN417" i="152"/>
  <c r="AH366" i="152"/>
  <c r="AG366" i="152"/>
  <c r="AJ366" i="152" s="1"/>
  <c r="AI366" i="152"/>
  <c r="AD315" i="152"/>
  <c r="AC315" i="152"/>
  <c r="AB315" i="152"/>
  <c r="Y241" i="152"/>
  <c r="X241" i="152"/>
  <c r="W241" i="152"/>
  <c r="AN484" i="152"/>
  <c r="AL484" i="152"/>
  <c r="AI433" i="152"/>
  <c r="AH433" i="152"/>
  <c r="AG433" i="152"/>
  <c r="AD382" i="152"/>
  <c r="AC382" i="152"/>
  <c r="AB382" i="152"/>
  <c r="W331" i="152"/>
  <c r="Y331" i="152"/>
  <c r="X331" i="152"/>
  <c r="T280" i="152"/>
  <c r="S280" i="152"/>
  <c r="R280" i="152"/>
  <c r="AH500" i="152"/>
  <c r="AG500" i="152"/>
  <c r="AI500" i="152"/>
  <c r="AD449" i="152"/>
  <c r="AC449" i="152"/>
  <c r="AB449" i="152"/>
  <c r="Y398" i="152"/>
  <c r="X398" i="152"/>
  <c r="W398" i="152"/>
  <c r="T347" i="152"/>
  <c r="S347" i="152"/>
  <c r="R347" i="152"/>
  <c r="AN295" i="152"/>
  <c r="AM295" i="152"/>
  <c r="AL295" i="152"/>
  <c r="Y177" i="152"/>
  <c r="X177" i="152"/>
  <c r="W177" i="152"/>
  <c r="Y465" i="152"/>
  <c r="X465" i="152"/>
  <c r="W465" i="152"/>
  <c r="T414" i="152"/>
  <c r="S414" i="152"/>
  <c r="R414" i="152"/>
  <c r="U414" i="152" s="1"/>
  <c r="AN362" i="152"/>
  <c r="AM362" i="152"/>
  <c r="AL362" i="152"/>
  <c r="AO362" i="152" s="1"/>
  <c r="AI311" i="152"/>
  <c r="AH311" i="152"/>
  <c r="AG311" i="152"/>
  <c r="AD231" i="152"/>
  <c r="AC231" i="152"/>
  <c r="AB231" i="152"/>
  <c r="AD254" i="152"/>
  <c r="AC254" i="152"/>
  <c r="AB254" i="152"/>
  <c r="Y203" i="152"/>
  <c r="X203" i="152"/>
  <c r="W203" i="152"/>
  <c r="R152" i="152"/>
  <c r="T152" i="152"/>
  <c r="S152" i="152"/>
  <c r="AL100" i="152"/>
  <c r="AN100" i="152"/>
  <c r="AM100" i="152"/>
  <c r="AG49" i="152"/>
  <c r="AI49" i="152"/>
  <c r="AH49" i="152"/>
  <c r="AI84" i="152"/>
  <c r="AH84" i="152"/>
  <c r="AG84" i="152"/>
  <c r="AD33" i="152"/>
  <c r="AC33" i="152"/>
  <c r="AB33" i="152"/>
  <c r="AD68" i="152"/>
  <c r="AC68" i="152"/>
  <c r="AB68" i="152"/>
  <c r="Y17" i="152"/>
  <c r="X17" i="152"/>
  <c r="W17" i="152"/>
  <c r="T129" i="152"/>
  <c r="S129" i="152"/>
  <c r="R129" i="152"/>
  <c r="AN77" i="152"/>
  <c r="AM77" i="152"/>
  <c r="AL77" i="152"/>
  <c r="AI26" i="152"/>
  <c r="AH26" i="152"/>
  <c r="AG26" i="152"/>
  <c r="AD138" i="152"/>
  <c r="AC138" i="152"/>
  <c r="AB138" i="152"/>
  <c r="AE138" i="152" s="1"/>
  <c r="Y87" i="152"/>
  <c r="X87" i="152"/>
  <c r="W87" i="152"/>
  <c r="Z87" i="152" s="1"/>
  <c r="T36" i="152"/>
  <c r="S36" i="152"/>
  <c r="R36" i="152"/>
  <c r="AD189" i="152"/>
  <c r="AC189" i="152"/>
  <c r="AB189" i="152"/>
  <c r="Y138" i="152"/>
  <c r="X138" i="152"/>
  <c r="W138" i="152"/>
  <c r="T87" i="152"/>
  <c r="S87" i="152"/>
  <c r="R87" i="152"/>
  <c r="AN35" i="152"/>
  <c r="AM35" i="152"/>
  <c r="AL35" i="152"/>
  <c r="Y189" i="152"/>
  <c r="X189" i="152"/>
  <c r="W189" i="152"/>
  <c r="T138" i="152"/>
  <c r="S138" i="152"/>
  <c r="R138" i="152"/>
  <c r="AN86" i="152"/>
  <c r="AM86" i="152"/>
  <c r="AL86" i="152"/>
  <c r="AI35" i="152"/>
  <c r="AH35" i="152"/>
  <c r="AG35" i="152"/>
  <c r="T253" i="152"/>
  <c r="S253" i="152"/>
  <c r="R253" i="152"/>
  <c r="AN201" i="152"/>
  <c r="AM201" i="152"/>
  <c r="AL201" i="152"/>
  <c r="AI150" i="152"/>
  <c r="AH150" i="152"/>
  <c r="AG150" i="152"/>
  <c r="AD99" i="152"/>
  <c r="AC99" i="152"/>
  <c r="AB99" i="152"/>
  <c r="Y48" i="152"/>
  <c r="X48" i="152"/>
  <c r="W48" i="152"/>
  <c r="AI265" i="152"/>
  <c r="AH265" i="152"/>
  <c r="AG265" i="152"/>
  <c r="AJ265" i="152" s="1"/>
  <c r="AC214" i="152"/>
  <c r="AB214" i="152"/>
  <c r="AD214" i="152"/>
  <c r="Y163" i="152"/>
  <c r="X163" i="152"/>
  <c r="W163" i="152"/>
  <c r="T112" i="152"/>
  <c r="S112" i="152"/>
  <c r="R112" i="152"/>
  <c r="AN60" i="152"/>
  <c r="AM60" i="152"/>
  <c r="AL60" i="152"/>
  <c r="AI9" i="152"/>
  <c r="AH9" i="152"/>
  <c r="AG9" i="152"/>
  <c r="AF9" i="152"/>
  <c r="S227" i="152"/>
  <c r="R227" i="152"/>
  <c r="T227" i="152"/>
  <c r="AM175" i="152"/>
  <c r="AL175" i="152"/>
  <c r="AN175" i="152"/>
  <c r="AI124" i="152"/>
  <c r="AH124" i="152"/>
  <c r="AG124" i="152"/>
  <c r="AD73" i="152"/>
  <c r="AC73" i="152"/>
  <c r="AB73" i="152"/>
  <c r="Y22" i="152"/>
  <c r="X22" i="152"/>
  <c r="W22" i="152"/>
  <c r="AI239" i="152"/>
  <c r="AH239" i="152"/>
  <c r="AG239" i="152"/>
  <c r="AD188" i="152"/>
  <c r="AC188" i="152"/>
  <c r="AB188" i="152"/>
  <c r="Y137" i="152"/>
  <c r="X137" i="152"/>
  <c r="W137" i="152"/>
  <c r="T86" i="152"/>
  <c r="S86" i="152"/>
  <c r="R86" i="152"/>
  <c r="AN34" i="152"/>
  <c r="AM34" i="152"/>
  <c r="AL34" i="152"/>
  <c r="Y252" i="152"/>
  <c r="X252" i="152"/>
  <c r="W252" i="152"/>
  <c r="T201" i="152"/>
  <c r="S201" i="152"/>
  <c r="R201" i="152"/>
  <c r="AM149" i="152"/>
  <c r="AL149" i="152"/>
  <c r="AN149" i="152"/>
  <c r="AH98" i="152"/>
  <c r="AG98" i="152"/>
  <c r="AI98" i="152"/>
  <c r="AC47" i="152"/>
  <c r="AB47" i="152"/>
  <c r="AD47" i="152"/>
  <c r="T268" i="152"/>
  <c r="S268" i="152"/>
  <c r="R268" i="152"/>
  <c r="U268" i="152" s="1"/>
  <c r="AN216" i="152"/>
  <c r="AM216" i="152"/>
  <c r="AL216" i="152"/>
  <c r="AO216" i="152" s="1"/>
  <c r="AI165" i="152"/>
  <c r="AH165" i="152"/>
  <c r="AG165" i="152"/>
  <c r="AD114" i="152"/>
  <c r="AC114" i="152"/>
  <c r="AB114" i="152"/>
  <c r="Y63" i="152"/>
  <c r="X63" i="152"/>
  <c r="W63" i="152"/>
  <c r="T12" i="152"/>
  <c r="S12" i="152"/>
  <c r="R12" i="152"/>
  <c r="AB229" i="152"/>
  <c r="AD229" i="152"/>
  <c r="AC229" i="152"/>
  <c r="W178" i="152"/>
  <c r="Y178" i="152"/>
  <c r="X178" i="152"/>
  <c r="T127" i="152"/>
  <c r="S127" i="152"/>
  <c r="R127" i="152"/>
  <c r="AN75" i="152"/>
  <c r="AM75" i="152"/>
  <c r="AL75" i="152"/>
  <c r="AI24" i="152"/>
  <c r="AH24" i="152"/>
  <c r="AG24" i="152"/>
  <c r="W245" i="152"/>
  <c r="Y245" i="152"/>
  <c r="X245" i="152"/>
  <c r="R194" i="152"/>
  <c r="T194" i="152"/>
  <c r="S194" i="152"/>
  <c r="AN142" i="152"/>
  <c r="AM142" i="152"/>
  <c r="AL142" i="152"/>
  <c r="AI91" i="152"/>
  <c r="AH91" i="152"/>
  <c r="AG91" i="152"/>
  <c r="AD40" i="152"/>
  <c r="AC40" i="152"/>
  <c r="AB40" i="152"/>
  <c r="AN257" i="152"/>
  <c r="AM257" i="152"/>
  <c r="AL257" i="152"/>
  <c r="AO257" i="152" s="1"/>
  <c r="AI206" i="152"/>
  <c r="AH206" i="152"/>
  <c r="AG206" i="152"/>
  <c r="AJ206" i="152" s="1"/>
  <c r="AD155" i="152"/>
  <c r="AC155" i="152"/>
  <c r="AB155" i="152"/>
  <c r="Y104" i="152"/>
  <c r="X104" i="152"/>
  <c r="W104" i="152"/>
  <c r="T53" i="152"/>
  <c r="S53" i="152"/>
  <c r="R53" i="152"/>
  <c r="X317" i="152"/>
  <c r="W317" i="152"/>
  <c r="Y317" i="152"/>
  <c r="AH415" i="152"/>
  <c r="AG415" i="152"/>
  <c r="AI415" i="152"/>
  <c r="AM489" i="152"/>
  <c r="AL489" i="152"/>
  <c r="AN489" i="152"/>
  <c r="T546" i="152"/>
  <c r="S546" i="152"/>
  <c r="R546" i="152"/>
  <c r="T368" i="152"/>
  <c r="S368" i="152"/>
  <c r="R368" i="152"/>
  <c r="T444" i="152"/>
  <c r="S444" i="152"/>
  <c r="R444" i="152"/>
  <c r="Y514" i="152"/>
  <c r="X514" i="152"/>
  <c r="W514" i="152"/>
  <c r="AD565" i="152"/>
  <c r="AC565" i="152"/>
  <c r="AB565" i="152"/>
  <c r="Y397" i="152"/>
  <c r="X397" i="152"/>
  <c r="W397" i="152"/>
  <c r="AD471" i="152"/>
  <c r="AC471" i="152"/>
  <c r="AB471" i="152"/>
  <c r="AD307" i="152"/>
  <c r="AC307" i="152"/>
  <c r="AB307" i="152"/>
  <c r="T412" i="152"/>
  <c r="S412" i="152"/>
  <c r="R412" i="152"/>
  <c r="U412" i="152" s="1"/>
  <c r="Y486" i="152"/>
  <c r="X486" i="152"/>
  <c r="W486" i="152"/>
  <c r="Z486" i="152" s="1"/>
  <c r="X333" i="152"/>
  <c r="W333" i="152"/>
  <c r="Y333" i="152"/>
  <c r="AI421" i="152"/>
  <c r="AH421" i="152"/>
  <c r="AG421" i="152"/>
  <c r="AN495" i="152"/>
  <c r="AM495" i="152"/>
  <c r="AL495" i="152"/>
  <c r="T550" i="152"/>
  <c r="S550" i="152"/>
  <c r="R550" i="152"/>
  <c r="W601" i="152"/>
  <c r="Y601" i="152"/>
  <c r="X601" i="152"/>
  <c r="AI186" i="152"/>
  <c r="AH186" i="152"/>
  <c r="AG186" i="152"/>
  <c r="AN397" i="152"/>
  <c r="AM397" i="152"/>
  <c r="AL397" i="152"/>
  <c r="S473" i="152"/>
  <c r="R473" i="152"/>
  <c r="T473" i="152"/>
  <c r="Y534" i="152"/>
  <c r="X534" i="152"/>
  <c r="W534" i="152"/>
  <c r="AB585" i="152"/>
  <c r="AD585" i="152"/>
  <c r="AC585" i="152"/>
  <c r="AI636" i="152"/>
  <c r="AH636" i="152"/>
  <c r="AG636" i="152"/>
  <c r="T375" i="152"/>
  <c r="S375" i="152"/>
  <c r="R375" i="152"/>
  <c r="Y450" i="152"/>
  <c r="X450" i="152"/>
  <c r="W450" i="152"/>
  <c r="AD518" i="152"/>
  <c r="AC518" i="152"/>
  <c r="AB518" i="152"/>
  <c r="AH569" i="152"/>
  <c r="AG569" i="152"/>
  <c r="AI569" i="152"/>
  <c r="AN297" i="152"/>
  <c r="AM297" i="152"/>
  <c r="AL297" i="152"/>
  <c r="AO297" i="152" s="1"/>
  <c r="AG408" i="152"/>
  <c r="AI408" i="152"/>
  <c r="AH408" i="152"/>
  <c r="AN482" i="152"/>
  <c r="AM482" i="152"/>
  <c r="AL482" i="152"/>
  <c r="T541" i="152"/>
  <c r="S541" i="152"/>
  <c r="R541" i="152"/>
  <c r="Y592" i="152"/>
  <c r="X592" i="152"/>
  <c r="W592" i="152"/>
  <c r="AN370" i="152"/>
  <c r="AM370" i="152"/>
  <c r="AL370" i="152"/>
  <c r="AD445" i="152"/>
  <c r="AC445" i="152"/>
  <c r="AB445" i="152"/>
  <c r="AI515" i="152"/>
  <c r="AH515" i="152"/>
  <c r="AG515" i="152"/>
  <c r="AN566" i="152"/>
  <c r="AM566" i="152"/>
  <c r="AL566" i="152"/>
  <c r="Z17" i="109"/>
  <c r="V19" i="115"/>
  <c r="V20" i="115" s="1"/>
  <c r="O18" i="141"/>
  <c r="L18" i="147"/>
  <c r="X18" i="148"/>
  <c r="AE18" i="109"/>
  <c r="AE18" i="103"/>
  <c r="L18" i="108"/>
  <c r="N19" i="108" s="1"/>
  <c r="AA18" i="112"/>
  <c r="AC19" i="112" s="1"/>
  <c r="O18" i="117"/>
  <c r="O17" i="128"/>
  <c r="Q18" i="146"/>
  <c r="Q18" i="148"/>
  <c r="Q19" i="148" s="1"/>
  <c r="P18" i="151"/>
  <c r="T17" i="109"/>
  <c r="AD18" i="130"/>
  <c r="AD17" i="124"/>
  <c r="O18" i="145"/>
  <c r="P18" i="147"/>
  <c r="O17" i="105"/>
  <c r="Q18" i="104"/>
  <c r="S19" i="104" s="1"/>
  <c r="T18" i="112"/>
  <c r="O18" i="132"/>
  <c r="AA18" i="146"/>
  <c r="AC19" i="146" s="1"/>
  <c r="T18" i="108"/>
  <c r="O17" i="138"/>
  <c r="AD17" i="150"/>
  <c r="T17" i="122"/>
  <c r="T18" i="134"/>
  <c r="L18" i="143"/>
  <c r="L19" i="143" s="1"/>
  <c r="AD17" i="108"/>
  <c r="L18" i="132"/>
  <c r="N19" i="132" s="1"/>
  <c r="T18" i="110"/>
  <c r="O19" i="126"/>
  <c r="Y17" i="106"/>
  <c r="AA18" i="103"/>
  <c r="AC19" i="103" s="1"/>
  <c r="Y17" i="108"/>
  <c r="AD17" i="115"/>
  <c r="Q18" i="129"/>
  <c r="Q19" i="129" s="1"/>
  <c r="U18" i="139"/>
  <c r="X18" i="149"/>
  <c r="Z18" i="149" s="1"/>
  <c r="O18" i="143"/>
  <c r="L18" i="145"/>
  <c r="N19" i="145" s="1"/>
  <c r="V19" i="107"/>
  <c r="X20" i="107" s="1"/>
  <c r="Q18" i="110"/>
  <c r="Q19" i="110" s="1"/>
  <c r="AA18" i="114"/>
  <c r="Q18" i="134"/>
  <c r="S19" i="134" s="1"/>
  <c r="Y17" i="133"/>
  <c r="AD18" i="132"/>
  <c r="Z17" i="140"/>
  <c r="AE18" i="150"/>
  <c r="V19" i="134"/>
  <c r="X20" i="134" s="1"/>
  <c r="AA18" i="122"/>
  <c r="AA19" i="122" s="1"/>
  <c r="AE18" i="123"/>
  <c r="X18" i="107"/>
  <c r="Y18" i="107" s="1"/>
  <c r="AE17" i="147"/>
  <c r="T17" i="149"/>
  <c r="AE18" i="122"/>
  <c r="AD18" i="127"/>
  <c r="AD17" i="137"/>
  <c r="AD18" i="149"/>
  <c r="AA18" i="149"/>
  <c r="AA19" i="149" s="1"/>
  <c r="O17" i="114"/>
  <c r="O17" i="110"/>
  <c r="O17" i="106"/>
  <c r="T18" i="111"/>
  <c r="O18" i="118"/>
  <c r="AE18" i="137"/>
  <c r="AE17" i="113"/>
  <c r="X18" i="119"/>
  <c r="Z18" i="119" s="1"/>
  <c r="Z17" i="115"/>
  <c r="V19" i="119"/>
  <c r="X20" i="119" s="1"/>
  <c r="AA18" i="123"/>
  <c r="AE18" i="135"/>
  <c r="T17" i="145"/>
  <c r="Q18" i="112"/>
  <c r="Q19" i="112" s="1"/>
  <c r="AD17" i="127"/>
  <c r="Q18" i="131"/>
  <c r="Q19" i="131" s="1"/>
  <c r="AA18" i="144"/>
  <c r="AC19" i="144" s="1"/>
  <c r="AA18" i="119"/>
  <c r="AC19" i="119" s="1"/>
  <c r="P18" i="150"/>
  <c r="Y17" i="114"/>
  <c r="AD17" i="140"/>
  <c r="Q18" i="113"/>
  <c r="Q19" i="113" s="1"/>
  <c r="AA18" i="133"/>
  <c r="AA19" i="133" s="1"/>
  <c r="AE18" i="133"/>
  <c r="T18" i="113"/>
  <c r="T18" i="144"/>
  <c r="AD18" i="125"/>
  <c r="L18" i="150"/>
  <c r="N19" i="150" s="1"/>
  <c r="AE19" i="113"/>
  <c r="L18" i="111"/>
  <c r="N19" i="111" s="1"/>
  <c r="AD18" i="113"/>
  <c r="Q18" i="139"/>
  <c r="Q19" i="139" s="1"/>
  <c r="Q18" i="144"/>
  <c r="Q19" i="144" s="1"/>
  <c r="U18" i="107"/>
  <c r="L18" i="117"/>
  <c r="N19" i="117" s="1"/>
  <c r="AA18" i="127"/>
  <c r="AC19" i="127" s="1"/>
  <c r="AD17" i="141"/>
  <c r="O17" i="124"/>
  <c r="X18" i="115"/>
  <c r="Y18" i="115" s="1"/>
  <c r="P17" i="129"/>
  <c r="U18" i="116"/>
  <c r="O19" i="129"/>
  <c r="P17" i="113"/>
  <c r="T18" i="150"/>
  <c r="Q18" i="107"/>
  <c r="Q19" i="107" s="1"/>
  <c r="AA18" i="117"/>
  <c r="AC19" i="117" s="1"/>
  <c r="V19" i="118"/>
  <c r="X20" i="118" s="1"/>
  <c r="AA19" i="111"/>
  <c r="AA20" i="111" s="1"/>
  <c r="AE18" i="128"/>
  <c r="AD17" i="131"/>
  <c r="AE18" i="124"/>
  <c r="P18" i="135"/>
  <c r="T18" i="124"/>
  <c r="T18" i="103"/>
  <c r="U18" i="114"/>
  <c r="X19" i="133"/>
  <c r="P18" i="146"/>
  <c r="AE18" i="119"/>
  <c r="AA19" i="131"/>
  <c r="AA20" i="131" s="1"/>
  <c r="AE18" i="148"/>
  <c r="Q18" i="108"/>
  <c r="Q19" i="108" s="1"/>
  <c r="T18" i="115"/>
  <c r="AA18" i="135"/>
  <c r="T17" i="136"/>
  <c r="O18" i="149"/>
  <c r="L18" i="135"/>
  <c r="N19" i="135" s="1"/>
  <c r="Q18" i="114"/>
  <c r="Q19" i="114" s="1"/>
  <c r="Q18" i="115"/>
  <c r="S19" i="115" s="1"/>
  <c r="AA18" i="125"/>
  <c r="AC19" i="125" s="1"/>
  <c r="AA18" i="128"/>
  <c r="AC19" i="128" s="1"/>
  <c r="T18" i="132"/>
  <c r="AA18" i="150"/>
  <c r="Y18" i="130"/>
  <c r="Q18" i="135"/>
  <c r="Q19" i="135" s="1"/>
  <c r="V19" i="137"/>
  <c r="V20" i="137" s="1"/>
  <c r="AD18" i="116"/>
  <c r="Q18" i="124"/>
  <c r="Q19" i="124" s="1"/>
  <c r="Q18" i="103"/>
  <c r="Q19" i="103" s="1"/>
  <c r="O18" i="111"/>
  <c r="AD18" i="136"/>
  <c r="AD18" i="104"/>
  <c r="T17" i="117"/>
  <c r="AD17" i="138"/>
  <c r="Q18" i="150"/>
  <c r="L18" i="149"/>
  <c r="N19" i="149" s="1"/>
  <c r="AA18" i="148"/>
  <c r="AC19" i="148" s="1"/>
  <c r="L18" i="146"/>
  <c r="N19" i="146" s="1"/>
  <c r="AD18" i="145"/>
  <c r="X18" i="145"/>
  <c r="Z18" i="145" s="1"/>
  <c r="AA18" i="145"/>
  <c r="AA19" i="145" s="1"/>
  <c r="AD18" i="143"/>
  <c r="AE18" i="141"/>
  <c r="AA18" i="140"/>
  <c r="AA19" i="140" s="1"/>
  <c r="O17" i="140"/>
  <c r="U18" i="140"/>
  <c r="T18" i="138"/>
  <c r="Q18" i="138"/>
  <c r="S19" i="138" s="1"/>
  <c r="X18" i="137"/>
  <c r="Q18" i="137"/>
  <c r="S19" i="137" s="1"/>
  <c r="X18" i="134"/>
  <c r="Q18" i="133"/>
  <c r="Q19" i="133" s="1"/>
  <c r="U18" i="133"/>
  <c r="AE19" i="131"/>
  <c r="P18" i="130"/>
  <c r="O18" i="129"/>
  <c r="L19" i="129"/>
  <c r="L20" i="129" s="1"/>
  <c r="L19" i="126"/>
  <c r="N20" i="126" s="1"/>
  <c r="X18" i="126"/>
  <c r="Z18" i="126" s="1"/>
  <c r="V19" i="125"/>
  <c r="X20" i="125" s="1"/>
  <c r="X18" i="125"/>
  <c r="Z18" i="125" s="1"/>
  <c r="T18" i="119"/>
  <c r="L18" i="112"/>
  <c r="L19" i="112" s="1"/>
  <c r="O18" i="112"/>
  <c r="AD17" i="110"/>
  <c r="AE17" i="110"/>
  <c r="AD18" i="107"/>
  <c r="T18" i="106"/>
  <c r="AD17" i="105"/>
  <c r="Q18" i="53"/>
  <c r="U18" i="53"/>
  <c r="Q18" i="119"/>
  <c r="Q19" i="119" s="1"/>
  <c r="P18" i="119"/>
  <c r="Q18" i="125"/>
  <c r="S19" i="125" s="1"/>
  <c r="AD18" i="140"/>
  <c r="O18" i="142"/>
  <c r="AD17" i="122"/>
  <c r="AA18" i="126"/>
  <c r="AC19" i="126" s="1"/>
  <c r="L18" i="134"/>
  <c r="L19" i="134" s="1"/>
  <c r="L19" i="136"/>
  <c r="N20" i="136" s="1"/>
  <c r="V19" i="143"/>
  <c r="V20" i="143" s="1"/>
  <c r="X18" i="133"/>
  <c r="X18" i="118"/>
  <c r="Y18" i="118" s="1"/>
  <c r="X18" i="143"/>
  <c r="Z18" i="143" s="1"/>
  <c r="Q18" i="143"/>
  <c r="Q19" i="143" s="1"/>
  <c r="AD19" i="111"/>
  <c r="Q18" i="116"/>
  <c r="Q19" i="116" s="1"/>
  <c r="L18" i="119"/>
  <c r="L19" i="119" s="1"/>
  <c r="Q18" i="132"/>
  <c r="Q19" i="132" s="1"/>
  <c r="O17" i="137"/>
  <c r="AA18" i="139"/>
  <c r="AC19" i="139" s="1"/>
  <c r="T18" i="141"/>
  <c r="AA18" i="107"/>
  <c r="AC19" i="107" s="1"/>
  <c r="AA19" i="113"/>
  <c r="AC20" i="113" s="1"/>
  <c r="AA18" i="118"/>
  <c r="AC19" i="118" s="1"/>
  <c r="T17" i="130"/>
  <c r="AD17" i="134"/>
  <c r="AA18" i="136"/>
  <c r="AA19" i="136" s="1"/>
  <c r="Q18" i="141"/>
  <c r="S19" i="141" s="1"/>
  <c r="AA19" i="143"/>
  <c r="AC20" i="143" s="1"/>
  <c r="AD19" i="143"/>
  <c r="O17" i="148"/>
  <c r="P17" i="148"/>
  <c r="Q18" i="106"/>
  <c r="Q19" i="106" s="1"/>
  <c r="AA18" i="106"/>
  <c r="AC19" i="106" s="1"/>
  <c r="AA18" i="116"/>
  <c r="AC19" i="116" s="1"/>
  <c r="AD18" i="126"/>
  <c r="L18" i="130"/>
  <c r="N19" i="130" s="1"/>
  <c r="AD17" i="133"/>
  <c r="AD18" i="139"/>
  <c r="O17" i="116"/>
  <c r="AA18" i="130"/>
  <c r="AC19" i="130" s="1"/>
  <c r="O19" i="136"/>
  <c r="AA18" i="141"/>
  <c r="AA19" i="141" s="1"/>
  <c r="AD18" i="106"/>
  <c r="AD18" i="118"/>
  <c r="T18" i="125"/>
  <c r="V19" i="126"/>
  <c r="X20" i="126" s="1"/>
  <c r="O18" i="134"/>
  <c r="T18" i="137"/>
  <c r="V18" i="141"/>
  <c r="X18" i="141"/>
  <c r="V18" i="150"/>
  <c r="X18" i="150"/>
  <c r="U17" i="127"/>
  <c r="T17" i="127"/>
  <c r="AA18" i="115"/>
  <c r="AC18" i="115"/>
  <c r="V18" i="110"/>
  <c r="X18" i="110"/>
  <c r="AE19" i="104"/>
  <c r="N18" i="139"/>
  <c r="L18" i="139"/>
  <c r="V18" i="138"/>
  <c r="X18" i="138"/>
  <c r="V18" i="136"/>
  <c r="X18" i="136"/>
  <c r="V18" i="103"/>
  <c r="X18" i="103"/>
  <c r="V18" i="132"/>
  <c r="X18" i="132"/>
  <c r="V18" i="104"/>
  <c r="X18" i="104"/>
  <c r="V18" i="105"/>
  <c r="X18" i="105"/>
  <c r="P17" i="103"/>
  <c r="O17" i="103"/>
  <c r="V18" i="106"/>
  <c r="X18" i="106"/>
  <c r="V18" i="146"/>
  <c r="X18" i="146"/>
  <c r="V18" i="111"/>
  <c r="X18" i="111"/>
  <c r="V18" i="122"/>
  <c r="X18" i="122"/>
  <c r="AD17" i="53"/>
  <c r="AA19" i="104"/>
  <c r="AC20" i="104" s="1"/>
  <c r="V18" i="116"/>
  <c r="X18" i="116"/>
  <c r="V18" i="142"/>
  <c r="X18" i="142"/>
  <c r="AD17" i="143"/>
  <c r="AE17" i="143"/>
  <c r="Q18" i="140"/>
  <c r="Q19" i="140" s="1"/>
  <c r="T18" i="143"/>
  <c r="V18" i="112"/>
  <c r="X18" i="112"/>
  <c r="T18" i="147"/>
  <c r="V18" i="108"/>
  <c r="X18" i="108"/>
  <c r="V18" i="113"/>
  <c r="X18" i="113"/>
  <c r="V18" i="129"/>
  <c r="X18" i="129"/>
  <c r="V18" i="135"/>
  <c r="X18" i="135"/>
  <c r="L18" i="142"/>
  <c r="N19" i="142" s="1"/>
  <c r="V18" i="109"/>
  <c r="X18" i="109"/>
  <c r="V18" i="144"/>
  <c r="X18" i="144"/>
  <c r="T17" i="105"/>
  <c r="L18" i="115"/>
  <c r="N18" i="115"/>
  <c r="V18" i="123"/>
  <c r="X18" i="123"/>
  <c r="AC18" i="108"/>
  <c r="AA18" i="108"/>
  <c r="T17" i="123"/>
  <c r="N18" i="107"/>
  <c r="L18" i="107"/>
  <c r="P17" i="133"/>
  <c r="O17" i="133"/>
  <c r="Q18" i="147"/>
  <c r="Q19" i="147" s="1"/>
  <c r="V18" i="147"/>
  <c r="X18" i="147"/>
  <c r="V18" i="128"/>
  <c r="X18" i="128"/>
  <c r="V18" i="151"/>
  <c r="X18" i="151"/>
  <c r="AK11" i="151"/>
  <c r="N19" i="151"/>
  <c r="L19" i="151"/>
  <c r="AC19" i="151"/>
  <c r="AA19" i="151"/>
  <c r="AL4" i="151"/>
  <c r="AL6" i="151" s="1"/>
  <c r="AN1" i="151"/>
  <c r="AL5" i="151" s="1"/>
  <c r="AK11" i="150"/>
  <c r="AL4" i="150"/>
  <c r="AL6" i="150" s="1"/>
  <c r="AN1" i="150"/>
  <c r="AL5" i="150" s="1"/>
  <c r="Q19" i="149"/>
  <c r="S19" i="149"/>
  <c r="AK11" i="149"/>
  <c r="AL4" i="149"/>
  <c r="AL6" i="149" s="1"/>
  <c r="AN1" i="149"/>
  <c r="AL5" i="149" s="1"/>
  <c r="X20" i="149"/>
  <c r="V20" i="149"/>
  <c r="Z19" i="149"/>
  <c r="Y19" i="149"/>
  <c r="AK11" i="148"/>
  <c r="N19" i="148"/>
  <c r="L19" i="148"/>
  <c r="AL4" i="148"/>
  <c r="AL6" i="148" s="1"/>
  <c r="AN1" i="148"/>
  <c r="AL5" i="148" s="1"/>
  <c r="V20" i="148"/>
  <c r="X20" i="148"/>
  <c r="Y19" i="148"/>
  <c r="Z19" i="148"/>
  <c r="N19" i="147"/>
  <c r="L19" i="147"/>
  <c r="AC19" i="147"/>
  <c r="AA19" i="147"/>
  <c r="AK11" i="147"/>
  <c r="AL4" i="147"/>
  <c r="AL6" i="147" s="1"/>
  <c r="AN1" i="147"/>
  <c r="AL5" i="147" s="1"/>
  <c r="AL4" i="146"/>
  <c r="AL6" i="146" s="1"/>
  <c r="AN1" i="146"/>
  <c r="AL5" i="146" s="1"/>
  <c r="AK11" i="146"/>
  <c r="Q19" i="145"/>
  <c r="S19" i="145"/>
  <c r="AK11" i="145"/>
  <c r="AL4" i="145"/>
  <c r="AL6" i="145" s="1"/>
  <c r="AN1" i="145"/>
  <c r="AL5" i="145" s="1"/>
  <c r="X20" i="145"/>
  <c r="V20" i="145"/>
  <c r="Z19" i="145"/>
  <c r="Y19" i="145"/>
  <c r="AK11" i="144"/>
  <c r="N19" i="144"/>
  <c r="L19" i="144"/>
  <c r="AL4" i="144"/>
  <c r="AL6" i="144" s="1"/>
  <c r="AN1" i="144"/>
  <c r="AL5" i="144" s="1"/>
  <c r="AK11" i="143"/>
  <c r="Y19" i="143"/>
  <c r="Z19" i="143"/>
  <c r="AL4" i="143"/>
  <c r="AL6" i="143" s="1"/>
  <c r="AN1" i="143"/>
  <c r="AL5" i="143" s="1"/>
  <c r="Q19" i="142"/>
  <c r="S19" i="142"/>
  <c r="AC19" i="142"/>
  <c r="AA19" i="142"/>
  <c r="AK11" i="142"/>
  <c r="AL4" i="142"/>
  <c r="AL6" i="142" s="1"/>
  <c r="AN1" i="142"/>
  <c r="AL5" i="142" s="1"/>
  <c r="AL4" i="141"/>
  <c r="AL6" i="141" s="1"/>
  <c r="AN1" i="141"/>
  <c r="AL5" i="141" s="1"/>
  <c r="N19" i="141"/>
  <c r="L19" i="141"/>
  <c r="AK11" i="141"/>
  <c r="V18" i="140"/>
  <c r="X18" i="140"/>
  <c r="AK11" i="140"/>
  <c r="N19" i="140"/>
  <c r="L19" i="140"/>
  <c r="AL4" i="140"/>
  <c r="AL6" i="140" s="1"/>
  <c r="AN1" i="140"/>
  <c r="AL5" i="140" s="1"/>
  <c r="V18" i="139"/>
  <c r="X18" i="139"/>
  <c r="AK11" i="139"/>
  <c r="AL4" i="139"/>
  <c r="AL6" i="139" s="1"/>
  <c r="AN1" i="139"/>
  <c r="AL5" i="139" s="1"/>
  <c r="AK11" i="137"/>
  <c r="N19" i="138"/>
  <c r="L19" i="138"/>
  <c r="AC19" i="138"/>
  <c r="AA19" i="138"/>
  <c r="AK11" i="138"/>
  <c r="AL4" i="138"/>
  <c r="AL6" i="138" s="1"/>
  <c r="AN1" i="138"/>
  <c r="AL5" i="138" s="1"/>
  <c r="N19" i="137"/>
  <c r="L19" i="137"/>
  <c r="AC19" i="137"/>
  <c r="AA19" i="137"/>
  <c r="AL4" i="137"/>
  <c r="AL6" i="137" s="1"/>
  <c r="AN1" i="137"/>
  <c r="AL5" i="137" s="1"/>
  <c r="Z19" i="137"/>
  <c r="Y19" i="137"/>
  <c r="AK11" i="136"/>
  <c r="AL4" i="136"/>
  <c r="AL6" i="136" s="1"/>
  <c r="AN1" i="136"/>
  <c r="AL5" i="136" s="1"/>
  <c r="Q19" i="136"/>
  <c r="S19" i="136"/>
  <c r="U18" i="136"/>
  <c r="T18" i="136"/>
  <c r="AK11" i="135"/>
  <c r="AL4" i="135"/>
  <c r="AL6" i="135" s="1"/>
  <c r="AN1" i="135"/>
  <c r="AL5" i="135" s="1"/>
  <c r="AK11" i="134"/>
  <c r="AC19" i="134"/>
  <c r="AA19" i="134"/>
  <c r="AL4" i="134"/>
  <c r="AL6" i="134" s="1"/>
  <c r="AN1" i="134"/>
  <c r="AL5" i="134" s="1"/>
  <c r="Z19" i="134"/>
  <c r="Y19" i="134"/>
  <c r="N19" i="133"/>
  <c r="L19" i="133"/>
  <c r="AK11" i="133"/>
  <c r="AL4" i="133"/>
  <c r="AL6" i="133" s="1"/>
  <c r="AN1" i="133"/>
  <c r="AL5" i="133" s="1"/>
  <c r="X20" i="133"/>
  <c r="V20" i="133"/>
  <c r="AC19" i="132"/>
  <c r="AA19" i="132"/>
  <c r="AK11" i="132"/>
  <c r="AL4" i="132"/>
  <c r="AL6" i="132" s="1"/>
  <c r="AN1" i="132"/>
  <c r="AL5" i="132" s="1"/>
  <c r="V18" i="131"/>
  <c r="X18" i="131"/>
  <c r="AL4" i="131"/>
  <c r="AL6" i="131" s="1"/>
  <c r="N19" i="131"/>
  <c r="L19" i="131"/>
  <c r="AL5" i="131"/>
  <c r="AK11" i="131"/>
  <c r="AK11" i="130"/>
  <c r="Q19" i="130"/>
  <c r="S19" i="130"/>
  <c r="U18" i="130"/>
  <c r="T18" i="130"/>
  <c r="AL4" i="130"/>
  <c r="AL6" i="130" s="1"/>
  <c r="AN1" i="130"/>
  <c r="AL5" i="130" s="1"/>
  <c r="X20" i="130"/>
  <c r="V20" i="130"/>
  <c r="Z19" i="130"/>
  <c r="Y19" i="130"/>
  <c r="AC19" i="129"/>
  <c r="AA19" i="129"/>
  <c r="AK11" i="129"/>
  <c r="AL4" i="129"/>
  <c r="AL6" i="129" s="1"/>
  <c r="AN1" i="129"/>
  <c r="AL5" i="129" s="1"/>
  <c r="Q19" i="128"/>
  <c r="S19" i="128"/>
  <c r="AK11" i="128"/>
  <c r="AL4" i="128"/>
  <c r="AL6" i="128" s="1"/>
  <c r="AN1" i="128"/>
  <c r="AL5" i="128" s="1"/>
  <c r="N19" i="128"/>
  <c r="L19" i="128"/>
  <c r="V18" i="127"/>
  <c r="X18" i="127"/>
  <c r="N19" i="127"/>
  <c r="L19" i="127"/>
  <c r="AK11" i="127"/>
  <c r="AL4" i="127"/>
  <c r="AL6" i="127" s="1"/>
  <c r="AN1" i="127"/>
  <c r="AL5" i="127" s="1"/>
  <c r="S18" i="126"/>
  <c r="Q18" i="126"/>
  <c r="AK11" i="126"/>
  <c r="AL4" i="126"/>
  <c r="AL6" i="126" s="1"/>
  <c r="AN1" i="126"/>
  <c r="AL5" i="126" s="1"/>
  <c r="Z19" i="126"/>
  <c r="Y19" i="126"/>
  <c r="Z19" i="125"/>
  <c r="Y19" i="125"/>
  <c r="AK11" i="125"/>
  <c r="N19" i="125"/>
  <c r="L19" i="125"/>
  <c r="AL4" i="125"/>
  <c r="AL6" i="125" s="1"/>
  <c r="AN1" i="125"/>
  <c r="AL5" i="125" s="1"/>
  <c r="V18" i="124"/>
  <c r="X18" i="124"/>
  <c r="N19" i="124"/>
  <c r="L19" i="124"/>
  <c r="AL4" i="124"/>
  <c r="AL6" i="124" s="1"/>
  <c r="AN1" i="124"/>
  <c r="AL5" i="124" s="1"/>
  <c r="AK11" i="124"/>
  <c r="AC20" i="124"/>
  <c r="AA20" i="124"/>
  <c r="Q19" i="123"/>
  <c r="S19" i="123"/>
  <c r="AK11" i="123"/>
  <c r="N19" i="123"/>
  <c r="L19" i="123"/>
  <c r="AL4" i="123"/>
  <c r="AL6" i="123" s="1"/>
  <c r="AN1" i="123"/>
  <c r="AL5" i="123" s="1"/>
  <c r="Q19" i="122"/>
  <c r="S19" i="122"/>
  <c r="N19" i="122"/>
  <c r="L19" i="122"/>
  <c r="AK11" i="122"/>
  <c r="AL4" i="122"/>
  <c r="AL6" i="122" s="1"/>
  <c r="AN1" i="122"/>
  <c r="AL5" i="122" s="1"/>
  <c r="AK11" i="121"/>
  <c r="AL4" i="121"/>
  <c r="AL6" i="121" s="1"/>
  <c r="AN1" i="121"/>
  <c r="AL5" i="121" s="1"/>
  <c r="AK11" i="120"/>
  <c r="AL4" i="120"/>
  <c r="AL6" i="120" s="1"/>
  <c r="AN1" i="120"/>
  <c r="AL5" i="120" s="1"/>
  <c r="AK11" i="119"/>
  <c r="AL4" i="119"/>
  <c r="AL6" i="119" s="1"/>
  <c r="AN1" i="119"/>
  <c r="AL5" i="119" s="1"/>
  <c r="Z19" i="119"/>
  <c r="Y19" i="119"/>
  <c r="S18" i="118"/>
  <c r="Q18" i="118"/>
  <c r="AK11" i="118"/>
  <c r="N19" i="118"/>
  <c r="L19" i="118"/>
  <c r="AL4" i="118"/>
  <c r="AL6" i="118" s="1"/>
  <c r="AN1" i="118"/>
  <c r="AL5" i="118" s="1"/>
  <c r="Z19" i="118"/>
  <c r="Y19" i="118"/>
  <c r="V18" i="117"/>
  <c r="X18" i="117"/>
  <c r="Q19" i="117"/>
  <c r="S19" i="117"/>
  <c r="AK11" i="117"/>
  <c r="AL4" i="117"/>
  <c r="AL6" i="117" s="1"/>
  <c r="AN1" i="117"/>
  <c r="AL5" i="117" s="1"/>
  <c r="N19" i="116"/>
  <c r="L19" i="116"/>
  <c r="AK11" i="116"/>
  <c r="AL4" i="116"/>
  <c r="AL6" i="116" s="1"/>
  <c r="AN1" i="116"/>
  <c r="AL5" i="116" s="1"/>
  <c r="Q19" i="115"/>
  <c r="AK11" i="115"/>
  <c r="Z19" i="115"/>
  <c r="Y19" i="115"/>
  <c r="AL5" i="115"/>
  <c r="AL4" i="115"/>
  <c r="AL6" i="115" s="1"/>
  <c r="V18" i="114"/>
  <c r="X18" i="114"/>
  <c r="AK11" i="114"/>
  <c r="N19" i="114"/>
  <c r="L19" i="114"/>
  <c r="AC19" i="114"/>
  <c r="AA19" i="114"/>
  <c r="AL4" i="114"/>
  <c r="AL6" i="114" s="1"/>
  <c r="AN1" i="114"/>
  <c r="AL5" i="114" s="1"/>
  <c r="AK11" i="113"/>
  <c r="N19" i="113"/>
  <c r="L19" i="113"/>
  <c r="AL4" i="113"/>
  <c r="AL6" i="113" s="1"/>
  <c r="AN1" i="113"/>
  <c r="AL5" i="113" s="1"/>
  <c r="S19" i="112"/>
  <c r="AL4" i="112"/>
  <c r="AL6" i="112" s="1"/>
  <c r="N19" i="112"/>
  <c r="AL5" i="112"/>
  <c r="AK11" i="112"/>
  <c r="Q19" i="111"/>
  <c r="S19" i="111"/>
  <c r="AC20" i="111"/>
  <c r="AL4" i="111"/>
  <c r="AL6" i="111" s="1"/>
  <c r="AN1" i="111"/>
  <c r="AL5" i="111" s="1"/>
  <c r="AK11" i="111"/>
  <c r="AC19" i="110"/>
  <c r="AA19" i="110"/>
  <c r="N19" i="110"/>
  <c r="L19" i="110"/>
  <c r="AK11" i="110"/>
  <c r="AL4" i="110"/>
  <c r="AL6" i="110" s="1"/>
  <c r="AN1" i="110"/>
  <c r="AL5" i="110" s="1"/>
  <c r="Q19" i="109"/>
  <c r="S19" i="109"/>
  <c r="N19" i="109"/>
  <c r="L19" i="109"/>
  <c r="AC19" i="109"/>
  <c r="AA19" i="109"/>
  <c r="AK11" i="109"/>
  <c r="AL4" i="109"/>
  <c r="AL6" i="109" s="1"/>
  <c r="AN1" i="109"/>
  <c r="AL5" i="109" s="1"/>
  <c r="AL4" i="108"/>
  <c r="AL6" i="108" s="1"/>
  <c r="AN1" i="108"/>
  <c r="AL5" i="108" s="1"/>
  <c r="AK11" i="108"/>
  <c r="AL4" i="107"/>
  <c r="AL6" i="107" s="1"/>
  <c r="AN1" i="107"/>
  <c r="AL5" i="107" s="1"/>
  <c r="AK11" i="107"/>
  <c r="Z19" i="107"/>
  <c r="Y19" i="107"/>
  <c r="AL4" i="106"/>
  <c r="AL6" i="106" s="1"/>
  <c r="AN1" i="106"/>
  <c r="AL5" i="106" s="1"/>
  <c r="N19" i="106"/>
  <c r="L19" i="106"/>
  <c r="AK11" i="106"/>
  <c r="Q19" i="105"/>
  <c r="S19" i="105"/>
  <c r="AK11" i="105"/>
  <c r="AC19" i="105"/>
  <c r="AA19" i="105"/>
  <c r="N19" i="105"/>
  <c r="L19" i="105"/>
  <c r="AL4" i="105"/>
  <c r="AL6" i="105" s="1"/>
  <c r="AN1" i="105"/>
  <c r="AL5" i="105" s="1"/>
  <c r="P18" i="105"/>
  <c r="O18" i="105"/>
  <c r="N19" i="104"/>
  <c r="L19" i="104"/>
  <c r="AK11" i="104"/>
  <c r="AL4" i="104"/>
  <c r="AL6" i="104" s="1"/>
  <c r="AN1" i="104"/>
  <c r="AL5" i="104" s="1"/>
  <c r="AK11" i="103"/>
  <c r="N19" i="103"/>
  <c r="L19" i="103"/>
  <c r="AL4" i="103"/>
  <c r="AL6" i="103" s="1"/>
  <c r="AN1" i="103"/>
  <c r="AL5" i="103" s="1"/>
  <c r="P17" i="53"/>
  <c r="O17" i="53"/>
  <c r="AK11" i="53"/>
  <c r="D7" i="53" s="1"/>
  <c r="Z2" i="52"/>
  <c r="AN1" i="53"/>
  <c r="AL5" i="53" s="1"/>
  <c r="AL4" i="53"/>
  <c r="X18" i="53"/>
  <c r="V18" i="53"/>
  <c r="AC19" i="53"/>
  <c r="AA19" i="53"/>
  <c r="P18" i="53"/>
  <c r="O18" i="53"/>
  <c r="AE18" i="53"/>
  <c r="AD18" i="53"/>
  <c r="N19" i="53"/>
  <c r="L19" i="53"/>
  <c r="Z6" i="52"/>
  <c r="Z8" i="52"/>
  <c r="B6" i="52"/>
  <c r="B8" i="52" s="1"/>
  <c r="D35" i="52"/>
  <c r="Z3" i="52"/>
  <c r="Z4" i="52"/>
  <c r="Z7" i="52"/>
  <c r="Z5" i="52"/>
  <c r="U473" i="152" l="1"/>
  <c r="AJ393" i="152"/>
  <c r="AE410" i="152"/>
  <c r="AJ232" i="152"/>
  <c r="U421" i="152"/>
  <c r="U512" i="152"/>
  <c r="AO203" i="152"/>
  <c r="AE126" i="152"/>
  <c r="U274" i="152"/>
  <c r="AO461" i="152"/>
  <c r="U377" i="152"/>
  <c r="AJ461" i="152"/>
  <c r="AE197" i="152"/>
  <c r="AJ370" i="152"/>
  <c r="U600" i="152"/>
  <c r="AE706" i="152"/>
  <c r="AO401" i="152"/>
  <c r="AO593" i="152"/>
  <c r="AE413" i="152"/>
  <c r="AE577" i="152"/>
  <c r="Z493" i="152"/>
  <c r="Z666" i="152"/>
  <c r="AO456" i="152"/>
  <c r="AE538" i="152"/>
  <c r="U228" i="152"/>
  <c r="U148" i="152"/>
  <c r="AJ423" i="152"/>
  <c r="U661" i="152"/>
  <c r="AO556" i="152"/>
  <c r="AE37" i="152"/>
  <c r="U35" i="152"/>
  <c r="AO99" i="152"/>
  <c r="U216" i="152"/>
  <c r="AE446" i="152"/>
  <c r="AO263" i="152"/>
  <c r="Z576" i="152"/>
  <c r="U364" i="152"/>
  <c r="AE281" i="152"/>
  <c r="AE514" i="152"/>
  <c r="AJ59" i="152"/>
  <c r="U80" i="152"/>
  <c r="AE157" i="152"/>
  <c r="AJ273" i="152"/>
  <c r="U504" i="152"/>
  <c r="U206" i="152"/>
  <c r="U563" i="152"/>
  <c r="AO62" i="152"/>
  <c r="Z83" i="152"/>
  <c r="AJ160" i="152"/>
  <c r="AO276" i="152"/>
  <c r="U110" i="152"/>
  <c r="AE370" i="152"/>
  <c r="AJ361" i="152"/>
  <c r="Z47" i="152"/>
  <c r="AO660" i="152"/>
  <c r="AE700" i="152"/>
  <c r="AJ530" i="152"/>
  <c r="Q19" i="134"/>
  <c r="L19" i="108"/>
  <c r="AE518" i="152"/>
  <c r="AE307" i="152"/>
  <c r="AE40" i="152"/>
  <c r="Z48" i="152"/>
  <c r="AJ26" i="152"/>
  <c r="Z465" i="152"/>
  <c r="U348" i="152"/>
  <c r="AE619" i="152"/>
  <c r="U445" i="152"/>
  <c r="U481" i="152"/>
  <c r="AO209" i="152"/>
  <c r="U39" i="152"/>
  <c r="AJ385" i="152"/>
  <c r="Z405" i="152"/>
  <c r="U327" i="152"/>
  <c r="U423" i="152"/>
  <c r="AJ611" i="152"/>
  <c r="AO527" i="152"/>
  <c r="AE355" i="152"/>
  <c r="Z82" i="152"/>
  <c r="AE92" i="152"/>
  <c r="AO105" i="152"/>
  <c r="Z84" i="152"/>
  <c r="AO202" i="152"/>
  <c r="AJ259" i="152"/>
  <c r="U244" i="152"/>
  <c r="AO561" i="152"/>
  <c r="AO502" i="152"/>
  <c r="U493" i="152"/>
  <c r="Z683" i="152"/>
  <c r="AJ582" i="152"/>
  <c r="U349" i="152"/>
  <c r="AE85" i="152"/>
  <c r="AJ95" i="152"/>
  <c r="U109" i="152"/>
  <c r="AE87" i="152"/>
  <c r="Z215" i="152"/>
  <c r="AO266" i="152"/>
  <c r="AJ500" i="152"/>
  <c r="AE456" i="152"/>
  <c r="AJ354" i="152"/>
  <c r="AJ338" i="152"/>
  <c r="Z156" i="152"/>
  <c r="Z316" i="152"/>
  <c r="U305" i="152"/>
  <c r="AJ708" i="152"/>
  <c r="AE541" i="152"/>
  <c r="AE319" i="152"/>
  <c r="U191" i="152"/>
  <c r="Z194" i="152"/>
  <c r="AE230" i="152"/>
  <c r="L19" i="117"/>
  <c r="AE155" i="152"/>
  <c r="AJ165" i="152"/>
  <c r="Z163" i="152"/>
  <c r="U36" i="152"/>
  <c r="AJ311" i="152"/>
  <c r="U335" i="152"/>
  <c r="AJ298" i="152"/>
  <c r="AJ272" i="152"/>
  <c r="AJ490" i="152"/>
  <c r="Z56" i="152"/>
  <c r="AE66" i="152"/>
  <c r="AJ50" i="152"/>
  <c r="AJ76" i="152"/>
  <c r="U90" i="152"/>
  <c r="AO87" i="152"/>
  <c r="AO503" i="152"/>
  <c r="AO205" i="152"/>
  <c r="Z228" i="152"/>
  <c r="Z587" i="152"/>
  <c r="AE609" i="152"/>
  <c r="AE580" i="152"/>
  <c r="AJ602" i="152"/>
  <c r="Z413" i="152"/>
  <c r="AE364" i="152"/>
  <c r="U559" i="152"/>
  <c r="AE207" i="152"/>
  <c r="AJ93" i="152"/>
  <c r="Z369" i="152"/>
  <c r="U373" i="152"/>
  <c r="Z206" i="152"/>
  <c r="Z356" i="152"/>
  <c r="AE657" i="152"/>
  <c r="AJ650" i="152"/>
  <c r="Z483" i="152"/>
  <c r="U506" i="152"/>
  <c r="X20" i="137"/>
  <c r="AJ140" i="152"/>
  <c r="Z550" i="152"/>
  <c r="AJ167" i="152"/>
  <c r="U345" i="152"/>
  <c r="AJ216" i="152"/>
  <c r="Z139" i="152"/>
  <c r="AE496" i="152"/>
  <c r="U356" i="152"/>
  <c r="AJ77" i="152"/>
  <c r="Z91" i="152"/>
  <c r="AJ321" i="152"/>
  <c r="U223" i="152"/>
  <c r="U249" i="152"/>
  <c r="AO148" i="152"/>
  <c r="AO410" i="152"/>
  <c r="U516" i="152"/>
  <c r="Z461" i="152"/>
  <c r="Z615" i="152"/>
  <c r="AO676" i="152"/>
  <c r="AE437" i="152"/>
  <c r="AO329" i="152"/>
  <c r="AO409" i="152"/>
  <c r="AJ557" i="152"/>
  <c r="Z619" i="152"/>
  <c r="Z359" i="152"/>
  <c r="AJ576" i="152"/>
  <c r="AJ513" i="152"/>
  <c r="U558" i="152"/>
  <c r="AE510" i="152"/>
  <c r="AJ532" i="152"/>
  <c r="AJ502" i="152"/>
  <c r="AE650" i="152"/>
  <c r="Z343" i="152"/>
  <c r="AO596" i="152"/>
  <c r="U590" i="152"/>
  <c r="AE474" i="152"/>
  <c r="AO603" i="152"/>
  <c r="U591" i="152"/>
  <c r="Z253" i="152"/>
  <c r="AE431" i="152"/>
  <c r="Z533" i="152"/>
  <c r="AO139" i="152"/>
  <c r="AE137" i="152"/>
  <c r="Z202" i="152"/>
  <c r="Z266" i="152"/>
  <c r="AJ296" i="152"/>
  <c r="Z231" i="152"/>
  <c r="AO459" i="152"/>
  <c r="U530" i="152"/>
  <c r="U143" i="152"/>
  <c r="Z153" i="152"/>
  <c r="AJ166" i="152"/>
  <c r="U145" i="152"/>
  <c r="AO311" i="152"/>
  <c r="AO521" i="152"/>
  <c r="Z368" i="152"/>
  <c r="U162" i="152"/>
  <c r="U169" i="152"/>
  <c r="Z55" i="152"/>
  <c r="AO330" i="152"/>
  <c r="Z354" i="152"/>
  <c r="AE544" i="152"/>
  <c r="AJ440" i="152"/>
  <c r="Z172" i="152"/>
  <c r="AE58" i="152"/>
  <c r="U334" i="152"/>
  <c r="U483" i="152"/>
  <c r="AO517" i="152"/>
  <c r="U181" i="152"/>
  <c r="Z191" i="152"/>
  <c r="AJ61" i="152"/>
  <c r="Z337" i="152"/>
  <c r="AJ116" i="152"/>
  <c r="AO477" i="152"/>
  <c r="Z258" i="152"/>
  <c r="AE268" i="152"/>
  <c r="Z13" i="152"/>
  <c r="U11" i="152"/>
  <c r="U427" i="152"/>
  <c r="AO430" i="152"/>
  <c r="AO534" i="152"/>
  <c r="U426" i="152"/>
  <c r="AJ374" i="152"/>
  <c r="Z136" i="152"/>
  <c r="AE146" i="152"/>
  <c r="AJ156" i="152"/>
  <c r="U170" i="152"/>
  <c r="AO315" i="152"/>
  <c r="U557" i="152"/>
  <c r="U496" i="152"/>
  <c r="AE495" i="152"/>
  <c r="AJ75" i="152"/>
  <c r="Z147" i="152"/>
  <c r="U20" i="152"/>
  <c r="AJ295" i="152"/>
  <c r="AE299" i="152"/>
  <c r="AO293" i="152"/>
  <c r="AE582" i="152"/>
  <c r="Z355" i="152"/>
  <c r="AO267" i="152"/>
  <c r="Z74" i="152"/>
  <c r="AE190" i="152"/>
  <c r="AO420" i="152"/>
  <c r="U284" i="152"/>
  <c r="AO499" i="152"/>
  <c r="U197" i="152"/>
  <c r="Z26" i="152"/>
  <c r="AO372" i="152"/>
  <c r="AE113" i="152"/>
  <c r="U643" i="152"/>
  <c r="Z274" i="152"/>
  <c r="AO15" i="152"/>
  <c r="Z29" i="152"/>
  <c r="U27" i="152"/>
  <c r="U443" i="152"/>
  <c r="AO572" i="152"/>
  <c r="Z416" i="152"/>
  <c r="AJ254" i="152"/>
  <c r="AO264" i="152"/>
  <c r="U200" i="152"/>
  <c r="Z690" i="152"/>
  <c r="U588" i="152"/>
  <c r="AO358" i="152"/>
  <c r="AE621" i="152"/>
  <c r="Z436" i="152"/>
  <c r="U304" i="152"/>
  <c r="AE671" i="152"/>
  <c r="AJ219" i="152"/>
  <c r="AE462" i="152"/>
  <c r="AO174" i="152"/>
  <c r="Z164" i="152"/>
  <c r="AO666" i="152"/>
  <c r="AO584" i="152"/>
  <c r="AO667" i="152"/>
  <c r="U687" i="152"/>
  <c r="U672" i="152"/>
  <c r="AO533" i="152"/>
  <c r="AO617" i="152"/>
  <c r="U650" i="152"/>
  <c r="Z674" i="152"/>
  <c r="AO687" i="152"/>
  <c r="U149" i="152"/>
  <c r="Z159" i="152"/>
  <c r="AO182" i="152"/>
  <c r="AJ328" i="152"/>
  <c r="AE402" i="152"/>
  <c r="AJ139" i="152"/>
  <c r="U160" i="152"/>
  <c r="AO32" i="152"/>
  <c r="AE308" i="152"/>
  <c r="AO122" i="152"/>
  <c r="AJ637" i="152"/>
  <c r="Z699" i="152"/>
  <c r="AO316" i="152"/>
  <c r="U359" i="152"/>
  <c r="AJ173" i="152"/>
  <c r="U609" i="152"/>
  <c r="AJ422" i="152"/>
  <c r="AE675" i="152"/>
  <c r="AO635" i="152"/>
  <c r="U704" i="152"/>
  <c r="Z334" i="152"/>
  <c r="U648" i="152"/>
  <c r="AJ527" i="152"/>
  <c r="AE79" i="152"/>
  <c r="U175" i="152"/>
  <c r="Z211" i="152"/>
  <c r="AE363" i="152"/>
  <c r="AO570" i="152"/>
  <c r="AJ509" i="152"/>
  <c r="Z513" i="152"/>
  <c r="U372" i="152"/>
  <c r="AE631" i="152"/>
  <c r="AO704" i="152"/>
  <c r="AO546" i="152"/>
  <c r="AJ499" i="152"/>
  <c r="AO674" i="152"/>
  <c r="U565" i="152"/>
  <c r="U392" i="152"/>
  <c r="AJ430" i="152"/>
  <c r="Q19" i="104"/>
  <c r="S19" i="110"/>
  <c r="AC19" i="150"/>
  <c r="AA19" i="150"/>
  <c r="S18" i="151"/>
  <c r="Q18" i="151"/>
  <c r="U152" i="152"/>
  <c r="AJ459" i="152"/>
  <c r="AE521" i="152"/>
  <c r="Z60" i="152"/>
  <c r="Z331" i="152"/>
  <c r="AE229" i="152"/>
  <c r="U589" i="152"/>
  <c r="U531" i="152"/>
  <c r="AO475" i="152"/>
  <c r="AO100" i="152"/>
  <c r="Z601" i="152"/>
  <c r="AO301" i="152"/>
  <c r="Z178" i="152"/>
  <c r="AA19" i="123"/>
  <c r="AC19" i="123"/>
  <c r="U153" i="152"/>
  <c r="U313" i="152"/>
  <c r="U546" i="152"/>
  <c r="AO27" i="152"/>
  <c r="AE51" i="152"/>
  <c r="Z616" i="152"/>
  <c r="U381" i="152"/>
  <c r="U172" i="152"/>
  <c r="U279" i="152"/>
  <c r="AJ435" i="152"/>
  <c r="AO294" i="152"/>
  <c r="Z175" i="152"/>
  <c r="AO198" i="152"/>
  <c r="AO340" i="152"/>
  <c r="AE360" i="152"/>
  <c r="Z282" i="152"/>
  <c r="AJ426" i="152"/>
  <c r="AE467" i="152"/>
  <c r="AE219" i="152"/>
  <c r="AJ229" i="152"/>
  <c r="AJ515" i="152"/>
  <c r="AO397" i="152"/>
  <c r="U127" i="152"/>
  <c r="Z137" i="152"/>
  <c r="U138" i="152"/>
  <c r="U280" i="152"/>
  <c r="AE97" i="152"/>
  <c r="AO438" i="152"/>
  <c r="U38" i="152"/>
  <c r="AO29" i="152"/>
  <c r="Z351" i="152"/>
  <c r="AE473" i="152"/>
  <c r="AJ195" i="152"/>
  <c r="Z357" i="152"/>
  <c r="U165" i="152"/>
  <c r="S19" i="108"/>
  <c r="Z384" i="152"/>
  <c r="AO555" i="152"/>
  <c r="AJ210" i="152"/>
  <c r="AE211" i="152"/>
  <c r="AO96" i="152"/>
  <c r="AE372" i="152"/>
  <c r="Z376" i="152"/>
  <c r="Z218" i="152"/>
  <c r="AE359" i="152"/>
  <c r="U608" i="152"/>
  <c r="AE588" i="152"/>
  <c r="AE499" i="152"/>
  <c r="AE252" i="152"/>
  <c r="AJ48" i="152"/>
  <c r="AO164" i="152"/>
  <c r="Z395" i="152"/>
  <c r="AO414" i="152"/>
  <c r="AJ336" i="152"/>
  <c r="U336" i="152"/>
  <c r="Z585" i="152"/>
  <c r="Z495" i="152"/>
  <c r="Z268" i="152"/>
  <c r="U13" i="152"/>
  <c r="AE154" i="152"/>
  <c r="U430" i="152"/>
  <c r="AO312" i="152"/>
  <c r="Z418" i="152"/>
  <c r="Z633" i="152"/>
  <c r="AO383" i="152"/>
  <c r="U277" i="152"/>
  <c r="AO28" i="152"/>
  <c r="Z106" i="152"/>
  <c r="AE222" i="152"/>
  <c r="AO452" i="152"/>
  <c r="Z279" i="152"/>
  <c r="Z614" i="152"/>
  <c r="AJ378" i="152"/>
  <c r="AJ11" i="152"/>
  <c r="U32" i="152"/>
  <c r="AE109" i="152"/>
  <c r="AJ225" i="152"/>
  <c r="U456" i="152"/>
  <c r="Z319" i="152"/>
  <c r="AE48" i="152"/>
  <c r="Z46" i="152"/>
  <c r="Z462" i="152"/>
  <c r="U602" i="152"/>
  <c r="Z518" i="152"/>
  <c r="AE56" i="152"/>
  <c r="AO76" i="152"/>
  <c r="Z154" i="152"/>
  <c r="AE270" i="152"/>
  <c r="AO500" i="152"/>
  <c r="Z193" i="152"/>
  <c r="Z566" i="152"/>
  <c r="AJ467" i="152"/>
  <c r="Z72" i="152"/>
  <c r="AE18" i="151"/>
  <c r="AD18" i="151"/>
  <c r="Z491" i="152"/>
  <c r="AE494" i="152"/>
  <c r="U525" i="152"/>
  <c r="U128" i="152"/>
  <c r="AE205" i="152"/>
  <c r="AE14" i="152"/>
  <c r="AE273" i="152"/>
  <c r="AO299" i="152"/>
  <c r="AA19" i="112"/>
  <c r="AO320" i="152"/>
  <c r="Z528" i="152"/>
  <c r="Z454" i="152"/>
  <c r="AO402" i="152"/>
  <c r="AE111" i="152"/>
  <c r="Z11" i="152"/>
  <c r="AO526" i="152"/>
  <c r="AO68" i="152"/>
  <c r="AJ334" i="152"/>
  <c r="AJ159" i="152"/>
  <c r="Z453" i="152"/>
  <c r="AE181" i="152"/>
  <c r="AJ217" i="152"/>
  <c r="AO484" i="152"/>
  <c r="U222" i="152"/>
  <c r="AJ155" i="152"/>
  <c r="U150" i="152"/>
  <c r="AO150" i="152"/>
  <c r="AO292" i="152"/>
  <c r="AE312" i="152"/>
  <c r="AE100" i="152"/>
  <c r="AJ496" i="152"/>
  <c r="Z374" i="152"/>
  <c r="AO165" i="152"/>
  <c r="U52" i="152"/>
  <c r="AJ327" i="152"/>
  <c r="U351" i="152"/>
  <c r="AJ547" i="152"/>
  <c r="AO444" i="152"/>
  <c r="Z524" i="152"/>
  <c r="AJ174" i="152"/>
  <c r="AJ322" i="152"/>
  <c r="Z503" i="152"/>
  <c r="Z103" i="152"/>
  <c r="AO116" i="152"/>
  <c r="AO378" i="152"/>
  <c r="AJ382" i="152"/>
  <c r="AJ234" i="152"/>
  <c r="U458" i="152"/>
  <c r="Z546" i="152"/>
  <c r="AO225" i="152"/>
  <c r="U236" i="152"/>
  <c r="AJ233" i="152"/>
  <c r="U55" i="152"/>
  <c r="Z171" i="152"/>
  <c r="AJ401" i="152"/>
  <c r="Z421" i="152"/>
  <c r="U343" i="152"/>
  <c r="Z487" i="152"/>
  <c r="Z323" i="152"/>
  <c r="AO453" i="152"/>
  <c r="U229" i="152"/>
  <c r="Z239" i="152"/>
  <c r="AO236" i="152"/>
  <c r="Z58" i="152"/>
  <c r="AE174" i="152"/>
  <c r="AO404" i="152"/>
  <c r="U251" i="152"/>
  <c r="AE699" i="152"/>
  <c r="U611" i="152"/>
  <c r="U255" i="152"/>
  <c r="U240" i="152"/>
  <c r="AE61" i="152"/>
  <c r="AJ177" i="152"/>
  <c r="U408" i="152"/>
  <c r="Z260" i="152"/>
  <c r="Z696" i="152"/>
  <c r="AO607" i="152"/>
  <c r="AE368" i="152"/>
  <c r="AE53" i="152"/>
  <c r="AJ63" i="152"/>
  <c r="U77" i="152"/>
  <c r="AE55" i="152"/>
  <c r="U494" i="152"/>
  <c r="Z478" i="152"/>
  <c r="AO497" i="152"/>
  <c r="U482" i="152"/>
  <c r="AJ473" i="152"/>
  <c r="AE272" i="152"/>
  <c r="AO443" i="152"/>
  <c r="AE220" i="152"/>
  <c r="AO207" i="152"/>
  <c r="AO233" i="152"/>
  <c r="Z49" i="152"/>
  <c r="U379" i="152"/>
  <c r="AO382" i="152"/>
  <c r="AJ531" i="152"/>
  <c r="AO505" i="152"/>
  <c r="U399" i="152"/>
  <c r="AJ368" i="152"/>
  <c r="AE139" i="152"/>
  <c r="AO200" i="152"/>
  <c r="AE198" i="152"/>
  <c r="AO19" i="152"/>
  <c r="Z581" i="152"/>
  <c r="AE610" i="152"/>
  <c r="U556" i="152"/>
  <c r="AO213" i="152"/>
  <c r="AJ214" i="152"/>
  <c r="U30" i="152"/>
  <c r="AO359" i="152"/>
  <c r="AO269" i="152"/>
  <c r="U429" i="152"/>
  <c r="AJ620" i="152"/>
  <c r="Z463" i="152"/>
  <c r="AJ222" i="152"/>
  <c r="AO232" i="152"/>
  <c r="AO51" i="152"/>
  <c r="U168" i="152"/>
  <c r="AE398" i="152"/>
  <c r="U418" i="152"/>
  <c r="AO339" i="152"/>
  <c r="AJ335" i="152"/>
  <c r="AE387" i="152"/>
  <c r="AO258" i="152"/>
  <c r="Z272" i="152"/>
  <c r="AJ87" i="152"/>
  <c r="AE417" i="152"/>
  <c r="AE332" i="152"/>
  <c r="Z383" i="152"/>
  <c r="AO251" i="152"/>
  <c r="U262" i="152"/>
  <c r="AE275" i="152"/>
  <c r="AO90" i="152"/>
  <c r="AJ420" i="152"/>
  <c r="AE424" i="152"/>
  <c r="Z346" i="152"/>
  <c r="Z595" i="152"/>
  <c r="AJ575" i="152"/>
  <c r="Z265" i="152"/>
  <c r="U10" i="152"/>
  <c r="U94" i="152"/>
  <c r="AO423" i="152"/>
  <c r="AJ100" i="152"/>
  <c r="U592" i="152"/>
  <c r="Z69" i="152"/>
  <c r="AJ89" i="152"/>
  <c r="U167" i="152"/>
  <c r="AE129" i="152"/>
  <c r="Z161" i="152"/>
  <c r="AE116" i="152"/>
  <c r="Z358" i="152"/>
  <c r="U233" i="152"/>
  <c r="Z119" i="152"/>
  <c r="AO394" i="152"/>
  <c r="U294" i="152"/>
  <c r="AO510" i="152"/>
  <c r="AJ223" i="152"/>
  <c r="U237" i="152"/>
  <c r="AE52" i="152"/>
  <c r="Z382" i="152"/>
  <c r="U386" i="152"/>
  <c r="AJ579" i="152"/>
  <c r="AO491" i="152"/>
  <c r="Z490" i="152"/>
  <c r="AO78" i="152"/>
  <c r="AJ86" i="152"/>
  <c r="U65" i="152"/>
  <c r="AJ503" i="152"/>
  <c r="Z110" i="152"/>
  <c r="U171" i="152"/>
  <c r="U595" i="152"/>
  <c r="AJ457" i="152"/>
  <c r="U15" i="152"/>
  <c r="Z25" i="152"/>
  <c r="AJ38" i="152"/>
  <c r="U17" i="152"/>
  <c r="AJ455" i="152"/>
  <c r="AJ598" i="152"/>
  <c r="AO224" i="152"/>
  <c r="U570" i="152"/>
  <c r="Z477" i="152"/>
  <c r="U374" i="152"/>
  <c r="AJ72" i="152"/>
  <c r="AO82" i="152"/>
  <c r="Z96" i="152"/>
  <c r="AJ74" i="152"/>
  <c r="U158" i="152"/>
  <c r="Z180" i="152"/>
  <c r="Z539" i="152"/>
  <c r="Z371" i="152"/>
  <c r="Z702" i="152"/>
  <c r="U375" i="152"/>
  <c r="Z397" i="152"/>
  <c r="AO142" i="152"/>
  <c r="AJ150" i="152"/>
  <c r="U129" i="152"/>
  <c r="AO295" i="152"/>
  <c r="AE315" i="152"/>
  <c r="AE633" i="152"/>
  <c r="AJ294" i="152"/>
  <c r="U100" i="152"/>
  <c r="AJ375" i="152"/>
  <c r="AE225" i="152"/>
  <c r="AJ362" i="152"/>
  <c r="AO604" i="152"/>
  <c r="AJ392" i="152"/>
  <c r="AJ255" i="152"/>
  <c r="U269" i="152"/>
  <c r="AE84" i="152"/>
  <c r="Z414" i="152"/>
  <c r="Z329" i="152"/>
  <c r="AE380" i="152"/>
  <c r="U490" i="152"/>
  <c r="AJ617" i="152"/>
  <c r="AJ614" i="152"/>
  <c r="AO571" i="152"/>
  <c r="Z707" i="152"/>
  <c r="AJ53" i="152"/>
  <c r="AO63" i="152"/>
  <c r="AE121" i="152"/>
  <c r="AO275" i="152"/>
  <c r="AJ280" i="152"/>
  <c r="AE532" i="152"/>
  <c r="AE701" i="152"/>
  <c r="AE329" i="152"/>
  <c r="AE695" i="152"/>
  <c r="U535" i="152"/>
  <c r="AO381" i="152"/>
  <c r="AJ538" i="152"/>
  <c r="AJ247" i="152"/>
  <c r="AJ615" i="152"/>
  <c r="AE464" i="152"/>
  <c r="AE415" i="152"/>
  <c r="U497" i="152"/>
  <c r="AE288" i="152"/>
  <c r="AE386" i="152"/>
  <c r="AO151" i="152"/>
  <c r="U683" i="152"/>
  <c r="Z295" i="152"/>
  <c r="AJ103" i="152"/>
  <c r="Z516" i="152"/>
  <c r="U196" i="152"/>
  <c r="AO577" i="152"/>
  <c r="AO548" i="152"/>
  <c r="U432" i="152"/>
  <c r="U285" i="152"/>
  <c r="Z554" i="152"/>
  <c r="AE571" i="152"/>
  <c r="AO615" i="152"/>
  <c r="AE639" i="152"/>
  <c r="AE271" i="152"/>
  <c r="Z16" i="152"/>
  <c r="AJ157" i="152"/>
  <c r="Z433" i="152"/>
  <c r="U316" i="152"/>
  <c r="U413" i="152"/>
  <c r="U630" i="152"/>
  <c r="AO485" i="152"/>
  <c r="AJ274" i="152"/>
  <c r="AE19" i="152"/>
  <c r="AO160" i="152"/>
  <c r="AE436" i="152"/>
  <c r="AJ119" i="152"/>
  <c r="AE620" i="152"/>
  <c r="AO30" i="152"/>
  <c r="Z51" i="152"/>
  <c r="AJ128" i="152"/>
  <c r="AO244" i="152"/>
  <c r="Z475" i="152"/>
  <c r="AE338" i="152"/>
  <c r="U431" i="152"/>
  <c r="AO97" i="152"/>
  <c r="U108" i="152"/>
  <c r="Z118" i="152"/>
  <c r="AJ131" i="152"/>
  <c r="AJ266" i="152"/>
  <c r="AE276" i="152"/>
  <c r="AE454" i="152"/>
  <c r="AJ583" i="152"/>
  <c r="AJ669" i="152"/>
  <c r="Z561" i="152"/>
  <c r="AJ437" i="152"/>
  <c r="AE209" i="152"/>
  <c r="U638" i="152"/>
  <c r="Z660" i="152"/>
  <c r="AO496" i="152"/>
  <c r="Z693" i="152"/>
  <c r="U601" i="152"/>
  <c r="Z588" i="152"/>
  <c r="AE696" i="152"/>
  <c r="Z675" i="152"/>
  <c r="AO690" i="152"/>
  <c r="Z604" i="152"/>
  <c r="AE665" i="152"/>
  <c r="Z594" i="152"/>
  <c r="AJ658" i="152"/>
  <c r="Z652" i="152"/>
  <c r="AE648" i="152"/>
  <c r="AO645" i="152"/>
  <c r="Z637" i="152"/>
  <c r="U633" i="152"/>
  <c r="AO630" i="152"/>
  <c r="Z623" i="152"/>
  <c r="AE594" i="152"/>
  <c r="AJ549" i="152"/>
  <c r="AJ696" i="152"/>
  <c r="AJ647" i="152"/>
  <c r="AO586" i="152"/>
  <c r="U694" i="152"/>
  <c r="AE546" i="152"/>
  <c r="AJ562" i="152"/>
  <c r="Z665" i="152"/>
  <c r="AJ651" i="152"/>
  <c r="U575" i="152"/>
  <c r="Z678" i="152"/>
  <c r="AO310" i="152"/>
  <c r="AO578" i="152"/>
  <c r="AO471" i="152"/>
  <c r="AO287" i="152"/>
  <c r="U73" i="152"/>
  <c r="AO490" i="152"/>
  <c r="U291" i="152"/>
  <c r="Z277" i="152"/>
  <c r="Z28" i="152"/>
  <c r="AO449" i="152"/>
  <c r="Z485" i="152"/>
  <c r="Z394" i="152"/>
  <c r="AE601" i="152"/>
  <c r="U435" i="152"/>
  <c r="AO241" i="152"/>
  <c r="AO44" i="152"/>
  <c r="Z122" i="152"/>
  <c r="AE238" i="152"/>
  <c r="U332" i="152"/>
  <c r="AE176" i="152"/>
  <c r="AO286" i="152"/>
  <c r="Z322" i="152"/>
  <c r="AJ550" i="152"/>
  <c r="Z435" i="152"/>
  <c r="AJ94" i="152"/>
  <c r="AO104" i="152"/>
  <c r="U115" i="152"/>
  <c r="AE128" i="152"/>
  <c r="AE257" i="152"/>
  <c r="Z269" i="152"/>
  <c r="AJ458" i="152"/>
  <c r="Z499" i="152"/>
  <c r="AO171" i="152"/>
  <c r="U182" i="152"/>
  <c r="AE195" i="152"/>
  <c r="AE344" i="152"/>
  <c r="AJ529" i="152"/>
  <c r="AO493" i="152"/>
  <c r="AE564" i="152"/>
  <c r="Z390" i="152"/>
  <c r="U317" i="152"/>
  <c r="AO479" i="152"/>
  <c r="AO437" i="152"/>
  <c r="AO627" i="152"/>
  <c r="AO422" i="152"/>
  <c r="AO612" i="152"/>
  <c r="U606" i="152"/>
  <c r="AJ701" i="152"/>
  <c r="U292" i="152"/>
  <c r="AO631" i="152"/>
  <c r="Z188" i="152"/>
  <c r="U189" i="152"/>
  <c r="U338" i="152"/>
  <c r="AO602" i="152"/>
  <c r="Z639" i="152"/>
  <c r="Z603" i="152"/>
  <c r="U520" i="152"/>
  <c r="AJ655" i="152"/>
  <c r="U666" i="152"/>
  <c r="AE105" i="152"/>
  <c r="AO118" i="152"/>
  <c r="AO231" i="152"/>
  <c r="AJ243" i="152"/>
  <c r="Z608" i="152"/>
  <c r="AJ201" i="152"/>
  <c r="AO353" i="152"/>
  <c r="AO463" i="152"/>
  <c r="Z140" i="152"/>
  <c r="U290" i="152"/>
  <c r="Z492" i="152"/>
  <c r="AJ187" i="152"/>
  <c r="AO652" i="152"/>
  <c r="AO117" i="152"/>
  <c r="U121" i="152"/>
  <c r="AJ514" i="152"/>
  <c r="AJ129" i="152"/>
  <c r="Z500" i="152"/>
  <c r="Z407" i="152"/>
  <c r="AE526" i="152"/>
  <c r="AJ381" i="152"/>
  <c r="AJ609" i="152"/>
  <c r="AJ631" i="152"/>
  <c r="AJ700" i="152"/>
  <c r="U173" i="152"/>
  <c r="U72" i="152"/>
  <c r="AE302" i="152"/>
  <c r="AJ355" i="152"/>
  <c r="AE520" i="152"/>
  <c r="Z75" i="152"/>
  <c r="AJ305" i="152"/>
  <c r="AO222" i="152"/>
  <c r="AO255" i="152"/>
  <c r="AE395" i="152"/>
  <c r="AJ130" i="152"/>
  <c r="AE280" i="152"/>
  <c r="AE534" i="152"/>
  <c r="AJ33" i="152"/>
  <c r="AE232" i="152"/>
  <c r="AO204" i="152"/>
  <c r="U357" i="152"/>
  <c r="AE297" i="152"/>
  <c r="AO238" i="152"/>
  <c r="AO271" i="152"/>
  <c r="AE411" i="152"/>
  <c r="AO83" i="152"/>
  <c r="AE430" i="152"/>
  <c r="AJ293" i="152"/>
  <c r="AJ641" i="152"/>
  <c r="Z708" i="152"/>
  <c r="Z657" i="152"/>
  <c r="AE423" i="152"/>
  <c r="AO541" i="152"/>
  <c r="Z212" i="152"/>
  <c r="AE574" i="152"/>
  <c r="AJ596" i="152"/>
  <c r="U282" i="152"/>
  <c r="AE651" i="152"/>
  <c r="AO695" i="152"/>
  <c r="Z285" i="152"/>
  <c r="AO685" i="152"/>
  <c r="AE442" i="152"/>
  <c r="AO675" i="152"/>
  <c r="Z438" i="152"/>
  <c r="Z599" i="152"/>
  <c r="AE279" i="152"/>
  <c r="Z536" i="152"/>
  <c r="AE529" i="152"/>
  <c r="AE498" i="152"/>
  <c r="AO333" i="152"/>
  <c r="AE348" i="152"/>
  <c r="AO326" i="152"/>
  <c r="Z451" i="152"/>
  <c r="AE683" i="152"/>
  <c r="AE625" i="152"/>
  <c r="AE509" i="152"/>
  <c r="AJ303" i="152"/>
  <c r="Z387" i="152"/>
  <c r="AO441" i="152"/>
  <c r="AE523" i="152"/>
  <c r="AO538" i="152"/>
  <c r="U310" i="152"/>
  <c r="AJ320" i="152"/>
  <c r="AO377" i="152"/>
  <c r="Z442" i="152"/>
  <c r="Z400" i="152"/>
  <c r="AJ506" i="152"/>
  <c r="Z602" i="152"/>
  <c r="U665" i="152"/>
  <c r="AJ678" i="152"/>
  <c r="AJ646" i="152"/>
  <c r="U607" i="152"/>
  <c r="AO597" i="152"/>
  <c r="AE624" i="152"/>
  <c r="AJ691" i="152"/>
  <c r="AE527" i="152"/>
  <c r="AO661" i="152"/>
  <c r="U652" i="152"/>
  <c r="AE614" i="152"/>
  <c r="U618" i="152"/>
  <c r="U540" i="152"/>
  <c r="AJ689" i="152"/>
  <c r="AO633" i="152"/>
  <c r="AO671" i="152"/>
  <c r="AO184" i="152"/>
  <c r="AE208" i="152"/>
  <c r="AE350" i="152"/>
  <c r="U370" i="152"/>
  <c r="AO291" i="152"/>
  <c r="AO177" i="152"/>
  <c r="U188" i="152"/>
  <c r="AJ211" i="152"/>
  <c r="AO648" i="152"/>
  <c r="AO683" i="152"/>
  <c r="AO677" i="152"/>
  <c r="S18" i="127"/>
  <c r="Q18" i="127"/>
  <c r="AJ705" i="152"/>
  <c r="Z607" i="152"/>
  <c r="AJ661" i="152"/>
  <c r="AO56" i="152"/>
  <c r="U41" i="152"/>
  <c r="U67" i="152"/>
  <c r="AE80" i="152"/>
  <c r="U498" i="152"/>
  <c r="Z320" i="152"/>
  <c r="AJ57" i="152"/>
  <c r="U135" i="152"/>
  <c r="Z251" i="152"/>
  <c r="AJ481" i="152"/>
  <c r="U657" i="152"/>
  <c r="U339" i="152"/>
  <c r="AO313" i="152"/>
  <c r="AE240" i="152"/>
  <c r="Z663" i="152"/>
  <c r="Z600" i="152"/>
  <c r="AJ644" i="152"/>
  <c r="AJ634" i="152"/>
  <c r="Z460" i="152"/>
  <c r="AJ432" i="152"/>
  <c r="AJ624" i="152"/>
  <c r="AE301" i="152"/>
  <c r="Z361" i="152"/>
  <c r="U548" i="152"/>
  <c r="AJ330" i="152"/>
  <c r="AO544" i="152"/>
  <c r="AJ686" i="152"/>
  <c r="AO679" i="152"/>
  <c r="Z632" i="152"/>
  <c r="AO640" i="152"/>
  <c r="AO218" i="152"/>
  <c r="AE365" i="152"/>
  <c r="AJ218" i="152"/>
  <c r="AE366" i="152"/>
  <c r="AJ350" i="152"/>
  <c r="Z370" i="152"/>
  <c r="U63" i="152"/>
  <c r="Z73" i="152"/>
  <c r="AJ60" i="152"/>
  <c r="U74" i="152"/>
  <c r="AO71" i="152"/>
  <c r="AO487" i="152"/>
  <c r="AO348" i="152"/>
  <c r="U271" i="152"/>
  <c r="AJ12" i="152"/>
  <c r="AJ268" i="152"/>
  <c r="U26" i="152"/>
  <c r="AO23" i="152"/>
  <c r="AO439" i="152"/>
  <c r="U576" i="152"/>
  <c r="AE556" i="152"/>
  <c r="Z378" i="152"/>
  <c r="AE69" i="152"/>
  <c r="AJ79" i="152"/>
  <c r="U93" i="152"/>
  <c r="AE71" i="152"/>
  <c r="AE132" i="152"/>
  <c r="AE161" i="152"/>
  <c r="AO49" i="152"/>
  <c r="U60" i="152"/>
  <c r="Z70" i="152"/>
  <c r="AJ83" i="152"/>
  <c r="AE81" i="152"/>
  <c r="Z501" i="152"/>
  <c r="AJ612" i="152"/>
  <c r="Z386" i="152"/>
  <c r="Z654" i="152"/>
  <c r="AE647" i="152"/>
  <c r="U479" i="152"/>
  <c r="Z419" i="152"/>
  <c r="Z377" i="152"/>
  <c r="Z586" i="152"/>
  <c r="U457" i="152"/>
  <c r="AO589" i="152"/>
  <c r="U689" i="152"/>
  <c r="AJ345" i="152"/>
  <c r="AJ460" i="152"/>
  <c r="AO354" i="152"/>
  <c r="Z174" i="152"/>
  <c r="Z695" i="152"/>
  <c r="AE298" i="152"/>
  <c r="AE567" i="152"/>
  <c r="AJ358" i="152"/>
  <c r="U629" i="152"/>
  <c r="Z506" i="152"/>
  <c r="AE343" i="152"/>
  <c r="AE405" i="152"/>
  <c r="AO509" i="152"/>
  <c r="AE605" i="152"/>
  <c r="AJ622" i="152"/>
  <c r="U696" i="152"/>
  <c r="U667" i="152"/>
  <c r="AJ464" i="152"/>
  <c r="AO629" i="152"/>
  <c r="AO680" i="152"/>
  <c r="Z659" i="152"/>
  <c r="AE646" i="152"/>
  <c r="AO681" i="152"/>
  <c r="U626" i="152"/>
  <c r="AJ703" i="152"/>
  <c r="AJ597" i="152"/>
  <c r="Z624" i="152"/>
  <c r="AE597" i="152"/>
  <c r="Z540" i="152"/>
  <c r="AO693" i="152"/>
  <c r="AJ668" i="152"/>
  <c r="Z591" i="152"/>
  <c r="U569" i="152"/>
  <c r="AO703" i="152"/>
  <c r="AO536" i="152"/>
  <c r="AE658" i="152"/>
  <c r="U642" i="152"/>
  <c r="AJ587" i="152"/>
  <c r="AE611" i="152"/>
  <c r="U684" i="152"/>
  <c r="O17" i="123"/>
  <c r="AE18" i="110"/>
  <c r="AD18" i="110"/>
  <c r="AC19" i="133"/>
  <c r="Z18" i="115"/>
  <c r="Z19" i="133"/>
  <c r="Y19" i="133"/>
  <c r="Q19" i="53"/>
  <c r="S19" i="53"/>
  <c r="AF10" i="152"/>
  <c r="AF11" i="152" s="1"/>
  <c r="AF12" i="152" s="1"/>
  <c r="AF13" i="152" s="1"/>
  <c r="AF14" i="152" s="1"/>
  <c r="AF15" i="152" s="1"/>
  <c r="AF16" i="152" s="1"/>
  <c r="AF17" i="152" s="1"/>
  <c r="AF18" i="152" s="1"/>
  <c r="AF19" i="152" s="1"/>
  <c r="AF20" i="152" s="1"/>
  <c r="AF21" i="152" s="1"/>
  <c r="AF22" i="152" s="1"/>
  <c r="AF23" i="152" s="1"/>
  <c r="AF24" i="152" s="1"/>
  <c r="AF25" i="152" s="1"/>
  <c r="AF26" i="152" s="1"/>
  <c r="AF27" i="152" s="1"/>
  <c r="AF28" i="152" s="1"/>
  <c r="AF29" i="152" s="1"/>
  <c r="AF30" i="152" s="1"/>
  <c r="AF31" i="152" s="1"/>
  <c r="AF32" i="152" s="1"/>
  <c r="AF33" i="152" s="1"/>
  <c r="AF34" i="152" s="1"/>
  <c r="AF35" i="152" s="1"/>
  <c r="AF36" i="152" s="1"/>
  <c r="AF37" i="152" s="1"/>
  <c r="AF38" i="152" s="1"/>
  <c r="AF39" i="152" s="1"/>
  <c r="AF40" i="152" s="1"/>
  <c r="AF41" i="152" s="1"/>
  <c r="AF42" i="152" s="1"/>
  <c r="AF43" i="152" s="1"/>
  <c r="AF44" i="152" s="1"/>
  <c r="AF45" i="152" s="1"/>
  <c r="AF46" i="152" s="1"/>
  <c r="AF47" i="152" s="1"/>
  <c r="AF48" i="152" s="1"/>
  <c r="AF49" i="152" s="1"/>
  <c r="AF50" i="152" s="1"/>
  <c r="AF51" i="152" s="1"/>
  <c r="AF52" i="152" s="1"/>
  <c r="AF53" i="152" s="1"/>
  <c r="AF54" i="152" s="1"/>
  <c r="AF55" i="152" s="1"/>
  <c r="AF56" i="152" s="1"/>
  <c r="AF57" i="152" s="1"/>
  <c r="AF58" i="152" s="1"/>
  <c r="AF59" i="152" s="1"/>
  <c r="AF60" i="152" s="1"/>
  <c r="AF61" i="152" s="1"/>
  <c r="AF62" i="152" s="1"/>
  <c r="AF63" i="152" s="1"/>
  <c r="AF64" i="152" s="1"/>
  <c r="AF65" i="152" s="1"/>
  <c r="AF66" i="152" s="1"/>
  <c r="AF67" i="152" s="1"/>
  <c r="AF68" i="152" s="1"/>
  <c r="AF69" i="152" s="1"/>
  <c r="AF70" i="152" s="1"/>
  <c r="AF71" i="152" s="1"/>
  <c r="AF72" i="152" s="1"/>
  <c r="AF73" i="152" s="1"/>
  <c r="AF74" i="152" s="1"/>
  <c r="AF75" i="152" s="1"/>
  <c r="AF76" i="152" s="1"/>
  <c r="AF77" i="152" s="1"/>
  <c r="AF78" i="152" s="1"/>
  <c r="AF79" i="152" s="1"/>
  <c r="AF80" i="152" s="1"/>
  <c r="AF81" i="152" s="1"/>
  <c r="AF82" i="152" s="1"/>
  <c r="AF83" i="152" s="1"/>
  <c r="AF84" i="152" s="1"/>
  <c r="AF85" i="152" s="1"/>
  <c r="AF86" i="152" s="1"/>
  <c r="AF87" i="152" s="1"/>
  <c r="AF88" i="152" s="1"/>
  <c r="AF89" i="152" s="1"/>
  <c r="AF90" i="152" s="1"/>
  <c r="AF91" i="152" s="1"/>
  <c r="AF92" i="152" s="1"/>
  <c r="AF93" i="152" s="1"/>
  <c r="AF94" i="152" s="1"/>
  <c r="AF95" i="152" s="1"/>
  <c r="AF96" i="152" s="1"/>
  <c r="AF97" i="152" s="1"/>
  <c r="AF98" i="152" s="1"/>
  <c r="AF99" i="152" s="1"/>
  <c r="AF100" i="152" s="1"/>
  <c r="AF101" i="152" s="1"/>
  <c r="AF102" i="152" s="1"/>
  <c r="AF103" i="152" s="1"/>
  <c r="AF104" i="152" s="1"/>
  <c r="AF105" i="152" s="1"/>
  <c r="AF106" i="152" s="1"/>
  <c r="AF107" i="152" s="1"/>
  <c r="AF108" i="152" s="1"/>
  <c r="AF109" i="152" s="1"/>
  <c r="AF110" i="152" s="1"/>
  <c r="AF111" i="152" s="1"/>
  <c r="AF112" i="152" s="1"/>
  <c r="AF113" i="152" s="1"/>
  <c r="AF114" i="152" s="1"/>
  <c r="AF115" i="152" s="1"/>
  <c r="AF116" i="152" s="1"/>
  <c r="AF117" i="152" s="1"/>
  <c r="AF118" i="152" s="1"/>
  <c r="AF119" i="152" s="1"/>
  <c r="AF120" i="152" s="1"/>
  <c r="AF121" i="152" s="1"/>
  <c r="AF122" i="152" s="1"/>
  <c r="AF123" i="152" s="1"/>
  <c r="AF124" i="152" s="1"/>
  <c r="AF125" i="152" s="1"/>
  <c r="AF126" i="152" s="1"/>
  <c r="AF127" i="152" s="1"/>
  <c r="AF128" i="152" s="1"/>
  <c r="AF129" i="152" s="1"/>
  <c r="AF130" i="152" s="1"/>
  <c r="AF131" i="152" s="1"/>
  <c r="AF132" i="152" s="1"/>
  <c r="AF133" i="152" s="1"/>
  <c r="AF134" i="152" s="1"/>
  <c r="AF135" i="152" s="1"/>
  <c r="AF136" i="152" s="1"/>
  <c r="AF137" i="152" s="1"/>
  <c r="AF138" i="152" s="1"/>
  <c r="AF139" i="152" s="1"/>
  <c r="AF140" i="152" s="1"/>
  <c r="AF141" i="152" s="1"/>
  <c r="AF142" i="152" s="1"/>
  <c r="AF143" i="152" s="1"/>
  <c r="AF144" i="152" s="1"/>
  <c r="AF145" i="152" s="1"/>
  <c r="AF146" i="152" s="1"/>
  <c r="AF147" i="152" s="1"/>
  <c r="AF148" i="152" s="1"/>
  <c r="AF149" i="152" s="1"/>
  <c r="AF150" i="152" s="1"/>
  <c r="AF151" i="152" s="1"/>
  <c r="AF152" i="152" s="1"/>
  <c r="AF153" i="152" s="1"/>
  <c r="AF154" i="152" s="1"/>
  <c r="AF155" i="152" s="1"/>
  <c r="AF156" i="152" s="1"/>
  <c r="AF157" i="152" s="1"/>
  <c r="AF158" i="152" s="1"/>
  <c r="AF159" i="152" s="1"/>
  <c r="AF160" i="152" s="1"/>
  <c r="AF161" i="152" s="1"/>
  <c r="AF162" i="152" s="1"/>
  <c r="AF163" i="152" s="1"/>
  <c r="AF164" i="152" s="1"/>
  <c r="AF165" i="152" s="1"/>
  <c r="AF166" i="152" s="1"/>
  <c r="AF167" i="152" s="1"/>
  <c r="AF168" i="152" s="1"/>
  <c r="AF169" i="152" s="1"/>
  <c r="AF170" i="152" s="1"/>
  <c r="AF171" i="152" s="1"/>
  <c r="AF172" i="152" s="1"/>
  <c r="AF173" i="152" s="1"/>
  <c r="AF174" i="152" s="1"/>
  <c r="AF175" i="152" s="1"/>
  <c r="AF176" i="152" s="1"/>
  <c r="AF177" i="152" s="1"/>
  <c r="AF178" i="152" s="1"/>
  <c r="AF179" i="152" s="1"/>
  <c r="AF180" i="152" s="1"/>
  <c r="AF181" i="152" s="1"/>
  <c r="AF182" i="152" s="1"/>
  <c r="AF183" i="152" s="1"/>
  <c r="AF184" i="152" s="1"/>
  <c r="AF185" i="152" s="1"/>
  <c r="AF186" i="152" s="1"/>
  <c r="AF187" i="152" s="1"/>
  <c r="AF188" i="152" s="1"/>
  <c r="AF189" i="152" s="1"/>
  <c r="AF190" i="152" s="1"/>
  <c r="AF191" i="152" s="1"/>
  <c r="AF192" i="152" s="1"/>
  <c r="AF193" i="152" s="1"/>
  <c r="AF194" i="152" s="1"/>
  <c r="AF195" i="152" s="1"/>
  <c r="AF196" i="152" s="1"/>
  <c r="AF197" i="152" s="1"/>
  <c r="AF198" i="152" s="1"/>
  <c r="AF199" i="152" s="1"/>
  <c r="AF200" i="152" s="1"/>
  <c r="AF201" i="152" s="1"/>
  <c r="AF202" i="152" s="1"/>
  <c r="AF203" i="152" s="1"/>
  <c r="AF204" i="152" s="1"/>
  <c r="AF205" i="152" s="1"/>
  <c r="AF206" i="152" s="1"/>
  <c r="AF207" i="152" s="1"/>
  <c r="AF208" i="152" s="1"/>
  <c r="AF209" i="152" s="1"/>
  <c r="AF210" i="152" s="1"/>
  <c r="AF211" i="152" s="1"/>
  <c r="AF212" i="152" s="1"/>
  <c r="AF213" i="152" s="1"/>
  <c r="AF214" i="152" s="1"/>
  <c r="AF215" i="152" s="1"/>
  <c r="AF216" i="152" s="1"/>
  <c r="AF217" i="152" s="1"/>
  <c r="AF218" i="152" s="1"/>
  <c r="AF219" i="152" s="1"/>
  <c r="AF220" i="152" s="1"/>
  <c r="AF221" i="152" s="1"/>
  <c r="AF222" i="152" s="1"/>
  <c r="AF223" i="152" s="1"/>
  <c r="AF224" i="152" s="1"/>
  <c r="AF225" i="152" s="1"/>
  <c r="AF226" i="152" s="1"/>
  <c r="AF227" i="152" s="1"/>
  <c r="AF228" i="152" s="1"/>
  <c r="AF229" i="152" s="1"/>
  <c r="AF230" i="152" s="1"/>
  <c r="AF231" i="152" s="1"/>
  <c r="AF232" i="152" s="1"/>
  <c r="AF233" i="152" s="1"/>
  <c r="AF234" i="152" s="1"/>
  <c r="AF235" i="152" s="1"/>
  <c r="AF236" i="152" s="1"/>
  <c r="AF237" i="152" s="1"/>
  <c r="AF238" i="152" s="1"/>
  <c r="AF239" i="152" s="1"/>
  <c r="AF240" i="152" s="1"/>
  <c r="AF241" i="152" s="1"/>
  <c r="AF242" i="152" s="1"/>
  <c r="AF243" i="152" s="1"/>
  <c r="AF244" i="152" s="1"/>
  <c r="AF245" i="152" s="1"/>
  <c r="AF246" i="152" s="1"/>
  <c r="AF247" i="152" s="1"/>
  <c r="AF248" i="152" s="1"/>
  <c r="AF249" i="152" s="1"/>
  <c r="AF250" i="152" s="1"/>
  <c r="AF251" i="152" s="1"/>
  <c r="AF252" i="152" s="1"/>
  <c r="AF253" i="152" s="1"/>
  <c r="AF254" i="152" s="1"/>
  <c r="AF255" i="152" s="1"/>
  <c r="AF256" i="152" s="1"/>
  <c r="AF257" i="152" s="1"/>
  <c r="AF258" i="152" s="1"/>
  <c r="AF259" i="152" s="1"/>
  <c r="AF260" i="152" s="1"/>
  <c r="AF261" i="152" s="1"/>
  <c r="AF262" i="152" s="1"/>
  <c r="AF263" i="152" s="1"/>
  <c r="AF264" i="152" s="1"/>
  <c r="AF265" i="152" s="1"/>
  <c r="AF266" i="152" s="1"/>
  <c r="AF267" i="152" s="1"/>
  <c r="AF268" i="152" s="1"/>
  <c r="AF269" i="152" s="1"/>
  <c r="AF270" i="152" s="1"/>
  <c r="AF271" i="152" s="1"/>
  <c r="AF272" i="152" s="1"/>
  <c r="AF273" i="152" s="1"/>
  <c r="AF274" i="152" s="1"/>
  <c r="AF275" i="152" s="1"/>
  <c r="AF276" i="152" s="1"/>
  <c r="AF277" i="152" s="1"/>
  <c r="AF278" i="152" s="1"/>
  <c r="AF279" i="152" s="1"/>
  <c r="AF280" i="152" s="1"/>
  <c r="AF281" i="152" s="1"/>
  <c r="AF282" i="152" s="1"/>
  <c r="AF283" i="152" s="1"/>
  <c r="AF284" i="152" s="1"/>
  <c r="AF285" i="152" s="1"/>
  <c r="AF286" i="152" s="1"/>
  <c r="AF287" i="152" s="1"/>
  <c r="AF288" i="152" s="1"/>
  <c r="AF289" i="152" s="1"/>
  <c r="AF290" i="152" s="1"/>
  <c r="AF291" i="152" s="1"/>
  <c r="AF292" i="152" s="1"/>
  <c r="AF293" i="152" s="1"/>
  <c r="AF294" i="152" s="1"/>
  <c r="AF295" i="152" s="1"/>
  <c r="AF296" i="152" s="1"/>
  <c r="AF297" i="152" s="1"/>
  <c r="AF298" i="152" s="1"/>
  <c r="AF299" i="152" s="1"/>
  <c r="AF300" i="152" s="1"/>
  <c r="AF301" i="152" s="1"/>
  <c r="AF302" i="152" s="1"/>
  <c r="AF303" i="152" s="1"/>
  <c r="AF304" i="152" s="1"/>
  <c r="AF305" i="152" s="1"/>
  <c r="AF306" i="152" s="1"/>
  <c r="AF307" i="152" s="1"/>
  <c r="AF308" i="152" s="1"/>
  <c r="AF309" i="152" s="1"/>
  <c r="AF310" i="152" s="1"/>
  <c r="AF311" i="152" s="1"/>
  <c r="AF312" i="152" s="1"/>
  <c r="AF313" i="152" s="1"/>
  <c r="AF314" i="152" s="1"/>
  <c r="AF315" i="152" s="1"/>
  <c r="AF316" i="152" s="1"/>
  <c r="AF317" i="152" s="1"/>
  <c r="AF318" i="152" s="1"/>
  <c r="AF319" i="152" s="1"/>
  <c r="AF320" i="152" s="1"/>
  <c r="AF321" i="152" s="1"/>
  <c r="AF322" i="152" s="1"/>
  <c r="AF323" i="152" s="1"/>
  <c r="AF324" i="152" s="1"/>
  <c r="AF325" i="152" s="1"/>
  <c r="AF326" i="152" s="1"/>
  <c r="AF327" i="152" s="1"/>
  <c r="AF328" i="152" s="1"/>
  <c r="AF329" i="152" s="1"/>
  <c r="AF330" i="152" s="1"/>
  <c r="AF331" i="152" s="1"/>
  <c r="AF332" i="152" s="1"/>
  <c r="AF333" i="152" s="1"/>
  <c r="AF334" i="152" s="1"/>
  <c r="AF335" i="152" s="1"/>
  <c r="AF336" i="152" s="1"/>
  <c r="AF337" i="152" s="1"/>
  <c r="AF338" i="152" s="1"/>
  <c r="AF339" i="152" s="1"/>
  <c r="AF340" i="152" s="1"/>
  <c r="AF341" i="152" s="1"/>
  <c r="AF342" i="152" s="1"/>
  <c r="AF343" i="152" s="1"/>
  <c r="AF344" i="152" s="1"/>
  <c r="AF345" i="152" s="1"/>
  <c r="AF346" i="152" s="1"/>
  <c r="AF347" i="152" s="1"/>
  <c r="AF348" i="152" s="1"/>
  <c r="AF349" i="152" s="1"/>
  <c r="AF350" i="152" s="1"/>
  <c r="AF351" i="152" s="1"/>
  <c r="AF352" i="152" s="1"/>
  <c r="AF353" i="152" s="1"/>
  <c r="AF354" i="152" s="1"/>
  <c r="AF355" i="152" s="1"/>
  <c r="AF356" i="152" s="1"/>
  <c r="AF357" i="152" s="1"/>
  <c r="AF358" i="152" s="1"/>
  <c r="AF359" i="152" s="1"/>
  <c r="AF360" i="152" s="1"/>
  <c r="AF361" i="152" s="1"/>
  <c r="AF362" i="152" s="1"/>
  <c r="AF363" i="152" s="1"/>
  <c r="AF364" i="152" s="1"/>
  <c r="AF365" i="152" s="1"/>
  <c r="AF366" i="152" s="1"/>
  <c r="AF367" i="152" s="1"/>
  <c r="AF368" i="152" s="1"/>
  <c r="AF369" i="152" s="1"/>
  <c r="AF370" i="152" s="1"/>
  <c r="AF371" i="152" s="1"/>
  <c r="AF372" i="152" s="1"/>
  <c r="AF373" i="152" s="1"/>
  <c r="AF374" i="152" s="1"/>
  <c r="AF375" i="152" s="1"/>
  <c r="AF376" i="152" s="1"/>
  <c r="AF377" i="152" s="1"/>
  <c r="AF378" i="152" s="1"/>
  <c r="AF379" i="152" s="1"/>
  <c r="AF380" i="152" s="1"/>
  <c r="AF381" i="152" s="1"/>
  <c r="AF382" i="152" s="1"/>
  <c r="AF383" i="152" s="1"/>
  <c r="AF384" i="152" s="1"/>
  <c r="AF385" i="152" s="1"/>
  <c r="AF386" i="152" s="1"/>
  <c r="AF387" i="152" s="1"/>
  <c r="AF388" i="152" s="1"/>
  <c r="AF389" i="152" s="1"/>
  <c r="AF390" i="152" s="1"/>
  <c r="AF391" i="152" s="1"/>
  <c r="AF392" i="152" s="1"/>
  <c r="AF393" i="152" s="1"/>
  <c r="AF394" i="152" s="1"/>
  <c r="AF395" i="152" s="1"/>
  <c r="AF396" i="152" s="1"/>
  <c r="AF397" i="152" s="1"/>
  <c r="AF398" i="152" s="1"/>
  <c r="AF399" i="152" s="1"/>
  <c r="AF400" i="152" s="1"/>
  <c r="AF401" i="152" s="1"/>
  <c r="AF402" i="152" s="1"/>
  <c r="AF403" i="152" s="1"/>
  <c r="AF404" i="152" s="1"/>
  <c r="AF405" i="152" s="1"/>
  <c r="AF406" i="152" s="1"/>
  <c r="AF407" i="152" s="1"/>
  <c r="AF408" i="152" s="1"/>
  <c r="AF409" i="152" s="1"/>
  <c r="AF410" i="152" s="1"/>
  <c r="AF411" i="152" s="1"/>
  <c r="AF412" i="152" s="1"/>
  <c r="AF413" i="152" s="1"/>
  <c r="AF414" i="152" s="1"/>
  <c r="AF415" i="152" s="1"/>
  <c r="AF416" i="152" s="1"/>
  <c r="AF417" i="152" s="1"/>
  <c r="AF418" i="152" s="1"/>
  <c r="AF419" i="152" s="1"/>
  <c r="AF420" i="152" s="1"/>
  <c r="AF421" i="152" s="1"/>
  <c r="AF422" i="152" s="1"/>
  <c r="AF423" i="152" s="1"/>
  <c r="AF424" i="152" s="1"/>
  <c r="AF425" i="152" s="1"/>
  <c r="AF426" i="152" s="1"/>
  <c r="AF427" i="152" s="1"/>
  <c r="AF428" i="152" s="1"/>
  <c r="AF429" i="152" s="1"/>
  <c r="AF430" i="152" s="1"/>
  <c r="AF431" i="152" s="1"/>
  <c r="AF432" i="152" s="1"/>
  <c r="AF433" i="152" s="1"/>
  <c r="AF434" i="152" s="1"/>
  <c r="AF435" i="152" s="1"/>
  <c r="AF436" i="152" s="1"/>
  <c r="AF437" i="152" s="1"/>
  <c r="AF438" i="152" s="1"/>
  <c r="AF439" i="152" s="1"/>
  <c r="AF440" i="152" s="1"/>
  <c r="AF441" i="152" s="1"/>
  <c r="AF442" i="152" s="1"/>
  <c r="AF443" i="152" s="1"/>
  <c r="AF444" i="152" s="1"/>
  <c r="AF445" i="152" s="1"/>
  <c r="AF446" i="152" s="1"/>
  <c r="AF447" i="152" s="1"/>
  <c r="AF448" i="152" s="1"/>
  <c r="AF449" i="152" s="1"/>
  <c r="AF450" i="152" s="1"/>
  <c r="AF451" i="152" s="1"/>
  <c r="AF452" i="152" s="1"/>
  <c r="AF453" i="152" s="1"/>
  <c r="AF454" i="152" s="1"/>
  <c r="AF455" i="152" s="1"/>
  <c r="AF456" i="152" s="1"/>
  <c r="AF457" i="152" s="1"/>
  <c r="AF458" i="152" s="1"/>
  <c r="AF459" i="152" s="1"/>
  <c r="AF460" i="152" s="1"/>
  <c r="AF461" i="152" s="1"/>
  <c r="AF462" i="152" s="1"/>
  <c r="AF463" i="152" s="1"/>
  <c r="AF464" i="152" s="1"/>
  <c r="AF465" i="152" s="1"/>
  <c r="AF466" i="152" s="1"/>
  <c r="AF467" i="152" s="1"/>
  <c r="AF468" i="152" s="1"/>
  <c r="AF469" i="152" s="1"/>
  <c r="AF470" i="152" s="1"/>
  <c r="AF471" i="152" s="1"/>
  <c r="AF472" i="152" s="1"/>
  <c r="AF473" i="152" s="1"/>
  <c r="AF474" i="152" s="1"/>
  <c r="AF475" i="152" s="1"/>
  <c r="AF476" i="152" s="1"/>
  <c r="AF477" i="152" s="1"/>
  <c r="AF478" i="152" s="1"/>
  <c r="AF479" i="152" s="1"/>
  <c r="AF480" i="152" s="1"/>
  <c r="AF481" i="152" s="1"/>
  <c r="AF482" i="152" s="1"/>
  <c r="AF483" i="152" s="1"/>
  <c r="AF484" i="152" s="1"/>
  <c r="AF485" i="152" s="1"/>
  <c r="AF486" i="152" s="1"/>
  <c r="AF487" i="152" s="1"/>
  <c r="AF488" i="152" s="1"/>
  <c r="AF489" i="152" s="1"/>
  <c r="AF490" i="152" s="1"/>
  <c r="AF491" i="152" s="1"/>
  <c r="AF492" i="152" s="1"/>
  <c r="AF493" i="152" s="1"/>
  <c r="AF494" i="152" s="1"/>
  <c r="AF495" i="152" s="1"/>
  <c r="AF496" i="152" s="1"/>
  <c r="AF497" i="152" s="1"/>
  <c r="AF498" i="152" s="1"/>
  <c r="AF499" i="152" s="1"/>
  <c r="AF500" i="152" s="1"/>
  <c r="AF501" i="152" s="1"/>
  <c r="AF502" i="152" s="1"/>
  <c r="AF503" i="152" s="1"/>
  <c r="AF504" i="152" s="1"/>
  <c r="AF505" i="152" s="1"/>
  <c r="AF506" i="152" s="1"/>
  <c r="AF507" i="152" s="1"/>
  <c r="AF508" i="152" s="1"/>
  <c r="AF509" i="152" s="1"/>
  <c r="AF510" i="152" s="1"/>
  <c r="AF511" i="152" s="1"/>
  <c r="AF512" i="152" s="1"/>
  <c r="AF513" i="152" s="1"/>
  <c r="AF514" i="152" s="1"/>
  <c r="AF515" i="152" s="1"/>
  <c r="AF516" i="152" s="1"/>
  <c r="AF517" i="152" s="1"/>
  <c r="AF518" i="152" s="1"/>
  <c r="AF519" i="152" s="1"/>
  <c r="AF520" i="152" s="1"/>
  <c r="AF521" i="152" s="1"/>
  <c r="AF522" i="152" s="1"/>
  <c r="AF523" i="152" s="1"/>
  <c r="AF524" i="152" s="1"/>
  <c r="AF525" i="152" s="1"/>
  <c r="AF526" i="152" s="1"/>
  <c r="AF527" i="152" s="1"/>
  <c r="AF528" i="152" s="1"/>
  <c r="AF529" i="152" s="1"/>
  <c r="AF530" i="152" s="1"/>
  <c r="AF531" i="152" s="1"/>
  <c r="AF532" i="152" s="1"/>
  <c r="AF533" i="152" s="1"/>
  <c r="AF534" i="152" s="1"/>
  <c r="AF535" i="152" s="1"/>
  <c r="AF536" i="152" s="1"/>
  <c r="AF537" i="152" s="1"/>
  <c r="AF538" i="152" s="1"/>
  <c r="AF539" i="152" s="1"/>
  <c r="AF540" i="152" s="1"/>
  <c r="AF541" i="152" s="1"/>
  <c r="AF542" i="152" s="1"/>
  <c r="AF543" i="152" s="1"/>
  <c r="AF544" i="152" s="1"/>
  <c r="AF545" i="152" s="1"/>
  <c r="AF546" i="152" s="1"/>
  <c r="AF547" i="152" s="1"/>
  <c r="AF548" i="152" s="1"/>
  <c r="AF549" i="152" s="1"/>
  <c r="AF550" i="152" s="1"/>
  <c r="AF551" i="152" s="1"/>
  <c r="AF552" i="152" s="1"/>
  <c r="AF553" i="152" s="1"/>
  <c r="AF554" i="152" s="1"/>
  <c r="AF555" i="152" s="1"/>
  <c r="AF556" i="152" s="1"/>
  <c r="AF557" i="152" s="1"/>
  <c r="AF558" i="152" s="1"/>
  <c r="AF559" i="152" s="1"/>
  <c r="AF560" i="152" s="1"/>
  <c r="AF561" i="152" s="1"/>
  <c r="AF562" i="152" s="1"/>
  <c r="AF563" i="152" s="1"/>
  <c r="AF564" i="152" s="1"/>
  <c r="AF565" i="152" s="1"/>
  <c r="AF566" i="152" s="1"/>
  <c r="AF567" i="152" s="1"/>
  <c r="AF568" i="152" s="1"/>
  <c r="AF569" i="152" s="1"/>
  <c r="AF570" i="152" s="1"/>
  <c r="AF571" i="152" s="1"/>
  <c r="AF572" i="152" s="1"/>
  <c r="AF573" i="152" s="1"/>
  <c r="AF574" i="152" s="1"/>
  <c r="AF575" i="152" s="1"/>
  <c r="AF576" i="152" s="1"/>
  <c r="AF577" i="152" s="1"/>
  <c r="AF578" i="152" s="1"/>
  <c r="AF579" i="152" s="1"/>
  <c r="AF580" i="152" s="1"/>
  <c r="AF581" i="152" s="1"/>
  <c r="AF582" i="152" s="1"/>
  <c r="AF583" i="152" s="1"/>
  <c r="AF584" i="152" s="1"/>
  <c r="AF585" i="152" s="1"/>
  <c r="AF586" i="152" s="1"/>
  <c r="AF587" i="152" s="1"/>
  <c r="AF588" i="152" s="1"/>
  <c r="AF589" i="152" s="1"/>
  <c r="AF590" i="152" s="1"/>
  <c r="AF591" i="152" s="1"/>
  <c r="AF592" i="152" s="1"/>
  <c r="AF593" i="152" s="1"/>
  <c r="AF594" i="152" s="1"/>
  <c r="AF595" i="152" s="1"/>
  <c r="AF596" i="152" s="1"/>
  <c r="AF597" i="152" s="1"/>
  <c r="AF598" i="152" s="1"/>
  <c r="AF599" i="152" s="1"/>
  <c r="AF600" i="152" s="1"/>
  <c r="AF601" i="152" s="1"/>
  <c r="AF602" i="152" s="1"/>
  <c r="AF603" i="152" s="1"/>
  <c r="AF604" i="152" s="1"/>
  <c r="AF605" i="152" s="1"/>
  <c r="AF606" i="152" s="1"/>
  <c r="AF607" i="152" s="1"/>
  <c r="AF608" i="152" s="1"/>
  <c r="AF609" i="152" s="1"/>
  <c r="AF610" i="152" s="1"/>
  <c r="AF611" i="152" s="1"/>
  <c r="AF612" i="152" s="1"/>
  <c r="AF613" i="152" s="1"/>
  <c r="AF614" i="152" s="1"/>
  <c r="AF615" i="152" s="1"/>
  <c r="AF616" i="152" s="1"/>
  <c r="AF617" i="152" s="1"/>
  <c r="AF618" i="152" s="1"/>
  <c r="AF619" i="152" s="1"/>
  <c r="AF620" i="152" s="1"/>
  <c r="AF621" i="152" s="1"/>
  <c r="AF622" i="152" s="1"/>
  <c r="AF623" i="152" s="1"/>
  <c r="AF624" i="152" s="1"/>
  <c r="AF625" i="152" s="1"/>
  <c r="AF626" i="152" s="1"/>
  <c r="AF627" i="152" s="1"/>
  <c r="AF628" i="152" s="1"/>
  <c r="AF629" i="152" s="1"/>
  <c r="AF630" i="152" s="1"/>
  <c r="AF631" i="152" s="1"/>
  <c r="AF632" i="152" s="1"/>
  <c r="AF633" i="152" s="1"/>
  <c r="AF634" i="152" s="1"/>
  <c r="AF635" i="152" s="1"/>
  <c r="AF636" i="152" s="1"/>
  <c r="AF637" i="152" s="1"/>
  <c r="AF638" i="152" s="1"/>
  <c r="AF639" i="152" s="1"/>
  <c r="AF640" i="152" s="1"/>
  <c r="AF641" i="152" s="1"/>
  <c r="AF642" i="152" s="1"/>
  <c r="AF643" i="152" s="1"/>
  <c r="AF644" i="152" s="1"/>
  <c r="AF645" i="152" s="1"/>
  <c r="AF646" i="152" s="1"/>
  <c r="AF647" i="152" s="1"/>
  <c r="AF648" i="152" s="1"/>
  <c r="AF649" i="152" s="1"/>
  <c r="AF650" i="152" s="1"/>
  <c r="AF651" i="152" s="1"/>
  <c r="AF652" i="152" s="1"/>
  <c r="AF653" i="152" s="1"/>
  <c r="AF654" i="152" s="1"/>
  <c r="AF655" i="152" s="1"/>
  <c r="AF656" i="152" s="1"/>
  <c r="AF657" i="152" s="1"/>
  <c r="AF658" i="152" s="1"/>
  <c r="AF659" i="152" s="1"/>
  <c r="AF660" i="152" s="1"/>
  <c r="AF661" i="152" s="1"/>
  <c r="AF662" i="152" s="1"/>
  <c r="AF663" i="152" s="1"/>
  <c r="AF664" i="152" s="1"/>
  <c r="AF665" i="152" s="1"/>
  <c r="AF666" i="152" s="1"/>
  <c r="AF667" i="152" s="1"/>
  <c r="AF668" i="152" s="1"/>
  <c r="AF669" i="152" s="1"/>
  <c r="AF670" i="152" s="1"/>
  <c r="AF671" i="152" s="1"/>
  <c r="AF672" i="152" s="1"/>
  <c r="AF673" i="152" s="1"/>
  <c r="AF674" i="152" s="1"/>
  <c r="AF675" i="152" s="1"/>
  <c r="AF676" i="152" s="1"/>
  <c r="AF677" i="152" s="1"/>
  <c r="AF678" i="152" s="1"/>
  <c r="AF679" i="152" s="1"/>
  <c r="AF680" i="152" s="1"/>
  <c r="AF681" i="152" s="1"/>
  <c r="AF682" i="152" s="1"/>
  <c r="AF683" i="152" s="1"/>
  <c r="AF684" i="152" s="1"/>
  <c r="AF685" i="152" s="1"/>
  <c r="AF686" i="152" s="1"/>
  <c r="AF687" i="152" s="1"/>
  <c r="AF688" i="152" s="1"/>
  <c r="AF689" i="152" s="1"/>
  <c r="AF690" i="152" s="1"/>
  <c r="AF691" i="152" s="1"/>
  <c r="AF692" i="152" s="1"/>
  <c r="AF693" i="152" s="1"/>
  <c r="AF694" i="152" s="1"/>
  <c r="AF695" i="152" s="1"/>
  <c r="AF696" i="152" s="1"/>
  <c r="AF697" i="152" s="1"/>
  <c r="AF698" i="152" s="1"/>
  <c r="AF699" i="152" s="1"/>
  <c r="AF700" i="152" s="1"/>
  <c r="AF701" i="152" s="1"/>
  <c r="AF702" i="152" s="1"/>
  <c r="AF703" i="152" s="1"/>
  <c r="AF704" i="152" s="1"/>
  <c r="AF705" i="152" s="1"/>
  <c r="AF706" i="152" s="1"/>
  <c r="AF707" i="152" s="1"/>
  <c r="AF708" i="152" s="1"/>
  <c r="Q19" i="150"/>
  <c r="S19" i="150"/>
  <c r="U19" i="150" s="1"/>
  <c r="AA19" i="146"/>
  <c r="Q19" i="138"/>
  <c r="S20" i="138" s="1"/>
  <c r="L19" i="146"/>
  <c r="Z450" i="152"/>
  <c r="Z241" i="152"/>
  <c r="AE471" i="152"/>
  <c r="AJ91" i="152"/>
  <c r="AE99" i="152"/>
  <c r="AO77" i="152"/>
  <c r="Z177" i="152"/>
  <c r="AJ227" i="152"/>
  <c r="U369" i="152"/>
  <c r="AO406" i="152"/>
  <c r="U261" i="152"/>
  <c r="AC19" i="122"/>
  <c r="AE19" i="122" s="1"/>
  <c r="Q19" i="146"/>
  <c r="S19" i="146"/>
  <c r="AJ299" i="152"/>
  <c r="AO161" i="152"/>
  <c r="Z107" i="152"/>
  <c r="AE110" i="152"/>
  <c r="AE445" i="152"/>
  <c r="AJ186" i="152"/>
  <c r="Z333" i="152"/>
  <c r="AE188" i="152"/>
  <c r="AO175" i="152"/>
  <c r="Z189" i="152"/>
  <c r="AO350" i="152"/>
  <c r="AO309" i="152"/>
  <c r="AJ263" i="152"/>
  <c r="U517" i="152"/>
  <c r="AO364" i="152"/>
  <c r="AO361" i="152"/>
  <c r="U79" i="152"/>
  <c r="Z89" i="152"/>
  <c r="AJ102" i="152"/>
  <c r="U81" i="152"/>
  <c r="U190" i="152"/>
  <c r="AE250" i="152"/>
  <c r="AO234" i="152"/>
  <c r="Z529" i="152"/>
  <c r="Z698" i="152"/>
  <c r="Z399" i="152"/>
  <c r="AO476" i="152"/>
  <c r="U213" i="152"/>
  <c r="AJ184" i="152"/>
  <c r="Z223" i="152"/>
  <c r="AO220" i="152"/>
  <c r="Z42" i="152"/>
  <c r="AE158" i="152"/>
  <c r="AO388" i="152"/>
  <c r="AE408" i="152"/>
  <c r="Z330" i="152"/>
  <c r="Z348" i="152"/>
  <c r="AO376" i="152"/>
  <c r="Z468" i="152"/>
  <c r="U358" i="152"/>
  <c r="AJ472" i="152"/>
  <c r="Z216" i="152"/>
  <c r="AO187" i="152"/>
  <c r="AE226" i="152"/>
  <c r="U224" i="152"/>
  <c r="AE45" i="152"/>
  <c r="AJ161" i="152"/>
  <c r="AJ411" i="152"/>
  <c r="Z345" i="152"/>
  <c r="AO149" i="152"/>
  <c r="AJ49" i="152"/>
  <c r="AE468" i="152"/>
  <c r="AJ408" i="152"/>
  <c r="AJ636" i="152"/>
  <c r="AE565" i="152"/>
  <c r="AO489" i="152"/>
  <c r="U201" i="152"/>
  <c r="AO201" i="152"/>
  <c r="Z17" i="152"/>
  <c r="U347" i="152"/>
  <c r="U235" i="152"/>
  <c r="Z582" i="152"/>
  <c r="Z467" i="152"/>
  <c r="AO94" i="152"/>
  <c r="Z115" i="152"/>
  <c r="AJ192" i="152"/>
  <c r="AO370" i="152"/>
  <c r="U194" i="152"/>
  <c r="AJ239" i="152"/>
  <c r="U227" i="152"/>
  <c r="AE214" i="152"/>
  <c r="AO35" i="152"/>
  <c r="AE382" i="152"/>
  <c r="U402" i="152"/>
  <c r="AO323" i="152"/>
  <c r="AO542" i="152"/>
  <c r="Z130" i="152"/>
  <c r="AE140" i="152"/>
  <c r="AO153" i="152"/>
  <c r="Z132" i="152"/>
  <c r="U299" i="152"/>
  <c r="AJ318" i="152"/>
  <c r="U465" i="152"/>
  <c r="U647" i="152"/>
  <c r="U436" i="152"/>
  <c r="AE199" i="152"/>
  <c r="AO594" i="152"/>
  <c r="AJ402" i="152"/>
  <c r="AO507" i="152"/>
  <c r="Z264" i="152"/>
  <c r="AO235" i="152"/>
  <c r="AE274" i="152"/>
  <c r="U16" i="152"/>
  <c r="AE93" i="152"/>
  <c r="AJ209" i="152"/>
  <c r="U440" i="152"/>
  <c r="Z424" i="152"/>
  <c r="AE247" i="152"/>
  <c r="U526" i="152"/>
  <c r="U695" i="152"/>
  <c r="U627" i="152"/>
  <c r="AE397" i="152"/>
  <c r="AE267" i="152"/>
  <c r="U239" i="152"/>
  <c r="AJ277" i="152"/>
  <c r="Z19" i="152"/>
  <c r="AJ96" i="152"/>
  <c r="AO212" i="152"/>
  <c r="Z443" i="152"/>
  <c r="AE427" i="152"/>
  <c r="AO462" i="152"/>
  <c r="AJ256" i="152"/>
  <c r="AE579" i="152"/>
  <c r="AO520" i="152"/>
  <c r="Z425" i="152"/>
  <c r="Z53" i="152"/>
  <c r="AJ47" i="152"/>
  <c r="U466" i="152"/>
  <c r="Z514" i="152"/>
  <c r="AJ415" i="152"/>
  <c r="Z252" i="152"/>
  <c r="U253" i="152"/>
  <c r="AE68" i="152"/>
  <c r="Z398" i="152"/>
  <c r="Z313" i="152"/>
  <c r="Z372" i="152"/>
  <c r="U393" i="152"/>
  <c r="U146" i="152"/>
  <c r="AE166" i="152"/>
  <c r="Z39" i="152"/>
  <c r="AO52" i="152"/>
  <c r="AO314" i="152"/>
  <c r="Z338" i="152"/>
  <c r="AO513" i="152"/>
  <c r="AJ573" i="152"/>
  <c r="AE358" i="152"/>
  <c r="AE291" i="152"/>
  <c r="AJ251" i="152"/>
  <c r="AE18" i="152"/>
  <c r="AJ28" i="152"/>
  <c r="U42" i="152"/>
  <c r="AO39" i="152"/>
  <c r="AO455" i="152"/>
  <c r="Z303" i="152"/>
  <c r="AO262" i="152"/>
  <c r="AO532" i="152"/>
  <c r="AJ621" i="152"/>
  <c r="Z611" i="152"/>
  <c r="AE11" i="152"/>
  <c r="AO254" i="152"/>
  <c r="AJ21" i="152"/>
  <c r="AO31" i="152"/>
  <c r="Z45" i="152"/>
  <c r="U43" i="152"/>
  <c r="U459" i="152"/>
  <c r="AJ478" i="152"/>
  <c r="AE306" i="152"/>
  <c r="U270" i="152"/>
  <c r="Z86" i="152"/>
  <c r="Z592" i="152"/>
  <c r="AJ569" i="152"/>
  <c r="AE585" i="152"/>
  <c r="U550" i="152"/>
  <c r="Z245" i="152"/>
  <c r="U12" i="152"/>
  <c r="Z22" i="152"/>
  <c r="AJ9" i="152"/>
  <c r="U87" i="152"/>
  <c r="Z203" i="152"/>
  <c r="AJ433" i="152"/>
  <c r="AO417" i="152"/>
  <c r="U231" i="152"/>
  <c r="AO537" i="152"/>
  <c r="AE320" i="152"/>
  <c r="AJ191" i="152"/>
  <c r="U179" i="152"/>
  <c r="U205" i="152"/>
  <c r="AE20" i="152"/>
  <c r="Z350" i="152"/>
  <c r="Z244" i="152"/>
  <c r="AJ400" i="152"/>
  <c r="U507" i="152"/>
  <c r="AO595" i="152"/>
  <c r="Z563" i="152"/>
  <c r="Z254" i="152"/>
  <c r="AO46" i="152"/>
  <c r="Z67" i="152"/>
  <c r="AJ144" i="152"/>
  <c r="AO260" i="152"/>
  <c r="AE475" i="152"/>
  <c r="AO138" i="152"/>
  <c r="AJ317" i="152"/>
  <c r="AJ470" i="152"/>
  <c r="AO460" i="152"/>
  <c r="AO643" i="152"/>
  <c r="AO575" i="152"/>
  <c r="U524" i="152"/>
  <c r="U50" i="152"/>
  <c r="AE70" i="152"/>
  <c r="AO147" i="152"/>
  <c r="U264" i="152"/>
  <c r="AE164" i="152"/>
  <c r="U477" i="152"/>
  <c r="AJ453" i="152"/>
  <c r="AE104" i="152"/>
  <c r="AO98" i="152"/>
  <c r="AJ99" i="152"/>
  <c r="Z158" i="152"/>
  <c r="Z234" i="152"/>
  <c r="AO253" i="152"/>
  <c r="AO550" i="152"/>
  <c r="U449" i="152"/>
  <c r="AE448" i="152"/>
  <c r="AJ107" i="152"/>
  <c r="S19" i="107"/>
  <c r="Z534" i="152"/>
  <c r="U444" i="152"/>
  <c r="Z317" i="152"/>
  <c r="AJ24" i="152"/>
  <c r="AO34" i="152"/>
  <c r="AJ35" i="152"/>
  <c r="AE33" i="152"/>
  <c r="AE449" i="152"/>
  <c r="U469" i="152"/>
  <c r="AE244" i="152"/>
  <c r="AJ563" i="152"/>
  <c r="AO467" i="152"/>
  <c r="Z562" i="152"/>
  <c r="AJ485" i="152"/>
  <c r="AJ158" i="152"/>
  <c r="Z204" i="152"/>
  <c r="AE90" i="152"/>
  <c r="U104" i="152"/>
  <c r="U366" i="152"/>
  <c r="AE334" i="152"/>
  <c r="AO369" i="152"/>
  <c r="AE193" i="152"/>
  <c r="U353" i="152"/>
  <c r="AJ442" i="152"/>
  <c r="AO390" i="152"/>
  <c r="AO585" i="152"/>
  <c r="AE486" i="152"/>
  <c r="AE59" i="152"/>
  <c r="AJ69" i="152"/>
  <c r="AO53" i="152"/>
  <c r="AO79" i="152"/>
  <c r="Z93" i="152"/>
  <c r="U91" i="152"/>
  <c r="AJ471" i="152"/>
  <c r="U107" i="152"/>
  <c r="AO215" i="152"/>
  <c r="AE237" i="152"/>
  <c r="AE570" i="152"/>
  <c r="U560" i="152"/>
  <c r="Z482" i="152"/>
  <c r="AJ62" i="152"/>
  <c r="AO72" i="152"/>
  <c r="U57" i="152"/>
  <c r="U83" i="152"/>
  <c r="AE96" i="152"/>
  <c r="Z94" i="152"/>
  <c r="AJ132" i="152"/>
  <c r="U225" i="152"/>
  <c r="AJ244" i="152"/>
  <c r="U554" i="152"/>
  <c r="AJ505" i="152"/>
  <c r="AO341" i="152"/>
  <c r="U117" i="152"/>
  <c r="Z127" i="152"/>
  <c r="AO124" i="152"/>
  <c r="Z112" i="152"/>
  <c r="AJ90" i="152"/>
  <c r="AE224" i="152"/>
  <c r="U276" i="152"/>
  <c r="AE260" i="152"/>
  <c r="U324" i="152"/>
  <c r="Z426" i="152"/>
  <c r="Z120" i="152"/>
  <c r="AE130" i="152"/>
  <c r="AJ114" i="152"/>
  <c r="S19" i="124"/>
  <c r="T19" i="124" s="1"/>
  <c r="U541" i="152"/>
  <c r="AO495" i="152"/>
  <c r="U53" i="152"/>
  <c r="Z63" i="152"/>
  <c r="AE47" i="152"/>
  <c r="AE73" i="152"/>
  <c r="AO60" i="152"/>
  <c r="Z138" i="152"/>
  <c r="AE254" i="152"/>
  <c r="AJ477" i="152"/>
  <c r="Z197" i="152"/>
  <c r="U220" i="152"/>
  <c r="AO242" i="152"/>
  <c r="Z230" i="152"/>
  <c r="Z256" i="152"/>
  <c r="AJ71" i="152"/>
  <c r="AE401" i="152"/>
  <c r="AE316" i="152"/>
  <c r="AJ367" i="152"/>
  <c r="AJ237" i="152"/>
  <c r="U705" i="152"/>
  <c r="AE522" i="152"/>
  <c r="AJ544" i="152"/>
  <c r="U463" i="152"/>
  <c r="U98" i="152"/>
  <c r="AE118" i="152"/>
  <c r="AO195" i="152"/>
  <c r="AO247" i="152"/>
  <c r="Z290" i="152"/>
  <c r="AO214" i="152"/>
  <c r="AJ592" i="152"/>
  <c r="AE608" i="152"/>
  <c r="AJ524" i="152"/>
  <c r="AO457" i="152"/>
  <c r="Z101" i="152"/>
  <c r="AJ121" i="152"/>
  <c r="U199" i="152"/>
  <c r="U257" i="152"/>
  <c r="AE293" i="152"/>
  <c r="AJ558" i="152"/>
  <c r="AE555" i="152"/>
  <c r="AJ397" i="152"/>
  <c r="AO566" i="152"/>
  <c r="U368" i="152"/>
  <c r="AO75" i="152"/>
  <c r="U86" i="152"/>
  <c r="AO86" i="152"/>
  <c r="AJ84" i="152"/>
  <c r="U193" i="152"/>
  <c r="AE504" i="152"/>
  <c r="U219" i="152"/>
  <c r="Z311" i="152"/>
  <c r="U511" i="152"/>
  <c r="AE255" i="152"/>
  <c r="AO268" i="152"/>
  <c r="AJ141" i="152"/>
  <c r="Z155" i="152"/>
  <c r="Z417" i="152"/>
  <c r="AE667" i="152"/>
  <c r="AO432" i="152"/>
  <c r="Z455" i="152"/>
  <c r="Z412" i="152"/>
  <c r="AJ110" i="152"/>
  <c r="AO120" i="152"/>
  <c r="U105" i="152"/>
  <c r="U131" i="152"/>
  <c r="AE144" i="152"/>
  <c r="AE286" i="152"/>
  <c r="U306" i="152"/>
  <c r="AJ148" i="152"/>
  <c r="AE396" i="152"/>
  <c r="AO508" i="152"/>
  <c r="U407" i="152"/>
  <c r="AO113" i="152"/>
  <c r="U124" i="152"/>
  <c r="Z108" i="152"/>
  <c r="Z134" i="152"/>
  <c r="AJ147" i="152"/>
  <c r="AJ289" i="152"/>
  <c r="Z309" i="152"/>
  <c r="AO173" i="152"/>
  <c r="AE507" i="152"/>
  <c r="Z271" i="152"/>
  <c r="AO12" i="152"/>
  <c r="Z90" i="152"/>
  <c r="AE206" i="152"/>
  <c r="AO436" i="152"/>
  <c r="Z238" i="152"/>
  <c r="AE560" i="152"/>
  <c r="AJ463" i="152"/>
  <c r="AJ539" i="152"/>
  <c r="AE133" i="152"/>
  <c r="AJ143" i="152"/>
  <c r="U157" i="152"/>
  <c r="AE135" i="152"/>
  <c r="Z302" i="152"/>
  <c r="AJ510" i="152"/>
  <c r="AJ428" i="152"/>
  <c r="AE531" i="152"/>
  <c r="AE536" i="152"/>
  <c r="AJ136" i="152"/>
  <c r="AO146" i="152"/>
  <c r="AJ138" i="152"/>
  <c r="AE305" i="152"/>
  <c r="AO482" i="152"/>
  <c r="AJ421" i="152"/>
  <c r="Z104" i="152"/>
  <c r="AE114" i="152"/>
  <c r="AJ98" i="152"/>
  <c r="AJ124" i="152"/>
  <c r="U112" i="152"/>
  <c r="AE189" i="152"/>
  <c r="AE231" i="152"/>
  <c r="AO283" i="152"/>
  <c r="AJ189" i="152"/>
  <c r="Z568" i="152"/>
  <c r="AE512" i="152"/>
  <c r="AE403" i="152"/>
  <c r="AE304" i="152"/>
  <c r="AE248" i="152"/>
  <c r="Z15" i="152"/>
  <c r="AE25" i="152"/>
  <c r="AO38" i="152"/>
  <c r="AJ36" i="152"/>
  <c r="AJ452" i="152"/>
  <c r="Z472" i="152"/>
  <c r="U300" i="152"/>
  <c r="AJ253" i="152"/>
  <c r="AE638" i="152"/>
  <c r="AJ660" i="152"/>
  <c r="AO653" i="152"/>
  <c r="AE487" i="152"/>
  <c r="AJ534" i="152"/>
  <c r="AO440" i="152"/>
  <c r="AO387" i="152"/>
  <c r="Z149" i="152"/>
  <c r="AJ169" i="152"/>
  <c r="AE42" i="152"/>
  <c r="U56" i="152"/>
  <c r="U318" i="152"/>
  <c r="AO321" i="152"/>
  <c r="AE341" i="152"/>
  <c r="AO701" i="152"/>
  <c r="AO418" i="152"/>
  <c r="Z519" i="152"/>
  <c r="Z557" i="152"/>
  <c r="AE458" i="152"/>
  <c r="AJ383" i="152"/>
  <c r="AE152" i="152"/>
  <c r="AE159" i="152"/>
  <c r="AO172" i="152"/>
  <c r="Z160" i="152"/>
  <c r="AJ45" i="152"/>
  <c r="Z59" i="152"/>
  <c r="Z321" i="152"/>
  <c r="U325" i="152"/>
  <c r="AJ344" i="152"/>
  <c r="Z308" i="152"/>
  <c r="Z201" i="152"/>
  <c r="AJ188" i="152"/>
  <c r="U202" i="152"/>
  <c r="U344" i="152"/>
  <c r="AJ363" i="152"/>
  <c r="AE285" i="152"/>
  <c r="AE422" i="152"/>
  <c r="AE549" i="152"/>
  <c r="U217" i="152"/>
  <c r="AE492" i="152"/>
  <c r="Z213" i="152"/>
  <c r="Z441" i="152"/>
  <c r="AJ43" i="152"/>
  <c r="U64" i="152"/>
  <c r="AE141" i="152"/>
  <c r="AJ257" i="152"/>
  <c r="U488" i="152"/>
  <c r="Z113" i="152"/>
  <c r="AE314" i="152"/>
  <c r="U676" i="152"/>
  <c r="Z509" i="152"/>
  <c r="AE389" i="152"/>
  <c r="AJ307" i="152"/>
  <c r="AE480" i="152"/>
  <c r="AO194" i="152"/>
  <c r="Z182" i="152"/>
  <c r="Z208" i="152"/>
  <c r="AJ23" i="152"/>
  <c r="AE353" i="152"/>
  <c r="AJ337" i="152"/>
  <c r="AE253" i="152"/>
  <c r="AE438" i="152"/>
  <c r="AJ326" i="152"/>
  <c r="U451" i="152"/>
  <c r="Z476" i="152"/>
  <c r="U198" i="152"/>
  <c r="AE185" i="152"/>
  <c r="AO26" i="152"/>
  <c r="AJ356" i="152"/>
  <c r="AJ260" i="152"/>
  <c r="Z434" i="152"/>
  <c r="AO389" i="152"/>
  <c r="AO623" i="152"/>
  <c r="AJ552" i="152"/>
  <c r="AO396" i="152"/>
  <c r="AO206" i="152"/>
  <c r="Z227" i="152"/>
  <c r="AJ113" i="152"/>
  <c r="AJ270" i="152"/>
  <c r="Z242" i="152"/>
  <c r="Q10" i="152"/>
  <c r="Q11" i="152" s="1"/>
  <c r="Q12" i="152" s="1"/>
  <c r="Q13" i="152" s="1"/>
  <c r="Q14" i="152" s="1"/>
  <c r="Q15" i="152" s="1"/>
  <c r="Q16" i="152" s="1"/>
  <c r="Q17" i="152" s="1"/>
  <c r="Q18" i="152" s="1"/>
  <c r="Q19" i="152" s="1"/>
  <c r="Q20" i="152" s="1"/>
  <c r="Q21" i="152" s="1"/>
  <c r="Q22" i="152" s="1"/>
  <c r="Q23" i="152" s="1"/>
  <c r="Q24" i="152" s="1"/>
  <c r="Q25" i="152" s="1"/>
  <c r="Q26" i="152" s="1"/>
  <c r="Q27" i="152" s="1"/>
  <c r="Q28" i="152" s="1"/>
  <c r="Q29" i="152" s="1"/>
  <c r="Q30" i="152" s="1"/>
  <c r="Q31" i="152" s="1"/>
  <c r="Q32" i="152" s="1"/>
  <c r="Q33" i="152" s="1"/>
  <c r="Q34" i="152" s="1"/>
  <c r="Q35" i="152" s="1"/>
  <c r="Q36" i="152" s="1"/>
  <c r="Q37" i="152" s="1"/>
  <c r="Q38" i="152" s="1"/>
  <c r="Q39" i="152" s="1"/>
  <c r="Q40" i="152" s="1"/>
  <c r="Q41" i="152" s="1"/>
  <c r="Q42" i="152" s="1"/>
  <c r="Q43" i="152" s="1"/>
  <c r="Q44" i="152" s="1"/>
  <c r="Q45" i="152" s="1"/>
  <c r="Q46" i="152" s="1"/>
  <c r="Q47" i="152" s="1"/>
  <c r="Q48" i="152" s="1"/>
  <c r="Q49" i="152" s="1"/>
  <c r="Q50" i="152" s="1"/>
  <c r="Q51" i="152" s="1"/>
  <c r="Q52" i="152" s="1"/>
  <c r="Q53" i="152" s="1"/>
  <c r="Q54" i="152" s="1"/>
  <c r="Q55" i="152" s="1"/>
  <c r="Q56" i="152" s="1"/>
  <c r="Q57" i="152" s="1"/>
  <c r="Q58" i="152" s="1"/>
  <c r="Q59" i="152" s="1"/>
  <c r="Q60" i="152" s="1"/>
  <c r="Q61" i="152" s="1"/>
  <c r="Q62" i="152" s="1"/>
  <c r="Q63" i="152" s="1"/>
  <c r="Q64" i="152" s="1"/>
  <c r="Q65" i="152" s="1"/>
  <c r="Q66" i="152" s="1"/>
  <c r="Q67" i="152" s="1"/>
  <c r="Q68" i="152" s="1"/>
  <c r="Q69" i="152" s="1"/>
  <c r="Q70" i="152" s="1"/>
  <c r="Q71" i="152" s="1"/>
  <c r="Q72" i="152" s="1"/>
  <c r="Q73" i="152" s="1"/>
  <c r="Q74" i="152" s="1"/>
  <c r="Q75" i="152" s="1"/>
  <c r="Q76" i="152" s="1"/>
  <c r="Q77" i="152" s="1"/>
  <c r="Q78" i="152" s="1"/>
  <c r="Q79" i="152" s="1"/>
  <c r="Q80" i="152" s="1"/>
  <c r="Q81" i="152" s="1"/>
  <c r="Q82" i="152" s="1"/>
  <c r="Q83" i="152" s="1"/>
  <c r="Q84" i="152" s="1"/>
  <c r="Q85" i="152" s="1"/>
  <c r="Q86" i="152" s="1"/>
  <c r="Q87" i="152" s="1"/>
  <c r="Q88" i="152" s="1"/>
  <c r="Q89" i="152" s="1"/>
  <c r="Q90" i="152" s="1"/>
  <c r="Q91" i="152" s="1"/>
  <c r="Q92" i="152" s="1"/>
  <c r="Q93" i="152" s="1"/>
  <c r="Q94" i="152" s="1"/>
  <c r="Q95" i="152" s="1"/>
  <c r="Q96" i="152" s="1"/>
  <c r="Q97" i="152" s="1"/>
  <c r="Q98" i="152" s="1"/>
  <c r="Q99" i="152" s="1"/>
  <c r="Q100" i="152" s="1"/>
  <c r="Q101" i="152" s="1"/>
  <c r="Q102" i="152" s="1"/>
  <c r="Q103" i="152" s="1"/>
  <c r="Q104" i="152" s="1"/>
  <c r="Q105" i="152" s="1"/>
  <c r="Q106" i="152" s="1"/>
  <c r="Q107" i="152" s="1"/>
  <c r="Q108" i="152" s="1"/>
  <c r="Q109" i="152" s="1"/>
  <c r="Q110" i="152" s="1"/>
  <c r="Q111" i="152" s="1"/>
  <c r="Q112" i="152" s="1"/>
  <c r="Q113" i="152" s="1"/>
  <c r="Q114" i="152" s="1"/>
  <c r="Q115" i="152" s="1"/>
  <c r="Q116" i="152" s="1"/>
  <c r="Q117" i="152" s="1"/>
  <c r="Q118" i="152" s="1"/>
  <c r="Q119" i="152" s="1"/>
  <c r="Q120" i="152" s="1"/>
  <c r="Q121" i="152" s="1"/>
  <c r="Q122" i="152" s="1"/>
  <c r="Q123" i="152" s="1"/>
  <c r="Q124" i="152" s="1"/>
  <c r="Q125" i="152" s="1"/>
  <c r="Q126" i="152" s="1"/>
  <c r="Q127" i="152" s="1"/>
  <c r="Q128" i="152" s="1"/>
  <c r="Q129" i="152" s="1"/>
  <c r="Q130" i="152" s="1"/>
  <c r="Q131" i="152" s="1"/>
  <c r="Q132" i="152" s="1"/>
  <c r="Q133" i="152" s="1"/>
  <c r="Q134" i="152" s="1"/>
  <c r="Q135" i="152" s="1"/>
  <c r="Q136" i="152" s="1"/>
  <c r="Q137" i="152" s="1"/>
  <c r="Q138" i="152" s="1"/>
  <c r="Q139" i="152" s="1"/>
  <c r="Q140" i="152" s="1"/>
  <c r="Q141" i="152" s="1"/>
  <c r="Q142" i="152" s="1"/>
  <c r="Q143" i="152" s="1"/>
  <c r="Q144" i="152" s="1"/>
  <c r="Q145" i="152" s="1"/>
  <c r="Q146" i="152" s="1"/>
  <c r="Q147" i="152" s="1"/>
  <c r="Q148" i="152" s="1"/>
  <c r="Q149" i="152" s="1"/>
  <c r="Q150" i="152" s="1"/>
  <c r="Q151" i="152" s="1"/>
  <c r="Q152" i="152" s="1"/>
  <c r="Q153" i="152" s="1"/>
  <c r="Q154" i="152" s="1"/>
  <c r="Q155" i="152" s="1"/>
  <c r="Q156" i="152" s="1"/>
  <c r="Q157" i="152" s="1"/>
  <c r="Q158" i="152" s="1"/>
  <c r="Q159" i="152" s="1"/>
  <c r="Q160" i="152" s="1"/>
  <c r="Q161" i="152" s="1"/>
  <c r="Q162" i="152" s="1"/>
  <c r="Q163" i="152" s="1"/>
  <c r="Q164" i="152" s="1"/>
  <c r="Q165" i="152" s="1"/>
  <c r="Q166" i="152" s="1"/>
  <c r="Q167" i="152" s="1"/>
  <c r="Q168" i="152" s="1"/>
  <c r="Q169" i="152" s="1"/>
  <c r="Q170" i="152" s="1"/>
  <c r="Q171" i="152" s="1"/>
  <c r="Q172" i="152" s="1"/>
  <c r="Q173" i="152" s="1"/>
  <c r="Q174" i="152" s="1"/>
  <c r="Q175" i="152" s="1"/>
  <c r="Q176" i="152" s="1"/>
  <c r="Q177" i="152" s="1"/>
  <c r="Q178" i="152" s="1"/>
  <c r="Q179" i="152" s="1"/>
  <c r="Q180" i="152" s="1"/>
  <c r="Q181" i="152" s="1"/>
  <c r="Q182" i="152" s="1"/>
  <c r="Q183" i="152" s="1"/>
  <c r="Q184" i="152" s="1"/>
  <c r="Q185" i="152" s="1"/>
  <c r="Q186" i="152" s="1"/>
  <c r="Q187" i="152" s="1"/>
  <c r="Q188" i="152" s="1"/>
  <c r="Q189" i="152" s="1"/>
  <c r="Q190" i="152" s="1"/>
  <c r="Q191" i="152" s="1"/>
  <c r="Q192" i="152" s="1"/>
  <c r="Q193" i="152" s="1"/>
  <c r="Q194" i="152" s="1"/>
  <c r="Q195" i="152" s="1"/>
  <c r="Q196" i="152" s="1"/>
  <c r="Q197" i="152" s="1"/>
  <c r="Q198" i="152" s="1"/>
  <c r="Q199" i="152" s="1"/>
  <c r="Q200" i="152" s="1"/>
  <c r="Q201" i="152" s="1"/>
  <c r="Q202" i="152" s="1"/>
  <c r="Q203" i="152" s="1"/>
  <c r="Q204" i="152" s="1"/>
  <c r="Q205" i="152" s="1"/>
  <c r="Q206" i="152" s="1"/>
  <c r="Q207" i="152" s="1"/>
  <c r="Q208" i="152" s="1"/>
  <c r="Q209" i="152" s="1"/>
  <c r="Q210" i="152" s="1"/>
  <c r="Q211" i="152" s="1"/>
  <c r="Q212" i="152" s="1"/>
  <c r="Q213" i="152" s="1"/>
  <c r="Q214" i="152" s="1"/>
  <c r="Q215" i="152" s="1"/>
  <c r="Q216" i="152" s="1"/>
  <c r="Q217" i="152" s="1"/>
  <c r="Q218" i="152" s="1"/>
  <c r="Q219" i="152" s="1"/>
  <c r="Q220" i="152" s="1"/>
  <c r="Q221" i="152" s="1"/>
  <c r="Q222" i="152" s="1"/>
  <c r="Q223" i="152" s="1"/>
  <c r="Q224" i="152" s="1"/>
  <c r="Q225" i="152" s="1"/>
  <c r="Q226" i="152" s="1"/>
  <c r="Q227" i="152" s="1"/>
  <c r="Q228" i="152" s="1"/>
  <c r="Q229" i="152" s="1"/>
  <c r="Q230" i="152" s="1"/>
  <c r="Q231" i="152" s="1"/>
  <c r="Q232" i="152" s="1"/>
  <c r="Q233" i="152" s="1"/>
  <c r="Q234" i="152" s="1"/>
  <c r="Q235" i="152" s="1"/>
  <c r="Q236" i="152" s="1"/>
  <c r="Q237" i="152" s="1"/>
  <c r="Q238" i="152" s="1"/>
  <c r="Q239" i="152" s="1"/>
  <c r="Q240" i="152" s="1"/>
  <c r="Q241" i="152" s="1"/>
  <c r="Q242" i="152" s="1"/>
  <c r="Q243" i="152" s="1"/>
  <c r="Q244" i="152" s="1"/>
  <c r="Q245" i="152" s="1"/>
  <c r="Q246" i="152" s="1"/>
  <c r="Q247" i="152" s="1"/>
  <c r="Q248" i="152" s="1"/>
  <c r="Q249" i="152" s="1"/>
  <c r="Q250" i="152" s="1"/>
  <c r="Q251" i="152" s="1"/>
  <c r="Q252" i="152" s="1"/>
  <c r="Q253" i="152" s="1"/>
  <c r="Q254" i="152" s="1"/>
  <c r="Q255" i="152" s="1"/>
  <c r="Q256" i="152" s="1"/>
  <c r="Q257" i="152" s="1"/>
  <c r="Q258" i="152" s="1"/>
  <c r="Q259" i="152" s="1"/>
  <c r="Q260" i="152" s="1"/>
  <c r="Q261" i="152" s="1"/>
  <c r="Q262" i="152" s="1"/>
  <c r="Q263" i="152" s="1"/>
  <c r="Q264" i="152" s="1"/>
  <c r="Q265" i="152" s="1"/>
  <c r="Q266" i="152" s="1"/>
  <c r="Q267" i="152" s="1"/>
  <c r="Q268" i="152" s="1"/>
  <c r="Q269" i="152" s="1"/>
  <c r="Q270" i="152" s="1"/>
  <c r="Q271" i="152" s="1"/>
  <c r="Q272" i="152" s="1"/>
  <c r="Q273" i="152" s="1"/>
  <c r="Q274" i="152" s="1"/>
  <c r="Q275" i="152" s="1"/>
  <c r="Q276" i="152" s="1"/>
  <c r="Q277" i="152" s="1"/>
  <c r="Q278" i="152" s="1"/>
  <c r="Q279" i="152" s="1"/>
  <c r="Q280" i="152" s="1"/>
  <c r="Q281" i="152" s="1"/>
  <c r="Q282" i="152" s="1"/>
  <c r="Q283" i="152" s="1"/>
  <c r="Q284" i="152" s="1"/>
  <c r="Q285" i="152" s="1"/>
  <c r="Q286" i="152" s="1"/>
  <c r="Q287" i="152" s="1"/>
  <c r="Q288" i="152" s="1"/>
  <c r="Q289" i="152" s="1"/>
  <c r="Q290" i="152" s="1"/>
  <c r="Q291" i="152" s="1"/>
  <c r="Q292" i="152" s="1"/>
  <c r="Q293" i="152" s="1"/>
  <c r="Q294" i="152" s="1"/>
  <c r="Q295" i="152" s="1"/>
  <c r="Q296" i="152" s="1"/>
  <c r="Q297" i="152" s="1"/>
  <c r="Q298" i="152" s="1"/>
  <c r="Q299" i="152" s="1"/>
  <c r="Q300" i="152" s="1"/>
  <c r="Q301" i="152" s="1"/>
  <c r="Q302" i="152" s="1"/>
  <c r="Q303" i="152" s="1"/>
  <c r="Q304" i="152" s="1"/>
  <c r="Q305" i="152" s="1"/>
  <c r="Q306" i="152" s="1"/>
  <c r="Q307" i="152" s="1"/>
  <c r="Q308" i="152" s="1"/>
  <c r="Q309" i="152" s="1"/>
  <c r="Q310" i="152" s="1"/>
  <c r="Q311" i="152" s="1"/>
  <c r="Q312" i="152" s="1"/>
  <c r="Q313" i="152" s="1"/>
  <c r="Q314" i="152" s="1"/>
  <c r="Q315" i="152" s="1"/>
  <c r="Q316" i="152" s="1"/>
  <c r="Q317" i="152" s="1"/>
  <c r="Q318" i="152" s="1"/>
  <c r="Q319" i="152" s="1"/>
  <c r="Q320" i="152" s="1"/>
  <c r="Q321" i="152" s="1"/>
  <c r="Q322" i="152" s="1"/>
  <c r="Q323" i="152" s="1"/>
  <c r="Q324" i="152" s="1"/>
  <c r="Q325" i="152" s="1"/>
  <c r="Q326" i="152" s="1"/>
  <c r="Q327" i="152" s="1"/>
  <c r="Q328" i="152" s="1"/>
  <c r="Q329" i="152" s="1"/>
  <c r="Q330" i="152" s="1"/>
  <c r="Q331" i="152" s="1"/>
  <c r="Q332" i="152" s="1"/>
  <c r="Q333" i="152" s="1"/>
  <c r="Q334" i="152" s="1"/>
  <c r="Q335" i="152" s="1"/>
  <c r="Q336" i="152" s="1"/>
  <c r="Q337" i="152" s="1"/>
  <c r="Q338" i="152" s="1"/>
  <c r="Q339" i="152" s="1"/>
  <c r="Q340" i="152" s="1"/>
  <c r="Q341" i="152" s="1"/>
  <c r="Q342" i="152" s="1"/>
  <c r="Q343" i="152" s="1"/>
  <c r="Q344" i="152" s="1"/>
  <c r="Q345" i="152" s="1"/>
  <c r="Q346" i="152" s="1"/>
  <c r="Q347" i="152" s="1"/>
  <c r="Q348" i="152" s="1"/>
  <c r="Q349" i="152" s="1"/>
  <c r="Q350" i="152" s="1"/>
  <c r="Q351" i="152" s="1"/>
  <c r="Q352" i="152" s="1"/>
  <c r="Q353" i="152" s="1"/>
  <c r="Q354" i="152" s="1"/>
  <c r="Q355" i="152" s="1"/>
  <c r="Q356" i="152" s="1"/>
  <c r="Q357" i="152" s="1"/>
  <c r="Q358" i="152" s="1"/>
  <c r="Q359" i="152" s="1"/>
  <c r="Q360" i="152" s="1"/>
  <c r="Q361" i="152" s="1"/>
  <c r="Q362" i="152" s="1"/>
  <c r="Q363" i="152" s="1"/>
  <c r="Q364" i="152" s="1"/>
  <c r="Q365" i="152" s="1"/>
  <c r="Q366" i="152" s="1"/>
  <c r="Q367" i="152" s="1"/>
  <c r="Q368" i="152" s="1"/>
  <c r="Q369" i="152" s="1"/>
  <c r="Q370" i="152" s="1"/>
  <c r="Q371" i="152" s="1"/>
  <c r="Q372" i="152" s="1"/>
  <c r="Q373" i="152" s="1"/>
  <c r="Q374" i="152" s="1"/>
  <c r="Q375" i="152" s="1"/>
  <c r="Q376" i="152" s="1"/>
  <c r="Q377" i="152" s="1"/>
  <c r="Q378" i="152" s="1"/>
  <c r="Q379" i="152" s="1"/>
  <c r="Q380" i="152" s="1"/>
  <c r="Q381" i="152" s="1"/>
  <c r="Q382" i="152" s="1"/>
  <c r="Q383" i="152" s="1"/>
  <c r="Q384" i="152" s="1"/>
  <c r="Q385" i="152" s="1"/>
  <c r="Q386" i="152" s="1"/>
  <c r="Q387" i="152" s="1"/>
  <c r="Q388" i="152" s="1"/>
  <c r="Q389" i="152" s="1"/>
  <c r="Q390" i="152" s="1"/>
  <c r="Q391" i="152" s="1"/>
  <c r="Q392" i="152" s="1"/>
  <c r="Q393" i="152" s="1"/>
  <c r="Q394" i="152" s="1"/>
  <c r="Q395" i="152" s="1"/>
  <c r="Q396" i="152" s="1"/>
  <c r="Q397" i="152" s="1"/>
  <c r="Q398" i="152" s="1"/>
  <c r="Q399" i="152" s="1"/>
  <c r="Q400" i="152" s="1"/>
  <c r="Q401" i="152" s="1"/>
  <c r="Q402" i="152" s="1"/>
  <c r="Q403" i="152" s="1"/>
  <c r="Q404" i="152" s="1"/>
  <c r="Q405" i="152" s="1"/>
  <c r="Q406" i="152" s="1"/>
  <c r="Q407" i="152" s="1"/>
  <c r="Q408" i="152" s="1"/>
  <c r="Q409" i="152" s="1"/>
  <c r="Q410" i="152" s="1"/>
  <c r="Q411" i="152" s="1"/>
  <c r="Q412" i="152" s="1"/>
  <c r="Q413" i="152" s="1"/>
  <c r="Q414" i="152" s="1"/>
  <c r="Q415" i="152" s="1"/>
  <c r="Q416" i="152" s="1"/>
  <c r="Q417" i="152" s="1"/>
  <c r="Q418" i="152" s="1"/>
  <c r="Q419" i="152" s="1"/>
  <c r="Q420" i="152" s="1"/>
  <c r="Q421" i="152" s="1"/>
  <c r="Q422" i="152" s="1"/>
  <c r="Q423" i="152" s="1"/>
  <c r="Q424" i="152" s="1"/>
  <c r="Q425" i="152" s="1"/>
  <c r="Q426" i="152" s="1"/>
  <c r="Q427" i="152" s="1"/>
  <c r="Q428" i="152" s="1"/>
  <c r="Q429" i="152" s="1"/>
  <c r="Q430" i="152" s="1"/>
  <c r="Q431" i="152" s="1"/>
  <c r="Q432" i="152" s="1"/>
  <c r="Q433" i="152" s="1"/>
  <c r="Q434" i="152" s="1"/>
  <c r="Q435" i="152" s="1"/>
  <c r="Q436" i="152" s="1"/>
  <c r="Q437" i="152" s="1"/>
  <c r="Q438" i="152" s="1"/>
  <c r="Q439" i="152" s="1"/>
  <c r="Q440" i="152" s="1"/>
  <c r="Q441" i="152" s="1"/>
  <c r="Q442" i="152" s="1"/>
  <c r="Q443" i="152" s="1"/>
  <c r="Q444" i="152" s="1"/>
  <c r="Q445" i="152" s="1"/>
  <c r="Q446" i="152" s="1"/>
  <c r="Q447" i="152" s="1"/>
  <c r="Q448" i="152" s="1"/>
  <c r="Q449" i="152" s="1"/>
  <c r="Q450" i="152" s="1"/>
  <c r="Q451" i="152" s="1"/>
  <c r="Q452" i="152" s="1"/>
  <c r="Q453" i="152" s="1"/>
  <c r="Q454" i="152" s="1"/>
  <c r="Q455" i="152" s="1"/>
  <c r="Q456" i="152" s="1"/>
  <c r="Q457" i="152" s="1"/>
  <c r="Q458" i="152" s="1"/>
  <c r="Q459" i="152" s="1"/>
  <c r="Q460" i="152" s="1"/>
  <c r="Q461" i="152" s="1"/>
  <c r="Q462" i="152" s="1"/>
  <c r="Q463" i="152" s="1"/>
  <c r="Q464" i="152" s="1"/>
  <c r="Q465" i="152" s="1"/>
  <c r="Q466" i="152" s="1"/>
  <c r="Q467" i="152" s="1"/>
  <c r="Q468" i="152" s="1"/>
  <c r="Q469" i="152" s="1"/>
  <c r="Q470" i="152" s="1"/>
  <c r="Q471" i="152" s="1"/>
  <c r="Q472" i="152" s="1"/>
  <c r="Q473" i="152" s="1"/>
  <c r="Q474" i="152" s="1"/>
  <c r="Q475" i="152" s="1"/>
  <c r="Q476" i="152" s="1"/>
  <c r="Q477" i="152" s="1"/>
  <c r="Q478" i="152" s="1"/>
  <c r="Q479" i="152" s="1"/>
  <c r="Q480" i="152" s="1"/>
  <c r="Q481" i="152" s="1"/>
  <c r="Q482" i="152" s="1"/>
  <c r="Q483" i="152" s="1"/>
  <c r="Q484" i="152" s="1"/>
  <c r="Q485" i="152" s="1"/>
  <c r="Q486" i="152" s="1"/>
  <c r="Q487" i="152" s="1"/>
  <c r="Q488" i="152" s="1"/>
  <c r="Q489" i="152" s="1"/>
  <c r="Q490" i="152" s="1"/>
  <c r="Q491" i="152" s="1"/>
  <c r="Q492" i="152" s="1"/>
  <c r="Q493" i="152" s="1"/>
  <c r="Q494" i="152" s="1"/>
  <c r="Q495" i="152" s="1"/>
  <c r="Q496" i="152" s="1"/>
  <c r="Q497" i="152" s="1"/>
  <c r="Q498" i="152" s="1"/>
  <c r="Q499" i="152" s="1"/>
  <c r="Q500" i="152" s="1"/>
  <c r="Q501" i="152" s="1"/>
  <c r="Q502" i="152" s="1"/>
  <c r="Q503" i="152" s="1"/>
  <c r="Q504" i="152" s="1"/>
  <c r="Q505" i="152" s="1"/>
  <c r="Q506" i="152" s="1"/>
  <c r="Q507" i="152" s="1"/>
  <c r="Q508" i="152" s="1"/>
  <c r="Q509" i="152" s="1"/>
  <c r="Q510" i="152" s="1"/>
  <c r="Q511" i="152" s="1"/>
  <c r="Q512" i="152" s="1"/>
  <c r="Q513" i="152" s="1"/>
  <c r="Q514" i="152" s="1"/>
  <c r="Q515" i="152" s="1"/>
  <c r="Q516" i="152" s="1"/>
  <c r="Q517" i="152" s="1"/>
  <c r="Q518" i="152" s="1"/>
  <c r="Q519" i="152" s="1"/>
  <c r="U265" i="152"/>
  <c r="AK10" i="152"/>
  <c r="AK11" i="152" s="1"/>
  <c r="AK12" i="152" s="1"/>
  <c r="AK13" i="152" s="1"/>
  <c r="AO265" i="152"/>
  <c r="Z81" i="152"/>
  <c r="U411" i="152"/>
  <c r="U326" i="152"/>
  <c r="AJ348" i="152"/>
  <c r="U388" i="152"/>
  <c r="AO273" i="152"/>
  <c r="AE245" i="152"/>
  <c r="AJ25" i="152"/>
  <c r="U103" i="152"/>
  <c r="Z219" i="152"/>
  <c r="AJ449" i="152"/>
  <c r="AO433" i="152"/>
  <c r="Z469" i="152"/>
  <c r="U273" i="152"/>
  <c r="AE617" i="152"/>
  <c r="U21" i="152"/>
  <c r="AE264" i="152"/>
  <c r="Z31" i="152"/>
  <c r="AE15" i="152"/>
  <c r="AE41" i="152"/>
  <c r="AO54" i="152"/>
  <c r="AJ52" i="152"/>
  <c r="AJ468" i="152"/>
  <c r="AE472" i="152"/>
  <c r="AE598" i="152"/>
  <c r="Z24" i="152"/>
  <c r="AJ267" i="152"/>
  <c r="AE34" i="152"/>
  <c r="AJ18" i="152"/>
  <c r="AJ44" i="152"/>
  <c r="U58" i="152"/>
  <c r="AO55" i="152"/>
  <c r="Z440" i="152"/>
  <c r="AE282" i="152"/>
  <c r="U544" i="152"/>
  <c r="Z50" i="152"/>
  <c r="AO47" i="152"/>
  <c r="Z61" i="152"/>
  <c r="U59" i="152"/>
  <c r="U475" i="152"/>
  <c r="AO478" i="152"/>
  <c r="AJ285" i="152"/>
  <c r="AO540" i="152"/>
  <c r="AE120" i="152"/>
  <c r="AO140" i="152"/>
  <c r="AJ13" i="152"/>
  <c r="Z289" i="152"/>
  <c r="U293" i="152"/>
  <c r="AE287" i="152"/>
  <c r="AO588" i="152"/>
  <c r="Z471" i="152"/>
  <c r="AJ15" i="152"/>
  <c r="U29" i="152"/>
  <c r="AE170" i="152"/>
  <c r="U446" i="152"/>
  <c r="AJ183" i="152"/>
  <c r="AJ438" i="152"/>
  <c r="AJ264" i="152"/>
  <c r="AO274" i="152"/>
  <c r="AJ19" i="152"/>
  <c r="AE17" i="152"/>
  <c r="AE433" i="152"/>
  <c r="Z437" i="152"/>
  <c r="AE528" i="152"/>
  <c r="AJ416" i="152"/>
  <c r="U130" i="152"/>
  <c r="AO137" i="152"/>
  <c r="Z116" i="152"/>
  <c r="U283" i="152"/>
  <c r="Z97" i="152"/>
  <c r="AO543" i="152"/>
  <c r="AJ240" i="152"/>
  <c r="U287" i="152"/>
  <c r="AE202" i="152"/>
  <c r="U536" i="152"/>
  <c r="AO624" i="152"/>
  <c r="U646" i="152"/>
  <c r="Z406" i="152"/>
  <c r="AE200" i="152"/>
  <c r="U246" i="152"/>
  <c r="AE233" i="152"/>
  <c r="AE259" i="152"/>
  <c r="AO74" i="152"/>
  <c r="AJ404" i="152"/>
  <c r="AJ319" i="152"/>
  <c r="AE361" i="152"/>
  <c r="AO672" i="152"/>
  <c r="U394" i="152"/>
  <c r="U401" i="152"/>
  <c r="AJ203" i="152"/>
  <c r="Z249" i="152"/>
  <c r="AJ236" i="152"/>
  <c r="AJ262" i="152"/>
  <c r="U78" i="152"/>
  <c r="AO407" i="152"/>
  <c r="AO322" i="152"/>
  <c r="AE333" i="152"/>
  <c r="U355" i="152"/>
  <c r="AJ572" i="152"/>
  <c r="Z537" i="152"/>
  <c r="Z393" i="152"/>
  <c r="AJ14" i="152"/>
  <c r="U258" i="152"/>
  <c r="AO24" i="152"/>
  <c r="U9" i="152"/>
  <c r="AE22" i="152"/>
  <c r="AO9" i="152"/>
  <c r="Z151" i="152"/>
  <c r="AO426" i="152"/>
  <c r="AJ309" i="152"/>
  <c r="AO657" i="152"/>
  <c r="AJ553" i="152"/>
  <c r="AE569" i="152"/>
  <c r="U534" i="152"/>
  <c r="AO17" i="152"/>
  <c r="Z261" i="152"/>
  <c r="U28" i="152"/>
  <c r="Z12" i="152"/>
  <c r="Z38" i="152"/>
  <c r="AJ51" i="152"/>
  <c r="AE49" i="152"/>
  <c r="AE465" i="152"/>
  <c r="U485" i="152"/>
  <c r="AJ601" i="152"/>
  <c r="U582" i="152"/>
  <c r="AO415" i="152"/>
  <c r="AO43" i="152"/>
  <c r="U54" i="152"/>
  <c r="AE67" i="152"/>
  <c r="AO45" i="152"/>
  <c r="AE484" i="152"/>
  <c r="Z488" i="152"/>
  <c r="Z367" i="152"/>
  <c r="AJ284" i="152"/>
  <c r="AJ410" i="152"/>
  <c r="U47" i="152"/>
  <c r="Z57" i="152"/>
  <c r="AJ70" i="152"/>
  <c r="U49" i="152"/>
  <c r="AJ487" i="152"/>
  <c r="AE491" i="152"/>
  <c r="AJ475" i="152"/>
  <c r="AJ566" i="152"/>
  <c r="U508" i="152"/>
  <c r="AE406" i="152"/>
  <c r="U66" i="152"/>
  <c r="AE60" i="152"/>
  <c r="AO73" i="152"/>
  <c r="Z52" i="152"/>
  <c r="AJ494" i="152"/>
  <c r="AE563" i="152"/>
  <c r="U133" i="152"/>
  <c r="Z143" i="152"/>
  <c r="AE127" i="152"/>
  <c r="AE153" i="152"/>
  <c r="AO166" i="152"/>
  <c r="AJ312" i="152"/>
  <c r="U212" i="152"/>
  <c r="Z569" i="152"/>
  <c r="Z362" i="152"/>
  <c r="Z21" i="152"/>
  <c r="AJ41" i="152"/>
  <c r="U119" i="152"/>
  <c r="Z235" i="152"/>
  <c r="AO328" i="152"/>
  <c r="AO351" i="152"/>
  <c r="Z617" i="152"/>
  <c r="Z530" i="152"/>
  <c r="AO18" i="152"/>
  <c r="Z32" i="152"/>
  <c r="AJ10" i="152"/>
  <c r="Z449" i="152"/>
  <c r="AE196" i="152"/>
  <c r="AO393" i="152"/>
  <c r="U416" i="152"/>
  <c r="AJ142" i="152"/>
  <c r="AO152" i="152"/>
  <c r="U137" i="152"/>
  <c r="AE150" i="152"/>
  <c r="Z23" i="152"/>
  <c r="AO36" i="152"/>
  <c r="AO298" i="152"/>
  <c r="AJ302" i="152"/>
  <c r="U297" i="152"/>
  <c r="U528" i="152"/>
  <c r="AJ40" i="152"/>
  <c r="AO50" i="152"/>
  <c r="Z64" i="152"/>
  <c r="AJ42" i="152"/>
  <c r="Z481" i="152"/>
  <c r="AJ323" i="152"/>
  <c r="AJ66" i="152"/>
  <c r="Z511" i="152"/>
  <c r="AO69" i="152"/>
  <c r="AE592" i="152"/>
  <c r="AJ508" i="152"/>
  <c r="AJ429" i="152"/>
  <c r="Z517" i="152"/>
  <c r="AE78" i="152"/>
  <c r="AO308" i="152"/>
  <c r="AJ465" i="152"/>
  <c r="Z229" i="152"/>
  <c r="AE31" i="152"/>
  <c r="U453" i="152"/>
  <c r="AE362" i="152"/>
  <c r="U163" i="152"/>
  <c r="Z605" i="152"/>
  <c r="AO65" i="152"/>
  <c r="U76" i="152"/>
  <c r="AJ73" i="152"/>
  <c r="U61" i="152"/>
  <c r="AE39" i="152"/>
  <c r="AO481" i="152"/>
  <c r="AO360" i="152"/>
  <c r="Z278" i="152"/>
  <c r="AJ606" i="152"/>
  <c r="AE501" i="152"/>
  <c r="AJ517" i="152"/>
  <c r="U420" i="152"/>
  <c r="U69" i="152"/>
  <c r="Z79" i="152"/>
  <c r="AE63" i="152"/>
  <c r="AE89" i="152"/>
  <c r="AO102" i="152"/>
  <c r="AE177" i="152"/>
  <c r="AE241" i="152"/>
  <c r="U263" i="152"/>
  <c r="AE550" i="152"/>
  <c r="AO319" i="152"/>
  <c r="U95" i="152"/>
  <c r="Z105" i="152"/>
  <c r="AJ118" i="152"/>
  <c r="U97" i="152"/>
  <c r="AO240" i="152"/>
  <c r="AE283" i="152"/>
  <c r="AO277" i="152"/>
  <c r="AE330" i="152"/>
  <c r="AO569" i="152"/>
  <c r="U307" i="152"/>
  <c r="Z98" i="152"/>
  <c r="AE108" i="152"/>
  <c r="AO121" i="152"/>
  <c r="Z100" i="152"/>
  <c r="U250" i="152"/>
  <c r="AO259" i="152"/>
  <c r="AE278" i="152"/>
  <c r="AE515" i="152"/>
  <c r="Z117" i="152"/>
  <c r="AJ111" i="152"/>
  <c r="U125" i="152"/>
  <c r="AE103" i="152"/>
  <c r="Z257" i="152"/>
  <c r="U267" i="152"/>
  <c r="AJ281" i="152"/>
  <c r="Z184" i="152"/>
  <c r="U192" i="152"/>
  <c r="AE13" i="152"/>
  <c r="U360" i="152"/>
  <c r="Z344" i="152"/>
  <c r="AO363" i="152"/>
  <c r="Z560" i="152"/>
  <c r="AE72" i="152"/>
  <c r="AO92" i="152"/>
  <c r="Z170" i="152"/>
  <c r="U155" i="152"/>
  <c r="Z497" i="152"/>
  <c r="AE481" i="152"/>
  <c r="U180" i="152"/>
  <c r="U142" i="152"/>
  <c r="AJ585" i="152"/>
  <c r="U467" i="152"/>
  <c r="AO59" i="152"/>
  <c r="U70" i="152"/>
  <c r="AE83" i="152"/>
  <c r="AO61" i="152"/>
  <c r="AE500" i="152"/>
  <c r="AO468" i="152"/>
  <c r="Z504" i="152"/>
  <c r="AE145" i="152"/>
  <c r="AE426" i="152"/>
  <c r="AE649" i="152"/>
  <c r="U505" i="152"/>
  <c r="AO193" i="152"/>
  <c r="U204" i="152"/>
  <c r="AE74" i="152"/>
  <c r="U88" i="152"/>
  <c r="U350" i="152"/>
  <c r="AE318" i="152"/>
  <c r="U151" i="152"/>
  <c r="Z267" i="152"/>
  <c r="U478" i="152"/>
  <c r="AJ497" i="152"/>
  <c r="AE180" i="152"/>
  <c r="AO472" i="152"/>
  <c r="AJ332" i="152"/>
  <c r="AO91" i="152"/>
  <c r="U102" i="152"/>
  <c r="AE115" i="152"/>
  <c r="AO93" i="152"/>
  <c r="AJ231" i="152"/>
  <c r="Z280" i="152"/>
  <c r="AJ269" i="152"/>
  <c r="Z327" i="152"/>
  <c r="Z444" i="152"/>
  <c r="AO110" i="152"/>
  <c r="Z131" i="152"/>
  <c r="AJ208" i="152"/>
  <c r="AJ17" i="152"/>
  <c r="AJ279" i="152"/>
  <c r="U303" i="152"/>
  <c r="AJ595" i="152"/>
  <c r="AO511" i="152"/>
  <c r="U439" i="152"/>
  <c r="U114" i="152"/>
  <c r="AE134" i="152"/>
  <c r="AO211" i="152"/>
  <c r="AO20" i="152"/>
  <c r="AO282" i="152"/>
  <c r="AJ286" i="152"/>
  <c r="U281" i="152"/>
  <c r="AJ333" i="152"/>
  <c r="Z541" i="152"/>
  <c r="AE435" i="152"/>
  <c r="U384" i="152"/>
  <c r="AO434" i="152"/>
  <c r="AO129" i="152"/>
  <c r="U140" i="152"/>
  <c r="Z124" i="152"/>
  <c r="AJ137" i="152"/>
  <c r="AE10" i="152"/>
  <c r="U24" i="152"/>
  <c r="U286" i="152"/>
  <c r="AO289" i="152"/>
  <c r="Z284" i="152"/>
  <c r="AO336" i="152"/>
  <c r="U538" i="152"/>
  <c r="Z512" i="152"/>
  <c r="Z431" i="152"/>
  <c r="Z349" i="152"/>
  <c r="U448" i="152"/>
  <c r="AJ171" i="152"/>
  <c r="AE194" i="152"/>
  <c r="Z217" i="152"/>
  <c r="AJ204" i="152"/>
  <c r="AJ230" i="152"/>
  <c r="U46" i="152"/>
  <c r="AO375" i="152"/>
  <c r="AJ379" i="152"/>
  <c r="U586" i="152"/>
  <c r="AO448" i="152"/>
  <c r="U85" i="152"/>
  <c r="Z95" i="152"/>
  <c r="U566" i="152"/>
  <c r="AO355" i="152"/>
  <c r="AE24" i="152"/>
  <c r="U96" i="152"/>
  <c r="AE173" i="152"/>
  <c r="U177" i="152"/>
  <c r="AO192" i="152"/>
  <c r="AE488" i="152"/>
  <c r="Z464" i="152"/>
  <c r="AE434" i="152"/>
  <c r="Z181" i="152"/>
  <c r="AO226" i="152"/>
  <c r="U23" i="152"/>
  <c r="AE167" i="152"/>
  <c r="AJ369" i="152"/>
  <c r="AE373" i="152"/>
  <c r="AO145" i="152"/>
  <c r="U156" i="152"/>
  <c r="AO598" i="152"/>
  <c r="U515" i="152"/>
  <c r="AE393" i="152"/>
  <c r="AE123" i="152"/>
  <c r="AJ133" i="152"/>
  <c r="AO143" i="152"/>
  <c r="Z157" i="152"/>
  <c r="Z299" i="152"/>
  <c r="AO318" i="152"/>
  <c r="AJ151" i="152"/>
  <c r="U492" i="152"/>
  <c r="Z388" i="152"/>
  <c r="AJ126" i="152"/>
  <c r="AO136" i="152"/>
  <c r="U147" i="152"/>
  <c r="AE160" i="152"/>
  <c r="AO256" i="152"/>
  <c r="AJ412" i="152"/>
  <c r="AJ152" i="152"/>
  <c r="Z150" i="152"/>
  <c r="AJ163" i="152"/>
  <c r="AE309" i="152"/>
  <c r="U266" i="152"/>
  <c r="AE407" i="152"/>
  <c r="AO229" i="152"/>
  <c r="U116" i="152"/>
  <c r="AJ391" i="152"/>
  <c r="AO290" i="152"/>
  <c r="AE477" i="152"/>
  <c r="AO107" i="152"/>
  <c r="U118" i="152"/>
  <c r="AE131" i="152"/>
  <c r="AO109" i="152"/>
  <c r="AJ275" i="152"/>
  <c r="U288" i="152"/>
  <c r="AO514" i="152"/>
  <c r="U37" i="152"/>
  <c r="AE98" i="152"/>
  <c r="AJ82" i="152"/>
  <c r="AJ108" i="152"/>
  <c r="U122" i="152"/>
  <c r="U241" i="152"/>
  <c r="AO250" i="152"/>
  <c r="U390" i="152"/>
  <c r="U614" i="152"/>
  <c r="U527" i="152"/>
  <c r="AE239" i="152"/>
  <c r="Z214" i="152"/>
  <c r="Z240" i="152"/>
  <c r="AJ55" i="152"/>
  <c r="AE385" i="152"/>
  <c r="Z389" i="152"/>
  <c r="Z525" i="152"/>
  <c r="AE503" i="152"/>
  <c r="AJ168" i="152"/>
  <c r="U154" i="152"/>
  <c r="U296" i="152"/>
  <c r="AJ315" i="152"/>
  <c r="U126" i="152"/>
  <c r="U573" i="152"/>
  <c r="Z146" i="152"/>
  <c r="AE156" i="152"/>
  <c r="AO169" i="152"/>
  <c r="Z148" i="152"/>
  <c r="U315" i="152"/>
  <c r="AJ518" i="152"/>
  <c r="AJ523" i="152"/>
  <c r="AE149" i="152"/>
  <c r="AE151" i="152"/>
  <c r="Z318" i="152"/>
  <c r="U322" i="152"/>
  <c r="Z306" i="152"/>
  <c r="U174" i="152"/>
  <c r="Z445" i="152"/>
  <c r="AE175" i="152"/>
  <c r="AO162" i="152"/>
  <c r="Z176" i="152"/>
  <c r="AJ154" i="152"/>
  <c r="AE321" i="152"/>
  <c r="Z325" i="152"/>
  <c r="AO186" i="152"/>
  <c r="U441" i="152"/>
  <c r="AJ536" i="152"/>
  <c r="AE235" i="152"/>
  <c r="U207" i="152"/>
  <c r="AJ245" i="152"/>
  <c r="Z243" i="152"/>
  <c r="AJ64" i="152"/>
  <c r="AO180" i="152"/>
  <c r="Z411" i="152"/>
  <c r="AE269" i="152"/>
  <c r="AE425" i="152"/>
  <c r="Z565" i="152"/>
  <c r="AJ123" i="152"/>
  <c r="U144" i="152"/>
  <c r="AO16" i="152"/>
  <c r="AE30" i="152"/>
  <c r="AE292" i="152"/>
  <c r="Z296" i="152"/>
  <c r="AJ290" i="152"/>
  <c r="AO392" i="152"/>
  <c r="U111" i="152"/>
  <c r="Z121" i="152"/>
  <c r="AJ134" i="152"/>
  <c r="U113" i="152"/>
  <c r="AO279" i="152"/>
  <c r="Z291" i="152"/>
  <c r="Z598" i="152"/>
  <c r="AO429" i="152"/>
  <c r="U245" i="152"/>
  <c r="Z255" i="152"/>
  <c r="AO252" i="152"/>
  <c r="AJ125" i="152"/>
  <c r="Z401" i="152"/>
  <c r="AE300" i="152"/>
  <c r="AJ389" i="152"/>
  <c r="AE412" i="152"/>
  <c r="Z307" i="152"/>
  <c r="AE191" i="152"/>
  <c r="Z353" i="152"/>
  <c r="AA10" i="152"/>
  <c r="AA11" i="152" s="1"/>
  <c r="AA12" i="152" s="1"/>
  <c r="AA13" i="152" s="1"/>
  <c r="AA14" i="152" s="1"/>
  <c r="AA15" i="152" s="1"/>
  <c r="AA16" i="152" s="1"/>
  <c r="AA17" i="152" s="1"/>
  <c r="AA18" i="152" s="1"/>
  <c r="AA19" i="152" s="1"/>
  <c r="AA20" i="152" s="1"/>
  <c r="AA21" i="152" s="1"/>
  <c r="AA22" i="152" s="1"/>
  <c r="AA23" i="152" s="1"/>
  <c r="AA24" i="152" s="1"/>
  <c r="AA25" i="152" s="1"/>
  <c r="AA26" i="152" s="1"/>
  <c r="AA27" i="152" s="1"/>
  <c r="AA28" i="152" s="1"/>
  <c r="AA29" i="152" s="1"/>
  <c r="AA30" i="152" s="1"/>
  <c r="AA31" i="152" s="1"/>
  <c r="AA32" i="152" s="1"/>
  <c r="AA33" i="152" s="1"/>
  <c r="AA34" i="152" s="1"/>
  <c r="AA35" i="152" s="1"/>
  <c r="AA36" i="152" s="1"/>
  <c r="AA37" i="152" s="1"/>
  <c r="AA38" i="152" s="1"/>
  <c r="AA39" i="152" s="1"/>
  <c r="AA40" i="152" s="1"/>
  <c r="AA41" i="152" s="1"/>
  <c r="AA42" i="152" s="1"/>
  <c r="AA43" i="152" s="1"/>
  <c r="AA44" i="152" s="1"/>
  <c r="AA45" i="152" s="1"/>
  <c r="AA46" i="152" s="1"/>
  <c r="AA47" i="152" s="1"/>
  <c r="AA48" i="152" s="1"/>
  <c r="AA49" i="152" s="1"/>
  <c r="AA50" i="152" s="1"/>
  <c r="AA51" i="152" s="1"/>
  <c r="AA52" i="152" s="1"/>
  <c r="AA53" i="152" s="1"/>
  <c r="AA54" i="152" s="1"/>
  <c r="AA55" i="152" s="1"/>
  <c r="AA56" i="152" s="1"/>
  <c r="AA57" i="152" s="1"/>
  <c r="AA58" i="152" s="1"/>
  <c r="AA59" i="152" s="1"/>
  <c r="AA60" i="152" s="1"/>
  <c r="AA61" i="152" s="1"/>
  <c r="AA62" i="152" s="1"/>
  <c r="AA63" i="152" s="1"/>
  <c r="AA64" i="152" s="1"/>
  <c r="AA65" i="152" s="1"/>
  <c r="AA66" i="152" s="1"/>
  <c r="AA67" i="152" s="1"/>
  <c r="AA68" i="152" s="1"/>
  <c r="AA69" i="152" s="1"/>
  <c r="AA70" i="152" s="1"/>
  <c r="AA71" i="152" s="1"/>
  <c r="AA72" i="152" s="1"/>
  <c r="AA73" i="152" s="1"/>
  <c r="AA74" i="152" s="1"/>
  <c r="AA75" i="152" s="1"/>
  <c r="AA76" i="152" s="1"/>
  <c r="AA77" i="152" s="1"/>
  <c r="AA78" i="152" s="1"/>
  <c r="AA79" i="152" s="1"/>
  <c r="AA80" i="152" s="1"/>
  <c r="AA81" i="152" s="1"/>
  <c r="AA82" i="152" s="1"/>
  <c r="AA83" i="152" s="1"/>
  <c r="AA84" i="152" s="1"/>
  <c r="AA85" i="152" s="1"/>
  <c r="AA86" i="152" s="1"/>
  <c r="AA87" i="152" s="1"/>
  <c r="AA88" i="152" s="1"/>
  <c r="AA89" i="152" s="1"/>
  <c r="AA90" i="152" s="1"/>
  <c r="AA91" i="152" s="1"/>
  <c r="AA92" i="152" s="1"/>
  <c r="AA93" i="152" s="1"/>
  <c r="AA94" i="152" s="1"/>
  <c r="AA95" i="152" s="1"/>
  <c r="AA96" i="152" s="1"/>
  <c r="AA97" i="152" s="1"/>
  <c r="AA98" i="152" s="1"/>
  <c r="AA99" i="152" s="1"/>
  <c r="AA100" i="152" s="1"/>
  <c r="AA101" i="152" s="1"/>
  <c r="AA102" i="152" s="1"/>
  <c r="AA103" i="152" s="1"/>
  <c r="AA104" i="152" s="1"/>
  <c r="AA105" i="152" s="1"/>
  <c r="AA106" i="152" s="1"/>
  <c r="AA107" i="152" s="1"/>
  <c r="AA108" i="152" s="1"/>
  <c r="AA109" i="152" s="1"/>
  <c r="AA110" i="152" s="1"/>
  <c r="AA111" i="152" s="1"/>
  <c r="AA112" i="152" s="1"/>
  <c r="AA113" i="152" s="1"/>
  <c r="AA114" i="152" s="1"/>
  <c r="AA115" i="152" s="1"/>
  <c r="AA116" i="152" s="1"/>
  <c r="AA117" i="152" s="1"/>
  <c r="AA118" i="152" s="1"/>
  <c r="AA119" i="152" s="1"/>
  <c r="AA120" i="152" s="1"/>
  <c r="AA121" i="152" s="1"/>
  <c r="AA122" i="152" s="1"/>
  <c r="AA123" i="152" s="1"/>
  <c r="AA124" i="152" s="1"/>
  <c r="AA125" i="152" s="1"/>
  <c r="AA126" i="152" s="1"/>
  <c r="AA127" i="152" s="1"/>
  <c r="AA128" i="152" s="1"/>
  <c r="AA129" i="152" s="1"/>
  <c r="AA130" i="152" s="1"/>
  <c r="AA131" i="152" s="1"/>
  <c r="AA132" i="152" s="1"/>
  <c r="AA133" i="152" s="1"/>
  <c r="AA134" i="152" s="1"/>
  <c r="AA135" i="152" s="1"/>
  <c r="AA136" i="152" s="1"/>
  <c r="AA137" i="152" s="1"/>
  <c r="AA138" i="152" s="1"/>
  <c r="AA139" i="152" s="1"/>
  <c r="AA140" i="152" s="1"/>
  <c r="AA141" i="152" s="1"/>
  <c r="AA142" i="152" s="1"/>
  <c r="AA143" i="152" s="1"/>
  <c r="AA144" i="152" s="1"/>
  <c r="AA145" i="152" s="1"/>
  <c r="AA146" i="152" s="1"/>
  <c r="AA147" i="152" s="1"/>
  <c r="AA148" i="152" s="1"/>
  <c r="AA149" i="152" s="1"/>
  <c r="AA150" i="152" s="1"/>
  <c r="AA151" i="152" s="1"/>
  <c r="AA152" i="152" s="1"/>
  <c r="AA153" i="152" s="1"/>
  <c r="AA154" i="152" s="1"/>
  <c r="AA155" i="152" s="1"/>
  <c r="AA156" i="152" s="1"/>
  <c r="AA157" i="152" s="1"/>
  <c r="AA158" i="152" s="1"/>
  <c r="AA159" i="152" s="1"/>
  <c r="AA160" i="152" s="1"/>
  <c r="AA161" i="152" s="1"/>
  <c r="AA162" i="152" s="1"/>
  <c r="AA163" i="152" s="1"/>
  <c r="AA164" i="152" s="1"/>
  <c r="AA165" i="152" s="1"/>
  <c r="AA166" i="152" s="1"/>
  <c r="AA167" i="152" s="1"/>
  <c r="AA168" i="152" s="1"/>
  <c r="AA169" i="152" s="1"/>
  <c r="AA170" i="152" s="1"/>
  <c r="AA171" i="152" s="1"/>
  <c r="AA172" i="152" s="1"/>
  <c r="AA173" i="152" s="1"/>
  <c r="AA174" i="152" s="1"/>
  <c r="AA175" i="152" s="1"/>
  <c r="AA176" i="152" s="1"/>
  <c r="AA177" i="152" s="1"/>
  <c r="AA178" i="152" s="1"/>
  <c r="AA179" i="152" s="1"/>
  <c r="AA180" i="152" s="1"/>
  <c r="AA181" i="152" s="1"/>
  <c r="AA182" i="152" s="1"/>
  <c r="AA183" i="152" s="1"/>
  <c r="AA184" i="152" s="1"/>
  <c r="AA185" i="152" s="1"/>
  <c r="AA186" i="152" s="1"/>
  <c r="AA187" i="152" s="1"/>
  <c r="AA188" i="152" s="1"/>
  <c r="AA189" i="152" s="1"/>
  <c r="AA190" i="152" s="1"/>
  <c r="AA191" i="152" s="1"/>
  <c r="AA192" i="152" s="1"/>
  <c r="AA193" i="152" s="1"/>
  <c r="AA194" i="152" s="1"/>
  <c r="AA195" i="152" s="1"/>
  <c r="AA196" i="152" s="1"/>
  <c r="AA197" i="152" s="1"/>
  <c r="AA198" i="152" s="1"/>
  <c r="AA199" i="152" s="1"/>
  <c r="AA200" i="152" s="1"/>
  <c r="AA201" i="152" s="1"/>
  <c r="AA202" i="152" s="1"/>
  <c r="AA203" i="152" s="1"/>
  <c r="AA204" i="152" s="1"/>
  <c r="AA205" i="152" s="1"/>
  <c r="AA206" i="152" s="1"/>
  <c r="AA207" i="152" s="1"/>
  <c r="AA208" i="152" s="1"/>
  <c r="AA209" i="152" s="1"/>
  <c r="AA210" i="152" s="1"/>
  <c r="AA211" i="152" s="1"/>
  <c r="AA212" i="152" s="1"/>
  <c r="AA213" i="152" s="1"/>
  <c r="AA214" i="152" s="1"/>
  <c r="AA215" i="152" s="1"/>
  <c r="AA216" i="152" s="1"/>
  <c r="AA217" i="152" s="1"/>
  <c r="AA218" i="152" s="1"/>
  <c r="AA219" i="152" s="1"/>
  <c r="AA220" i="152" s="1"/>
  <c r="AA221" i="152" s="1"/>
  <c r="AA222" i="152" s="1"/>
  <c r="AA223" i="152" s="1"/>
  <c r="AA224" i="152" s="1"/>
  <c r="AA225" i="152" s="1"/>
  <c r="AA226" i="152" s="1"/>
  <c r="AA227" i="152" s="1"/>
  <c r="AA228" i="152" s="1"/>
  <c r="AA229" i="152" s="1"/>
  <c r="AA230" i="152" s="1"/>
  <c r="AA231" i="152" s="1"/>
  <c r="AA232" i="152" s="1"/>
  <c r="AA233" i="152" s="1"/>
  <c r="AA234" i="152" s="1"/>
  <c r="AA235" i="152" s="1"/>
  <c r="AA236" i="152" s="1"/>
  <c r="AA237" i="152" s="1"/>
  <c r="AA238" i="152" s="1"/>
  <c r="AA239" i="152" s="1"/>
  <c r="AA240" i="152" s="1"/>
  <c r="AA241" i="152" s="1"/>
  <c r="AA242" i="152" s="1"/>
  <c r="AA243" i="152" s="1"/>
  <c r="AA244" i="152" s="1"/>
  <c r="AA245" i="152" s="1"/>
  <c r="AA246" i="152" s="1"/>
  <c r="AA247" i="152" s="1"/>
  <c r="AA248" i="152" s="1"/>
  <c r="AA249" i="152" s="1"/>
  <c r="AA250" i="152" s="1"/>
  <c r="AA251" i="152" s="1"/>
  <c r="AA252" i="152" s="1"/>
  <c r="AA253" i="152" s="1"/>
  <c r="AA254" i="152" s="1"/>
  <c r="AA255" i="152" s="1"/>
  <c r="AA256" i="152" s="1"/>
  <c r="AA257" i="152" s="1"/>
  <c r="AA258" i="152" s="1"/>
  <c r="AA259" i="152" s="1"/>
  <c r="AA260" i="152" s="1"/>
  <c r="AA261" i="152" s="1"/>
  <c r="AA262" i="152" s="1"/>
  <c r="AA263" i="152" s="1"/>
  <c r="AA264" i="152" s="1"/>
  <c r="AA265" i="152" s="1"/>
  <c r="AA266" i="152" s="1"/>
  <c r="AA267" i="152" s="1"/>
  <c r="AA268" i="152" s="1"/>
  <c r="AA269" i="152" s="1"/>
  <c r="AA270" i="152" s="1"/>
  <c r="AA271" i="152" s="1"/>
  <c r="AA272" i="152" s="1"/>
  <c r="AA273" i="152" s="1"/>
  <c r="AA274" i="152" s="1"/>
  <c r="AA275" i="152" s="1"/>
  <c r="AA276" i="152" s="1"/>
  <c r="AA277" i="152" s="1"/>
  <c r="AA278" i="152" s="1"/>
  <c r="AA279" i="152" s="1"/>
  <c r="AA280" i="152" s="1"/>
  <c r="AA281" i="152" s="1"/>
  <c r="AA282" i="152" s="1"/>
  <c r="AA283" i="152" s="1"/>
  <c r="AA284" i="152" s="1"/>
  <c r="AA285" i="152" s="1"/>
  <c r="AA286" i="152" s="1"/>
  <c r="AA287" i="152" s="1"/>
  <c r="AA288" i="152" s="1"/>
  <c r="AA289" i="152" s="1"/>
  <c r="AA290" i="152" s="1"/>
  <c r="AA291" i="152" s="1"/>
  <c r="AA292" i="152" s="1"/>
  <c r="AA293" i="152" s="1"/>
  <c r="AA294" i="152" s="1"/>
  <c r="AA295" i="152" s="1"/>
  <c r="AA296" i="152" s="1"/>
  <c r="AA297" i="152" s="1"/>
  <c r="AA298" i="152" s="1"/>
  <c r="AA299" i="152" s="1"/>
  <c r="AA300" i="152" s="1"/>
  <c r="AA301" i="152" s="1"/>
  <c r="AA302" i="152" s="1"/>
  <c r="AA303" i="152" s="1"/>
  <c r="AA304" i="152" s="1"/>
  <c r="AA305" i="152" s="1"/>
  <c r="AA306" i="152" s="1"/>
  <c r="AA307" i="152" s="1"/>
  <c r="AA308" i="152" s="1"/>
  <c r="AA309" i="152" s="1"/>
  <c r="AA310" i="152" s="1"/>
  <c r="AA311" i="152" s="1"/>
  <c r="AA312" i="152" s="1"/>
  <c r="AA313" i="152" s="1"/>
  <c r="AA314" i="152" s="1"/>
  <c r="AA315" i="152" s="1"/>
  <c r="AA316" i="152" s="1"/>
  <c r="AA317" i="152" s="1"/>
  <c r="AA318" i="152" s="1"/>
  <c r="AA319" i="152" s="1"/>
  <c r="AA320" i="152" s="1"/>
  <c r="AA321" i="152" s="1"/>
  <c r="AA322" i="152" s="1"/>
  <c r="AA323" i="152" s="1"/>
  <c r="AA324" i="152" s="1"/>
  <c r="AA325" i="152" s="1"/>
  <c r="AA326" i="152" s="1"/>
  <c r="AA327" i="152" s="1"/>
  <c r="AA328" i="152" s="1"/>
  <c r="AA329" i="152" s="1"/>
  <c r="AA330" i="152" s="1"/>
  <c r="AA331" i="152" s="1"/>
  <c r="AA332" i="152" s="1"/>
  <c r="AA333" i="152" s="1"/>
  <c r="AA334" i="152" s="1"/>
  <c r="AA335" i="152" s="1"/>
  <c r="AA336" i="152" s="1"/>
  <c r="AA337" i="152" s="1"/>
  <c r="AA338" i="152" s="1"/>
  <c r="AA339" i="152" s="1"/>
  <c r="AA340" i="152" s="1"/>
  <c r="AA341" i="152" s="1"/>
  <c r="AA342" i="152" s="1"/>
  <c r="AA343" i="152" s="1"/>
  <c r="AA344" i="152" s="1"/>
  <c r="AA345" i="152" s="1"/>
  <c r="AA346" i="152" s="1"/>
  <c r="AA347" i="152" s="1"/>
  <c r="AA348" i="152" s="1"/>
  <c r="AA349" i="152" s="1"/>
  <c r="AA350" i="152" s="1"/>
  <c r="AA351" i="152" s="1"/>
  <c r="AA352" i="152" s="1"/>
  <c r="AA353" i="152" s="1"/>
  <c r="AA354" i="152" s="1"/>
  <c r="AA355" i="152" s="1"/>
  <c r="AA356" i="152" s="1"/>
  <c r="AA357" i="152" s="1"/>
  <c r="AA358" i="152" s="1"/>
  <c r="AA359" i="152" s="1"/>
  <c r="AA360" i="152" s="1"/>
  <c r="AA361" i="152" s="1"/>
  <c r="AA362" i="152" s="1"/>
  <c r="AA363" i="152" s="1"/>
  <c r="AA364" i="152" s="1"/>
  <c r="AA365" i="152" s="1"/>
  <c r="AA366" i="152" s="1"/>
  <c r="AA367" i="152" s="1"/>
  <c r="AA368" i="152" s="1"/>
  <c r="AA369" i="152" s="1"/>
  <c r="AA370" i="152" s="1"/>
  <c r="AA371" i="152" s="1"/>
  <c r="AA372" i="152" s="1"/>
  <c r="AA373" i="152" s="1"/>
  <c r="AA374" i="152" s="1"/>
  <c r="AA375" i="152" s="1"/>
  <c r="AA376" i="152" s="1"/>
  <c r="AA377" i="152" s="1"/>
  <c r="AA378" i="152" s="1"/>
  <c r="AA379" i="152" s="1"/>
  <c r="AA380" i="152" s="1"/>
  <c r="AA381" i="152" s="1"/>
  <c r="AA382" i="152" s="1"/>
  <c r="AA383" i="152" s="1"/>
  <c r="AA384" i="152" s="1"/>
  <c r="AA385" i="152" s="1"/>
  <c r="AA386" i="152" s="1"/>
  <c r="AA387" i="152" s="1"/>
  <c r="AA388" i="152" s="1"/>
  <c r="AA389" i="152" s="1"/>
  <c r="AA390" i="152" s="1"/>
  <c r="AA391" i="152" s="1"/>
  <c r="AA392" i="152" s="1"/>
  <c r="AA393" i="152" s="1"/>
  <c r="AA394" i="152" s="1"/>
  <c r="AA395" i="152" s="1"/>
  <c r="AA396" i="152" s="1"/>
  <c r="AA397" i="152" s="1"/>
  <c r="AA398" i="152" s="1"/>
  <c r="AA399" i="152" s="1"/>
  <c r="AA400" i="152" s="1"/>
  <c r="AA401" i="152" s="1"/>
  <c r="AA402" i="152" s="1"/>
  <c r="AA403" i="152" s="1"/>
  <c r="AA404" i="152" s="1"/>
  <c r="AA405" i="152" s="1"/>
  <c r="AA406" i="152" s="1"/>
  <c r="AA407" i="152" s="1"/>
  <c r="AA408" i="152" s="1"/>
  <c r="AA409" i="152" s="1"/>
  <c r="AA410" i="152" s="1"/>
  <c r="AA411" i="152" s="1"/>
  <c r="AA412" i="152" s="1"/>
  <c r="AA413" i="152" s="1"/>
  <c r="AA414" i="152" s="1"/>
  <c r="AA415" i="152" s="1"/>
  <c r="AA416" i="152" s="1"/>
  <c r="AA417" i="152" s="1"/>
  <c r="AA418" i="152" s="1"/>
  <c r="AA419" i="152" s="1"/>
  <c r="AA420" i="152" s="1"/>
  <c r="AA421" i="152" s="1"/>
  <c r="AA422" i="152" s="1"/>
  <c r="AA423" i="152" s="1"/>
  <c r="AA424" i="152" s="1"/>
  <c r="AA425" i="152" s="1"/>
  <c r="AA426" i="152" s="1"/>
  <c r="AA427" i="152" s="1"/>
  <c r="AA428" i="152" s="1"/>
  <c r="AA429" i="152" s="1"/>
  <c r="AA430" i="152" s="1"/>
  <c r="AA431" i="152" s="1"/>
  <c r="AA432" i="152" s="1"/>
  <c r="AA433" i="152" s="1"/>
  <c r="AA434" i="152" s="1"/>
  <c r="AA435" i="152" s="1"/>
  <c r="AA436" i="152" s="1"/>
  <c r="AA437" i="152" s="1"/>
  <c r="AA438" i="152" s="1"/>
  <c r="AA439" i="152" s="1"/>
  <c r="AA440" i="152" s="1"/>
  <c r="AA441" i="152" s="1"/>
  <c r="AA442" i="152" s="1"/>
  <c r="AA443" i="152" s="1"/>
  <c r="AA444" i="152" s="1"/>
  <c r="AA445" i="152" s="1"/>
  <c r="AA446" i="152" s="1"/>
  <c r="AA447" i="152" s="1"/>
  <c r="AA448" i="152" s="1"/>
  <c r="AA449" i="152" s="1"/>
  <c r="AA450" i="152" s="1"/>
  <c r="AA451" i="152" s="1"/>
  <c r="AA452" i="152" s="1"/>
  <c r="AA453" i="152" s="1"/>
  <c r="AA454" i="152" s="1"/>
  <c r="AA455" i="152" s="1"/>
  <c r="AA456" i="152" s="1"/>
  <c r="AA457" i="152" s="1"/>
  <c r="AA458" i="152" s="1"/>
  <c r="AA459" i="152" s="1"/>
  <c r="AA460" i="152" s="1"/>
  <c r="AA461" i="152" s="1"/>
  <c r="AA462" i="152" s="1"/>
  <c r="AA463" i="152" s="1"/>
  <c r="AA464" i="152" s="1"/>
  <c r="AA465" i="152" s="1"/>
  <c r="AA466" i="152" s="1"/>
  <c r="AA467" i="152" s="1"/>
  <c r="AA468" i="152" s="1"/>
  <c r="AA469" i="152" s="1"/>
  <c r="AA470" i="152" s="1"/>
  <c r="AA471" i="152" s="1"/>
  <c r="AA472" i="152" s="1"/>
  <c r="AA473" i="152" s="1"/>
  <c r="AA474" i="152" s="1"/>
  <c r="AA475" i="152" s="1"/>
  <c r="AA476" i="152" s="1"/>
  <c r="AA477" i="152" s="1"/>
  <c r="AA478" i="152" s="1"/>
  <c r="AA479" i="152" s="1"/>
  <c r="AA480" i="152" s="1"/>
  <c r="AA481" i="152" s="1"/>
  <c r="AA482" i="152" s="1"/>
  <c r="AA483" i="152" s="1"/>
  <c r="AA484" i="152" s="1"/>
  <c r="AA485" i="152" s="1"/>
  <c r="AA486" i="152" s="1"/>
  <c r="AA487" i="152" s="1"/>
  <c r="AA488" i="152" s="1"/>
  <c r="AA489" i="152" s="1"/>
  <c r="AA490" i="152" s="1"/>
  <c r="AA491" i="152" s="1"/>
  <c r="AA492" i="152" s="1"/>
  <c r="AA493" i="152" s="1"/>
  <c r="AA494" i="152" s="1"/>
  <c r="AA495" i="152" s="1"/>
  <c r="AA496" i="152" s="1"/>
  <c r="AA497" i="152" s="1"/>
  <c r="AA498" i="152" s="1"/>
  <c r="AA499" i="152" s="1"/>
  <c r="AA500" i="152" s="1"/>
  <c r="AA501" i="152" s="1"/>
  <c r="AA502" i="152" s="1"/>
  <c r="AA503" i="152" s="1"/>
  <c r="AA504" i="152" s="1"/>
  <c r="AA505" i="152" s="1"/>
  <c r="AA506" i="152" s="1"/>
  <c r="AA507" i="152" s="1"/>
  <c r="AA508" i="152" s="1"/>
  <c r="AA509" i="152" s="1"/>
  <c r="AA510" i="152" s="1"/>
  <c r="AA511" i="152" s="1"/>
  <c r="AA512" i="152" s="1"/>
  <c r="AA513" i="152" s="1"/>
  <c r="AA514" i="152" s="1"/>
  <c r="AA515" i="152" s="1"/>
  <c r="AA516" i="152" s="1"/>
  <c r="AA517" i="152" s="1"/>
  <c r="AA518" i="152" s="1"/>
  <c r="AA519" i="152" s="1"/>
  <c r="AA520" i="152" s="1"/>
  <c r="AA521" i="152" s="1"/>
  <c r="AA522" i="152" s="1"/>
  <c r="AA523" i="152" s="1"/>
  <c r="AA524" i="152" s="1"/>
  <c r="AA525" i="152" s="1"/>
  <c r="AA526" i="152" s="1"/>
  <c r="AA527" i="152" s="1"/>
  <c r="AA528" i="152" s="1"/>
  <c r="AA529" i="152" s="1"/>
  <c r="AA530" i="152" s="1"/>
  <c r="AA531" i="152" s="1"/>
  <c r="AA532" i="152" s="1"/>
  <c r="AA533" i="152" s="1"/>
  <c r="AA534" i="152" s="1"/>
  <c r="AA535" i="152" s="1"/>
  <c r="AA536" i="152" s="1"/>
  <c r="AA537" i="152" s="1"/>
  <c r="AA538" i="152" s="1"/>
  <c r="AA539" i="152" s="1"/>
  <c r="AA540" i="152" s="1"/>
  <c r="AA541" i="152" s="1"/>
  <c r="AA542" i="152" s="1"/>
  <c r="AA543" i="152" s="1"/>
  <c r="AA544" i="152" s="1"/>
  <c r="AA545" i="152" s="1"/>
  <c r="AA546" i="152" s="1"/>
  <c r="AA547" i="152" s="1"/>
  <c r="AA548" i="152" s="1"/>
  <c r="AA549" i="152" s="1"/>
  <c r="AA550" i="152" s="1"/>
  <c r="AA551" i="152" s="1"/>
  <c r="AA552" i="152" s="1"/>
  <c r="AA553" i="152" s="1"/>
  <c r="AA554" i="152" s="1"/>
  <c r="AA555" i="152" s="1"/>
  <c r="AA556" i="152" s="1"/>
  <c r="AA557" i="152" s="1"/>
  <c r="AA558" i="152" s="1"/>
  <c r="AA559" i="152" s="1"/>
  <c r="AA560" i="152" s="1"/>
  <c r="AA561" i="152" s="1"/>
  <c r="AA562" i="152" s="1"/>
  <c r="AA563" i="152" s="1"/>
  <c r="AA564" i="152" s="1"/>
  <c r="AA565" i="152" s="1"/>
  <c r="AA566" i="152" s="1"/>
  <c r="AA567" i="152" s="1"/>
  <c r="AA568" i="152" s="1"/>
  <c r="AA569" i="152" s="1"/>
  <c r="AA570" i="152" s="1"/>
  <c r="AA571" i="152" s="1"/>
  <c r="AA572" i="152" s="1"/>
  <c r="AA573" i="152" s="1"/>
  <c r="AA574" i="152" s="1"/>
  <c r="AA575" i="152" s="1"/>
  <c r="AA576" i="152" s="1"/>
  <c r="AA577" i="152" s="1"/>
  <c r="AA578" i="152" s="1"/>
  <c r="AA579" i="152" s="1"/>
  <c r="AA580" i="152" s="1"/>
  <c r="AA581" i="152" s="1"/>
  <c r="AA582" i="152" s="1"/>
  <c r="AA583" i="152" s="1"/>
  <c r="AA584" i="152" s="1"/>
  <c r="AA585" i="152" s="1"/>
  <c r="AA586" i="152" s="1"/>
  <c r="AA587" i="152" s="1"/>
  <c r="AA588" i="152" s="1"/>
  <c r="AA589" i="152" s="1"/>
  <c r="AA590" i="152" s="1"/>
  <c r="AA591" i="152" s="1"/>
  <c r="AA592" i="152" s="1"/>
  <c r="AA593" i="152" s="1"/>
  <c r="AA594" i="152" s="1"/>
  <c r="AA595" i="152" s="1"/>
  <c r="AA596" i="152" s="1"/>
  <c r="AA597" i="152" s="1"/>
  <c r="AA598" i="152" s="1"/>
  <c r="AA599" i="152" s="1"/>
  <c r="AA600" i="152" s="1"/>
  <c r="AA601" i="152" s="1"/>
  <c r="AA602" i="152" s="1"/>
  <c r="AA603" i="152" s="1"/>
  <c r="AA604" i="152" s="1"/>
  <c r="AA605" i="152" s="1"/>
  <c r="AA606" i="152" s="1"/>
  <c r="AA607" i="152" s="1"/>
  <c r="AA608" i="152" s="1"/>
  <c r="AA609" i="152" s="1"/>
  <c r="AA610" i="152" s="1"/>
  <c r="AA611" i="152" s="1"/>
  <c r="AA612" i="152" s="1"/>
  <c r="AA613" i="152" s="1"/>
  <c r="AA614" i="152" s="1"/>
  <c r="AA615" i="152" s="1"/>
  <c r="AA616" i="152" s="1"/>
  <c r="AA617" i="152" s="1"/>
  <c r="AA618" i="152" s="1"/>
  <c r="AA619" i="152" s="1"/>
  <c r="AA620" i="152" s="1"/>
  <c r="AA621" i="152" s="1"/>
  <c r="AA622" i="152" s="1"/>
  <c r="AA623" i="152" s="1"/>
  <c r="AA624" i="152" s="1"/>
  <c r="AA625" i="152" s="1"/>
  <c r="AA626" i="152" s="1"/>
  <c r="AA627" i="152" s="1"/>
  <c r="AA628" i="152" s="1"/>
  <c r="AA629" i="152" s="1"/>
  <c r="AA630" i="152" s="1"/>
  <c r="AA631" i="152" s="1"/>
  <c r="AA632" i="152" s="1"/>
  <c r="AA633" i="152" s="1"/>
  <c r="AA634" i="152" s="1"/>
  <c r="AA635" i="152" s="1"/>
  <c r="AA636" i="152" s="1"/>
  <c r="AA637" i="152" s="1"/>
  <c r="AA638" i="152" s="1"/>
  <c r="AA639" i="152" s="1"/>
  <c r="AA640" i="152" s="1"/>
  <c r="AA641" i="152" s="1"/>
  <c r="AA642" i="152" s="1"/>
  <c r="AA643" i="152" s="1"/>
  <c r="AA644" i="152" s="1"/>
  <c r="AA645" i="152" s="1"/>
  <c r="AA646" i="152" s="1"/>
  <c r="AA647" i="152" s="1"/>
  <c r="AA648" i="152" s="1"/>
  <c r="AA649" i="152" s="1"/>
  <c r="AA650" i="152" s="1"/>
  <c r="AA651" i="152" s="1"/>
  <c r="AA652" i="152" s="1"/>
  <c r="AA653" i="152" s="1"/>
  <c r="AA654" i="152" s="1"/>
  <c r="AA655" i="152" s="1"/>
  <c r="AA656" i="152" s="1"/>
  <c r="AA657" i="152" s="1"/>
  <c r="AA658" i="152" s="1"/>
  <c r="AA659" i="152" s="1"/>
  <c r="AA660" i="152" s="1"/>
  <c r="AA661" i="152" s="1"/>
  <c r="AA662" i="152" s="1"/>
  <c r="AA663" i="152" s="1"/>
  <c r="AA664" i="152" s="1"/>
  <c r="AA665" i="152" s="1"/>
  <c r="AA666" i="152" s="1"/>
  <c r="AA667" i="152" s="1"/>
  <c r="AA668" i="152" s="1"/>
  <c r="AA669" i="152" s="1"/>
  <c r="AA670" i="152" s="1"/>
  <c r="AA671" i="152" s="1"/>
  <c r="AA672" i="152" s="1"/>
  <c r="AA673" i="152" s="1"/>
  <c r="AA674" i="152" s="1"/>
  <c r="AA675" i="152" s="1"/>
  <c r="AA676" i="152" s="1"/>
  <c r="AA677" i="152" s="1"/>
  <c r="AA678" i="152" s="1"/>
  <c r="AA679" i="152" s="1"/>
  <c r="AA680" i="152" s="1"/>
  <c r="AA681" i="152" s="1"/>
  <c r="AA682" i="152" s="1"/>
  <c r="AA683" i="152" s="1"/>
  <c r="AA684" i="152" s="1"/>
  <c r="AA685" i="152" s="1"/>
  <c r="AA686" i="152" s="1"/>
  <c r="AA687" i="152" s="1"/>
  <c r="AA688" i="152" s="1"/>
  <c r="AA689" i="152" s="1"/>
  <c r="AA690" i="152" s="1"/>
  <c r="AA691" i="152" s="1"/>
  <c r="AA692" i="152" s="1"/>
  <c r="AA693" i="152" s="1"/>
  <c r="AA694" i="152" s="1"/>
  <c r="AA695" i="152" s="1"/>
  <c r="AA696" i="152" s="1"/>
  <c r="AA697" i="152" s="1"/>
  <c r="AA698" i="152" s="1"/>
  <c r="AA699" i="152" s="1"/>
  <c r="AA700" i="152" s="1"/>
  <c r="AA701" i="152" s="1"/>
  <c r="AA702" i="152" s="1"/>
  <c r="AA703" i="152" s="1"/>
  <c r="AA704" i="152" s="1"/>
  <c r="AA705" i="152" s="1"/>
  <c r="AA706" i="152" s="1"/>
  <c r="AA707" i="152" s="1"/>
  <c r="AA708" i="152" s="1"/>
  <c r="AJ170" i="152"/>
  <c r="AJ65" i="152"/>
  <c r="AE331" i="152"/>
  <c r="Z496" i="152"/>
  <c r="AE182" i="152"/>
  <c r="U329" i="152"/>
  <c r="U362" i="152"/>
  <c r="AJ185" i="152"/>
  <c r="AJ353" i="152"/>
  <c r="AO337" i="152"/>
  <c r="AE357" i="152"/>
  <c r="U321" i="152"/>
  <c r="AE310" i="152"/>
  <c r="Z452" i="152"/>
  <c r="AE168" i="152"/>
  <c r="AO188" i="152"/>
  <c r="Z10" i="152"/>
  <c r="AO356" i="152"/>
  <c r="U341" i="152"/>
  <c r="AJ360" i="152"/>
  <c r="Z324" i="152"/>
  <c r="AJ297" i="152"/>
  <c r="AE444" i="152"/>
  <c r="AE12" i="152"/>
  <c r="AO25" i="152"/>
  <c r="Z167" i="152"/>
  <c r="AO442" i="152"/>
  <c r="AO170" i="152"/>
  <c r="U509" i="152"/>
  <c r="Z403" i="152"/>
  <c r="U514" i="152"/>
  <c r="U159" i="152"/>
  <c r="Z169" i="152"/>
  <c r="AJ182" i="152"/>
  <c r="U161" i="152"/>
  <c r="AO327" i="152"/>
  <c r="AJ331" i="152"/>
  <c r="Z88" i="152"/>
  <c r="AJ149" i="152"/>
  <c r="AO133" i="152"/>
  <c r="AO159" i="152"/>
  <c r="Z173" i="152"/>
  <c r="AJ283" i="152"/>
  <c r="U319" i="152"/>
  <c r="U605" i="152"/>
  <c r="AO11" i="152"/>
  <c r="U22" i="152"/>
  <c r="AE9" i="152"/>
  <c r="AE265" i="152"/>
  <c r="AO22" i="152"/>
  <c r="AJ20" i="152"/>
  <c r="AJ436" i="152"/>
  <c r="U405" i="152"/>
  <c r="U464" i="152"/>
  <c r="U380" i="152"/>
  <c r="Z263" i="152"/>
  <c r="Z168" i="152"/>
  <c r="AE178" i="152"/>
  <c r="AJ162" i="152"/>
  <c r="AE163" i="152"/>
  <c r="AO141" i="152"/>
  <c r="AJ308" i="152"/>
  <c r="AO374" i="152"/>
  <c r="AE186" i="152"/>
  <c r="AE171" i="152"/>
  <c r="Z179" i="152"/>
  <c r="Z205" i="152"/>
  <c r="Z347" i="152"/>
  <c r="AO366" i="152"/>
  <c r="AO325" i="152"/>
  <c r="AJ288" i="152"/>
  <c r="AJ207" i="152"/>
  <c r="U195" i="152"/>
  <c r="U221" i="152"/>
  <c r="AE36" i="152"/>
  <c r="Z366" i="152"/>
  <c r="AO385" i="152"/>
  <c r="Z281" i="152"/>
  <c r="AE450" i="152"/>
  <c r="U521" i="152"/>
  <c r="Z165" i="152"/>
  <c r="AO210" i="152"/>
  <c r="Z198" i="152"/>
  <c r="AJ39" i="152"/>
  <c r="AE369" i="152"/>
  <c r="Z373" i="152"/>
  <c r="Z332" i="152"/>
  <c r="U295" i="152"/>
  <c r="AO357" i="152"/>
  <c r="AO539" i="152"/>
  <c r="AJ226" i="152"/>
  <c r="U214" i="152"/>
  <c r="AE201" i="152"/>
  <c r="AE227" i="152"/>
  <c r="AO42" i="152"/>
  <c r="AJ372" i="152"/>
  <c r="AE376" i="152"/>
  <c r="Z298" i="152"/>
  <c r="AJ364" i="152"/>
  <c r="AE351" i="152"/>
  <c r="AE476" i="152"/>
  <c r="AO373" i="152"/>
  <c r="U18" i="152"/>
  <c r="AE38" i="152"/>
  <c r="AO115" i="152"/>
  <c r="U232" i="152"/>
  <c r="AJ325" i="152"/>
  <c r="AO435" i="152"/>
  <c r="U342" i="152"/>
  <c r="AO181" i="152"/>
  <c r="U68" i="152"/>
  <c r="AJ81" i="152"/>
  <c r="AJ343" i="152"/>
  <c r="U312" i="152"/>
  <c r="AO167" i="152"/>
  <c r="Z473" i="152"/>
  <c r="AJ444" i="152"/>
  <c r="U562" i="152"/>
  <c r="Z162" i="152"/>
  <c r="AE172" i="152"/>
  <c r="U331" i="152"/>
  <c r="AO334" i="152"/>
  <c r="AJ221" i="152"/>
  <c r="U547" i="152"/>
  <c r="AE349" i="152"/>
  <c r="AJ27" i="152"/>
  <c r="AE35" i="152"/>
  <c r="AO13" i="152"/>
  <c r="AE452" i="152"/>
  <c r="Z209" i="152"/>
  <c r="AO501" i="152"/>
  <c r="AJ351" i="152"/>
  <c r="AE378" i="152"/>
  <c r="U471" i="152"/>
  <c r="U176" i="152"/>
  <c r="AO48" i="152"/>
  <c r="AE62" i="152"/>
  <c r="AE324" i="152"/>
  <c r="Z328" i="152"/>
  <c r="AO347" i="152"/>
  <c r="AE311" i="152"/>
  <c r="AJ384" i="152"/>
  <c r="AO342" i="152"/>
  <c r="AO466" i="152"/>
  <c r="AO158" i="152"/>
  <c r="AJ181" i="152"/>
  <c r="AE204" i="152"/>
  <c r="AO191" i="152"/>
  <c r="AO217" i="152"/>
  <c r="Z33" i="152"/>
  <c r="U363" i="152"/>
  <c r="U278" i="152"/>
  <c r="AJ454" i="152"/>
  <c r="U422" i="152"/>
  <c r="Z220" i="152"/>
  <c r="AE106" i="152"/>
  <c r="U120" i="152"/>
  <c r="U382" i="152"/>
  <c r="AO243" i="152"/>
  <c r="AO416" i="152"/>
  <c r="AE457" i="152"/>
  <c r="AE223" i="152"/>
  <c r="Z224" i="152"/>
  <c r="AJ109" i="152"/>
  <c r="Z123" i="152"/>
  <c r="Z385" i="152"/>
  <c r="U389" i="152"/>
  <c r="AE284" i="152"/>
  <c r="AO408" i="152"/>
  <c r="AO626" i="152"/>
  <c r="AJ448" i="152"/>
  <c r="Z232" i="152"/>
  <c r="AE242" i="152"/>
  <c r="AO112" i="152"/>
  <c r="AE388" i="152"/>
  <c r="Z392" i="152"/>
  <c r="AJ287" i="152"/>
  <c r="AJ403" i="152"/>
  <c r="AJ30" i="152"/>
  <c r="AO40" i="152"/>
  <c r="U25" i="152"/>
  <c r="U51" i="152"/>
  <c r="AE64" i="152"/>
  <c r="Z62" i="152"/>
  <c r="AJ342" i="152"/>
  <c r="AE511" i="152"/>
  <c r="AE187" i="152"/>
  <c r="AJ197" i="152"/>
  <c r="Z195" i="152"/>
  <c r="AJ16" i="152"/>
  <c r="Z363" i="152"/>
  <c r="AE347" i="152"/>
  <c r="U367" i="152"/>
  <c r="AO421" i="152"/>
  <c r="Z420" i="152"/>
  <c r="AO126" i="152"/>
  <c r="U185" i="152"/>
  <c r="AO185" i="152"/>
  <c r="Z71" i="152"/>
  <c r="AO346" i="152"/>
  <c r="AE183" i="152"/>
  <c r="Z531" i="152"/>
  <c r="Z40" i="152"/>
  <c r="AE50" i="152"/>
  <c r="AJ34" i="152"/>
  <c r="U48" i="152"/>
  <c r="AE125" i="152"/>
  <c r="AJ241" i="152"/>
  <c r="Z335" i="152"/>
  <c r="AO335" i="152"/>
  <c r="AJ425" i="152"/>
  <c r="AO523" i="152"/>
  <c r="Z248" i="152"/>
  <c r="AE258" i="152"/>
  <c r="AE77" i="152"/>
  <c r="Z246" i="152"/>
  <c r="Z364" i="152"/>
  <c r="U543" i="152"/>
  <c r="AE216" i="152"/>
  <c r="AE249" i="152"/>
  <c r="U378" i="152"/>
  <c r="AJ252" i="152"/>
  <c r="Z294" i="152"/>
  <c r="AO132" i="152"/>
  <c r="U211" i="152"/>
  <c r="AO553" i="152"/>
  <c r="AJ511" i="152"/>
  <c r="AJ387" i="152"/>
  <c r="U472" i="152"/>
  <c r="AJ491" i="152"/>
  <c r="AO610" i="152"/>
  <c r="AE379" i="152"/>
  <c r="AE636" i="152"/>
  <c r="U210" i="152"/>
  <c r="U243" i="152"/>
  <c r="AO368" i="152"/>
  <c r="U298" i="152"/>
  <c r="AE374" i="152"/>
  <c r="AO14" i="152"/>
  <c r="V10" i="152"/>
  <c r="V11" i="152" s="1"/>
  <c r="V12" i="152" s="1"/>
  <c r="AJ22" i="152"/>
  <c r="U164" i="152"/>
  <c r="AJ439" i="152"/>
  <c r="AJ427" i="152"/>
  <c r="Z145" i="152"/>
  <c r="AJ278" i="152"/>
  <c r="Z521" i="152"/>
  <c r="AO504" i="152"/>
  <c r="Z402" i="152"/>
  <c r="AO81" i="152"/>
  <c r="U92" i="152"/>
  <c r="Z76" i="152"/>
  <c r="Z102" i="152"/>
  <c r="AJ115" i="152"/>
  <c r="AJ224" i="152"/>
  <c r="AE234" i="152"/>
  <c r="AE399" i="152"/>
  <c r="AJ238" i="152"/>
  <c r="Z210" i="152"/>
  <c r="AO248" i="152"/>
  <c r="AE246" i="152"/>
  <c r="AO67" i="152"/>
  <c r="U184" i="152"/>
  <c r="AE414" i="152"/>
  <c r="AJ276" i="152"/>
  <c r="AO332" i="152"/>
  <c r="Z236" i="152"/>
  <c r="AJ249" i="152"/>
  <c r="AE122" i="152"/>
  <c r="U136" i="152"/>
  <c r="U398" i="152"/>
  <c r="Z297" i="152"/>
  <c r="U468" i="152"/>
  <c r="AE439" i="152"/>
  <c r="AE91" i="152"/>
  <c r="AJ101" i="152"/>
  <c r="AO85" i="152"/>
  <c r="Z99" i="152"/>
  <c r="AJ176" i="152"/>
  <c r="AO189" i="152"/>
  <c r="AJ205" i="152"/>
  <c r="Z183" i="152"/>
  <c r="AO384" i="152"/>
  <c r="Z579" i="152"/>
  <c r="Z342" i="152"/>
  <c r="AO239" i="152"/>
  <c r="AJ248" i="152"/>
  <c r="U437" i="152"/>
  <c r="Z375" i="152"/>
  <c r="Z648" i="152"/>
  <c r="AO559" i="152"/>
  <c r="AJ480" i="152"/>
  <c r="AE27" i="152"/>
  <c r="AO270" i="152"/>
  <c r="AJ37" i="152"/>
  <c r="AO21" i="152"/>
  <c r="Z9" i="152"/>
  <c r="Z35" i="152"/>
  <c r="AJ112" i="152"/>
  <c r="AO228" i="152"/>
  <c r="Z459" i="152"/>
  <c r="AE322" i="152"/>
  <c r="U645" i="152"/>
  <c r="AJ556" i="152"/>
  <c r="U247" i="152"/>
  <c r="AJ104" i="152"/>
  <c r="AO114" i="152"/>
  <c r="Z128" i="152"/>
  <c r="AJ106" i="152"/>
  <c r="AE266" i="152"/>
  <c r="Z276" i="152"/>
  <c r="AO284" i="152"/>
  <c r="AE533" i="152"/>
  <c r="AO367" i="152"/>
  <c r="U226" i="152"/>
  <c r="AE261" i="152"/>
  <c r="AJ271" i="152"/>
  <c r="U259" i="152"/>
  <c r="AE16" i="152"/>
  <c r="Z14" i="152"/>
  <c r="Z430" i="152"/>
  <c r="AJ398" i="152"/>
  <c r="U434" i="152"/>
  <c r="AE469" i="152"/>
  <c r="AJ431" i="152"/>
  <c r="Z199" i="152"/>
  <c r="Z508" i="152"/>
  <c r="AJ190" i="152"/>
  <c r="AE213" i="152"/>
  <c r="U252" i="152"/>
  <c r="U71" i="152"/>
  <c r="Z187" i="152"/>
  <c r="AJ417" i="152"/>
  <c r="AO280" i="152"/>
  <c r="AJ501" i="152"/>
  <c r="Z114" i="152"/>
  <c r="AE124" i="152"/>
  <c r="AO111" i="152"/>
  <c r="Z125" i="152"/>
  <c r="Z250" i="152"/>
  <c r="U260" i="152"/>
  <c r="AO601" i="152"/>
  <c r="AE508" i="152"/>
  <c r="AE43" i="152"/>
  <c r="AJ179" i="152"/>
  <c r="AE325" i="152"/>
  <c r="U425" i="152"/>
  <c r="Z233" i="152"/>
  <c r="AJ220" i="152"/>
  <c r="AJ246" i="152"/>
  <c r="U62" i="152"/>
  <c r="AO391" i="152"/>
  <c r="AJ395" i="152"/>
  <c r="AJ310" i="152"/>
  <c r="AE203" i="152"/>
  <c r="AJ213" i="152"/>
  <c r="AJ32" i="152"/>
  <c r="Z379" i="152"/>
  <c r="AJ164" i="152"/>
  <c r="U396" i="152"/>
  <c r="U599" i="152"/>
  <c r="AJ498" i="152"/>
  <c r="AO488" i="152"/>
  <c r="U593" i="152"/>
  <c r="AO647" i="152"/>
  <c r="Z404" i="152"/>
  <c r="AJ702" i="152"/>
  <c r="AJ377" i="152"/>
  <c r="AE535" i="152"/>
  <c r="AJ405" i="152"/>
  <c r="AJ580" i="152"/>
  <c r="Z647" i="152"/>
  <c r="AJ282" i="152"/>
  <c r="AO428" i="152"/>
  <c r="AJ541" i="152"/>
  <c r="U337" i="152"/>
  <c r="AJ676" i="152"/>
  <c r="AE371" i="152"/>
  <c r="Z479" i="152"/>
  <c r="U209" i="152"/>
  <c r="AE461" i="152"/>
  <c r="U513" i="152"/>
  <c r="AE586" i="152"/>
  <c r="AO208" i="152"/>
  <c r="Z612" i="152"/>
  <c r="AE345" i="152"/>
  <c r="U452" i="152"/>
  <c r="AE653" i="152"/>
  <c r="Z653" i="152"/>
  <c r="AO646" i="152"/>
  <c r="AO696" i="152"/>
  <c r="AO632" i="152"/>
  <c r="AE559" i="152"/>
  <c r="Z669" i="152"/>
  <c r="Z610" i="152"/>
  <c r="AJ652" i="152"/>
  <c r="AO620" i="152"/>
  <c r="Z629" i="152"/>
  <c r="AE562" i="152"/>
  <c r="AO649" i="152"/>
  <c r="U594" i="152"/>
  <c r="AJ581" i="152"/>
  <c r="U585" i="152"/>
  <c r="AJ546" i="152"/>
  <c r="U685" i="152"/>
  <c r="AO574" i="152"/>
  <c r="AE600" i="152"/>
  <c r="AO178" i="152"/>
  <c r="Z166" i="152"/>
  <c r="Z192" i="152"/>
  <c r="AE337" i="152"/>
  <c r="Z341" i="152"/>
  <c r="U417" i="152"/>
  <c r="AE384" i="152"/>
  <c r="AJ520" i="152"/>
  <c r="AO245" i="152"/>
  <c r="Z259" i="152"/>
  <c r="U132" i="152"/>
  <c r="AJ145" i="152"/>
  <c r="AJ407" i="152"/>
  <c r="AE375" i="152"/>
  <c r="AE604" i="152"/>
  <c r="AE490" i="152"/>
  <c r="AO419" i="152"/>
  <c r="AO190" i="152"/>
  <c r="AE236" i="152"/>
  <c r="AO223" i="152"/>
  <c r="AO249" i="152"/>
  <c r="Z65" i="152"/>
  <c r="U395" i="152"/>
  <c r="AO398" i="152"/>
  <c r="Z288" i="152"/>
  <c r="U438" i="152"/>
  <c r="AE606" i="152"/>
  <c r="Z391" i="152"/>
  <c r="AE381" i="152"/>
  <c r="Z567" i="152"/>
  <c r="AE589" i="152"/>
  <c r="AJ548" i="152"/>
  <c r="AJ519" i="152"/>
  <c r="AJ688" i="152"/>
  <c r="AJ399" i="152"/>
  <c r="Z692" i="152"/>
  <c r="AO531" i="152"/>
  <c r="U442" i="152"/>
  <c r="U631" i="152"/>
  <c r="U597" i="152"/>
  <c r="AJ692" i="152"/>
  <c r="Z502" i="152"/>
  <c r="AJ653" i="152"/>
  <c r="AE336" i="152"/>
  <c r="U340" i="152"/>
  <c r="AO554" i="152"/>
  <c r="U577" i="152"/>
  <c r="AJ376" i="152"/>
  <c r="AO573" i="152"/>
  <c r="U371" i="152"/>
  <c r="U311" i="152"/>
  <c r="AO669" i="152"/>
  <c r="Z340" i="152"/>
  <c r="AJ451" i="152"/>
  <c r="AJ409" i="152"/>
  <c r="AJ608" i="152"/>
  <c r="AO154" i="152"/>
  <c r="AJ574" i="152"/>
  <c r="AO707" i="152"/>
  <c r="AJ346" i="152"/>
  <c r="U410" i="152"/>
  <c r="AE513" i="152"/>
  <c r="U580" i="152"/>
  <c r="AO686" i="152"/>
  <c r="Z681" i="152"/>
  <c r="Z626" i="152"/>
  <c r="U655" i="152"/>
  <c r="AE672" i="152"/>
  <c r="AO654" i="152"/>
  <c r="AE645" i="152"/>
  <c r="AJ619" i="152"/>
  <c r="AJ594" i="152"/>
  <c r="AJ674" i="152"/>
  <c r="AJ565" i="152"/>
  <c r="AE681" i="152"/>
  <c r="U698" i="152"/>
  <c r="AO454" i="152"/>
  <c r="AE421" i="152"/>
  <c r="AE251" i="152"/>
  <c r="AJ261" i="152"/>
  <c r="AJ80" i="152"/>
  <c r="AO196" i="152"/>
  <c r="Z427" i="152"/>
  <c r="AE290" i="152"/>
  <c r="AJ588" i="152"/>
  <c r="AE262" i="152"/>
  <c r="Z135" i="152"/>
  <c r="Z428" i="152"/>
  <c r="AJ525" i="152"/>
  <c r="AE603" i="152"/>
  <c r="AE485" i="152"/>
  <c r="AO535" i="152"/>
  <c r="AO380" i="152"/>
  <c r="Z273" i="152"/>
  <c r="AJ672" i="152"/>
  <c r="Z507" i="152"/>
  <c r="AE669" i="152"/>
  <c r="AO470" i="152"/>
  <c r="U461" i="152"/>
  <c r="AO563" i="152"/>
  <c r="AE391" i="152"/>
  <c r="AO698" i="152"/>
  <c r="Z314" i="152"/>
  <c r="AJ329" i="152"/>
  <c r="Z535" i="152"/>
  <c r="AE148" i="152"/>
  <c r="U619" i="152"/>
  <c r="AE634" i="152"/>
  <c r="U654" i="152"/>
  <c r="AJ675" i="152"/>
  <c r="U682" i="152"/>
  <c r="AO614" i="152"/>
  <c r="AO670" i="152"/>
  <c r="AE632" i="152"/>
  <c r="AE591" i="152"/>
  <c r="Z658" i="152"/>
  <c r="AO622" i="152"/>
  <c r="U610" i="152"/>
  <c r="U604" i="152"/>
  <c r="Z706" i="152"/>
  <c r="AE584" i="152"/>
  <c r="Z688" i="152"/>
  <c r="AJ645" i="152"/>
  <c r="Z694" i="152"/>
  <c r="AE693" i="152"/>
  <c r="AE517" i="152"/>
  <c r="Z226" i="152"/>
  <c r="AE539" i="152"/>
  <c r="AE691" i="152"/>
  <c r="AO616" i="152"/>
  <c r="U460" i="152"/>
  <c r="Z310" i="152"/>
  <c r="Z429" i="152"/>
  <c r="AE184" i="152"/>
  <c r="Z207" i="152"/>
  <c r="U230" i="152"/>
  <c r="AE217" i="152"/>
  <c r="AE243" i="152"/>
  <c r="AO58" i="152"/>
  <c r="AJ388" i="152"/>
  <c r="AE392" i="152"/>
  <c r="AE323" i="152"/>
  <c r="AE453" i="152"/>
  <c r="AJ339" i="152"/>
  <c r="Z18" i="152"/>
  <c r="AE28" i="152"/>
  <c r="AO41" i="152"/>
  <c r="Z20" i="152"/>
  <c r="AO458" i="152"/>
  <c r="AJ462" i="152"/>
  <c r="AE595" i="152"/>
  <c r="Z553" i="152"/>
  <c r="U242" i="152"/>
  <c r="AE277" i="152"/>
  <c r="U19" i="152"/>
  <c r="U275" i="152"/>
  <c r="AE32" i="152"/>
  <c r="Z30" i="152"/>
  <c r="Z446" i="152"/>
  <c r="AJ414" i="152"/>
  <c r="AO663" i="152"/>
  <c r="AE460" i="152"/>
  <c r="AE705" i="152"/>
  <c r="AJ698" i="152"/>
  <c r="AE451" i="152"/>
  <c r="AE637" i="152"/>
  <c r="U641" i="152"/>
  <c r="AJ469" i="152"/>
  <c r="AO579" i="152"/>
  <c r="AO545" i="152"/>
  <c r="AE641" i="152"/>
  <c r="AO395" i="152"/>
  <c r="U428" i="152"/>
  <c r="Z580" i="152"/>
  <c r="AE602" i="152"/>
  <c r="Z480" i="152"/>
  <c r="AO525" i="152"/>
  <c r="AE212" i="152"/>
  <c r="U433" i="152"/>
  <c r="AO307" i="152"/>
  <c r="AE483" i="152"/>
  <c r="U187" i="152"/>
  <c r="AJ618" i="152"/>
  <c r="U404" i="152"/>
  <c r="Z680" i="152"/>
  <c r="AE377" i="152"/>
  <c r="Z301" i="152"/>
  <c r="AE557" i="152"/>
  <c r="Z292" i="152"/>
  <c r="AJ656" i="152"/>
  <c r="AO673" i="152"/>
  <c r="AO528" i="152"/>
  <c r="Z543" i="152"/>
  <c r="AE623" i="152"/>
  <c r="U706" i="152"/>
  <c r="U537" i="152"/>
  <c r="AJ664" i="152"/>
  <c r="AE704" i="152"/>
  <c r="Z685" i="152"/>
  <c r="Z640" i="152"/>
  <c r="U639" i="152"/>
  <c r="U700" i="152"/>
  <c r="U703" i="152"/>
  <c r="AJ684" i="152"/>
  <c r="AJ649" i="152"/>
  <c r="Z422" i="152"/>
  <c r="Z646" i="152"/>
  <c r="AJ242" i="152"/>
  <c r="U256" i="152"/>
  <c r="AO128" i="152"/>
  <c r="AE142" i="152"/>
  <c r="AE404" i="152"/>
  <c r="AJ380" i="152"/>
  <c r="U333" i="152"/>
  <c r="U34" i="152"/>
  <c r="AE54" i="152"/>
  <c r="AO131" i="152"/>
  <c r="U248" i="152"/>
  <c r="AO446" i="152"/>
  <c r="AJ341" i="152"/>
  <c r="AE537" i="152"/>
  <c r="Z448" i="152"/>
  <c r="U330" i="152"/>
  <c r="AE21" i="152"/>
  <c r="AJ31" i="152"/>
  <c r="U45" i="152"/>
  <c r="AE23" i="152"/>
  <c r="U462" i="152"/>
  <c r="AO465" i="152"/>
  <c r="AE590" i="152"/>
  <c r="U361" i="152"/>
  <c r="AO345" i="152"/>
  <c r="AO547" i="152"/>
  <c r="AJ413" i="152"/>
  <c r="AO445" i="152"/>
  <c r="U387" i="152"/>
  <c r="AE493" i="152"/>
  <c r="U564" i="152"/>
  <c r="Z552" i="152"/>
  <c r="AE622" i="152"/>
  <c r="AO303" i="152"/>
  <c r="Z474" i="152"/>
  <c r="AE506" i="152"/>
  <c r="U568" i="152"/>
  <c r="U708" i="152"/>
  <c r="AE525" i="152"/>
  <c r="Z410" i="152"/>
  <c r="AJ474" i="152"/>
  <c r="AO506" i="152"/>
  <c r="U529" i="152"/>
  <c r="U502" i="152"/>
  <c r="AE327" i="152"/>
  <c r="AE470" i="152"/>
  <c r="U476" i="152"/>
  <c r="AJ522" i="152"/>
  <c r="U596" i="152"/>
  <c r="Z618" i="152"/>
  <c r="AJ396" i="152"/>
  <c r="AO386" i="152"/>
  <c r="AJ512" i="152"/>
  <c r="U692" i="152"/>
  <c r="AO281" i="152"/>
  <c r="AO199" i="152"/>
  <c r="AE673" i="152"/>
  <c r="U474" i="152"/>
  <c r="AE303" i="152"/>
  <c r="Z247" i="152"/>
  <c r="AJ545" i="152"/>
  <c r="AO567" i="152"/>
  <c r="AJ479" i="152"/>
  <c r="U561" i="152"/>
  <c r="Z583" i="152"/>
  <c r="AO221" i="152"/>
  <c r="AE432" i="152"/>
  <c r="AE568" i="152"/>
  <c r="U671" i="152"/>
  <c r="U659" i="152"/>
  <c r="U674" i="152"/>
  <c r="Z527" i="152"/>
  <c r="Z578" i="152"/>
  <c r="AO651" i="152"/>
  <c r="U656" i="152"/>
  <c r="AJ648" i="152"/>
  <c r="AO636" i="152"/>
  <c r="AJ578" i="152"/>
  <c r="AE578" i="152"/>
  <c r="Z668" i="152"/>
  <c r="Z656" i="152"/>
  <c r="U624" i="152"/>
  <c r="AE697" i="152"/>
  <c r="AE664" i="152"/>
  <c r="Z572" i="152"/>
  <c r="AJ193" i="152"/>
  <c r="U424" i="152"/>
  <c r="Z287" i="152"/>
  <c r="AO591" i="152"/>
  <c r="AJ46" i="152"/>
  <c r="Z78" i="152"/>
  <c r="Z494" i="152"/>
  <c r="Z37" i="152"/>
  <c r="AO344" i="152"/>
  <c r="AJ492" i="152"/>
  <c r="AE428" i="152"/>
  <c r="Z237" i="152"/>
  <c r="AO365" i="152"/>
  <c r="AE228" i="152"/>
  <c r="AO664" i="152"/>
  <c r="U707" i="152"/>
  <c r="AO658" i="152"/>
  <c r="U701" i="152"/>
  <c r="U668" i="152"/>
  <c r="AO668" i="152"/>
  <c r="AJ568" i="152"/>
  <c r="AE626" i="152"/>
  <c r="AE607" i="152"/>
  <c r="U681" i="152"/>
  <c r="AJ610" i="152"/>
  <c r="AO581" i="152"/>
  <c r="AE680" i="152"/>
  <c r="Z677" i="152"/>
  <c r="Z636" i="152"/>
  <c r="AJ699" i="152"/>
  <c r="AE654" i="152"/>
  <c r="Z704" i="152"/>
  <c r="AE478" i="152"/>
  <c r="Z44" i="152"/>
  <c r="AJ483" i="152"/>
  <c r="AJ567" i="152"/>
  <c r="U400" i="152"/>
  <c r="Z466" i="152"/>
  <c r="Z423" i="152"/>
  <c r="U673" i="152"/>
  <c r="Z409" i="152"/>
  <c r="Z545" i="152"/>
  <c r="AJ695" i="152"/>
  <c r="Z457" i="152"/>
  <c r="Z85" i="152"/>
  <c r="AJ105" i="152"/>
  <c r="U183" i="152"/>
  <c r="U215" i="152"/>
  <c r="AJ521" i="152"/>
  <c r="AO512" i="152"/>
  <c r="AE545" i="152"/>
  <c r="AE516" i="152"/>
  <c r="AE685" i="152"/>
  <c r="Z432" i="152"/>
  <c r="AJ489" i="152"/>
  <c r="AO516" i="152"/>
  <c r="AO656" i="152"/>
  <c r="AE367" i="152"/>
  <c r="AE400" i="152"/>
  <c r="AO464" i="152"/>
  <c r="U693" i="152"/>
  <c r="U406" i="152"/>
  <c r="Z396" i="152"/>
  <c r="Z570" i="152"/>
  <c r="AO338" i="152"/>
  <c r="AE455" i="152"/>
  <c r="AJ657" i="152"/>
  <c r="AO621" i="152"/>
  <c r="Z574" i="152"/>
  <c r="U489" i="152"/>
  <c r="AJ301" i="152"/>
  <c r="Z622" i="152"/>
  <c r="AJ666" i="152"/>
  <c r="AO399" i="152"/>
  <c r="AE489" i="152"/>
  <c r="AJ516" i="152"/>
  <c r="U532" i="152"/>
  <c r="U308" i="152"/>
  <c r="AJ593" i="152"/>
  <c r="AJ352" i="152"/>
  <c r="U551" i="152"/>
  <c r="U637" i="152"/>
  <c r="AJ671" i="152"/>
  <c r="Z687" i="152"/>
  <c r="U640" i="152"/>
  <c r="AE684" i="152"/>
  <c r="AJ629" i="152"/>
  <c r="AJ690" i="152"/>
  <c r="U636" i="152"/>
  <c r="U669" i="152"/>
  <c r="U621" i="152"/>
  <c r="AE616" i="152"/>
  <c r="AE629" i="152"/>
  <c r="AE655" i="152"/>
  <c r="AJ443" i="152"/>
  <c r="Z92" i="152"/>
  <c r="Z544" i="152"/>
  <c r="U500" i="152"/>
  <c r="AJ476" i="152"/>
  <c r="AE88" i="152"/>
  <c r="AO108" i="152"/>
  <c r="Z186" i="152"/>
  <c r="Z222" i="152"/>
  <c r="AE497" i="152"/>
  <c r="U234" i="152"/>
  <c r="AE218" i="152"/>
  <c r="AO605" i="152"/>
  <c r="Z679" i="152"/>
  <c r="AE418" i="152"/>
  <c r="AE409" i="152"/>
  <c r="AJ314" i="152"/>
  <c r="U499" i="152"/>
  <c r="Z489" i="152"/>
  <c r="U612" i="152"/>
  <c r="AE394" i="152"/>
  <c r="U549" i="152"/>
  <c r="AE593" i="152"/>
  <c r="AE221" i="152"/>
  <c r="AJ528" i="152"/>
  <c r="Z590" i="152"/>
  <c r="AE583" i="152"/>
  <c r="U385" i="152"/>
  <c r="Z304" i="152"/>
  <c r="AE689" i="152"/>
  <c r="Z551" i="152"/>
  <c r="AE573" i="152"/>
  <c r="Z126" i="152"/>
  <c r="Z686" i="152"/>
  <c r="U346" i="152"/>
  <c r="AJ304" i="152"/>
  <c r="AO689" i="152"/>
  <c r="U391" i="152"/>
  <c r="AE635" i="152"/>
  <c r="AJ628" i="152"/>
  <c r="AE441" i="152"/>
  <c r="U581" i="152"/>
  <c r="AO498" i="152"/>
  <c r="U523" i="152"/>
  <c r="AJ589" i="152"/>
  <c r="AO183" i="152"/>
  <c r="Z593" i="152"/>
  <c r="AO688" i="152"/>
  <c r="AO306" i="152"/>
  <c r="U383" i="152"/>
  <c r="Z415" i="152"/>
  <c r="Z701" i="152"/>
  <c r="AO37" i="152"/>
  <c r="Z77" i="152"/>
  <c r="U75" i="152"/>
  <c r="AE459" i="152"/>
  <c r="AO524" i="152"/>
  <c r="AO480" i="152"/>
  <c r="AJ120" i="152"/>
  <c r="AO130" i="152"/>
  <c r="Z144" i="152"/>
  <c r="AJ122" i="152"/>
  <c r="AE289" i="152"/>
  <c r="AO425" i="152"/>
  <c r="U101" i="152"/>
  <c r="Z111" i="152"/>
  <c r="AE95" i="152"/>
  <c r="AO134" i="152"/>
  <c r="U603" i="152"/>
  <c r="U574" i="152"/>
  <c r="Z596" i="152"/>
  <c r="AO403" i="152"/>
  <c r="U539" i="152"/>
  <c r="U679" i="152"/>
  <c r="AE390" i="152"/>
  <c r="AJ677" i="152"/>
  <c r="U688" i="152"/>
  <c r="AE662" i="152"/>
  <c r="U623" i="152"/>
  <c r="AJ659" i="152"/>
  <c r="AO678" i="152"/>
  <c r="AE640" i="152"/>
  <c r="AJ613" i="152"/>
  <c r="AO590" i="152"/>
  <c r="AO606" i="152"/>
  <c r="AJ540" i="152"/>
  <c r="Z43" i="152"/>
  <c r="AE561" i="152"/>
  <c r="AO492" i="152"/>
  <c r="Z381" i="152"/>
  <c r="AJ488" i="152"/>
  <c r="AE548" i="152"/>
  <c r="AO300" i="152"/>
  <c r="AJ424" i="152"/>
  <c r="AE615" i="152"/>
  <c r="AE447" i="152"/>
  <c r="AO469" i="152"/>
  <c r="AO176" i="152"/>
  <c r="AE542" i="152"/>
  <c r="AE682" i="152"/>
  <c r="U653" i="152"/>
  <c r="U697" i="152"/>
  <c r="AO655" i="152"/>
  <c r="U675" i="152"/>
  <c r="AE652" i="152"/>
  <c r="Z621" i="152"/>
  <c r="Z645" i="152"/>
  <c r="AJ662" i="152"/>
  <c r="Z671" i="152"/>
  <c r="U598" i="152"/>
  <c r="AO494" i="152"/>
  <c r="AE552" i="152"/>
  <c r="AE143" i="152"/>
  <c r="Z293" i="152"/>
  <c r="AE46" i="152"/>
  <c r="Z312" i="152"/>
  <c r="Z326" i="152"/>
  <c r="AE618" i="152"/>
  <c r="AO705" i="152"/>
  <c r="U415" i="152"/>
  <c r="AO560" i="152"/>
  <c r="Z542" i="152"/>
  <c r="AO637" i="152"/>
  <c r="U660" i="152"/>
  <c r="AE352" i="152"/>
  <c r="AJ447" i="152"/>
  <c r="U644" i="152"/>
  <c r="U677" i="152"/>
  <c r="U578" i="152"/>
  <c r="AE530" i="152"/>
  <c r="AO682" i="152"/>
  <c r="AE383" i="152"/>
  <c r="U89" i="152"/>
  <c r="AE169" i="152"/>
  <c r="AJ146" i="152"/>
  <c r="AE296" i="152"/>
  <c r="U301" i="152"/>
  <c r="AO515" i="152"/>
  <c r="AJ493" i="152"/>
  <c r="U542" i="152"/>
  <c r="AO568" i="152"/>
  <c r="AO552" i="152"/>
  <c r="AO702" i="152"/>
  <c r="AE677" i="152"/>
  <c r="AE690" i="152"/>
  <c r="AE659" i="152"/>
  <c r="Z691" i="152"/>
  <c r="U620" i="152"/>
  <c r="AE576" i="152"/>
  <c r="AJ486" i="152"/>
  <c r="U486" i="152"/>
  <c r="AJ555" i="152"/>
  <c r="AE117" i="152"/>
  <c r="AJ127" i="152"/>
  <c r="U141" i="152"/>
  <c r="AE119" i="152"/>
  <c r="Z286" i="152"/>
  <c r="Z573" i="152"/>
  <c r="AJ349" i="152"/>
  <c r="AE294" i="152"/>
  <c r="AJ194" i="152"/>
  <c r="AO80" i="152"/>
  <c r="AE94" i="152"/>
  <c r="AE356" i="152"/>
  <c r="AO324" i="152"/>
  <c r="AJ450" i="152"/>
  <c r="Z380" i="152"/>
  <c r="AE263" i="152"/>
  <c r="Z185" i="152"/>
  <c r="AJ172" i="152"/>
  <c r="U14" i="152"/>
  <c r="AO343" i="152"/>
  <c r="AJ347" i="152"/>
  <c r="AJ306" i="152"/>
  <c r="AO405" i="152"/>
  <c r="AJ554" i="152"/>
  <c r="AE466" i="152"/>
  <c r="AJ456" i="152"/>
  <c r="AJ640" i="152"/>
  <c r="AO599" i="152"/>
  <c r="AE339" i="152"/>
  <c r="AE479" i="152"/>
  <c r="U583" i="152"/>
  <c r="Z682" i="152"/>
  <c r="AE554" i="152"/>
  <c r="AO564" i="152"/>
  <c r="AJ590" i="152"/>
  <c r="Z628" i="152"/>
  <c r="AE698" i="152"/>
  <c r="AJ445" i="152"/>
  <c r="Z584" i="152"/>
  <c r="AE519" i="152"/>
  <c r="AO230" i="152"/>
  <c r="AO529" i="152"/>
  <c r="AJ560" i="152"/>
  <c r="U289" i="152"/>
  <c r="AO519" i="152"/>
  <c r="AO483" i="152"/>
  <c r="AO659" i="152"/>
  <c r="AO304" i="152"/>
  <c r="AO371" i="152"/>
  <c r="AJ394" i="152"/>
  <c r="AE295" i="152"/>
  <c r="Z484" i="152"/>
  <c r="Z631" i="152"/>
  <c r="AJ630" i="152"/>
  <c r="AJ683" i="152"/>
  <c r="AJ632" i="152"/>
  <c r="AE678" i="152"/>
  <c r="AJ697" i="152"/>
  <c r="Z643" i="152"/>
  <c r="AJ633" i="152"/>
  <c r="U617" i="152"/>
  <c r="AE543" i="152"/>
  <c r="AJ642" i="152"/>
  <c r="AE630" i="152"/>
  <c r="AE643" i="152"/>
  <c r="AE674" i="152"/>
  <c r="Z700" i="152"/>
  <c r="AE687" i="152"/>
  <c r="U691" i="152"/>
  <c r="AJ681" i="152"/>
  <c r="Z196" i="152"/>
  <c r="AO411" i="152"/>
  <c r="Z133" i="152"/>
  <c r="AJ153" i="152"/>
  <c r="AE26" i="152"/>
  <c r="U40" i="152"/>
  <c r="U302" i="152"/>
  <c r="AO305" i="152"/>
  <c r="U522" i="152"/>
  <c r="AJ495" i="152"/>
  <c r="Z200" i="152"/>
  <c r="AE210" i="152"/>
  <c r="U208" i="152"/>
  <c r="AE29" i="152"/>
  <c r="U376" i="152"/>
  <c r="Z360" i="152"/>
  <c r="U139" i="152"/>
  <c r="AO639" i="152"/>
  <c r="U254" i="152"/>
  <c r="U495" i="152"/>
  <c r="AO197" i="152"/>
  <c r="AJ198" i="152"/>
  <c r="U84" i="152"/>
  <c r="AJ97" i="152"/>
  <c r="AJ359" i="152"/>
  <c r="U328" i="152"/>
  <c r="AO227" i="152"/>
  <c r="AE502" i="152"/>
  <c r="AO576" i="152"/>
  <c r="U545" i="152"/>
  <c r="AE666" i="152"/>
  <c r="Z365" i="152"/>
  <c r="AJ654" i="152"/>
  <c r="AJ316" i="152"/>
  <c r="AJ371" i="152"/>
  <c r="AJ419" i="152"/>
  <c r="U484" i="152"/>
  <c r="AO608" i="152"/>
  <c r="U470" i="152"/>
  <c r="AJ542" i="152"/>
  <c r="U587" i="152"/>
  <c r="U455" i="152"/>
  <c r="AJ561" i="152"/>
  <c r="AO583" i="152"/>
  <c r="AE326" i="152"/>
  <c r="AO450" i="152"/>
  <c r="AE587" i="152"/>
  <c r="U625" i="152"/>
  <c r="AJ313" i="152"/>
  <c r="AE346" i="152"/>
  <c r="U533" i="152"/>
  <c r="Z526" i="152"/>
  <c r="U419" i="152"/>
  <c r="U615" i="152"/>
  <c r="AJ466" i="152"/>
  <c r="U314" i="152"/>
  <c r="Z300" i="152"/>
  <c r="U238" i="152"/>
  <c r="AE419" i="152"/>
  <c r="AJ196" i="152"/>
  <c r="Z670" i="152"/>
  <c r="AJ685" i="152"/>
  <c r="AE256" i="152"/>
  <c r="AO557" i="152"/>
  <c r="Z336" i="152"/>
  <c r="AO638" i="152"/>
  <c r="AE707" i="152"/>
  <c r="AJ571" i="152"/>
  <c r="AJ665" i="152"/>
  <c r="AE656" i="152"/>
  <c r="AJ673" i="152"/>
  <c r="AO684" i="152"/>
  <c r="U553" i="152"/>
  <c r="Z703" i="152"/>
  <c r="AE581" i="152"/>
  <c r="AO565" i="152"/>
  <c r="AJ584" i="152"/>
  <c r="AJ707" i="152"/>
  <c r="AO549" i="152"/>
  <c r="AJ603" i="152"/>
  <c r="AJ627" i="152"/>
  <c r="U18" i="149"/>
  <c r="T18" i="149"/>
  <c r="V20" i="119"/>
  <c r="V21" i="119" s="1"/>
  <c r="Y18" i="149"/>
  <c r="Q19" i="137"/>
  <c r="Q20" i="137" s="1"/>
  <c r="Y18" i="126"/>
  <c r="S19" i="131"/>
  <c r="U19" i="131" s="1"/>
  <c r="AC20" i="131"/>
  <c r="AE20" i="131" s="1"/>
  <c r="V20" i="125"/>
  <c r="V21" i="125" s="1"/>
  <c r="AC19" i="149"/>
  <c r="AE19" i="149" s="1"/>
  <c r="S19" i="114"/>
  <c r="U19" i="114" s="1"/>
  <c r="AA19" i="117"/>
  <c r="AA20" i="117" s="1"/>
  <c r="AA19" i="127"/>
  <c r="AC20" i="127" s="1"/>
  <c r="L19" i="132"/>
  <c r="L20" i="132" s="1"/>
  <c r="AC19" i="145"/>
  <c r="AE19" i="145" s="1"/>
  <c r="V20" i="118"/>
  <c r="X21" i="118" s="1"/>
  <c r="S19" i="135"/>
  <c r="U19" i="135" s="1"/>
  <c r="AA19" i="103"/>
  <c r="AA20" i="103" s="1"/>
  <c r="N20" i="129"/>
  <c r="P20" i="129" s="1"/>
  <c r="AA19" i="144"/>
  <c r="AA20" i="144" s="1"/>
  <c r="Y18" i="125"/>
  <c r="Y18" i="145"/>
  <c r="S19" i="148"/>
  <c r="U19" i="148" s="1"/>
  <c r="AA19" i="125"/>
  <c r="AA20" i="125" s="1"/>
  <c r="L20" i="126"/>
  <c r="N21" i="126" s="1"/>
  <c r="AC19" i="140"/>
  <c r="AE19" i="140" s="1"/>
  <c r="L19" i="150"/>
  <c r="N20" i="150" s="1"/>
  <c r="P20" i="150" s="1"/>
  <c r="V20" i="107"/>
  <c r="AA19" i="119"/>
  <c r="AC20" i="119" s="1"/>
  <c r="S19" i="133"/>
  <c r="T19" i="133" s="1"/>
  <c r="N19" i="143"/>
  <c r="P19" i="143" s="1"/>
  <c r="AA19" i="148"/>
  <c r="AC20" i="148" s="1"/>
  <c r="L19" i="149"/>
  <c r="N20" i="149" s="1"/>
  <c r="Z18" i="107"/>
  <c r="L19" i="111"/>
  <c r="L19" i="135"/>
  <c r="N20" i="135" s="1"/>
  <c r="S19" i="103"/>
  <c r="V20" i="134"/>
  <c r="V21" i="134" s="1"/>
  <c r="S19" i="139"/>
  <c r="U19" i="139" s="1"/>
  <c r="S19" i="144"/>
  <c r="T19" i="144" s="1"/>
  <c r="AA19" i="107"/>
  <c r="AC20" i="107" s="1"/>
  <c r="S19" i="113"/>
  <c r="U19" i="113" s="1"/>
  <c r="AA19" i="128"/>
  <c r="AA20" i="128" s="1"/>
  <c r="S19" i="129"/>
  <c r="U19" i="129" s="1"/>
  <c r="L19" i="145"/>
  <c r="N20" i="145" s="1"/>
  <c r="X20" i="115"/>
  <c r="Z20" i="115" s="1"/>
  <c r="Y18" i="119"/>
  <c r="Z18" i="148"/>
  <c r="Y18" i="148"/>
  <c r="P19" i="150"/>
  <c r="O19" i="150"/>
  <c r="Q19" i="125"/>
  <c r="S20" i="125" s="1"/>
  <c r="N19" i="119"/>
  <c r="O19" i="119" s="1"/>
  <c r="S19" i="119"/>
  <c r="U19" i="119" s="1"/>
  <c r="AA19" i="106"/>
  <c r="AC20" i="106" s="1"/>
  <c r="N19" i="134"/>
  <c r="O19" i="134" s="1"/>
  <c r="AA19" i="118"/>
  <c r="AC20" i="118" s="1"/>
  <c r="AA20" i="113"/>
  <c r="AA21" i="113" s="1"/>
  <c r="V20" i="126"/>
  <c r="X21" i="126" s="1"/>
  <c r="AA19" i="130"/>
  <c r="AC20" i="130" s="1"/>
  <c r="X20" i="143"/>
  <c r="Z20" i="143" s="1"/>
  <c r="AC19" i="136"/>
  <c r="AE19" i="136" s="1"/>
  <c r="S19" i="143"/>
  <c r="T19" i="143" s="1"/>
  <c r="L19" i="130"/>
  <c r="N20" i="130" s="1"/>
  <c r="AC19" i="135"/>
  <c r="AA19" i="135"/>
  <c r="AC19" i="141"/>
  <c r="AE19" i="141" s="1"/>
  <c r="Q19" i="141"/>
  <c r="S20" i="141" s="1"/>
  <c r="AA19" i="116"/>
  <c r="AC20" i="116" s="1"/>
  <c r="L20" i="136"/>
  <c r="N21" i="136" s="1"/>
  <c r="Z18" i="118"/>
  <c r="AA20" i="143"/>
  <c r="AA21" i="143" s="1"/>
  <c r="L19" i="142"/>
  <c r="N20" i="142" s="1"/>
  <c r="S19" i="140"/>
  <c r="U19" i="140" s="1"/>
  <c r="AA19" i="139"/>
  <c r="AA20" i="139" s="1"/>
  <c r="Z18" i="137"/>
  <c r="Y18" i="137"/>
  <c r="Z18" i="134"/>
  <c r="Y18" i="134"/>
  <c r="S19" i="132"/>
  <c r="T19" i="132" s="1"/>
  <c r="AA19" i="126"/>
  <c r="AA20" i="126" s="1"/>
  <c r="S19" i="116"/>
  <c r="U19" i="116" s="1"/>
  <c r="S19" i="106"/>
  <c r="U19" i="106" s="1"/>
  <c r="AA20" i="104"/>
  <c r="AC21" i="104" s="1"/>
  <c r="Z18" i="133"/>
  <c r="Y18" i="133"/>
  <c r="Z18" i="141"/>
  <c r="Y18" i="141"/>
  <c r="X19" i="141"/>
  <c r="V19" i="141"/>
  <c r="Y18" i="143"/>
  <c r="AE18" i="108"/>
  <c r="AD18" i="108"/>
  <c r="V19" i="129"/>
  <c r="X19" i="129"/>
  <c r="Z18" i="138"/>
  <c r="Y18" i="138"/>
  <c r="X19" i="123"/>
  <c r="V19" i="123"/>
  <c r="X19" i="113"/>
  <c r="V19" i="113"/>
  <c r="Z18" i="122"/>
  <c r="Y18" i="122"/>
  <c r="N19" i="139"/>
  <c r="L19" i="139"/>
  <c r="P18" i="115"/>
  <c r="O18" i="115"/>
  <c r="Y18" i="108"/>
  <c r="Z18" i="108"/>
  <c r="X19" i="122"/>
  <c r="V19" i="122"/>
  <c r="P18" i="139"/>
  <c r="O18" i="139"/>
  <c r="Z18" i="123"/>
  <c r="Y18" i="123"/>
  <c r="N19" i="115"/>
  <c r="L19" i="115"/>
  <c r="X19" i="108"/>
  <c r="V19" i="108"/>
  <c r="Z18" i="105"/>
  <c r="Y18" i="105"/>
  <c r="Z18" i="128"/>
  <c r="Y18" i="128"/>
  <c r="X19" i="105"/>
  <c r="V19" i="105"/>
  <c r="X19" i="128"/>
  <c r="V19" i="128"/>
  <c r="Z18" i="144"/>
  <c r="Y18" i="144"/>
  <c r="Y18" i="112"/>
  <c r="Z18" i="112"/>
  <c r="Z18" i="104"/>
  <c r="Y18" i="104"/>
  <c r="Y18" i="110"/>
  <c r="Z18" i="110"/>
  <c r="Y18" i="147"/>
  <c r="Z18" i="147"/>
  <c r="X19" i="144"/>
  <c r="V19" i="144"/>
  <c r="X19" i="112"/>
  <c r="V19" i="112"/>
  <c r="X19" i="104"/>
  <c r="V19" i="104"/>
  <c r="X19" i="110"/>
  <c r="V19" i="110"/>
  <c r="X19" i="147"/>
  <c r="V19" i="147"/>
  <c r="Z18" i="109"/>
  <c r="Y18" i="109"/>
  <c r="Z18" i="132"/>
  <c r="Y18" i="132"/>
  <c r="AD18" i="115"/>
  <c r="AE18" i="115"/>
  <c r="X19" i="109"/>
  <c r="V19" i="109"/>
  <c r="X19" i="132"/>
  <c r="V19" i="132"/>
  <c r="AC19" i="115"/>
  <c r="AA19" i="115"/>
  <c r="Y18" i="111"/>
  <c r="Z18" i="111"/>
  <c r="X19" i="111"/>
  <c r="V19" i="111"/>
  <c r="N19" i="107"/>
  <c r="L19" i="107"/>
  <c r="Z18" i="142"/>
  <c r="Y18" i="142"/>
  <c r="Z18" i="146"/>
  <c r="Y18" i="146"/>
  <c r="Y18" i="103"/>
  <c r="Z18" i="103"/>
  <c r="Z18" i="113"/>
  <c r="Y18" i="113"/>
  <c r="S19" i="147"/>
  <c r="U19" i="147" s="1"/>
  <c r="P18" i="107"/>
  <c r="O18" i="107"/>
  <c r="Z18" i="135"/>
  <c r="Y18" i="135"/>
  <c r="X19" i="142"/>
  <c r="V19" i="142"/>
  <c r="X19" i="146"/>
  <c r="V19" i="146"/>
  <c r="X19" i="103"/>
  <c r="V19" i="103"/>
  <c r="X19" i="135"/>
  <c r="V19" i="135"/>
  <c r="Z18" i="116"/>
  <c r="Y18" i="116"/>
  <c r="Z18" i="106"/>
  <c r="Y18" i="106"/>
  <c r="Z18" i="136"/>
  <c r="Y18" i="136"/>
  <c r="Z18" i="150"/>
  <c r="Y18" i="150"/>
  <c r="X19" i="138"/>
  <c r="V19" i="138"/>
  <c r="AC19" i="108"/>
  <c r="AA19" i="108"/>
  <c r="Z18" i="129"/>
  <c r="Y18" i="129"/>
  <c r="X19" i="116"/>
  <c r="V19" i="116"/>
  <c r="X19" i="106"/>
  <c r="V19" i="106"/>
  <c r="X19" i="136"/>
  <c r="V19" i="136"/>
  <c r="X19" i="150"/>
  <c r="V19" i="150"/>
  <c r="AC20" i="151"/>
  <c r="AA20" i="151"/>
  <c r="AE19" i="151"/>
  <c r="AD19" i="151"/>
  <c r="N20" i="151"/>
  <c r="L20" i="151"/>
  <c r="P19" i="151"/>
  <c r="O19" i="151"/>
  <c r="Z18" i="151"/>
  <c r="Y18" i="151"/>
  <c r="X19" i="151"/>
  <c r="V19" i="151"/>
  <c r="AC20" i="150"/>
  <c r="AA20" i="150"/>
  <c r="AE19" i="150"/>
  <c r="AD19" i="150"/>
  <c r="T19" i="150"/>
  <c r="Q20" i="150"/>
  <c r="S20" i="150"/>
  <c r="Z20" i="149"/>
  <c r="Y20" i="149"/>
  <c r="X21" i="149"/>
  <c r="V21" i="149"/>
  <c r="AC20" i="149"/>
  <c r="AA20" i="149"/>
  <c r="P19" i="149"/>
  <c r="O19" i="149"/>
  <c r="U19" i="149"/>
  <c r="T19" i="149"/>
  <c r="S20" i="149"/>
  <c r="Q20" i="149"/>
  <c r="Z20" i="148"/>
  <c r="Y20" i="148"/>
  <c r="AE19" i="148"/>
  <c r="AD19" i="148"/>
  <c r="N20" i="148"/>
  <c r="L20" i="148"/>
  <c r="P19" i="148"/>
  <c r="O19" i="148"/>
  <c r="X21" i="148"/>
  <c r="V21" i="148"/>
  <c r="S20" i="148"/>
  <c r="Q20" i="148"/>
  <c r="AC20" i="147"/>
  <c r="AA20" i="147"/>
  <c r="AE19" i="147"/>
  <c r="AD19" i="147"/>
  <c r="N20" i="147"/>
  <c r="L20" i="147"/>
  <c r="P19" i="147"/>
  <c r="O19" i="147"/>
  <c r="S20" i="147"/>
  <c r="Q20" i="147"/>
  <c r="N20" i="146"/>
  <c r="L20" i="146"/>
  <c r="AC20" i="146"/>
  <c r="AA20" i="146"/>
  <c r="AE19" i="146"/>
  <c r="AD19" i="146"/>
  <c r="P19" i="146"/>
  <c r="O19" i="146"/>
  <c r="U19" i="146"/>
  <c r="T19" i="146"/>
  <c r="S20" i="146"/>
  <c r="Q20" i="146"/>
  <c r="X21" i="145"/>
  <c r="V21" i="145"/>
  <c r="Z20" i="145"/>
  <c r="Y20" i="145"/>
  <c r="AC20" i="145"/>
  <c r="AA20" i="145"/>
  <c r="P19" i="145"/>
  <c r="O19" i="145"/>
  <c r="U19" i="145"/>
  <c r="T19" i="145"/>
  <c r="Q20" i="145"/>
  <c r="S20" i="145"/>
  <c r="S20" i="144"/>
  <c r="Q20" i="144"/>
  <c r="N20" i="144"/>
  <c r="L20" i="144"/>
  <c r="P19" i="144"/>
  <c r="O19" i="144"/>
  <c r="AC20" i="144"/>
  <c r="AE19" i="144"/>
  <c r="AD19" i="144"/>
  <c r="AD20" i="143"/>
  <c r="AE20" i="143"/>
  <c r="X21" i="143"/>
  <c r="V21" i="143"/>
  <c r="N20" i="143"/>
  <c r="L20" i="143"/>
  <c r="O19" i="143"/>
  <c r="S20" i="143"/>
  <c r="Q20" i="143"/>
  <c r="AC20" i="142"/>
  <c r="AA20" i="142"/>
  <c r="AE19" i="142"/>
  <c r="AD19" i="142"/>
  <c r="P19" i="142"/>
  <c r="O19" i="142"/>
  <c r="T19" i="142"/>
  <c r="U19" i="142"/>
  <c r="S20" i="142"/>
  <c r="Q20" i="142"/>
  <c r="N20" i="141"/>
  <c r="L20" i="141"/>
  <c r="P19" i="141"/>
  <c r="O19" i="141"/>
  <c r="AC20" i="141"/>
  <c r="AA20" i="141"/>
  <c r="U19" i="141"/>
  <c r="T19" i="141"/>
  <c r="N20" i="140"/>
  <c r="L20" i="140"/>
  <c r="P19" i="140"/>
  <c r="O19" i="140"/>
  <c r="AC20" i="140"/>
  <c r="AA20" i="140"/>
  <c r="S20" i="140"/>
  <c r="Q20" i="140"/>
  <c r="Z18" i="140"/>
  <c r="Y18" i="140"/>
  <c r="X19" i="140"/>
  <c r="V19" i="140"/>
  <c r="S20" i="139"/>
  <c r="Q20" i="139"/>
  <c r="AE19" i="139"/>
  <c r="AD19" i="139"/>
  <c r="Z18" i="139"/>
  <c r="Y18" i="139"/>
  <c r="X19" i="139"/>
  <c r="V19" i="139"/>
  <c r="AC20" i="138"/>
  <c r="AA20" i="138"/>
  <c r="AE19" i="138"/>
  <c r="AD19" i="138"/>
  <c r="N20" i="138"/>
  <c r="L20" i="138"/>
  <c r="P19" i="138"/>
  <c r="O19" i="138"/>
  <c r="U19" i="138"/>
  <c r="T19" i="138"/>
  <c r="X21" i="137"/>
  <c r="V21" i="137"/>
  <c r="Z20" i="137"/>
  <c r="Y20" i="137"/>
  <c r="AC20" i="137"/>
  <c r="AA20" i="137"/>
  <c r="AE19" i="137"/>
  <c r="AD19" i="137"/>
  <c r="N20" i="137"/>
  <c r="L20" i="137"/>
  <c r="P19" i="137"/>
  <c r="O19" i="137"/>
  <c r="U19" i="137"/>
  <c r="T19" i="137"/>
  <c r="S20" i="137"/>
  <c r="S20" i="136"/>
  <c r="Q20" i="136"/>
  <c r="AC20" i="136"/>
  <c r="AA20" i="136"/>
  <c r="U19" i="136"/>
  <c r="T19" i="136"/>
  <c r="P20" i="136"/>
  <c r="O20" i="136"/>
  <c r="S20" i="135"/>
  <c r="Q20" i="135"/>
  <c r="P19" i="135"/>
  <c r="O19" i="135"/>
  <c r="Z20" i="134"/>
  <c r="Y20" i="134"/>
  <c r="AC20" i="134"/>
  <c r="AA20" i="134"/>
  <c r="AE19" i="134"/>
  <c r="AD19" i="134"/>
  <c r="N20" i="134"/>
  <c r="L20" i="134"/>
  <c r="U19" i="134"/>
  <c r="T19" i="134"/>
  <c r="S20" i="134"/>
  <c r="Q20" i="134"/>
  <c r="X21" i="133"/>
  <c r="V21" i="133"/>
  <c r="AC20" i="133"/>
  <c r="AA20" i="133"/>
  <c r="AE19" i="133"/>
  <c r="AD19" i="133"/>
  <c r="N20" i="133"/>
  <c r="L20" i="133"/>
  <c r="P19" i="133"/>
  <c r="O19" i="133"/>
  <c r="Z20" i="133"/>
  <c r="Y20" i="133"/>
  <c r="S20" i="133"/>
  <c r="Q20" i="133"/>
  <c r="AC20" i="132"/>
  <c r="AA20" i="132"/>
  <c r="AE19" i="132"/>
  <c r="AD19" i="132"/>
  <c r="S20" i="132"/>
  <c r="Q20" i="132"/>
  <c r="P19" i="132"/>
  <c r="O19" i="132"/>
  <c r="N20" i="131"/>
  <c r="L20" i="131"/>
  <c r="P19" i="131"/>
  <c r="O19" i="131"/>
  <c r="AC21" i="131"/>
  <c r="AA21" i="131"/>
  <c r="S20" i="131"/>
  <c r="Q20" i="131"/>
  <c r="Z18" i="131"/>
  <c r="Y18" i="131"/>
  <c r="X19" i="131"/>
  <c r="V19" i="131"/>
  <c r="X21" i="130"/>
  <c r="V21" i="130"/>
  <c r="Z20" i="130"/>
  <c r="Y20" i="130"/>
  <c r="S20" i="130"/>
  <c r="Q20" i="130"/>
  <c r="U19" i="130"/>
  <c r="T19" i="130"/>
  <c r="AE19" i="130"/>
  <c r="AD19" i="130"/>
  <c r="P19" i="130"/>
  <c r="O19" i="130"/>
  <c r="AC20" i="129"/>
  <c r="AA20" i="129"/>
  <c r="AE19" i="129"/>
  <c r="AD19" i="129"/>
  <c r="N21" i="129"/>
  <c r="L21" i="129"/>
  <c r="S20" i="129"/>
  <c r="Q20" i="129"/>
  <c r="AE19" i="128"/>
  <c r="AD19" i="128"/>
  <c r="N20" i="128"/>
  <c r="L20" i="128"/>
  <c r="P19" i="128"/>
  <c r="O19" i="128"/>
  <c r="U19" i="128"/>
  <c r="T19" i="128"/>
  <c r="S20" i="128"/>
  <c r="Q20" i="128"/>
  <c r="AE19" i="127"/>
  <c r="AD19" i="127"/>
  <c r="N20" i="127"/>
  <c r="L20" i="127"/>
  <c r="P19" i="127"/>
  <c r="O19" i="127"/>
  <c r="Z18" i="127"/>
  <c r="Y18" i="127"/>
  <c r="X19" i="127"/>
  <c r="V19" i="127"/>
  <c r="Z20" i="126"/>
  <c r="Y20" i="126"/>
  <c r="AE19" i="126"/>
  <c r="AD19" i="126"/>
  <c r="Q19" i="126"/>
  <c r="S19" i="126"/>
  <c r="U18" i="126"/>
  <c r="T18" i="126"/>
  <c r="P20" i="126"/>
  <c r="O20" i="126"/>
  <c r="AE19" i="125"/>
  <c r="AD19" i="125"/>
  <c r="N20" i="125"/>
  <c r="L20" i="125"/>
  <c r="P19" i="125"/>
  <c r="O19" i="125"/>
  <c r="U19" i="125"/>
  <c r="T19" i="125"/>
  <c r="X21" i="125"/>
  <c r="Z20" i="125"/>
  <c r="Y20" i="125"/>
  <c r="AC21" i="124"/>
  <c r="AA21" i="124"/>
  <c r="N20" i="124"/>
  <c r="L20" i="124"/>
  <c r="P19" i="124"/>
  <c r="O19" i="124"/>
  <c r="AD20" i="124"/>
  <c r="AE20" i="124"/>
  <c r="U19" i="124"/>
  <c r="S20" i="124"/>
  <c r="Q20" i="124"/>
  <c r="Z18" i="124"/>
  <c r="Y18" i="124"/>
  <c r="X19" i="124"/>
  <c r="V19" i="124"/>
  <c r="AC20" i="123"/>
  <c r="AA20" i="123"/>
  <c r="AE19" i="123"/>
  <c r="AD19" i="123"/>
  <c r="N20" i="123"/>
  <c r="L20" i="123"/>
  <c r="P19" i="123"/>
  <c r="O19" i="123"/>
  <c r="U19" i="123"/>
  <c r="T19" i="123"/>
  <c r="Q20" i="123"/>
  <c r="S20" i="123"/>
  <c r="AC20" i="122"/>
  <c r="AA20" i="122"/>
  <c r="N20" i="122"/>
  <c r="L20" i="122"/>
  <c r="P19" i="122"/>
  <c r="O19" i="122"/>
  <c r="U19" i="122"/>
  <c r="T19" i="122"/>
  <c r="S20" i="122"/>
  <c r="Q20" i="122"/>
  <c r="Z20" i="119"/>
  <c r="Y20" i="119"/>
  <c r="AE19" i="119"/>
  <c r="AD19" i="119"/>
  <c r="N20" i="119"/>
  <c r="L20" i="119"/>
  <c r="S20" i="119"/>
  <c r="Q20" i="119"/>
  <c r="Z20" i="118"/>
  <c r="Y20" i="118"/>
  <c r="P19" i="118"/>
  <c r="O19" i="118"/>
  <c r="N20" i="118"/>
  <c r="L20" i="118"/>
  <c r="Q19" i="118"/>
  <c r="S19" i="118"/>
  <c r="AE19" i="118"/>
  <c r="AD19" i="118"/>
  <c r="U18" i="118"/>
  <c r="T18" i="118"/>
  <c r="AE19" i="117"/>
  <c r="AD19" i="117"/>
  <c r="N20" i="117"/>
  <c r="L20" i="117"/>
  <c r="P19" i="117"/>
  <c r="O19" i="117"/>
  <c r="U19" i="117"/>
  <c r="T19" i="117"/>
  <c r="S20" i="117"/>
  <c r="Q20" i="117"/>
  <c r="Z18" i="117"/>
  <c r="Y18" i="117"/>
  <c r="X19" i="117"/>
  <c r="V19" i="117"/>
  <c r="AE19" i="116"/>
  <c r="AD19" i="116"/>
  <c r="N20" i="116"/>
  <c r="L20" i="116"/>
  <c r="P19" i="116"/>
  <c r="O19" i="116"/>
  <c r="S20" i="116"/>
  <c r="Q20" i="116"/>
  <c r="X21" i="115"/>
  <c r="V21" i="115"/>
  <c r="U19" i="115"/>
  <c r="T19" i="115"/>
  <c r="Q20" i="115"/>
  <c r="S20" i="115"/>
  <c r="AC20" i="114"/>
  <c r="AA20" i="114"/>
  <c r="N20" i="114"/>
  <c r="L20" i="114"/>
  <c r="P19" i="114"/>
  <c r="O19" i="114"/>
  <c r="AE19" i="114"/>
  <c r="AD19" i="114"/>
  <c r="S20" i="114"/>
  <c r="Q20" i="114"/>
  <c r="Z18" i="114"/>
  <c r="Y18" i="114"/>
  <c r="X19" i="114"/>
  <c r="V19" i="114"/>
  <c r="N20" i="113"/>
  <c r="L20" i="113"/>
  <c r="P19" i="113"/>
  <c r="O19" i="113"/>
  <c r="AD20" i="113"/>
  <c r="AE20" i="113"/>
  <c r="S20" i="113"/>
  <c r="Q20" i="113"/>
  <c r="AC20" i="112"/>
  <c r="AA20" i="112"/>
  <c r="AE19" i="112"/>
  <c r="AD19" i="112"/>
  <c r="N20" i="112"/>
  <c r="L20" i="112"/>
  <c r="P19" i="112"/>
  <c r="O19" i="112"/>
  <c r="U19" i="112"/>
  <c r="T19" i="112"/>
  <c r="S20" i="112"/>
  <c r="Q20" i="112"/>
  <c r="N20" i="111"/>
  <c r="L20" i="111"/>
  <c r="P19" i="111"/>
  <c r="O19" i="111"/>
  <c r="AC21" i="111"/>
  <c r="AA21" i="111"/>
  <c r="AD20" i="111"/>
  <c r="AE20" i="111"/>
  <c r="U19" i="111"/>
  <c r="T19" i="111"/>
  <c r="S20" i="111"/>
  <c r="Q20" i="111"/>
  <c r="N20" i="110"/>
  <c r="L20" i="110"/>
  <c r="P19" i="110"/>
  <c r="O19" i="110"/>
  <c r="AC20" i="110"/>
  <c r="AA20" i="110"/>
  <c r="AE19" i="110"/>
  <c r="AD19" i="110"/>
  <c r="U19" i="110"/>
  <c r="T19" i="110"/>
  <c r="S20" i="110"/>
  <c r="Q20" i="110"/>
  <c r="AC20" i="109"/>
  <c r="AA20" i="109"/>
  <c r="AE19" i="109"/>
  <c r="AD19" i="109"/>
  <c r="N20" i="109"/>
  <c r="L20" i="109"/>
  <c r="P19" i="109"/>
  <c r="O19" i="109"/>
  <c r="U19" i="109"/>
  <c r="T19" i="109"/>
  <c r="S20" i="109"/>
  <c r="Q20" i="109"/>
  <c r="S20" i="108"/>
  <c r="Q20" i="108"/>
  <c r="N20" i="108"/>
  <c r="L20" i="108"/>
  <c r="P19" i="108"/>
  <c r="O19" i="108"/>
  <c r="U19" i="108"/>
  <c r="T19" i="108"/>
  <c r="X21" i="107"/>
  <c r="V21" i="107"/>
  <c r="Z20" i="107"/>
  <c r="Y20" i="107"/>
  <c r="U19" i="107"/>
  <c r="T19" i="107"/>
  <c r="Q20" i="107"/>
  <c r="S20" i="107"/>
  <c r="AE19" i="107"/>
  <c r="AD19" i="107"/>
  <c r="AE19" i="106"/>
  <c r="AD19" i="106"/>
  <c r="N20" i="106"/>
  <c r="L20" i="106"/>
  <c r="P19" i="106"/>
  <c r="O19" i="106"/>
  <c r="S20" i="106"/>
  <c r="Q20" i="106"/>
  <c r="N20" i="105"/>
  <c r="L20" i="105"/>
  <c r="P19" i="105"/>
  <c r="O19" i="105"/>
  <c r="AC20" i="105"/>
  <c r="AA20" i="105"/>
  <c r="AE19" i="105"/>
  <c r="AD19" i="105"/>
  <c r="U19" i="105"/>
  <c r="T19" i="105"/>
  <c r="Q20" i="105"/>
  <c r="S20" i="105"/>
  <c r="S20" i="104"/>
  <c r="Q20" i="104"/>
  <c r="AD20" i="104"/>
  <c r="AE20" i="104"/>
  <c r="U19" i="104"/>
  <c r="T19" i="104"/>
  <c r="N20" i="104"/>
  <c r="L20" i="104"/>
  <c r="P19" i="104"/>
  <c r="O19" i="104"/>
  <c r="AC20" i="103"/>
  <c r="AE19" i="103"/>
  <c r="AD19" i="103"/>
  <c r="N20" i="103"/>
  <c r="L20" i="103"/>
  <c r="P19" i="103"/>
  <c r="O19" i="103"/>
  <c r="T19" i="103"/>
  <c r="U19" i="103"/>
  <c r="S20" i="103"/>
  <c r="Q20" i="103"/>
  <c r="B8" i="53"/>
  <c r="AL6" i="53"/>
  <c r="B9" i="53"/>
  <c r="E7" i="53"/>
  <c r="N20" i="53"/>
  <c r="L20" i="53"/>
  <c r="AE19" i="53"/>
  <c r="AD19" i="53"/>
  <c r="P19" i="53"/>
  <c r="O19" i="53"/>
  <c r="T19" i="53"/>
  <c r="U19" i="53"/>
  <c r="Q20" i="53"/>
  <c r="S20" i="53"/>
  <c r="AC20" i="53"/>
  <c r="AA20" i="53"/>
  <c r="X19" i="53"/>
  <c r="V19" i="53"/>
  <c r="Y18" i="53"/>
  <c r="Z18" i="53"/>
  <c r="AD20" i="131" l="1"/>
  <c r="L20" i="135"/>
  <c r="Y20" i="143"/>
  <c r="X21" i="134"/>
  <c r="T19" i="113"/>
  <c r="BS20" i="152"/>
  <c r="BS19" i="152"/>
  <c r="BT14" i="152" a="1"/>
  <c r="BT14" i="152" s="1"/>
  <c r="Q19" i="151"/>
  <c r="S19" i="151"/>
  <c r="BT19" i="152" a="1"/>
  <c r="BT19" i="152" s="1"/>
  <c r="AC20" i="117"/>
  <c r="BU15" i="152" a="1"/>
  <c r="BU15" i="152" s="1"/>
  <c r="U18" i="151"/>
  <c r="T18" i="151"/>
  <c r="S19" i="127"/>
  <c r="Q19" i="127"/>
  <c r="U19" i="133"/>
  <c r="AA20" i="119"/>
  <c r="T19" i="129"/>
  <c r="AD19" i="149"/>
  <c r="BS22" i="152"/>
  <c r="U18" i="127"/>
  <c r="T18" i="127"/>
  <c r="AD19" i="122"/>
  <c r="AC20" i="128"/>
  <c r="AA20" i="127"/>
  <c r="AD19" i="145"/>
  <c r="AA20" i="107"/>
  <c r="V21" i="126"/>
  <c r="T19" i="114"/>
  <c r="Y20" i="115"/>
  <c r="N20" i="132"/>
  <c r="Q20" i="138"/>
  <c r="U19" i="144"/>
  <c r="BT10" i="152" a="1"/>
  <c r="BT10" i="152" s="1"/>
  <c r="BU19" i="152" a="1"/>
  <c r="BU19" i="152" s="1"/>
  <c r="BS21" i="152"/>
  <c r="BL9" i="152" a="1"/>
  <c r="BL9" i="152" s="1"/>
  <c r="BL17" i="152" a="1"/>
  <c r="BL17" i="152" s="1"/>
  <c r="BU9" i="152" a="1"/>
  <c r="BU9" i="152" s="1"/>
  <c r="BU13" i="152" a="1"/>
  <c r="BU13" i="152" s="1"/>
  <c r="X21" i="119"/>
  <c r="AA20" i="148"/>
  <c r="BJ18" i="152"/>
  <c r="BK10" i="152" a="1"/>
  <c r="BK10" i="152" s="1"/>
  <c r="BK18" i="152" a="1"/>
  <c r="BK18" i="152" s="1"/>
  <c r="BU17" i="152" a="1"/>
  <c r="BU17" i="152" s="1"/>
  <c r="BU21" i="152" a="1"/>
  <c r="BU21" i="152" s="1"/>
  <c r="BL10" i="152" a="1"/>
  <c r="BL10" i="152" s="1"/>
  <c r="BJ21" i="152"/>
  <c r="BL18" i="152" a="1"/>
  <c r="BL18" i="152" s="1"/>
  <c r="T19" i="131"/>
  <c r="L20" i="145"/>
  <c r="BJ17" i="152"/>
  <c r="BK13" i="152" a="1"/>
  <c r="BK13" i="152" s="1"/>
  <c r="BK11" i="152" a="1"/>
  <c r="BK11" i="152" s="1"/>
  <c r="BT18" i="152" a="1"/>
  <c r="BT18" i="152" s="1"/>
  <c r="BT22" i="152" a="1"/>
  <c r="BT22" i="152" s="1"/>
  <c r="BJ15" i="152"/>
  <c r="BL13" i="152" a="1"/>
  <c r="BL13" i="152" s="1"/>
  <c r="BK19" i="152" a="1"/>
  <c r="BK19" i="152" s="1"/>
  <c r="BU10" i="152" a="1"/>
  <c r="BU10" i="152" s="1"/>
  <c r="BU14" i="152" a="1"/>
  <c r="BU14" i="152" s="1"/>
  <c r="BK14" i="152" a="1"/>
  <c r="BK14" i="152" s="1"/>
  <c r="BL11" i="152" a="1"/>
  <c r="BL11" i="152" s="1"/>
  <c r="BU18" i="152" a="1"/>
  <c r="BU18" i="152" s="1"/>
  <c r="BU22" i="152" a="1"/>
  <c r="BU22" i="152" s="1"/>
  <c r="BL12" i="152" a="1"/>
  <c r="BL12" i="152" s="1"/>
  <c r="BL19" i="152" a="1"/>
  <c r="BL19" i="152" s="1"/>
  <c r="BT11" i="152" a="1"/>
  <c r="BT11" i="152" s="1"/>
  <c r="BT15" i="152" a="1"/>
  <c r="BT15" i="152" s="1"/>
  <c r="T19" i="148"/>
  <c r="L20" i="149"/>
  <c r="BK21" i="152" a="1"/>
  <c r="BK21" i="152" s="1"/>
  <c r="BQ21" i="152" s="1"/>
  <c r="BK20" i="152" a="1"/>
  <c r="BK20" i="152" s="1"/>
  <c r="BQ20" i="152" s="1"/>
  <c r="BU11" i="152" a="1"/>
  <c r="BU11" i="152" s="1"/>
  <c r="BT16" i="152" a="1"/>
  <c r="BT16" i="152" s="1"/>
  <c r="O20" i="129"/>
  <c r="BL22" i="152" a="1"/>
  <c r="BL22" i="152" s="1"/>
  <c r="BT12" i="152" a="1"/>
  <c r="BT12" i="152" s="1"/>
  <c r="V21" i="118"/>
  <c r="T19" i="135"/>
  <c r="BK15" i="152" a="1"/>
  <c r="BK15" i="152" s="1"/>
  <c r="BQ15" i="152" s="1"/>
  <c r="BT20" i="152" a="1"/>
  <c r="BT20" i="152" s="1"/>
  <c r="BZ20" i="152" s="1"/>
  <c r="BJ22" i="152"/>
  <c r="BJ16" i="152"/>
  <c r="BL15" i="152" a="1"/>
  <c r="BL15" i="152" s="1"/>
  <c r="BU12" i="152" a="1"/>
  <c r="BU12" i="152" s="1"/>
  <c r="BK12" i="152" a="1"/>
  <c r="BK12" i="152" s="1"/>
  <c r="BL14" i="152" a="1"/>
  <c r="BL14" i="152" s="1"/>
  <c r="BJ19" i="152"/>
  <c r="BL21" i="152" a="1"/>
  <c r="BL21" i="152" s="1"/>
  <c r="BK16" i="152" a="1"/>
  <c r="BK16" i="152" s="1"/>
  <c r="BU16" i="152" a="1"/>
  <c r="BU16" i="152" s="1"/>
  <c r="BU20" i="152" a="1"/>
  <c r="BU20" i="152" s="1"/>
  <c r="BL20" i="152" a="1"/>
  <c r="BL20" i="152" s="1"/>
  <c r="BK22" i="152" a="1"/>
  <c r="BK22" i="152" s="1"/>
  <c r="BQ22" i="152" s="1"/>
  <c r="BL16" i="152" a="1"/>
  <c r="BL16" i="152" s="1"/>
  <c r="BT9" i="152" a="1"/>
  <c r="BT9" i="152" s="1"/>
  <c r="BT13" i="152" a="1"/>
  <c r="BT13" i="152" s="1"/>
  <c r="P19" i="119"/>
  <c r="BJ20" i="152"/>
  <c r="BK9" i="152" a="1"/>
  <c r="BK9" i="152" s="1"/>
  <c r="BK17" i="152" a="1"/>
  <c r="BK17" i="152" s="1"/>
  <c r="BQ17" i="152" s="1"/>
  <c r="BT17" i="152" a="1"/>
  <c r="BT17" i="152" s="1"/>
  <c r="BT21" i="152" a="1"/>
  <c r="BT21" i="152" s="1"/>
  <c r="BZ21" i="152" s="1"/>
  <c r="U19" i="132"/>
  <c r="AC20" i="126"/>
  <c r="AA20" i="130"/>
  <c r="AC21" i="130" s="1"/>
  <c r="AC20" i="139"/>
  <c r="T19" i="139"/>
  <c r="AA20" i="116"/>
  <c r="O20" i="150"/>
  <c r="L21" i="126"/>
  <c r="P19" i="134"/>
  <c r="BM18" i="152" a="1"/>
  <c r="BM18" i="152" s="1"/>
  <c r="BP18" i="152" s="1"/>
  <c r="AA21" i="104"/>
  <c r="AC22" i="104" s="1"/>
  <c r="AC20" i="125"/>
  <c r="L20" i="150"/>
  <c r="N21" i="150" s="1"/>
  <c r="O21" i="150" s="1"/>
  <c r="AD19" i="140"/>
  <c r="AC21" i="113"/>
  <c r="BS18" i="152"/>
  <c r="BS16" i="152"/>
  <c r="BS11" i="152"/>
  <c r="BV10" i="152" a="1"/>
  <c r="BV10" i="152" s="1"/>
  <c r="BW10" i="152" s="1"/>
  <c r="BX10" i="152" s="1"/>
  <c r="BV19" i="152" a="1"/>
  <c r="BV19" i="152" s="1"/>
  <c r="BW19" i="152" s="1"/>
  <c r="BX19" i="152" s="1"/>
  <c r="Q20" i="125"/>
  <c r="S21" i="125" s="1"/>
  <c r="BS10" i="152"/>
  <c r="AD19" i="136"/>
  <c r="BM17" i="152" a="1"/>
  <c r="BM17" i="152" s="1"/>
  <c r="BS13" i="152"/>
  <c r="BQ16" i="152"/>
  <c r="BS9" i="152"/>
  <c r="BJ10" i="152"/>
  <c r="BJ14" i="152"/>
  <c r="BJ12" i="152"/>
  <c r="U19" i="143"/>
  <c r="AA20" i="118"/>
  <c r="AA21" i="118" s="1"/>
  <c r="BM19" i="152" a="1"/>
  <c r="BM19" i="152" s="1"/>
  <c r="BQ18" i="152"/>
  <c r="BM13" i="152" a="1"/>
  <c r="BM13" i="152" s="1"/>
  <c r="BM15" i="152" a="1"/>
  <c r="BM15" i="152" s="1"/>
  <c r="BM22" i="152" a="1"/>
  <c r="BM22" i="152" s="1"/>
  <c r="BM11" i="152" a="1"/>
  <c r="BM11" i="152" s="1"/>
  <c r="BQ19" i="152"/>
  <c r="BM10" i="152" a="1"/>
  <c r="BM10" i="152" s="1"/>
  <c r="BM9" i="152" a="1"/>
  <c r="BM9" i="152" s="1"/>
  <c r="BM14" i="152" a="1"/>
  <c r="BM14" i="152" s="1"/>
  <c r="BM12" i="152" a="1"/>
  <c r="BM12" i="152" s="1"/>
  <c r="BM20" i="152" a="1"/>
  <c r="BM20" i="152" s="1"/>
  <c r="BM16" i="152" a="1"/>
  <c r="BM16" i="152" s="1"/>
  <c r="BS12" i="152"/>
  <c r="BS14" i="152"/>
  <c r="BJ11" i="152"/>
  <c r="BJ13" i="152"/>
  <c r="BS17" i="152"/>
  <c r="BZ22" i="152"/>
  <c r="BV22" i="152" a="1"/>
  <c r="BV22" i="152" s="1"/>
  <c r="BV13" i="152" a="1"/>
  <c r="BV13" i="152" s="1"/>
  <c r="BZ19" i="152"/>
  <c r="BV17" i="152" a="1"/>
  <c r="BV17" i="152" s="1"/>
  <c r="BV14" i="152" a="1"/>
  <c r="BV14" i="152" s="1"/>
  <c r="BV20" i="152" a="1"/>
  <c r="BV20" i="152" s="1"/>
  <c r="BV9" i="152" a="1"/>
  <c r="BV9" i="152" s="1"/>
  <c r="BV18" i="152" a="1"/>
  <c r="BV18" i="152" s="1"/>
  <c r="BV12" i="152" a="1"/>
  <c r="BV12" i="152" s="1"/>
  <c r="BV15" i="152" a="1"/>
  <c r="BV15" i="152" s="1"/>
  <c r="BV11" i="152" a="1"/>
  <c r="BV11" i="152" s="1"/>
  <c r="BV16" i="152" a="1"/>
  <c r="BV16" i="152" s="1"/>
  <c r="AA20" i="106"/>
  <c r="AA21" i="106" s="1"/>
  <c r="BV21" i="152" a="1"/>
  <c r="BV21" i="152" s="1"/>
  <c r="Q520" i="152"/>
  <c r="BM21" i="152" a="1"/>
  <c r="BM21" i="152" s="1"/>
  <c r="BJ9" i="152"/>
  <c r="BS15" i="152"/>
  <c r="T19" i="140"/>
  <c r="AC21" i="143"/>
  <c r="AE21" i="143" s="1"/>
  <c r="T19" i="119"/>
  <c r="AD19" i="141"/>
  <c r="T19" i="116"/>
  <c r="L20" i="130"/>
  <c r="N21" i="130" s="1"/>
  <c r="L21" i="136"/>
  <c r="N22" i="136" s="1"/>
  <c r="L20" i="142"/>
  <c r="N21" i="142" s="1"/>
  <c r="Q20" i="141"/>
  <c r="S21" i="141" s="1"/>
  <c r="T19" i="106"/>
  <c r="T19" i="147"/>
  <c r="AC20" i="135"/>
  <c r="AA20" i="135"/>
  <c r="AE19" i="135"/>
  <c r="AD19" i="135"/>
  <c r="V13" i="152"/>
  <c r="AK14" i="152"/>
  <c r="V20" i="141"/>
  <c r="X20" i="141"/>
  <c r="Z19" i="141"/>
  <c r="Y19" i="141"/>
  <c r="P19" i="139"/>
  <c r="O19" i="139"/>
  <c r="X20" i="111"/>
  <c r="V20" i="111"/>
  <c r="V20" i="108"/>
  <c r="X20" i="108"/>
  <c r="X20" i="150"/>
  <c r="V20" i="150"/>
  <c r="Y19" i="111"/>
  <c r="Z19" i="111"/>
  <c r="Y19" i="108"/>
  <c r="Z19" i="108"/>
  <c r="Z19" i="150"/>
  <c r="Y19" i="150"/>
  <c r="N20" i="115"/>
  <c r="L20" i="115"/>
  <c r="X20" i="113"/>
  <c r="V20" i="113"/>
  <c r="X20" i="136"/>
  <c r="V20" i="136"/>
  <c r="P19" i="115"/>
  <c r="O19" i="115"/>
  <c r="Z19" i="113"/>
  <c r="Y19" i="113"/>
  <c r="Z19" i="138"/>
  <c r="Y19" i="138"/>
  <c r="Z19" i="136"/>
  <c r="Y19" i="136"/>
  <c r="X20" i="147"/>
  <c r="V20" i="147"/>
  <c r="X20" i="123"/>
  <c r="V20" i="123"/>
  <c r="X20" i="106"/>
  <c r="V20" i="106"/>
  <c r="Z19" i="147"/>
  <c r="Y19" i="147"/>
  <c r="Z19" i="123"/>
  <c r="Y19" i="123"/>
  <c r="Z19" i="106"/>
  <c r="Y19" i="106"/>
  <c r="V20" i="110"/>
  <c r="X20" i="110"/>
  <c r="N20" i="139"/>
  <c r="L20" i="139"/>
  <c r="X20" i="116"/>
  <c r="V20" i="116"/>
  <c r="X20" i="135"/>
  <c r="V20" i="135"/>
  <c r="Y19" i="110"/>
  <c r="Z19" i="110"/>
  <c r="Z19" i="116"/>
  <c r="Y19" i="116"/>
  <c r="Z19" i="135"/>
  <c r="Y19" i="135"/>
  <c r="AC20" i="115"/>
  <c r="AA20" i="115"/>
  <c r="V20" i="104"/>
  <c r="X20" i="104"/>
  <c r="X20" i="128"/>
  <c r="V20" i="128"/>
  <c r="X20" i="122"/>
  <c r="V20" i="122"/>
  <c r="X20" i="103"/>
  <c r="V20" i="103"/>
  <c r="AD19" i="115"/>
  <c r="AE19" i="115"/>
  <c r="Z19" i="104"/>
  <c r="Y19" i="104"/>
  <c r="Y19" i="128"/>
  <c r="Z19" i="128"/>
  <c r="Z19" i="122"/>
  <c r="Y19" i="122"/>
  <c r="Z19" i="103"/>
  <c r="Y19" i="103"/>
  <c r="X20" i="132"/>
  <c r="V20" i="132"/>
  <c r="V20" i="112"/>
  <c r="X20" i="112"/>
  <c r="V20" i="105"/>
  <c r="X20" i="105"/>
  <c r="Z19" i="129"/>
  <c r="Y19" i="129"/>
  <c r="Y19" i="142"/>
  <c r="Z19" i="142"/>
  <c r="AC20" i="108"/>
  <c r="AA20" i="108"/>
  <c r="X20" i="146"/>
  <c r="V20" i="146"/>
  <c r="Y19" i="132"/>
  <c r="Z19" i="132"/>
  <c r="Y19" i="112"/>
  <c r="Z19" i="112"/>
  <c r="Y19" i="105"/>
  <c r="Z19" i="105"/>
  <c r="X20" i="129"/>
  <c r="V20" i="129"/>
  <c r="AE19" i="108"/>
  <c r="AD19" i="108"/>
  <c r="Z19" i="146"/>
  <c r="Y19" i="146"/>
  <c r="N20" i="107"/>
  <c r="L20" i="107"/>
  <c r="X20" i="109"/>
  <c r="V20" i="109"/>
  <c r="X20" i="144"/>
  <c r="V20" i="144"/>
  <c r="X20" i="138"/>
  <c r="V20" i="138"/>
  <c r="X20" i="142"/>
  <c r="V20" i="142"/>
  <c r="P19" i="107"/>
  <c r="O19" i="107"/>
  <c r="Z19" i="109"/>
  <c r="Y19" i="109"/>
  <c r="Z19" i="144"/>
  <c r="Y19" i="144"/>
  <c r="X20" i="151"/>
  <c r="V20" i="151"/>
  <c r="Z19" i="151"/>
  <c r="Y19" i="151"/>
  <c r="N21" i="151"/>
  <c r="L21" i="151"/>
  <c r="P20" i="151"/>
  <c r="O20" i="151"/>
  <c r="AC21" i="151"/>
  <c r="AA21" i="151"/>
  <c r="AD20" i="151"/>
  <c r="AE20" i="151"/>
  <c r="S21" i="150"/>
  <c r="Q21" i="150"/>
  <c r="AD20" i="150"/>
  <c r="AE20" i="150"/>
  <c r="U20" i="150"/>
  <c r="T20" i="150"/>
  <c r="AC21" i="150"/>
  <c r="AA21" i="150"/>
  <c r="P21" i="150"/>
  <c r="U20" i="149"/>
  <c r="T20" i="149"/>
  <c r="N21" i="149"/>
  <c r="L21" i="149"/>
  <c r="O20" i="149"/>
  <c r="P20" i="149"/>
  <c r="AA21" i="149"/>
  <c r="AC21" i="149"/>
  <c r="AD20" i="149"/>
  <c r="AE20" i="149"/>
  <c r="S21" i="149"/>
  <c r="Q21" i="149"/>
  <c r="V22" i="149"/>
  <c r="X22" i="149"/>
  <c r="Z21" i="149"/>
  <c r="Y21" i="149"/>
  <c r="Z21" i="148"/>
  <c r="Y21" i="148"/>
  <c r="N21" i="148"/>
  <c r="L21" i="148"/>
  <c r="P20" i="148"/>
  <c r="O20" i="148"/>
  <c r="V22" i="148"/>
  <c r="X22" i="148"/>
  <c r="AA21" i="148"/>
  <c r="AC21" i="148"/>
  <c r="AD20" i="148"/>
  <c r="AE20" i="148"/>
  <c r="U20" i="148"/>
  <c r="T20" i="148"/>
  <c r="Q21" i="148"/>
  <c r="S21" i="148"/>
  <c r="U20" i="147"/>
  <c r="T20" i="147"/>
  <c r="N21" i="147"/>
  <c r="L21" i="147"/>
  <c r="P20" i="147"/>
  <c r="O20" i="147"/>
  <c r="AC21" i="147"/>
  <c r="AA21" i="147"/>
  <c r="AD20" i="147"/>
  <c r="AE20" i="147"/>
  <c r="S21" i="147"/>
  <c r="Q21" i="147"/>
  <c r="U20" i="146"/>
  <c r="T20" i="146"/>
  <c r="AA21" i="146"/>
  <c r="AC21" i="146"/>
  <c r="AD20" i="146"/>
  <c r="AE20" i="146"/>
  <c r="N21" i="146"/>
  <c r="L21" i="146"/>
  <c r="O20" i="146"/>
  <c r="P20" i="146"/>
  <c r="S21" i="146"/>
  <c r="Q21" i="146"/>
  <c r="U20" i="145"/>
  <c r="T20" i="145"/>
  <c r="S21" i="145"/>
  <c r="Q21" i="145"/>
  <c r="N21" i="145"/>
  <c r="L21" i="145"/>
  <c r="P20" i="145"/>
  <c r="O20" i="145"/>
  <c r="AC21" i="145"/>
  <c r="AA21" i="145"/>
  <c r="AD20" i="145"/>
  <c r="AE20" i="145"/>
  <c r="V22" i="145"/>
  <c r="X22" i="145"/>
  <c r="Z21" i="145"/>
  <c r="Y21" i="145"/>
  <c r="AA21" i="144"/>
  <c r="AC21" i="144"/>
  <c r="L21" i="144"/>
  <c r="N21" i="144"/>
  <c r="P20" i="144"/>
  <c r="O20" i="144"/>
  <c r="S21" i="144"/>
  <c r="Q21" i="144"/>
  <c r="U20" i="144"/>
  <c r="T20" i="144"/>
  <c r="AD20" i="144"/>
  <c r="AE20" i="144"/>
  <c r="U20" i="143"/>
  <c r="T20" i="143"/>
  <c r="Q21" i="143"/>
  <c r="S21" i="143"/>
  <c r="AC22" i="143"/>
  <c r="AA22" i="143"/>
  <c r="N21" i="143"/>
  <c r="L21" i="143"/>
  <c r="P20" i="143"/>
  <c r="O20" i="143"/>
  <c r="V22" i="143"/>
  <c r="X22" i="143"/>
  <c r="Z21" i="143"/>
  <c r="Y21" i="143"/>
  <c r="U20" i="142"/>
  <c r="T20" i="142"/>
  <c r="P20" i="142"/>
  <c r="O20" i="142"/>
  <c r="AC21" i="142"/>
  <c r="AA21" i="142"/>
  <c r="AD20" i="142"/>
  <c r="AE20" i="142"/>
  <c r="S21" i="142"/>
  <c r="Q21" i="142"/>
  <c r="U20" i="141"/>
  <c r="T20" i="141"/>
  <c r="AC21" i="141"/>
  <c r="AA21" i="141"/>
  <c r="AD20" i="141"/>
  <c r="AE20" i="141"/>
  <c r="N21" i="141"/>
  <c r="L21" i="141"/>
  <c r="P20" i="141"/>
  <c r="O20" i="141"/>
  <c r="X20" i="140"/>
  <c r="V20" i="140"/>
  <c r="Z19" i="140"/>
  <c r="Y19" i="140"/>
  <c r="S21" i="140"/>
  <c r="Q21" i="140"/>
  <c r="U20" i="140"/>
  <c r="T20" i="140"/>
  <c r="AC21" i="140"/>
  <c r="AA21" i="140"/>
  <c r="AD20" i="140"/>
  <c r="AE20" i="140"/>
  <c r="N21" i="140"/>
  <c r="L21" i="140"/>
  <c r="P20" i="140"/>
  <c r="O20" i="140"/>
  <c r="Z19" i="139"/>
  <c r="Y19" i="139"/>
  <c r="X20" i="139"/>
  <c r="V20" i="139"/>
  <c r="AC21" i="139"/>
  <c r="AA21" i="139"/>
  <c r="AD20" i="139"/>
  <c r="AE20" i="139"/>
  <c r="S21" i="139"/>
  <c r="Q21" i="139"/>
  <c r="U20" i="139"/>
  <c r="T20" i="139"/>
  <c r="S21" i="138"/>
  <c r="Q21" i="138"/>
  <c r="U20" i="138"/>
  <c r="T20" i="138"/>
  <c r="N21" i="138"/>
  <c r="L21" i="138"/>
  <c r="P20" i="138"/>
  <c r="O20" i="138"/>
  <c r="AC21" i="138"/>
  <c r="AA21" i="138"/>
  <c r="AD20" i="138"/>
  <c r="AE20" i="138"/>
  <c r="U20" i="137"/>
  <c r="T20" i="137"/>
  <c r="N21" i="137"/>
  <c r="L21" i="137"/>
  <c r="P20" i="137"/>
  <c r="O20" i="137"/>
  <c r="AC21" i="137"/>
  <c r="AA21" i="137"/>
  <c r="AD20" i="137"/>
  <c r="AE20" i="137"/>
  <c r="V22" i="137"/>
  <c r="X22" i="137"/>
  <c r="Z21" i="137"/>
  <c r="Y21" i="137"/>
  <c r="S21" i="137"/>
  <c r="Q21" i="137"/>
  <c r="P21" i="136"/>
  <c r="O21" i="136"/>
  <c r="AC21" i="136"/>
  <c r="AA21" i="136"/>
  <c r="S21" i="136"/>
  <c r="Q21" i="136"/>
  <c r="U20" i="136"/>
  <c r="T20" i="136"/>
  <c r="AD20" i="136"/>
  <c r="AE20" i="136"/>
  <c r="N21" i="135"/>
  <c r="L21" i="135"/>
  <c r="P20" i="135"/>
  <c r="O20" i="135"/>
  <c r="U20" i="135"/>
  <c r="T20" i="135"/>
  <c r="S21" i="135"/>
  <c r="Q21" i="135"/>
  <c r="S21" i="134"/>
  <c r="Q21" i="134"/>
  <c r="U20" i="134"/>
  <c r="T20" i="134"/>
  <c r="N21" i="134"/>
  <c r="L21" i="134"/>
  <c r="P20" i="134"/>
  <c r="O20" i="134"/>
  <c r="AC21" i="134"/>
  <c r="AA21" i="134"/>
  <c r="AD20" i="134"/>
  <c r="AE20" i="134"/>
  <c r="V22" i="134"/>
  <c r="X22" i="134"/>
  <c r="Z21" i="134"/>
  <c r="Y21" i="134"/>
  <c r="S21" i="133"/>
  <c r="Q21" i="133"/>
  <c r="U20" i="133"/>
  <c r="T20" i="133"/>
  <c r="L21" i="133"/>
  <c r="N21" i="133"/>
  <c r="P20" i="133"/>
  <c r="O20" i="133"/>
  <c r="AA21" i="133"/>
  <c r="AC21" i="133"/>
  <c r="AD20" i="133"/>
  <c r="AE20" i="133"/>
  <c r="V22" i="133"/>
  <c r="X22" i="133"/>
  <c r="Z21" i="133"/>
  <c r="Y21" i="133"/>
  <c r="L21" i="132"/>
  <c r="N21" i="132"/>
  <c r="S21" i="132"/>
  <c r="Q21" i="132"/>
  <c r="U20" i="132"/>
  <c r="T20" i="132"/>
  <c r="P20" i="132"/>
  <c r="O20" i="132"/>
  <c r="AC21" i="132"/>
  <c r="AA21" i="132"/>
  <c r="AD20" i="132"/>
  <c r="AE20" i="132"/>
  <c r="X20" i="131"/>
  <c r="V20" i="131"/>
  <c r="Z19" i="131"/>
  <c r="Y19" i="131"/>
  <c r="U20" i="131"/>
  <c r="T20" i="131"/>
  <c r="S21" i="131"/>
  <c r="Q21" i="131"/>
  <c r="AC22" i="131"/>
  <c r="AA22" i="131"/>
  <c r="AE21" i="131"/>
  <c r="AD21" i="131"/>
  <c r="N21" i="131"/>
  <c r="L21" i="131"/>
  <c r="P20" i="131"/>
  <c r="O20" i="131"/>
  <c r="O20" i="130"/>
  <c r="P20" i="130"/>
  <c r="AA21" i="130"/>
  <c r="AD20" i="130"/>
  <c r="AE20" i="130"/>
  <c r="S21" i="130"/>
  <c r="Q21" i="130"/>
  <c r="U20" i="130"/>
  <c r="T20" i="130"/>
  <c r="V22" i="130"/>
  <c r="X22" i="130"/>
  <c r="Z21" i="130"/>
  <c r="Y21" i="130"/>
  <c r="S21" i="129"/>
  <c r="Q21" i="129"/>
  <c r="U20" i="129"/>
  <c r="T20" i="129"/>
  <c r="N22" i="129"/>
  <c r="L22" i="129"/>
  <c r="P21" i="129"/>
  <c r="O21" i="129"/>
  <c r="AC21" i="129"/>
  <c r="AA21" i="129"/>
  <c r="AD20" i="129"/>
  <c r="AE20" i="129"/>
  <c r="N21" i="128"/>
  <c r="L21" i="128"/>
  <c r="P20" i="128"/>
  <c r="O20" i="128"/>
  <c r="AC21" i="128"/>
  <c r="AA21" i="128"/>
  <c r="U20" i="128"/>
  <c r="T20" i="128"/>
  <c r="AD20" i="128"/>
  <c r="AE20" i="128"/>
  <c r="S21" i="128"/>
  <c r="Q21" i="128"/>
  <c r="X20" i="127"/>
  <c r="V20" i="127"/>
  <c r="Z19" i="127"/>
  <c r="Y19" i="127"/>
  <c r="N21" i="127"/>
  <c r="L21" i="127"/>
  <c r="O20" i="127"/>
  <c r="P20" i="127"/>
  <c r="AC21" i="127"/>
  <c r="AA21" i="127"/>
  <c r="AD20" i="127"/>
  <c r="AE20" i="127"/>
  <c r="N22" i="126"/>
  <c r="L22" i="126"/>
  <c r="U19" i="126"/>
  <c r="T19" i="126"/>
  <c r="S20" i="126"/>
  <c r="Q20" i="126"/>
  <c r="AC21" i="126"/>
  <c r="AA21" i="126"/>
  <c r="AD20" i="126"/>
  <c r="AE20" i="126"/>
  <c r="V22" i="126"/>
  <c r="X22" i="126"/>
  <c r="P21" i="126"/>
  <c r="O21" i="126"/>
  <c r="Z21" i="126"/>
  <c r="Y21" i="126"/>
  <c r="Z21" i="125"/>
  <c r="Y21" i="125"/>
  <c r="V22" i="125"/>
  <c r="X22" i="125"/>
  <c r="Q21" i="125"/>
  <c r="AC21" i="125"/>
  <c r="AA21" i="125"/>
  <c r="U20" i="125"/>
  <c r="T20" i="125"/>
  <c r="AD20" i="125"/>
  <c r="AE20" i="125"/>
  <c r="N21" i="125"/>
  <c r="L21" i="125"/>
  <c r="O20" i="125"/>
  <c r="P20" i="125"/>
  <c r="X20" i="124"/>
  <c r="V20" i="124"/>
  <c r="U20" i="124"/>
  <c r="T20" i="124"/>
  <c r="S21" i="124"/>
  <c r="Q21" i="124"/>
  <c r="Z19" i="124"/>
  <c r="Y19" i="124"/>
  <c r="N21" i="124"/>
  <c r="L21" i="124"/>
  <c r="P20" i="124"/>
  <c r="O20" i="124"/>
  <c r="AC22" i="124"/>
  <c r="AA22" i="124"/>
  <c r="AE21" i="124"/>
  <c r="AD21" i="124"/>
  <c r="U20" i="123"/>
  <c r="T20" i="123"/>
  <c r="S21" i="123"/>
  <c r="Q21" i="123"/>
  <c r="N21" i="123"/>
  <c r="L21" i="123"/>
  <c r="O20" i="123"/>
  <c r="P20" i="123"/>
  <c r="AC21" i="123"/>
  <c r="AA21" i="123"/>
  <c r="AD20" i="123"/>
  <c r="AE20" i="123"/>
  <c r="S21" i="122"/>
  <c r="Q21" i="122"/>
  <c r="U20" i="122"/>
  <c r="T20" i="122"/>
  <c r="N21" i="122"/>
  <c r="L21" i="122"/>
  <c r="P20" i="122"/>
  <c r="O20" i="122"/>
  <c r="AC21" i="122"/>
  <c r="AA21" i="122"/>
  <c r="AD20" i="122"/>
  <c r="AE20" i="122"/>
  <c r="S21" i="119"/>
  <c r="Q21" i="119"/>
  <c r="U20" i="119"/>
  <c r="T20" i="119"/>
  <c r="N21" i="119"/>
  <c r="L21" i="119"/>
  <c r="P20" i="119"/>
  <c r="O20" i="119"/>
  <c r="AC21" i="119"/>
  <c r="AA21" i="119"/>
  <c r="AD20" i="119"/>
  <c r="AE20" i="119"/>
  <c r="V22" i="119"/>
  <c r="X22" i="119"/>
  <c r="Z21" i="119"/>
  <c r="Y21" i="119"/>
  <c r="U19" i="118"/>
  <c r="T19" i="118"/>
  <c r="S20" i="118"/>
  <c r="Q20" i="118"/>
  <c r="N21" i="118"/>
  <c r="L21" i="118"/>
  <c r="P20" i="118"/>
  <c r="O20" i="118"/>
  <c r="AC21" i="118"/>
  <c r="AD20" i="118"/>
  <c r="AE20" i="118"/>
  <c r="V22" i="118"/>
  <c r="X22" i="118"/>
  <c r="Z21" i="118"/>
  <c r="Y21" i="118"/>
  <c r="X20" i="117"/>
  <c r="V20" i="117"/>
  <c r="Z19" i="117"/>
  <c r="Y19" i="117"/>
  <c r="S21" i="117"/>
  <c r="Q21" i="117"/>
  <c r="U20" i="117"/>
  <c r="T20" i="117"/>
  <c r="N21" i="117"/>
  <c r="L21" i="117"/>
  <c r="P20" i="117"/>
  <c r="O20" i="117"/>
  <c r="AC21" i="117"/>
  <c r="AA21" i="117"/>
  <c r="AD20" i="117"/>
  <c r="AE20" i="117"/>
  <c r="S21" i="116"/>
  <c r="Q21" i="116"/>
  <c r="U20" i="116"/>
  <c r="T20" i="116"/>
  <c r="N21" i="116"/>
  <c r="L21" i="116"/>
  <c r="P20" i="116"/>
  <c r="O20" i="116"/>
  <c r="AC21" i="116"/>
  <c r="AA21" i="116"/>
  <c r="AD20" i="116"/>
  <c r="AE20" i="116"/>
  <c r="U20" i="115"/>
  <c r="T20" i="115"/>
  <c r="Q21" i="115"/>
  <c r="S21" i="115"/>
  <c r="V22" i="115"/>
  <c r="X22" i="115"/>
  <c r="Z21" i="115"/>
  <c r="Y21" i="115"/>
  <c r="X20" i="114"/>
  <c r="V20" i="114"/>
  <c r="Z19" i="114"/>
  <c r="Y19" i="114"/>
  <c r="S21" i="114"/>
  <c r="Q21" i="114"/>
  <c r="U20" i="114"/>
  <c r="T20" i="114"/>
  <c r="N21" i="114"/>
  <c r="L21" i="114"/>
  <c r="P20" i="114"/>
  <c r="O20" i="114"/>
  <c r="AC21" i="114"/>
  <c r="AA21" i="114"/>
  <c r="AD20" i="114"/>
  <c r="AE20" i="114"/>
  <c r="U20" i="113"/>
  <c r="T20" i="113"/>
  <c r="AC22" i="113"/>
  <c r="AA22" i="113"/>
  <c r="AE21" i="113"/>
  <c r="AD21" i="113"/>
  <c r="N21" i="113"/>
  <c r="L21" i="113"/>
  <c r="P20" i="113"/>
  <c r="O20" i="113"/>
  <c r="S21" i="113"/>
  <c r="Q21" i="113"/>
  <c r="U20" i="112"/>
  <c r="T20" i="112"/>
  <c r="N21" i="112"/>
  <c r="L21" i="112"/>
  <c r="O20" i="112"/>
  <c r="P20" i="112"/>
  <c r="AA21" i="112"/>
  <c r="AC21" i="112"/>
  <c r="AD20" i="112"/>
  <c r="AE20" i="112"/>
  <c r="S21" i="112"/>
  <c r="Q21" i="112"/>
  <c r="S21" i="111"/>
  <c r="Q21" i="111"/>
  <c r="U20" i="111"/>
  <c r="T20" i="111"/>
  <c r="AC22" i="111"/>
  <c r="AA22" i="111"/>
  <c r="AE21" i="111"/>
  <c r="AD21" i="111"/>
  <c r="N21" i="111"/>
  <c r="L21" i="111"/>
  <c r="P20" i="111"/>
  <c r="O20" i="111"/>
  <c r="S21" i="110"/>
  <c r="Q21" i="110"/>
  <c r="U20" i="110"/>
  <c r="T20" i="110"/>
  <c r="AC21" i="110"/>
  <c r="AA21" i="110"/>
  <c r="AD20" i="110"/>
  <c r="AE20" i="110"/>
  <c r="N21" i="110"/>
  <c r="L21" i="110"/>
  <c r="P20" i="110"/>
  <c r="O20" i="110"/>
  <c r="S21" i="109"/>
  <c r="Q21" i="109"/>
  <c r="U20" i="109"/>
  <c r="T20" i="109"/>
  <c r="N21" i="109"/>
  <c r="L21" i="109"/>
  <c r="P20" i="109"/>
  <c r="O20" i="109"/>
  <c r="AC21" i="109"/>
  <c r="AA21" i="109"/>
  <c r="AD20" i="109"/>
  <c r="AE20" i="109"/>
  <c r="N21" i="108"/>
  <c r="L21" i="108"/>
  <c r="P20" i="108"/>
  <c r="O20" i="108"/>
  <c r="S21" i="108"/>
  <c r="Q21" i="108"/>
  <c r="U20" i="108"/>
  <c r="T20" i="108"/>
  <c r="AC21" i="107"/>
  <c r="AA21" i="107"/>
  <c r="AD20" i="107"/>
  <c r="AE20" i="107"/>
  <c r="U20" i="107"/>
  <c r="T20" i="107"/>
  <c r="S21" i="107"/>
  <c r="Q21" i="107"/>
  <c r="V22" i="107"/>
  <c r="X22" i="107"/>
  <c r="Z21" i="107"/>
  <c r="Y21" i="107"/>
  <c r="U20" i="106"/>
  <c r="T20" i="106"/>
  <c r="N21" i="106"/>
  <c r="L21" i="106"/>
  <c r="O20" i="106"/>
  <c r="P20" i="106"/>
  <c r="S21" i="106"/>
  <c r="Q21" i="106"/>
  <c r="AD20" i="106"/>
  <c r="AE20" i="106"/>
  <c r="S21" i="105"/>
  <c r="Q21" i="105"/>
  <c r="AC21" i="105"/>
  <c r="AA21" i="105"/>
  <c r="AD20" i="105"/>
  <c r="AE20" i="105"/>
  <c r="N21" i="105"/>
  <c r="L21" i="105"/>
  <c r="P20" i="105"/>
  <c r="O20" i="105"/>
  <c r="U20" i="105"/>
  <c r="T20" i="105"/>
  <c r="AE21" i="104"/>
  <c r="AD21" i="104"/>
  <c r="N21" i="104"/>
  <c r="L21" i="104"/>
  <c r="P20" i="104"/>
  <c r="O20" i="104"/>
  <c r="S21" i="104"/>
  <c r="Q21" i="104"/>
  <c r="U20" i="104"/>
  <c r="T20" i="104"/>
  <c r="U20" i="103"/>
  <c r="T20" i="103"/>
  <c r="L21" i="103"/>
  <c r="N21" i="103"/>
  <c r="AC21" i="103"/>
  <c r="AA21" i="103"/>
  <c r="P20" i="103"/>
  <c r="O20" i="103"/>
  <c r="AD20" i="103"/>
  <c r="AE20" i="103"/>
  <c r="S21" i="103"/>
  <c r="Q21" i="103"/>
  <c r="X20" i="53"/>
  <c r="V20" i="53"/>
  <c r="AA21" i="53"/>
  <c r="AC21" i="53"/>
  <c r="Q21" i="53"/>
  <c r="S21" i="53"/>
  <c r="L21" i="53"/>
  <c r="N21" i="53"/>
  <c r="Y19" i="53"/>
  <c r="Z19" i="53"/>
  <c r="U20" i="53"/>
  <c r="T20" i="53"/>
  <c r="P20" i="53"/>
  <c r="O20" i="53"/>
  <c r="AE20" i="53"/>
  <c r="AD20" i="53"/>
  <c r="L21" i="150" l="1"/>
  <c r="L22" i="150" s="1"/>
  <c r="BN18" i="152"/>
  <c r="BO18" i="152" s="1"/>
  <c r="S20" i="127"/>
  <c r="Q20" i="127"/>
  <c r="U19" i="127"/>
  <c r="T19" i="127"/>
  <c r="U19" i="151"/>
  <c r="T19" i="151"/>
  <c r="S20" i="151"/>
  <c r="Q20" i="151"/>
  <c r="AA22" i="104"/>
  <c r="AC21" i="106"/>
  <c r="AD21" i="106" s="1"/>
  <c r="BZ13" i="152"/>
  <c r="H33" i="152"/>
  <c r="BY19" i="152"/>
  <c r="N18" i="152"/>
  <c r="L22" i="136"/>
  <c r="L23" i="136" s="1"/>
  <c r="N19" i="152"/>
  <c r="L18" i="152"/>
  <c r="L19" i="152"/>
  <c r="L15" i="152"/>
  <c r="L14" i="152"/>
  <c r="L21" i="130"/>
  <c r="N22" i="130" s="1"/>
  <c r="M15" i="152"/>
  <c r="G22" i="121" s="1"/>
  <c r="M18" i="152"/>
  <c r="G25" i="121" s="1"/>
  <c r="O18" i="152"/>
  <c r="M17" i="152"/>
  <c r="L17" i="152"/>
  <c r="O19" i="152"/>
  <c r="M19" i="152"/>
  <c r="H32" i="152"/>
  <c r="Q21" i="141"/>
  <c r="S22" i="141" s="1"/>
  <c r="M16" i="152"/>
  <c r="G23" i="121" s="1"/>
  <c r="L16" i="152"/>
  <c r="M14" i="152"/>
  <c r="N22" i="150"/>
  <c r="BQ9" i="152"/>
  <c r="BN14" i="152"/>
  <c r="BO14" i="152" s="1"/>
  <c r="BQ13" i="152"/>
  <c r="BW16" i="152"/>
  <c r="BX16" i="152" s="1"/>
  <c r="BN9" i="152"/>
  <c r="BQ14" i="152"/>
  <c r="BW11" i="152"/>
  <c r="BX11" i="152" s="1"/>
  <c r="BN10" i="152"/>
  <c r="BO10" i="152" s="1"/>
  <c r="BN13" i="152"/>
  <c r="BO13" i="152" s="1"/>
  <c r="BW15" i="152"/>
  <c r="BX15" i="152" s="1"/>
  <c r="BZ9" i="152"/>
  <c r="BZ16" i="152"/>
  <c r="BW12" i="152"/>
  <c r="BX12" i="152" s="1"/>
  <c r="BZ12" i="152"/>
  <c r="BQ11" i="152"/>
  <c r="BP19" i="152"/>
  <c r="BN19" i="152"/>
  <c r="BO19" i="152" s="1"/>
  <c r="BN21" i="152"/>
  <c r="BO21" i="152" s="1"/>
  <c r="BP21" i="152"/>
  <c r="BW18" i="152"/>
  <c r="BX18" i="152" s="1"/>
  <c r="BW9" i="152"/>
  <c r="BZ17" i="152"/>
  <c r="BQ10" i="152"/>
  <c r="BP16" i="152"/>
  <c r="BN16" i="152"/>
  <c r="BO16" i="152" s="1"/>
  <c r="BN17" i="152"/>
  <c r="BO17" i="152" s="1"/>
  <c r="BP17" i="152"/>
  <c r="Q521" i="152"/>
  <c r="BY20" i="152"/>
  <c r="BW20" i="152"/>
  <c r="BX20" i="152" s="1"/>
  <c r="BW13" i="152"/>
  <c r="BX13" i="152" s="1"/>
  <c r="L21" i="142"/>
  <c r="L22" i="142" s="1"/>
  <c r="AD21" i="143"/>
  <c r="BY22" i="152"/>
  <c r="BW22" i="152"/>
  <c r="BX22" i="152" s="1"/>
  <c r="BP20" i="152"/>
  <c r="BN20" i="152"/>
  <c r="BO20" i="152" s="1"/>
  <c r="BN11" i="152"/>
  <c r="BO11" i="152" s="1"/>
  <c r="BY10" i="152"/>
  <c r="BY21" i="152"/>
  <c r="BW21" i="152"/>
  <c r="BX21" i="152" s="1"/>
  <c r="BZ14" i="152"/>
  <c r="BP22" i="152"/>
  <c r="BN22" i="152"/>
  <c r="BO22" i="152" s="1"/>
  <c r="BW14" i="152"/>
  <c r="BX14" i="152" s="1"/>
  <c r="BZ11" i="152"/>
  <c r="BQ12" i="152"/>
  <c r="BW17" i="152"/>
  <c r="BX17" i="152" s="1"/>
  <c r="BZ18" i="152"/>
  <c r="BZ10" i="152"/>
  <c r="BN12" i="152"/>
  <c r="BO12" i="152" s="1"/>
  <c r="BP15" i="152"/>
  <c r="BN15" i="152"/>
  <c r="BO15" i="152" s="1"/>
  <c r="BZ15" i="152"/>
  <c r="AC21" i="135"/>
  <c r="AA21" i="135"/>
  <c r="AD20" i="135"/>
  <c r="AE20" i="135"/>
  <c r="AK15" i="152"/>
  <c r="V14" i="152"/>
  <c r="Z20" i="141"/>
  <c r="Y20" i="141"/>
  <c r="X21" i="141"/>
  <c r="V21" i="141"/>
  <c r="Y20" i="109"/>
  <c r="Z20" i="109"/>
  <c r="Z20" i="146"/>
  <c r="Y20" i="146"/>
  <c r="Z20" i="128"/>
  <c r="Y20" i="128"/>
  <c r="Y20" i="116"/>
  <c r="Z20" i="116"/>
  <c r="Y20" i="147"/>
  <c r="Z20" i="147"/>
  <c r="V21" i="109"/>
  <c r="X21" i="109"/>
  <c r="N21" i="107"/>
  <c r="L21" i="107"/>
  <c r="AA21" i="108"/>
  <c r="AC21" i="108"/>
  <c r="Y20" i="104"/>
  <c r="Z20" i="104"/>
  <c r="N21" i="139"/>
  <c r="L21" i="139"/>
  <c r="X21" i="146"/>
  <c r="V21" i="146"/>
  <c r="O20" i="107"/>
  <c r="P20" i="107"/>
  <c r="AD20" i="108"/>
  <c r="AE20" i="108"/>
  <c r="V21" i="104"/>
  <c r="X21" i="104"/>
  <c r="P20" i="139"/>
  <c r="O20" i="139"/>
  <c r="AA21" i="115"/>
  <c r="AC21" i="115"/>
  <c r="Y20" i="110"/>
  <c r="Z20" i="110"/>
  <c r="X21" i="147"/>
  <c r="V21" i="147"/>
  <c r="AD20" i="115"/>
  <c r="AE20" i="115"/>
  <c r="V21" i="110"/>
  <c r="X21" i="110"/>
  <c r="X21" i="128"/>
  <c r="V21" i="128"/>
  <c r="X21" i="150"/>
  <c r="V21" i="150"/>
  <c r="Y20" i="150"/>
  <c r="Z20" i="150"/>
  <c r="X21" i="129"/>
  <c r="V21" i="129"/>
  <c r="Z20" i="105"/>
  <c r="Y20" i="105"/>
  <c r="Z20" i="108"/>
  <c r="Y20" i="108"/>
  <c r="Z20" i="129"/>
  <c r="Y20" i="129"/>
  <c r="V21" i="105"/>
  <c r="X21" i="105"/>
  <c r="V21" i="108"/>
  <c r="X21" i="108"/>
  <c r="X21" i="142"/>
  <c r="V21" i="142"/>
  <c r="Y20" i="112"/>
  <c r="Z20" i="112"/>
  <c r="X21" i="103"/>
  <c r="V21" i="103"/>
  <c r="V21" i="136"/>
  <c r="X21" i="136"/>
  <c r="V21" i="111"/>
  <c r="X21" i="111"/>
  <c r="Y20" i="142"/>
  <c r="Z20" i="142"/>
  <c r="V21" i="112"/>
  <c r="X21" i="112"/>
  <c r="Y20" i="103"/>
  <c r="Z20" i="103"/>
  <c r="Z20" i="136"/>
  <c r="Y20" i="136"/>
  <c r="Y20" i="111"/>
  <c r="Z20" i="111"/>
  <c r="X21" i="138"/>
  <c r="V21" i="138"/>
  <c r="X21" i="132"/>
  <c r="V21" i="132"/>
  <c r="X21" i="106"/>
  <c r="V21" i="106"/>
  <c r="X21" i="113"/>
  <c r="V21" i="113"/>
  <c r="Y20" i="138"/>
  <c r="Z20" i="138"/>
  <c r="Z20" i="132"/>
  <c r="Y20" i="132"/>
  <c r="Z20" i="106"/>
  <c r="Y20" i="106"/>
  <c r="Z20" i="113"/>
  <c r="Y20" i="113"/>
  <c r="V21" i="116"/>
  <c r="X21" i="116"/>
  <c r="X21" i="144"/>
  <c r="V21" i="144"/>
  <c r="X21" i="122"/>
  <c r="V21" i="122"/>
  <c r="X21" i="135"/>
  <c r="V21" i="135"/>
  <c r="X21" i="123"/>
  <c r="V21" i="123"/>
  <c r="L21" i="115"/>
  <c r="N21" i="115"/>
  <c r="Z20" i="144"/>
  <c r="Y20" i="144"/>
  <c r="Y20" i="122"/>
  <c r="Z20" i="122"/>
  <c r="Z20" i="135"/>
  <c r="Y20" i="135"/>
  <c r="Y20" i="123"/>
  <c r="Z20" i="123"/>
  <c r="O20" i="115"/>
  <c r="P20" i="115"/>
  <c r="N22" i="151"/>
  <c r="L22" i="151"/>
  <c r="P21" i="151"/>
  <c r="O21" i="151"/>
  <c r="AC22" i="151"/>
  <c r="AA22" i="151"/>
  <c r="X21" i="151"/>
  <c r="V21" i="151"/>
  <c r="AE21" i="151"/>
  <c r="AD21" i="151"/>
  <c r="Z20" i="151"/>
  <c r="Y20" i="151"/>
  <c r="N23" i="150"/>
  <c r="L23" i="150"/>
  <c r="P22" i="150"/>
  <c r="O22" i="150"/>
  <c r="AC22" i="150"/>
  <c r="AA22" i="150"/>
  <c r="AE21" i="150"/>
  <c r="AD21" i="150"/>
  <c r="S22" i="150"/>
  <c r="Q22" i="150"/>
  <c r="U21" i="150"/>
  <c r="T21" i="150"/>
  <c r="X23" i="149"/>
  <c r="V23" i="149"/>
  <c r="S22" i="149"/>
  <c r="Q22" i="149"/>
  <c r="AE21" i="149"/>
  <c r="AD21" i="149"/>
  <c r="U21" i="149"/>
  <c r="T21" i="149"/>
  <c r="AC22" i="149"/>
  <c r="AA22" i="149"/>
  <c r="N22" i="149"/>
  <c r="L22" i="149"/>
  <c r="P21" i="149"/>
  <c r="O21" i="149"/>
  <c r="Z22" i="149"/>
  <c r="Y22" i="149"/>
  <c r="AC22" i="148"/>
  <c r="AA22" i="148"/>
  <c r="Z22" i="148"/>
  <c r="Y22" i="148"/>
  <c r="N22" i="148"/>
  <c r="L22" i="148"/>
  <c r="AE21" i="148"/>
  <c r="AD21" i="148"/>
  <c r="P21" i="148"/>
  <c r="O21" i="148"/>
  <c r="U21" i="148"/>
  <c r="T21" i="148"/>
  <c r="S22" i="148"/>
  <c r="Q22" i="148"/>
  <c r="X23" i="148"/>
  <c r="V23" i="148"/>
  <c r="AC22" i="147"/>
  <c r="AA22" i="147"/>
  <c r="AE21" i="147"/>
  <c r="AD21" i="147"/>
  <c r="N22" i="147"/>
  <c r="L22" i="147"/>
  <c r="P21" i="147"/>
  <c r="O21" i="147"/>
  <c r="S22" i="147"/>
  <c r="Q22" i="147"/>
  <c r="U21" i="147"/>
  <c r="T21" i="147"/>
  <c r="AC22" i="146"/>
  <c r="AA22" i="146"/>
  <c r="N22" i="146"/>
  <c r="L22" i="146"/>
  <c r="O21" i="146"/>
  <c r="P21" i="146"/>
  <c r="AE21" i="146"/>
  <c r="AD21" i="146"/>
  <c r="S22" i="146"/>
  <c r="Q22" i="146"/>
  <c r="U21" i="146"/>
  <c r="T21" i="146"/>
  <c r="AC22" i="145"/>
  <c r="AA22" i="145"/>
  <c r="AE21" i="145"/>
  <c r="AD21" i="145"/>
  <c r="N22" i="145"/>
  <c r="L22" i="145"/>
  <c r="P21" i="145"/>
  <c r="O21" i="145"/>
  <c r="S22" i="145"/>
  <c r="Q22" i="145"/>
  <c r="U21" i="145"/>
  <c r="T21" i="145"/>
  <c r="Y22" i="145"/>
  <c r="Z22" i="145"/>
  <c r="X23" i="145"/>
  <c r="V23" i="145"/>
  <c r="S22" i="144"/>
  <c r="Q22" i="144"/>
  <c r="U21" i="144"/>
  <c r="T21" i="144"/>
  <c r="O21" i="144"/>
  <c r="P21" i="144"/>
  <c r="N22" i="144"/>
  <c r="L22" i="144"/>
  <c r="AE21" i="144"/>
  <c r="AD21" i="144"/>
  <c r="AA22" i="144"/>
  <c r="AC22" i="144"/>
  <c r="P21" i="143"/>
  <c r="O21" i="143"/>
  <c r="AC23" i="143"/>
  <c r="AA23" i="143"/>
  <c r="AE22" i="143"/>
  <c r="AD22" i="143"/>
  <c r="S22" i="143"/>
  <c r="Q22" i="143"/>
  <c r="X23" i="143"/>
  <c r="V23" i="143"/>
  <c r="U21" i="143"/>
  <c r="T21" i="143"/>
  <c r="N22" i="143"/>
  <c r="L22" i="143"/>
  <c r="Z22" i="143"/>
  <c r="Y22" i="143"/>
  <c r="AC22" i="142"/>
  <c r="AA22" i="142"/>
  <c r="AE21" i="142"/>
  <c r="AD21" i="142"/>
  <c r="S22" i="142"/>
  <c r="Q22" i="142"/>
  <c r="P21" i="142"/>
  <c r="O21" i="142"/>
  <c r="U21" i="142"/>
  <c r="T21" i="142"/>
  <c r="N22" i="141"/>
  <c r="L22" i="141"/>
  <c r="P21" i="141"/>
  <c r="O21" i="141"/>
  <c r="AC22" i="141"/>
  <c r="AA22" i="141"/>
  <c r="AE21" i="141"/>
  <c r="AD21" i="141"/>
  <c r="Q22" i="141"/>
  <c r="U21" i="141"/>
  <c r="T21" i="141"/>
  <c r="AC22" i="140"/>
  <c r="AA22" i="140"/>
  <c r="AE21" i="140"/>
  <c r="AD21" i="140"/>
  <c r="S22" i="140"/>
  <c r="Q22" i="140"/>
  <c r="U21" i="140"/>
  <c r="T21" i="140"/>
  <c r="N22" i="140"/>
  <c r="L22" i="140"/>
  <c r="X21" i="140"/>
  <c r="V21" i="140"/>
  <c r="P21" i="140"/>
  <c r="O21" i="140"/>
  <c r="Z20" i="140"/>
  <c r="Y20" i="140"/>
  <c r="AC22" i="139"/>
  <c r="AA22" i="139"/>
  <c r="AE21" i="139"/>
  <c r="AD21" i="139"/>
  <c r="X21" i="139"/>
  <c r="V21" i="139"/>
  <c r="Z20" i="139"/>
  <c r="Y20" i="139"/>
  <c r="S22" i="139"/>
  <c r="Q22" i="139"/>
  <c r="U21" i="139"/>
  <c r="T21" i="139"/>
  <c r="AC22" i="138"/>
  <c r="AA22" i="138"/>
  <c r="AE21" i="138"/>
  <c r="AD21" i="138"/>
  <c r="N22" i="138"/>
  <c r="L22" i="138"/>
  <c r="P21" i="138"/>
  <c r="O21" i="138"/>
  <c r="S22" i="138"/>
  <c r="Q22" i="138"/>
  <c r="U21" i="138"/>
  <c r="T21" i="138"/>
  <c r="Z22" i="137"/>
  <c r="Y22" i="137"/>
  <c r="X23" i="137"/>
  <c r="V23" i="137"/>
  <c r="AC22" i="137"/>
  <c r="AA22" i="137"/>
  <c r="AE21" i="137"/>
  <c r="AD21" i="137"/>
  <c r="N22" i="137"/>
  <c r="L22" i="137"/>
  <c r="P21" i="137"/>
  <c r="O21" i="137"/>
  <c r="S22" i="137"/>
  <c r="Q22" i="137"/>
  <c r="U21" i="137"/>
  <c r="T21" i="137"/>
  <c r="P22" i="136"/>
  <c r="O22" i="136"/>
  <c r="S22" i="136"/>
  <c r="Q22" i="136"/>
  <c r="U21" i="136"/>
  <c r="T21" i="136"/>
  <c r="AC22" i="136"/>
  <c r="AA22" i="136"/>
  <c r="AE21" i="136"/>
  <c r="AD21" i="136"/>
  <c r="N23" i="136"/>
  <c r="N22" i="135"/>
  <c r="L22" i="135"/>
  <c r="P21" i="135"/>
  <c r="O21" i="135"/>
  <c r="S22" i="135"/>
  <c r="Q22" i="135"/>
  <c r="U21" i="135"/>
  <c r="T21" i="135"/>
  <c r="AC22" i="134"/>
  <c r="AA22" i="134"/>
  <c r="AE21" i="134"/>
  <c r="AD21" i="134"/>
  <c r="N22" i="134"/>
  <c r="L22" i="134"/>
  <c r="P21" i="134"/>
  <c r="O21" i="134"/>
  <c r="Z22" i="134"/>
  <c r="Y22" i="134"/>
  <c r="S22" i="134"/>
  <c r="Q22" i="134"/>
  <c r="X23" i="134"/>
  <c r="V23" i="134"/>
  <c r="U21" i="134"/>
  <c r="T21" i="134"/>
  <c r="AE21" i="133"/>
  <c r="AD21" i="133"/>
  <c r="AC22" i="133"/>
  <c r="AA22" i="133"/>
  <c r="P21" i="133"/>
  <c r="O21" i="133"/>
  <c r="N22" i="133"/>
  <c r="L22" i="133"/>
  <c r="Z22" i="133"/>
  <c r="Y22" i="133"/>
  <c r="S22" i="133"/>
  <c r="Q22" i="133"/>
  <c r="X23" i="133"/>
  <c r="V23" i="133"/>
  <c r="U21" i="133"/>
  <c r="T21" i="133"/>
  <c r="AC22" i="132"/>
  <c r="AA22" i="132"/>
  <c r="AE21" i="132"/>
  <c r="AD21" i="132"/>
  <c r="S22" i="132"/>
  <c r="Q22" i="132"/>
  <c r="U21" i="132"/>
  <c r="T21" i="132"/>
  <c r="P21" i="132"/>
  <c r="O21" i="132"/>
  <c r="N22" i="132"/>
  <c r="L22" i="132"/>
  <c r="AE22" i="131"/>
  <c r="AD22" i="131"/>
  <c r="S22" i="131"/>
  <c r="Q22" i="131"/>
  <c r="U21" i="131"/>
  <c r="T21" i="131"/>
  <c r="AC23" i="131"/>
  <c r="AA23" i="131"/>
  <c r="N22" i="131"/>
  <c r="L22" i="131"/>
  <c r="X21" i="131"/>
  <c r="V21" i="131"/>
  <c r="P21" i="131"/>
  <c r="O21" i="131"/>
  <c r="Z20" i="131"/>
  <c r="Y20" i="131"/>
  <c r="X23" i="130"/>
  <c r="V23" i="130"/>
  <c r="S22" i="130"/>
  <c r="Q22" i="130"/>
  <c r="U21" i="130"/>
  <c r="T21" i="130"/>
  <c r="AE21" i="130"/>
  <c r="AD21" i="130"/>
  <c r="AC22" i="130"/>
  <c r="AA22" i="130"/>
  <c r="Z22" i="130"/>
  <c r="Y22" i="130"/>
  <c r="P21" i="130"/>
  <c r="O21" i="130"/>
  <c r="AC22" i="129"/>
  <c r="AA22" i="129"/>
  <c r="AE21" i="129"/>
  <c r="AD21" i="129"/>
  <c r="N23" i="129"/>
  <c r="L23" i="129"/>
  <c r="P22" i="129"/>
  <c r="O22" i="129"/>
  <c r="S22" i="129"/>
  <c r="Q22" i="129"/>
  <c r="U21" i="129"/>
  <c r="T21" i="129"/>
  <c r="AC22" i="128"/>
  <c r="AA22" i="128"/>
  <c r="AE21" i="128"/>
  <c r="AD21" i="128"/>
  <c r="N22" i="128"/>
  <c r="L22" i="128"/>
  <c r="P21" i="128"/>
  <c r="O21" i="128"/>
  <c r="S22" i="128"/>
  <c r="Q22" i="128"/>
  <c r="U21" i="128"/>
  <c r="T21" i="128"/>
  <c r="N22" i="127"/>
  <c r="L22" i="127"/>
  <c r="P21" i="127"/>
  <c r="O21" i="127"/>
  <c r="AC22" i="127"/>
  <c r="AA22" i="127"/>
  <c r="X21" i="127"/>
  <c r="V21" i="127"/>
  <c r="AE21" i="127"/>
  <c r="AD21" i="127"/>
  <c r="Z20" i="127"/>
  <c r="Y20" i="127"/>
  <c r="Z22" i="126"/>
  <c r="Y22" i="126"/>
  <c r="X23" i="126"/>
  <c r="V23" i="126"/>
  <c r="AC22" i="126"/>
  <c r="AA22" i="126"/>
  <c r="S21" i="126"/>
  <c r="Q21" i="126"/>
  <c r="U20" i="126"/>
  <c r="T20" i="126"/>
  <c r="N23" i="126"/>
  <c r="L23" i="126"/>
  <c r="AE21" i="126"/>
  <c r="AD21" i="126"/>
  <c r="P22" i="126"/>
  <c r="O22" i="126"/>
  <c r="P21" i="125"/>
  <c r="O21" i="125"/>
  <c r="AC22" i="125"/>
  <c r="AA22" i="125"/>
  <c r="AE21" i="125"/>
  <c r="AD21" i="125"/>
  <c r="S22" i="125"/>
  <c r="Q22" i="125"/>
  <c r="U21" i="125"/>
  <c r="T21" i="125"/>
  <c r="Z22" i="125"/>
  <c r="Y22" i="125"/>
  <c r="X23" i="125"/>
  <c r="V23" i="125"/>
  <c r="N22" i="125"/>
  <c r="L22" i="125"/>
  <c r="P21" i="124"/>
  <c r="O21" i="124"/>
  <c r="S22" i="124"/>
  <c r="Q22" i="124"/>
  <c r="N22" i="124"/>
  <c r="L22" i="124"/>
  <c r="U21" i="124"/>
  <c r="T21" i="124"/>
  <c r="AC23" i="124"/>
  <c r="AA23" i="124"/>
  <c r="X21" i="124"/>
  <c r="V21" i="124"/>
  <c r="AE22" i="124"/>
  <c r="AD22" i="124"/>
  <c r="Z20" i="124"/>
  <c r="Y20" i="124"/>
  <c r="AC22" i="123"/>
  <c r="AA22" i="123"/>
  <c r="AE21" i="123"/>
  <c r="AD21" i="123"/>
  <c r="N22" i="123"/>
  <c r="L22" i="123"/>
  <c r="P21" i="123"/>
  <c r="O21" i="123"/>
  <c r="S22" i="123"/>
  <c r="Q22" i="123"/>
  <c r="U21" i="123"/>
  <c r="T21" i="123"/>
  <c r="AC22" i="122"/>
  <c r="AA22" i="122"/>
  <c r="AE21" i="122"/>
  <c r="AD21" i="122"/>
  <c r="N22" i="122"/>
  <c r="L22" i="122"/>
  <c r="P21" i="122"/>
  <c r="O21" i="122"/>
  <c r="S22" i="122"/>
  <c r="Q22" i="122"/>
  <c r="U21" i="122"/>
  <c r="T21" i="122"/>
  <c r="AC22" i="119"/>
  <c r="AA22" i="119"/>
  <c r="AE21" i="119"/>
  <c r="AD21" i="119"/>
  <c r="N22" i="119"/>
  <c r="L22" i="119"/>
  <c r="P21" i="119"/>
  <c r="O21" i="119"/>
  <c r="Z22" i="119"/>
  <c r="Y22" i="119"/>
  <c r="S22" i="119"/>
  <c r="Q22" i="119"/>
  <c r="X23" i="119"/>
  <c r="V23" i="119"/>
  <c r="U21" i="119"/>
  <c r="T21" i="119"/>
  <c r="AC22" i="118"/>
  <c r="AA22" i="118"/>
  <c r="AE21" i="118"/>
  <c r="AD21" i="118"/>
  <c r="N22" i="118"/>
  <c r="L22" i="118"/>
  <c r="P21" i="118"/>
  <c r="O21" i="118"/>
  <c r="S21" i="118"/>
  <c r="Q21" i="118"/>
  <c r="U20" i="118"/>
  <c r="T20" i="118"/>
  <c r="Z22" i="118"/>
  <c r="Y22" i="118"/>
  <c r="X23" i="118"/>
  <c r="V23" i="118"/>
  <c r="AE21" i="117"/>
  <c r="AD21" i="117"/>
  <c r="N22" i="117"/>
  <c r="L22" i="117"/>
  <c r="P21" i="117"/>
  <c r="O21" i="117"/>
  <c r="S22" i="117"/>
  <c r="Q22" i="117"/>
  <c r="U21" i="117"/>
  <c r="T21" i="117"/>
  <c r="X21" i="117"/>
  <c r="V21" i="117"/>
  <c r="AC22" i="117"/>
  <c r="AA22" i="117"/>
  <c r="Z20" i="117"/>
  <c r="Y20" i="117"/>
  <c r="AC22" i="116"/>
  <c r="AA22" i="116"/>
  <c r="AE21" i="116"/>
  <c r="AD21" i="116"/>
  <c r="N22" i="116"/>
  <c r="L22" i="116"/>
  <c r="P21" i="116"/>
  <c r="O21" i="116"/>
  <c r="S22" i="116"/>
  <c r="Q22" i="116"/>
  <c r="U21" i="116"/>
  <c r="T21" i="116"/>
  <c r="X23" i="115"/>
  <c r="V23" i="115"/>
  <c r="U21" i="115"/>
  <c r="T21" i="115"/>
  <c r="S22" i="115"/>
  <c r="Q22" i="115"/>
  <c r="Z22" i="115"/>
  <c r="Y22" i="115"/>
  <c r="N22" i="114"/>
  <c r="L22" i="114"/>
  <c r="P21" i="114"/>
  <c r="O21" i="114"/>
  <c r="S22" i="114"/>
  <c r="Q22" i="114"/>
  <c r="U21" i="114"/>
  <c r="T21" i="114"/>
  <c r="AC22" i="114"/>
  <c r="AA22" i="114"/>
  <c r="X21" i="114"/>
  <c r="V21" i="114"/>
  <c r="AE21" i="114"/>
  <c r="AD21" i="114"/>
  <c r="Z20" i="114"/>
  <c r="Y20" i="114"/>
  <c r="N22" i="113"/>
  <c r="L22" i="113"/>
  <c r="P21" i="113"/>
  <c r="O21" i="113"/>
  <c r="AC23" i="113"/>
  <c r="AA23" i="113"/>
  <c r="AE22" i="113"/>
  <c r="AD22" i="113"/>
  <c r="S22" i="113"/>
  <c r="Q22" i="113"/>
  <c r="U21" i="113"/>
  <c r="T21" i="113"/>
  <c r="AD21" i="112"/>
  <c r="AE21" i="112"/>
  <c r="AC22" i="112"/>
  <c r="AA22" i="112"/>
  <c r="N22" i="112"/>
  <c r="L22" i="112"/>
  <c r="P21" i="112"/>
  <c r="O21" i="112"/>
  <c r="S22" i="112"/>
  <c r="Q22" i="112"/>
  <c r="U21" i="112"/>
  <c r="T21" i="112"/>
  <c r="N22" i="111"/>
  <c r="L22" i="111"/>
  <c r="AC23" i="111"/>
  <c r="AA23" i="111"/>
  <c r="AE22" i="111"/>
  <c r="AD22" i="111"/>
  <c r="P21" i="111"/>
  <c r="O21" i="111"/>
  <c r="S22" i="111"/>
  <c r="Q22" i="111"/>
  <c r="U21" i="111"/>
  <c r="T21" i="111"/>
  <c r="N22" i="110"/>
  <c r="L22" i="110"/>
  <c r="P21" i="110"/>
  <c r="O21" i="110"/>
  <c r="AC22" i="110"/>
  <c r="AA22" i="110"/>
  <c r="AE21" i="110"/>
  <c r="AD21" i="110"/>
  <c r="S22" i="110"/>
  <c r="Q22" i="110"/>
  <c r="U21" i="110"/>
  <c r="T21" i="110"/>
  <c r="AC22" i="109"/>
  <c r="AA22" i="109"/>
  <c r="AE21" i="109"/>
  <c r="AD21" i="109"/>
  <c r="N22" i="109"/>
  <c r="L22" i="109"/>
  <c r="P21" i="109"/>
  <c r="O21" i="109"/>
  <c r="S22" i="109"/>
  <c r="Q22" i="109"/>
  <c r="U21" i="109"/>
  <c r="T21" i="109"/>
  <c r="P21" i="108"/>
  <c r="O21" i="108"/>
  <c r="N22" i="108"/>
  <c r="L22" i="108"/>
  <c r="S22" i="108"/>
  <c r="Q22" i="108"/>
  <c r="U21" i="108"/>
  <c r="T21" i="108"/>
  <c r="S22" i="107"/>
  <c r="Q22" i="107"/>
  <c r="U21" i="107"/>
  <c r="T21" i="107"/>
  <c r="X23" i="107"/>
  <c r="V23" i="107"/>
  <c r="AC22" i="107"/>
  <c r="AA22" i="107"/>
  <c r="AE21" i="107"/>
  <c r="AD21" i="107"/>
  <c r="Y22" i="107"/>
  <c r="Z22" i="107"/>
  <c r="U21" i="106"/>
  <c r="T21" i="106"/>
  <c r="N22" i="106"/>
  <c r="L22" i="106"/>
  <c r="P21" i="106"/>
  <c r="O21" i="106"/>
  <c r="S22" i="106"/>
  <c r="Q22" i="106"/>
  <c r="AE21" i="106"/>
  <c r="AC22" i="106"/>
  <c r="AA22" i="106"/>
  <c r="N22" i="105"/>
  <c r="L22" i="105"/>
  <c r="P21" i="105"/>
  <c r="O21" i="105"/>
  <c r="AC22" i="105"/>
  <c r="AA22" i="105"/>
  <c r="AE21" i="105"/>
  <c r="AD21" i="105"/>
  <c r="S22" i="105"/>
  <c r="Q22" i="105"/>
  <c r="U21" i="105"/>
  <c r="T21" i="105"/>
  <c r="U21" i="104"/>
  <c r="T21" i="104"/>
  <c r="N22" i="104"/>
  <c r="L22" i="104"/>
  <c r="P21" i="104"/>
  <c r="O21" i="104"/>
  <c r="AC23" i="104"/>
  <c r="AA23" i="104"/>
  <c r="AE22" i="104"/>
  <c r="AD22" i="104"/>
  <c r="S22" i="104"/>
  <c r="Q22" i="104"/>
  <c r="AE21" i="103"/>
  <c r="AD21" i="103"/>
  <c r="AC22" i="103"/>
  <c r="AA22" i="103"/>
  <c r="P21" i="103"/>
  <c r="O21" i="103"/>
  <c r="N22" i="103"/>
  <c r="L22" i="103"/>
  <c r="S22" i="103"/>
  <c r="Q22" i="103"/>
  <c r="U21" i="103"/>
  <c r="T21" i="103"/>
  <c r="S22" i="53"/>
  <c r="Q22" i="53"/>
  <c r="AE21" i="53"/>
  <c r="AD21" i="53"/>
  <c r="O21" i="53"/>
  <c r="P21" i="53"/>
  <c r="AC22" i="53"/>
  <c r="AA22" i="53"/>
  <c r="Z20" i="53"/>
  <c r="Y20" i="53"/>
  <c r="U21" i="53"/>
  <c r="T21" i="53"/>
  <c r="N22" i="53"/>
  <c r="L22" i="53"/>
  <c r="X21" i="53"/>
  <c r="V21" i="53"/>
  <c r="S21" i="151" l="1"/>
  <c r="Q21" i="151"/>
  <c r="U20" i="151"/>
  <c r="T20" i="151"/>
  <c r="L22" i="130"/>
  <c r="Q21" i="127"/>
  <c r="S21" i="127"/>
  <c r="U20" i="127"/>
  <c r="T20" i="127"/>
  <c r="BY13" i="152"/>
  <c r="G25" i="120"/>
  <c r="G22" i="120"/>
  <c r="I26" i="120"/>
  <c r="I26" i="121"/>
  <c r="F24" i="120"/>
  <c r="F24" i="121"/>
  <c r="G24" i="120"/>
  <c r="G24" i="121"/>
  <c r="I25" i="120"/>
  <c r="I25" i="121"/>
  <c r="F21" i="120"/>
  <c r="F21" i="121"/>
  <c r="L9" i="152"/>
  <c r="F22" i="120"/>
  <c r="F22" i="121"/>
  <c r="CT17" i="152"/>
  <c r="F26" i="120"/>
  <c r="F26" i="121"/>
  <c r="CT18" i="152"/>
  <c r="G21" i="120"/>
  <c r="G21" i="121"/>
  <c r="F25" i="120"/>
  <c r="F25" i="121"/>
  <c r="F23" i="120"/>
  <c r="F23" i="121"/>
  <c r="H26" i="120"/>
  <c r="H26" i="121"/>
  <c r="CU18" i="152"/>
  <c r="CT14" i="152"/>
  <c r="H25" i="120"/>
  <c r="H25" i="121"/>
  <c r="G26" i="120"/>
  <c r="G26" i="121"/>
  <c r="BP11" i="152"/>
  <c r="G23" i="120"/>
  <c r="CT16" i="152"/>
  <c r="BY18" i="152"/>
  <c r="O13" i="152"/>
  <c r="I20" i="121" s="1"/>
  <c r="CT15" i="152"/>
  <c r="BY12" i="152"/>
  <c r="BP13" i="152"/>
  <c r="BY14" i="152"/>
  <c r="BP12" i="152"/>
  <c r="M20" i="152"/>
  <c r="M13" i="152"/>
  <c r="G20" i="121" s="1"/>
  <c r="L12" i="152"/>
  <c r="M12" i="152"/>
  <c r="G19" i="121" s="1"/>
  <c r="M11" i="152"/>
  <c r="G18" i="121" s="1"/>
  <c r="M10" i="152"/>
  <c r="G17" i="121" s="1"/>
  <c r="L20" i="152"/>
  <c r="L10" i="152"/>
  <c r="L13" i="152"/>
  <c r="L11" i="152"/>
  <c r="BP10" i="152"/>
  <c r="N22" i="142"/>
  <c r="BX9" i="152"/>
  <c r="O9" i="152" s="1"/>
  <c r="BY9" i="152"/>
  <c r="O33" i="152" s="1"/>
  <c r="BY11" i="152"/>
  <c r="BO9" i="152"/>
  <c r="M9" i="152" s="1"/>
  <c r="BY17" i="152"/>
  <c r="BP9" i="152"/>
  <c r="O32" i="152" s="1"/>
  <c r="O12" i="152"/>
  <c r="I19" i="121" s="1"/>
  <c r="N14" i="152"/>
  <c r="O15" i="152"/>
  <c r="I22" i="121" s="1"/>
  <c r="O20" i="152"/>
  <c r="N16" i="152"/>
  <c r="N12" i="152"/>
  <c r="N20" i="152"/>
  <c r="N17" i="152"/>
  <c r="O11" i="152"/>
  <c r="I18" i="121" s="1"/>
  <c r="N9" i="152"/>
  <c r="O16" i="152"/>
  <c r="I23" i="121" s="1"/>
  <c r="O17" i="152"/>
  <c r="I24" i="121" s="1"/>
  <c r="N10" i="152"/>
  <c r="N11" i="152"/>
  <c r="O10" i="152"/>
  <c r="I17" i="121" s="1"/>
  <c r="O14" i="152"/>
  <c r="I21" i="121" s="1"/>
  <c r="N13" i="152"/>
  <c r="N15" i="152"/>
  <c r="BY16" i="152"/>
  <c r="Q522" i="152"/>
  <c r="BP14" i="152"/>
  <c r="BY15" i="152"/>
  <c r="AC22" i="135"/>
  <c r="AA22" i="135"/>
  <c r="AD21" i="135"/>
  <c r="AE21" i="135"/>
  <c r="V15" i="152"/>
  <c r="AK16" i="152"/>
  <c r="V22" i="141"/>
  <c r="X22" i="141"/>
  <c r="Z21" i="141"/>
  <c r="Y21" i="141"/>
  <c r="Z21" i="123"/>
  <c r="Y21" i="123"/>
  <c r="Z21" i="103"/>
  <c r="Y21" i="103"/>
  <c r="Z21" i="129"/>
  <c r="Y21" i="129"/>
  <c r="AC22" i="115"/>
  <c r="AA22" i="115"/>
  <c r="AC22" i="108"/>
  <c r="AA22" i="108"/>
  <c r="V22" i="135"/>
  <c r="X22" i="135"/>
  <c r="L22" i="107"/>
  <c r="N22" i="107"/>
  <c r="Z21" i="135"/>
  <c r="Y21" i="135"/>
  <c r="P21" i="107"/>
  <c r="O21" i="107"/>
  <c r="V22" i="123"/>
  <c r="X22" i="123"/>
  <c r="V22" i="122"/>
  <c r="X22" i="122"/>
  <c r="V22" i="113"/>
  <c r="X22" i="113"/>
  <c r="V22" i="142"/>
  <c r="X22" i="142"/>
  <c r="V22" i="150"/>
  <c r="X22" i="150"/>
  <c r="Y21" i="104"/>
  <c r="Z21" i="104"/>
  <c r="Y21" i="109"/>
  <c r="Z21" i="109"/>
  <c r="AE21" i="108"/>
  <c r="AD21" i="108"/>
  <c r="Z21" i="122"/>
  <c r="Y21" i="122"/>
  <c r="Z21" i="113"/>
  <c r="Y21" i="113"/>
  <c r="Z21" i="142"/>
  <c r="Y21" i="142"/>
  <c r="Z21" i="150"/>
  <c r="Y21" i="150"/>
  <c r="V22" i="104"/>
  <c r="X22" i="104"/>
  <c r="V22" i="109"/>
  <c r="X22" i="109"/>
  <c r="V22" i="144"/>
  <c r="X22" i="144"/>
  <c r="V22" i="106"/>
  <c r="X22" i="106"/>
  <c r="Z21" i="112"/>
  <c r="Y21" i="112"/>
  <c r="Z21" i="108"/>
  <c r="Y21" i="108"/>
  <c r="V22" i="128"/>
  <c r="X22" i="128"/>
  <c r="V22" i="129"/>
  <c r="X22" i="129"/>
  <c r="Z21" i="144"/>
  <c r="Y21" i="144"/>
  <c r="Z21" i="106"/>
  <c r="Y21" i="106"/>
  <c r="V22" i="112"/>
  <c r="X22" i="112"/>
  <c r="V22" i="108"/>
  <c r="X22" i="108"/>
  <c r="Y21" i="128"/>
  <c r="Z21" i="128"/>
  <c r="Z21" i="116"/>
  <c r="Y21" i="116"/>
  <c r="Z21" i="105"/>
  <c r="Y21" i="105"/>
  <c r="Z21" i="110"/>
  <c r="Y21" i="110"/>
  <c r="V22" i="116"/>
  <c r="X22" i="116"/>
  <c r="V22" i="105"/>
  <c r="X22" i="105"/>
  <c r="X22" i="110"/>
  <c r="V22" i="110"/>
  <c r="AE21" i="115"/>
  <c r="AD21" i="115"/>
  <c r="V22" i="132"/>
  <c r="X22" i="132"/>
  <c r="Y21" i="111"/>
  <c r="Z21" i="111"/>
  <c r="V22" i="146"/>
  <c r="X22" i="146"/>
  <c r="X22" i="103"/>
  <c r="V22" i="103"/>
  <c r="Z21" i="132"/>
  <c r="Y21" i="132"/>
  <c r="V22" i="111"/>
  <c r="X22" i="111"/>
  <c r="Y21" i="146"/>
  <c r="Z21" i="146"/>
  <c r="V22" i="138"/>
  <c r="X22" i="138"/>
  <c r="Z21" i="136"/>
  <c r="Y21" i="136"/>
  <c r="V22" i="147"/>
  <c r="X22" i="147"/>
  <c r="L22" i="139"/>
  <c r="N22" i="139"/>
  <c r="Z21" i="138"/>
  <c r="Y21" i="138"/>
  <c r="V22" i="136"/>
  <c r="X22" i="136"/>
  <c r="Z21" i="147"/>
  <c r="Y21" i="147"/>
  <c r="O21" i="139"/>
  <c r="P21" i="139"/>
  <c r="P21" i="115"/>
  <c r="O21" i="115"/>
  <c r="N22" i="115"/>
  <c r="L22" i="115"/>
  <c r="V22" i="151"/>
  <c r="X22" i="151"/>
  <c r="Z21" i="151"/>
  <c r="Y21" i="151"/>
  <c r="AC23" i="151"/>
  <c r="AA23" i="151"/>
  <c r="AE22" i="151"/>
  <c r="AD22" i="151"/>
  <c r="N23" i="151"/>
  <c r="L23" i="151"/>
  <c r="P22" i="151"/>
  <c r="O22" i="151"/>
  <c r="U22" i="150"/>
  <c r="T22" i="150"/>
  <c r="Q23" i="150"/>
  <c r="S23" i="150"/>
  <c r="AC23" i="150"/>
  <c r="AA23" i="150"/>
  <c r="AE22" i="150"/>
  <c r="AD22" i="150"/>
  <c r="N24" i="150"/>
  <c r="L24" i="150"/>
  <c r="P23" i="150"/>
  <c r="O23" i="150"/>
  <c r="P22" i="149"/>
  <c r="O22" i="149"/>
  <c r="AC23" i="149"/>
  <c r="AA23" i="149"/>
  <c r="AE22" i="149"/>
  <c r="AD22" i="149"/>
  <c r="Q23" i="149"/>
  <c r="S23" i="149"/>
  <c r="U22" i="149"/>
  <c r="T22" i="149"/>
  <c r="X24" i="149"/>
  <c r="V24" i="149"/>
  <c r="N23" i="149"/>
  <c r="L23" i="149"/>
  <c r="Z23" i="149"/>
  <c r="Y23" i="149"/>
  <c r="Q23" i="148"/>
  <c r="S23" i="148"/>
  <c r="N23" i="148"/>
  <c r="L23" i="148"/>
  <c r="P22" i="148"/>
  <c r="O22" i="148"/>
  <c r="U22" i="148"/>
  <c r="T22" i="148"/>
  <c r="AC23" i="148"/>
  <c r="AA23" i="148"/>
  <c r="AD22" i="148"/>
  <c r="AE22" i="148"/>
  <c r="V24" i="148"/>
  <c r="X24" i="148"/>
  <c r="Y23" i="148"/>
  <c r="Z23" i="148"/>
  <c r="N23" i="147"/>
  <c r="L23" i="147"/>
  <c r="Q23" i="147"/>
  <c r="S23" i="147"/>
  <c r="P22" i="147"/>
  <c r="O22" i="147"/>
  <c r="AC23" i="147"/>
  <c r="AA23" i="147"/>
  <c r="U22" i="147"/>
  <c r="T22" i="147"/>
  <c r="AE22" i="147"/>
  <c r="AD22" i="147"/>
  <c r="U22" i="146"/>
  <c r="T22" i="146"/>
  <c r="N23" i="146"/>
  <c r="L23" i="146"/>
  <c r="P22" i="146"/>
  <c r="O22" i="146"/>
  <c r="AC23" i="146"/>
  <c r="AA23" i="146"/>
  <c r="AE22" i="146"/>
  <c r="AD22" i="146"/>
  <c r="Q23" i="146"/>
  <c r="S23" i="146"/>
  <c r="Q23" i="145"/>
  <c r="S23" i="145"/>
  <c r="U22" i="145"/>
  <c r="T22" i="145"/>
  <c r="N23" i="145"/>
  <c r="L23" i="145"/>
  <c r="P22" i="145"/>
  <c r="O22" i="145"/>
  <c r="AC23" i="145"/>
  <c r="AA23" i="145"/>
  <c r="AE22" i="145"/>
  <c r="AD22" i="145"/>
  <c r="X24" i="145"/>
  <c r="V24" i="145"/>
  <c r="Z23" i="145"/>
  <c r="Y23" i="145"/>
  <c r="P22" i="144"/>
  <c r="O22" i="144"/>
  <c r="N23" i="144"/>
  <c r="L23" i="144"/>
  <c r="S23" i="144"/>
  <c r="Q23" i="144"/>
  <c r="U22" i="144"/>
  <c r="T22" i="144"/>
  <c r="AE22" i="144"/>
  <c r="AD22" i="144"/>
  <c r="AC23" i="144"/>
  <c r="AA23" i="144"/>
  <c r="Y23" i="143"/>
  <c r="Z23" i="143"/>
  <c r="Q23" i="143"/>
  <c r="S23" i="143"/>
  <c r="U22" i="143"/>
  <c r="T22" i="143"/>
  <c r="X24" i="143"/>
  <c r="V24" i="143"/>
  <c r="P22" i="143"/>
  <c r="O22" i="143"/>
  <c r="AC24" i="143"/>
  <c r="AA24" i="143"/>
  <c r="AE23" i="143"/>
  <c r="AD23" i="143"/>
  <c r="N23" i="143"/>
  <c r="L23" i="143"/>
  <c r="U22" i="142"/>
  <c r="T22" i="142"/>
  <c r="N23" i="142"/>
  <c r="L23" i="142"/>
  <c r="P22" i="142"/>
  <c r="O22" i="142"/>
  <c r="AC23" i="142"/>
  <c r="AA23" i="142"/>
  <c r="AE22" i="142"/>
  <c r="AD22" i="142"/>
  <c r="Q23" i="142"/>
  <c r="S23" i="142"/>
  <c r="Q23" i="141"/>
  <c r="S23" i="141"/>
  <c r="U22" i="141"/>
  <c r="T22" i="141"/>
  <c r="AC23" i="141"/>
  <c r="AA23" i="141"/>
  <c r="AE22" i="141"/>
  <c r="AD22" i="141"/>
  <c r="N23" i="141"/>
  <c r="L23" i="141"/>
  <c r="P22" i="141"/>
  <c r="O22" i="141"/>
  <c r="V22" i="140"/>
  <c r="X22" i="140"/>
  <c r="Z21" i="140"/>
  <c r="Y21" i="140"/>
  <c r="N23" i="140"/>
  <c r="L23" i="140"/>
  <c r="P22" i="140"/>
  <c r="O22" i="140"/>
  <c r="Q23" i="140"/>
  <c r="S23" i="140"/>
  <c r="U22" i="140"/>
  <c r="T22" i="140"/>
  <c r="AC23" i="140"/>
  <c r="AA23" i="140"/>
  <c r="AE22" i="140"/>
  <c r="AD22" i="140"/>
  <c r="Q23" i="139"/>
  <c r="S23" i="139"/>
  <c r="V22" i="139"/>
  <c r="X22" i="139"/>
  <c r="Z21" i="139"/>
  <c r="Y21" i="139"/>
  <c r="AC23" i="139"/>
  <c r="AA23" i="139"/>
  <c r="AE22" i="139"/>
  <c r="AD22" i="139"/>
  <c r="U22" i="139"/>
  <c r="T22" i="139"/>
  <c r="Q23" i="138"/>
  <c r="S23" i="138"/>
  <c r="U22" i="138"/>
  <c r="T22" i="138"/>
  <c r="N23" i="138"/>
  <c r="L23" i="138"/>
  <c r="P22" i="138"/>
  <c r="O22" i="138"/>
  <c r="AC23" i="138"/>
  <c r="AA23" i="138"/>
  <c r="AE22" i="138"/>
  <c r="AD22" i="138"/>
  <c r="Q23" i="137"/>
  <c r="S23" i="137"/>
  <c r="U22" i="137"/>
  <c r="T22" i="137"/>
  <c r="N23" i="137"/>
  <c r="L23" i="137"/>
  <c r="P22" i="137"/>
  <c r="O22" i="137"/>
  <c r="AC23" i="137"/>
  <c r="AA23" i="137"/>
  <c r="AE22" i="137"/>
  <c r="AD22" i="137"/>
  <c r="X24" i="137"/>
  <c r="V24" i="137"/>
  <c r="Z23" i="137"/>
  <c r="Y23" i="137"/>
  <c r="N24" i="136"/>
  <c r="L24" i="136"/>
  <c r="P23" i="136"/>
  <c r="O23" i="136"/>
  <c r="AE22" i="136"/>
  <c r="AD22" i="136"/>
  <c r="AC23" i="136"/>
  <c r="AA23" i="136"/>
  <c r="Q23" i="136"/>
  <c r="S23" i="136"/>
  <c r="U22" i="136"/>
  <c r="T22" i="136"/>
  <c r="Q23" i="135"/>
  <c r="S23" i="135"/>
  <c r="N23" i="135"/>
  <c r="L23" i="135"/>
  <c r="P22" i="135"/>
  <c r="O22" i="135"/>
  <c r="U22" i="135"/>
  <c r="T22" i="135"/>
  <c r="X24" i="134"/>
  <c r="V24" i="134"/>
  <c r="Z23" i="134"/>
  <c r="Y23" i="134"/>
  <c r="Q23" i="134"/>
  <c r="S23" i="134"/>
  <c r="U22" i="134"/>
  <c r="T22" i="134"/>
  <c r="N23" i="134"/>
  <c r="L23" i="134"/>
  <c r="P22" i="134"/>
  <c r="O22" i="134"/>
  <c r="AC23" i="134"/>
  <c r="AA23" i="134"/>
  <c r="AE22" i="134"/>
  <c r="AD22" i="134"/>
  <c r="U22" i="133"/>
  <c r="T22" i="133"/>
  <c r="Z23" i="133"/>
  <c r="Y23" i="133"/>
  <c r="N23" i="133"/>
  <c r="L23" i="133"/>
  <c r="P22" i="133"/>
  <c r="O22" i="133"/>
  <c r="X24" i="133"/>
  <c r="V24" i="133"/>
  <c r="Q23" i="133"/>
  <c r="S23" i="133"/>
  <c r="AC23" i="133"/>
  <c r="AA23" i="133"/>
  <c r="AE22" i="133"/>
  <c r="AD22" i="133"/>
  <c r="P22" i="132"/>
  <c r="O22" i="132"/>
  <c r="Q23" i="132"/>
  <c r="S23" i="132"/>
  <c r="U22" i="132"/>
  <c r="T22" i="132"/>
  <c r="N23" i="132"/>
  <c r="L23" i="132"/>
  <c r="AC23" i="132"/>
  <c r="AA23" i="132"/>
  <c r="AE22" i="132"/>
  <c r="AD22" i="132"/>
  <c r="V22" i="131"/>
  <c r="X22" i="131"/>
  <c r="AC24" i="131"/>
  <c r="AA24" i="131"/>
  <c r="AE23" i="131"/>
  <c r="AD23" i="131"/>
  <c r="N23" i="131"/>
  <c r="L23" i="131"/>
  <c r="P22" i="131"/>
  <c r="O22" i="131"/>
  <c r="Q23" i="131"/>
  <c r="S23" i="131"/>
  <c r="U22" i="131"/>
  <c r="T22" i="131"/>
  <c r="Z21" i="131"/>
  <c r="Y21" i="131"/>
  <c r="P22" i="130"/>
  <c r="O22" i="130"/>
  <c r="AC23" i="130"/>
  <c r="AA23" i="130"/>
  <c r="AE22" i="130"/>
  <c r="AD22" i="130"/>
  <c r="Q23" i="130"/>
  <c r="S23" i="130"/>
  <c r="U22" i="130"/>
  <c r="T22" i="130"/>
  <c r="X24" i="130"/>
  <c r="V24" i="130"/>
  <c r="Z23" i="130"/>
  <c r="Y23" i="130"/>
  <c r="N23" i="130"/>
  <c r="L23" i="130"/>
  <c r="Q23" i="129"/>
  <c r="S23" i="129"/>
  <c r="U22" i="129"/>
  <c r="T22" i="129"/>
  <c r="N24" i="129"/>
  <c r="L24" i="129"/>
  <c r="P23" i="129"/>
  <c r="O23" i="129"/>
  <c r="AC23" i="129"/>
  <c r="AA23" i="129"/>
  <c r="AE22" i="129"/>
  <c r="AD22" i="129"/>
  <c r="Q23" i="128"/>
  <c r="S23" i="128"/>
  <c r="U22" i="128"/>
  <c r="T22" i="128"/>
  <c r="N23" i="128"/>
  <c r="L23" i="128"/>
  <c r="P22" i="128"/>
  <c r="O22" i="128"/>
  <c r="AC23" i="128"/>
  <c r="AA23" i="128"/>
  <c r="AE22" i="128"/>
  <c r="AD22" i="128"/>
  <c r="Z21" i="127"/>
  <c r="Y21" i="127"/>
  <c r="AC23" i="127"/>
  <c r="AA23" i="127"/>
  <c r="AE22" i="127"/>
  <c r="AD22" i="127"/>
  <c r="V22" i="127"/>
  <c r="X22" i="127"/>
  <c r="N23" i="127"/>
  <c r="L23" i="127"/>
  <c r="P22" i="127"/>
  <c r="O22" i="127"/>
  <c r="P23" i="126"/>
  <c r="O23" i="126"/>
  <c r="N24" i="126"/>
  <c r="L24" i="126"/>
  <c r="U21" i="126"/>
  <c r="T21" i="126"/>
  <c r="AC23" i="126"/>
  <c r="AA23" i="126"/>
  <c r="AE22" i="126"/>
  <c r="AD22" i="126"/>
  <c r="X24" i="126"/>
  <c r="V24" i="126"/>
  <c r="Z23" i="126"/>
  <c r="Y23" i="126"/>
  <c r="S22" i="126"/>
  <c r="Q22" i="126"/>
  <c r="X24" i="125"/>
  <c r="V24" i="125"/>
  <c r="Q23" i="125"/>
  <c r="S23" i="125"/>
  <c r="Z23" i="125"/>
  <c r="Y23" i="125"/>
  <c r="U22" i="125"/>
  <c r="T22" i="125"/>
  <c r="AC23" i="125"/>
  <c r="AA23" i="125"/>
  <c r="AE22" i="125"/>
  <c r="AD22" i="125"/>
  <c r="N23" i="125"/>
  <c r="L23" i="125"/>
  <c r="P22" i="125"/>
  <c r="O22" i="125"/>
  <c r="V22" i="124"/>
  <c r="X22" i="124"/>
  <c r="Z21" i="124"/>
  <c r="Y21" i="124"/>
  <c r="AC24" i="124"/>
  <c r="AA24" i="124"/>
  <c r="AE23" i="124"/>
  <c r="AD23" i="124"/>
  <c r="N23" i="124"/>
  <c r="L23" i="124"/>
  <c r="P22" i="124"/>
  <c r="O22" i="124"/>
  <c r="Q23" i="124"/>
  <c r="S23" i="124"/>
  <c r="U22" i="124"/>
  <c r="T22" i="124"/>
  <c r="Q23" i="123"/>
  <c r="S23" i="123"/>
  <c r="U22" i="123"/>
  <c r="T22" i="123"/>
  <c r="N23" i="123"/>
  <c r="L23" i="123"/>
  <c r="P22" i="123"/>
  <c r="O22" i="123"/>
  <c r="AC23" i="123"/>
  <c r="AA23" i="123"/>
  <c r="AE22" i="123"/>
  <c r="AD22" i="123"/>
  <c r="Q23" i="122"/>
  <c r="S23" i="122"/>
  <c r="U22" i="122"/>
  <c r="T22" i="122"/>
  <c r="N23" i="122"/>
  <c r="L23" i="122"/>
  <c r="P22" i="122"/>
  <c r="O22" i="122"/>
  <c r="AC23" i="122"/>
  <c r="AA23" i="122"/>
  <c r="AE22" i="122"/>
  <c r="AD22" i="122"/>
  <c r="X24" i="119"/>
  <c r="V24" i="119"/>
  <c r="Z23" i="119"/>
  <c r="Y23" i="119"/>
  <c r="Q23" i="119"/>
  <c r="S23" i="119"/>
  <c r="U22" i="119"/>
  <c r="T22" i="119"/>
  <c r="N23" i="119"/>
  <c r="L23" i="119"/>
  <c r="P22" i="119"/>
  <c r="O22" i="119"/>
  <c r="AC23" i="119"/>
  <c r="AA23" i="119"/>
  <c r="AE22" i="119"/>
  <c r="AD22" i="119"/>
  <c r="Z23" i="118"/>
  <c r="Y23" i="118"/>
  <c r="S22" i="118"/>
  <c r="Q22" i="118"/>
  <c r="U21" i="118"/>
  <c r="T21" i="118"/>
  <c r="N23" i="118"/>
  <c r="L23" i="118"/>
  <c r="P22" i="118"/>
  <c r="O22" i="118"/>
  <c r="AC23" i="118"/>
  <c r="AA23" i="118"/>
  <c r="AE22" i="118"/>
  <c r="AD22" i="118"/>
  <c r="X24" i="118"/>
  <c r="V24" i="118"/>
  <c r="AE22" i="117"/>
  <c r="AD22" i="117"/>
  <c r="V22" i="117"/>
  <c r="X22" i="117"/>
  <c r="Q23" i="117"/>
  <c r="S23" i="117"/>
  <c r="U22" i="117"/>
  <c r="T22" i="117"/>
  <c r="Z21" i="117"/>
  <c r="Y21" i="117"/>
  <c r="N23" i="117"/>
  <c r="L23" i="117"/>
  <c r="P22" i="117"/>
  <c r="O22" i="117"/>
  <c r="AC23" i="117"/>
  <c r="AA23" i="117"/>
  <c r="Q23" i="116"/>
  <c r="S23" i="116"/>
  <c r="N23" i="116"/>
  <c r="L23" i="116"/>
  <c r="P22" i="116"/>
  <c r="O22" i="116"/>
  <c r="AC23" i="116"/>
  <c r="AA23" i="116"/>
  <c r="AE22" i="116"/>
  <c r="AD22" i="116"/>
  <c r="U22" i="116"/>
  <c r="T22" i="116"/>
  <c r="Q23" i="115"/>
  <c r="S23" i="115"/>
  <c r="U22" i="115"/>
  <c r="T22" i="115"/>
  <c r="V24" i="115"/>
  <c r="X24" i="115"/>
  <c r="Y23" i="115"/>
  <c r="Z23" i="115"/>
  <c r="V22" i="114"/>
  <c r="X22" i="114"/>
  <c r="Z21" i="114"/>
  <c r="Y21" i="114"/>
  <c r="AC23" i="114"/>
  <c r="AA23" i="114"/>
  <c r="AE22" i="114"/>
  <c r="AD22" i="114"/>
  <c r="Q23" i="114"/>
  <c r="S23" i="114"/>
  <c r="U22" i="114"/>
  <c r="T22" i="114"/>
  <c r="N23" i="114"/>
  <c r="L23" i="114"/>
  <c r="P22" i="114"/>
  <c r="O22" i="114"/>
  <c r="Q23" i="113"/>
  <c r="S23" i="113"/>
  <c r="AC24" i="113"/>
  <c r="AA24" i="113"/>
  <c r="AE23" i="113"/>
  <c r="AD23" i="113"/>
  <c r="U22" i="113"/>
  <c r="T22" i="113"/>
  <c r="N23" i="113"/>
  <c r="L23" i="113"/>
  <c r="P22" i="113"/>
  <c r="O22" i="113"/>
  <c r="U22" i="112"/>
  <c r="T22" i="112"/>
  <c r="N23" i="112"/>
  <c r="L23" i="112"/>
  <c r="P22" i="112"/>
  <c r="O22" i="112"/>
  <c r="AC23" i="112"/>
  <c r="AA23" i="112"/>
  <c r="AE22" i="112"/>
  <c r="AD22" i="112"/>
  <c r="S23" i="112"/>
  <c r="Q23" i="112"/>
  <c r="Q23" i="111"/>
  <c r="S23" i="111"/>
  <c r="U22" i="111"/>
  <c r="T22" i="111"/>
  <c r="AC24" i="111"/>
  <c r="AA24" i="111"/>
  <c r="AE23" i="111"/>
  <c r="AD23" i="111"/>
  <c r="N23" i="111"/>
  <c r="L23" i="111"/>
  <c r="P22" i="111"/>
  <c r="O22" i="111"/>
  <c r="Q23" i="110"/>
  <c r="S23" i="110"/>
  <c r="U22" i="110"/>
  <c r="T22" i="110"/>
  <c r="AC23" i="110"/>
  <c r="AA23" i="110"/>
  <c r="AE22" i="110"/>
  <c r="AD22" i="110"/>
  <c r="N23" i="110"/>
  <c r="L23" i="110"/>
  <c r="P22" i="110"/>
  <c r="O22" i="110"/>
  <c r="Q23" i="109"/>
  <c r="S23" i="109"/>
  <c r="N23" i="109"/>
  <c r="L23" i="109"/>
  <c r="P22" i="109"/>
  <c r="O22" i="109"/>
  <c r="U22" i="109"/>
  <c r="T22" i="109"/>
  <c r="AC23" i="109"/>
  <c r="AA23" i="109"/>
  <c r="AE22" i="109"/>
  <c r="AD22" i="109"/>
  <c r="U22" i="108"/>
  <c r="T22" i="108"/>
  <c r="N23" i="108"/>
  <c r="L23" i="108"/>
  <c r="P22" i="108"/>
  <c r="O22" i="108"/>
  <c r="Q23" i="108"/>
  <c r="S23" i="108"/>
  <c r="AC23" i="107"/>
  <c r="AA23" i="107"/>
  <c r="AE22" i="107"/>
  <c r="AD22" i="107"/>
  <c r="X24" i="107"/>
  <c r="V24" i="107"/>
  <c r="Z23" i="107"/>
  <c r="Y23" i="107"/>
  <c r="Q23" i="107"/>
  <c r="S23" i="107"/>
  <c r="U22" i="107"/>
  <c r="T22" i="107"/>
  <c r="AE22" i="106"/>
  <c r="AD22" i="106"/>
  <c r="Q23" i="106"/>
  <c r="S23" i="106"/>
  <c r="U22" i="106"/>
  <c r="T22" i="106"/>
  <c r="N23" i="106"/>
  <c r="L23" i="106"/>
  <c r="P22" i="106"/>
  <c r="O22" i="106"/>
  <c r="AC23" i="106"/>
  <c r="AA23" i="106"/>
  <c r="Q23" i="105"/>
  <c r="S23" i="105"/>
  <c r="U22" i="105"/>
  <c r="T22" i="105"/>
  <c r="AC23" i="105"/>
  <c r="AA23" i="105"/>
  <c r="AE22" i="105"/>
  <c r="AD22" i="105"/>
  <c r="N23" i="105"/>
  <c r="L23" i="105"/>
  <c r="P22" i="105"/>
  <c r="O22" i="105"/>
  <c r="U22" i="104"/>
  <c r="T22" i="104"/>
  <c r="AC24" i="104"/>
  <c r="AA24" i="104"/>
  <c r="AE23" i="104"/>
  <c r="AD23" i="104"/>
  <c r="N23" i="104"/>
  <c r="L23" i="104"/>
  <c r="P22" i="104"/>
  <c r="O22" i="104"/>
  <c r="Q23" i="104"/>
  <c r="S23" i="104"/>
  <c r="Q23" i="103"/>
  <c r="S23" i="103"/>
  <c r="U22" i="103"/>
  <c r="T22" i="103"/>
  <c r="N23" i="103"/>
  <c r="L23" i="103"/>
  <c r="P22" i="103"/>
  <c r="O22" i="103"/>
  <c r="AC23" i="103"/>
  <c r="AA23" i="103"/>
  <c r="AE22" i="103"/>
  <c r="AD22" i="103"/>
  <c r="N23" i="53"/>
  <c r="L23" i="53"/>
  <c r="P22" i="53"/>
  <c r="O22" i="53"/>
  <c r="AC23" i="53"/>
  <c r="AA23" i="53"/>
  <c r="S23" i="53"/>
  <c r="Q23" i="53"/>
  <c r="X22" i="53"/>
  <c r="V22" i="53"/>
  <c r="AE22" i="53"/>
  <c r="AD22" i="53"/>
  <c r="T22" i="53"/>
  <c r="U22" i="53"/>
  <c r="Z21" i="53"/>
  <c r="Y21" i="53"/>
  <c r="U21" i="127" l="1"/>
  <c r="T21" i="127"/>
  <c r="S22" i="127"/>
  <c r="Q22" i="127"/>
  <c r="S22" i="151"/>
  <c r="Q22" i="151"/>
  <c r="U21" i="151"/>
  <c r="T21" i="151"/>
  <c r="G16" i="121"/>
  <c r="D33" i="121" s="1"/>
  <c r="J32" i="152"/>
  <c r="I16" i="121"/>
  <c r="D34" i="121" s="1"/>
  <c r="J33" i="152"/>
  <c r="I20" i="120"/>
  <c r="H22" i="120"/>
  <c r="H22" i="121"/>
  <c r="H21" i="120"/>
  <c r="H21" i="121"/>
  <c r="H20" i="120"/>
  <c r="H20" i="121"/>
  <c r="F19" i="120"/>
  <c r="F19" i="121"/>
  <c r="B34" i="121"/>
  <c r="G27" i="120"/>
  <c r="G27" i="121"/>
  <c r="F16" i="120"/>
  <c r="F16" i="121"/>
  <c r="H18" i="120"/>
  <c r="H18" i="121"/>
  <c r="H17" i="120"/>
  <c r="H17" i="121"/>
  <c r="H16" i="120"/>
  <c r="H16" i="121"/>
  <c r="H24" i="120"/>
  <c r="H24" i="121"/>
  <c r="F18" i="120"/>
  <c r="F18" i="121"/>
  <c r="B33" i="121"/>
  <c r="H27" i="120"/>
  <c r="H27" i="121"/>
  <c r="F20" i="120"/>
  <c r="F20" i="121"/>
  <c r="H19" i="120"/>
  <c r="H19" i="121"/>
  <c r="F17" i="120"/>
  <c r="F17" i="121"/>
  <c r="I27" i="120"/>
  <c r="I27" i="121"/>
  <c r="H23" i="120"/>
  <c r="H23" i="121"/>
  <c r="F27" i="120"/>
  <c r="F27" i="121"/>
  <c r="M33" i="152"/>
  <c r="I16" i="120"/>
  <c r="I33" i="152"/>
  <c r="CU9" i="152"/>
  <c r="M32" i="152"/>
  <c r="I18" i="120"/>
  <c r="CU11" i="152"/>
  <c r="G16" i="120"/>
  <c r="CT9" i="152"/>
  <c r="I32" i="152"/>
  <c r="G17" i="120"/>
  <c r="CT10" i="152"/>
  <c r="G18" i="120"/>
  <c r="CT11" i="152"/>
  <c r="Q523" i="152"/>
  <c r="G19" i="120"/>
  <c r="CT12" i="152"/>
  <c r="G20" i="120"/>
  <c r="CT13" i="152"/>
  <c r="I22" i="120"/>
  <c r="CU15" i="152"/>
  <c r="CU14" i="152"/>
  <c r="I21" i="120"/>
  <c r="CU12" i="152"/>
  <c r="I19" i="120"/>
  <c r="I17" i="120"/>
  <c r="CU10" i="152"/>
  <c r="CU17" i="152"/>
  <c r="I24" i="120"/>
  <c r="CU13" i="152"/>
  <c r="I23" i="120"/>
  <c r="CU16" i="152"/>
  <c r="AA23" i="135"/>
  <c r="AC23" i="135"/>
  <c r="AE22" i="135"/>
  <c r="AD22" i="135"/>
  <c r="AK17" i="152"/>
  <c r="V16" i="152"/>
  <c r="Z22" i="141"/>
  <c r="Y22" i="141"/>
  <c r="X23" i="141"/>
  <c r="V23" i="141"/>
  <c r="X23" i="136"/>
  <c r="V23" i="136"/>
  <c r="X23" i="112"/>
  <c r="V23" i="112"/>
  <c r="X23" i="144"/>
  <c r="V23" i="144"/>
  <c r="X23" i="103"/>
  <c r="V23" i="103"/>
  <c r="Y22" i="116"/>
  <c r="Z22" i="116"/>
  <c r="Z22" i="109"/>
  <c r="Y22" i="109"/>
  <c r="P22" i="107"/>
  <c r="O22" i="107"/>
  <c r="Y22" i="103"/>
  <c r="Z22" i="103"/>
  <c r="X23" i="116"/>
  <c r="V23" i="116"/>
  <c r="X23" i="109"/>
  <c r="V23" i="109"/>
  <c r="L23" i="107"/>
  <c r="N23" i="107"/>
  <c r="P22" i="139"/>
  <c r="O22" i="139"/>
  <c r="Z22" i="146"/>
  <c r="Y22" i="146"/>
  <c r="Y22" i="104"/>
  <c r="Z22" i="104"/>
  <c r="Y22" i="150"/>
  <c r="Z22" i="150"/>
  <c r="Z22" i="135"/>
  <c r="Y22" i="135"/>
  <c r="N23" i="139"/>
  <c r="L23" i="139"/>
  <c r="X23" i="146"/>
  <c r="V23" i="146"/>
  <c r="X23" i="104"/>
  <c r="V23" i="104"/>
  <c r="X23" i="150"/>
  <c r="V23" i="150"/>
  <c r="X23" i="135"/>
  <c r="V23" i="135"/>
  <c r="N23" i="115"/>
  <c r="L23" i="115"/>
  <c r="Z22" i="147"/>
  <c r="Y22" i="147"/>
  <c r="Z22" i="129"/>
  <c r="Y22" i="129"/>
  <c r="Z22" i="142"/>
  <c r="Y22" i="142"/>
  <c r="AC23" i="108"/>
  <c r="AA23" i="108"/>
  <c r="P22" i="115"/>
  <c r="O22" i="115"/>
  <c r="V23" i="147"/>
  <c r="X23" i="147"/>
  <c r="X23" i="129"/>
  <c r="V23" i="129"/>
  <c r="V23" i="142"/>
  <c r="X23" i="142"/>
  <c r="AD22" i="108"/>
  <c r="AE22" i="108"/>
  <c r="Z22" i="132"/>
  <c r="Y22" i="132"/>
  <c r="Z22" i="128"/>
  <c r="Y22" i="128"/>
  <c r="Z22" i="113"/>
  <c r="Y22" i="113"/>
  <c r="AC23" i="115"/>
  <c r="AA23" i="115"/>
  <c r="X23" i="132"/>
  <c r="V23" i="132"/>
  <c r="X23" i="128"/>
  <c r="V23" i="128"/>
  <c r="X23" i="113"/>
  <c r="V23" i="113"/>
  <c r="AE22" i="115"/>
  <c r="AD22" i="115"/>
  <c r="Z22" i="112"/>
  <c r="Y22" i="112"/>
  <c r="Z22" i="138"/>
  <c r="Y22" i="138"/>
  <c r="Z22" i="122"/>
  <c r="Y22" i="122"/>
  <c r="X23" i="138"/>
  <c r="V23" i="138"/>
  <c r="X23" i="122"/>
  <c r="V23" i="122"/>
  <c r="Z22" i="144"/>
  <c r="Y22" i="144"/>
  <c r="X23" i="110"/>
  <c r="V23" i="110"/>
  <c r="Y22" i="123"/>
  <c r="Z22" i="123"/>
  <c r="Z22" i="136"/>
  <c r="Y22" i="136"/>
  <c r="Z22" i="110"/>
  <c r="Y22" i="110"/>
  <c r="X23" i="123"/>
  <c r="V23" i="123"/>
  <c r="Z22" i="111"/>
  <c r="Y22" i="111"/>
  <c r="Z22" i="105"/>
  <c r="Y22" i="105"/>
  <c r="Z22" i="108"/>
  <c r="Y22" i="108"/>
  <c r="Y22" i="106"/>
  <c r="Z22" i="106"/>
  <c r="X23" i="111"/>
  <c r="V23" i="111"/>
  <c r="X23" i="105"/>
  <c r="V23" i="105"/>
  <c r="V23" i="108"/>
  <c r="X23" i="108"/>
  <c r="X23" i="106"/>
  <c r="V23" i="106"/>
  <c r="N24" i="151"/>
  <c r="L24" i="151"/>
  <c r="P23" i="151"/>
  <c r="O23" i="151"/>
  <c r="AC24" i="151"/>
  <c r="AA24" i="151"/>
  <c r="AE23" i="151"/>
  <c r="AD23" i="151"/>
  <c r="Z22" i="151"/>
  <c r="Y22" i="151"/>
  <c r="X23" i="151"/>
  <c r="V23" i="151"/>
  <c r="P24" i="150"/>
  <c r="O24" i="150"/>
  <c r="AC24" i="150"/>
  <c r="AA24" i="150"/>
  <c r="AE23" i="150"/>
  <c r="AD23" i="150"/>
  <c r="N25" i="150"/>
  <c r="L25" i="150"/>
  <c r="U23" i="150"/>
  <c r="T23" i="150"/>
  <c r="Q24" i="150"/>
  <c r="S24" i="150"/>
  <c r="U23" i="149"/>
  <c r="T23" i="149"/>
  <c r="Z24" i="149"/>
  <c r="Y24" i="149"/>
  <c r="S24" i="149"/>
  <c r="Q24" i="149"/>
  <c r="N24" i="149"/>
  <c r="L24" i="149"/>
  <c r="X25" i="149"/>
  <c r="V25" i="149"/>
  <c r="AC24" i="149"/>
  <c r="AA24" i="149"/>
  <c r="AE23" i="149"/>
  <c r="AD23" i="149"/>
  <c r="P23" i="149"/>
  <c r="O23" i="149"/>
  <c r="Z24" i="148"/>
  <c r="Y24" i="148"/>
  <c r="AC24" i="148"/>
  <c r="AA24" i="148"/>
  <c r="X25" i="148"/>
  <c r="V25" i="148"/>
  <c r="AE23" i="148"/>
  <c r="AD23" i="148"/>
  <c r="N24" i="148"/>
  <c r="L24" i="148"/>
  <c r="P23" i="148"/>
  <c r="O23" i="148"/>
  <c r="U23" i="148"/>
  <c r="T23" i="148"/>
  <c r="S24" i="148"/>
  <c r="Q24" i="148"/>
  <c r="AC24" i="147"/>
  <c r="AA24" i="147"/>
  <c r="AE23" i="147"/>
  <c r="AD23" i="147"/>
  <c r="U23" i="147"/>
  <c r="T23" i="147"/>
  <c r="S24" i="147"/>
  <c r="Q24" i="147"/>
  <c r="N24" i="147"/>
  <c r="L24" i="147"/>
  <c r="P23" i="147"/>
  <c r="O23" i="147"/>
  <c r="U23" i="146"/>
  <c r="T23" i="146"/>
  <c r="S24" i="146"/>
  <c r="Q24" i="146"/>
  <c r="AC24" i="146"/>
  <c r="AA24" i="146"/>
  <c r="AE23" i="146"/>
  <c r="AD23" i="146"/>
  <c r="N24" i="146"/>
  <c r="L24" i="146"/>
  <c r="P23" i="146"/>
  <c r="O23" i="146"/>
  <c r="X25" i="145"/>
  <c r="V25" i="145"/>
  <c r="Z24" i="145"/>
  <c r="Y24" i="145"/>
  <c r="AC24" i="145"/>
  <c r="AA24" i="145"/>
  <c r="AE23" i="145"/>
  <c r="AD23" i="145"/>
  <c r="N24" i="145"/>
  <c r="L24" i="145"/>
  <c r="P23" i="145"/>
  <c r="O23" i="145"/>
  <c r="U23" i="145"/>
  <c r="T23" i="145"/>
  <c r="Q24" i="145"/>
  <c r="S24" i="145"/>
  <c r="AC24" i="144"/>
  <c r="AA24" i="144"/>
  <c r="AE23" i="144"/>
  <c r="AD23" i="144"/>
  <c r="S24" i="144"/>
  <c r="Q24" i="144"/>
  <c r="T23" i="144"/>
  <c r="U23" i="144"/>
  <c r="N24" i="144"/>
  <c r="L24" i="144"/>
  <c r="P23" i="144"/>
  <c r="O23" i="144"/>
  <c r="AC25" i="143"/>
  <c r="AA25" i="143"/>
  <c r="X25" i="143"/>
  <c r="V25" i="143"/>
  <c r="AD24" i="143"/>
  <c r="AE24" i="143"/>
  <c r="U23" i="143"/>
  <c r="T23" i="143"/>
  <c r="P23" i="143"/>
  <c r="O23" i="143"/>
  <c r="S24" i="143"/>
  <c r="Q24" i="143"/>
  <c r="Z24" i="143"/>
  <c r="Y24" i="143"/>
  <c r="N24" i="143"/>
  <c r="L24" i="143"/>
  <c r="U23" i="142"/>
  <c r="T23" i="142"/>
  <c r="S24" i="142"/>
  <c r="Q24" i="142"/>
  <c r="AC24" i="142"/>
  <c r="AA24" i="142"/>
  <c r="AE23" i="142"/>
  <c r="AD23" i="142"/>
  <c r="N24" i="142"/>
  <c r="L24" i="142"/>
  <c r="P23" i="142"/>
  <c r="O23" i="142"/>
  <c r="N24" i="141"/>
  <c r="L24" i="141"/>
  <c r="P23" i="141"/>
  <c r="O23" i="141"/>
  <c r="AC24" i="141"/>
  <c r="AA24" i="141"/>
  <c r="AE23" i="141"/>
  <c r="AD23" i="141"/>
  <c r="U23" i="141"/>
  <c r="T23" i="141"/>
  <c r="S24" i="141"/>
  <c r="Q24" i="141"/>
  <c r="AC24" i="140"/>
  <c r="AA24" i="140"/>
  <c r="AE23" i="140"/>
  <c r="AD23" i="140"/>
  <c r="U23" i="140"/>
  <c r="T23" i="140"/>
  <c r="S24" i="140"/>
  <c r="Q24" i="140"/>
  <c r="N24" i="140"/>
  <c r="L24" i="140"/>
  <c r="P23" i="140"/>
  <c r="O23" i="140"/>
  <c r="Z22" i="140"/>
  <c r="Y22" i="140"/>
  <c r="X23" i="140"/>
  <c r="V23" i="140"/>
  <c r="AE23" i="139"/>
  <c r="AD23" i="139"/>
  <c r="Z22" i="139"/>
  <c r="Y22" i="139"/>
  <c r="X23" i="139"/>
  <c r="V23" i="139"/>
  <c r="U23" i="139"/>
  <c r="T23" i="139"/>
  <c r="AC24" i="139"/>
  <c r="AA24" i="139"/>
  <c r="S24" i="139"/>
  <c r="Q24" i="139"/>
  <c r="AC24" i="138"/>
  <c r="AA24" i="138"/>
  <c r="AE23" i="138"/>
  <c r="AD23" i="138"/>
  <c r="N24" i="138"/>
  <c r="L24" i="138"/>
  <c r="P23" i="138"/>
  <c r="O23" i="138"/>
  <c r="U23" i="138"/>
  <c r="T23" i="138"/>
  <c r="S24" i="138"/>
  <c r="Q24" i="138"/>
  <c r="Z24" i="137"/>
  <c r="Y24" i="137"/>
  <c r="AC24" i="137"/>
  <c r="AA24" i="137"/>
  <c r="AE23" i="137"/>
  <c r="AD23" i="137"/>
  <c r="X25" i="137"/>
  <c r="V25" i="137"/>
  <c r="N24" i="137"/>
  <c r="L24" i="137"/>
  <c r="P23" i="137"/>
  <c r="O23" i="137"/>
  <c r="U23" i="137"/>
  <c r="T23" i="137"/>
  <c r="S24" i="137"/>
  <c r="Q24" i="137"/>
  <c r="U23" i="136"/>
  <c r="T23" i="136"/>
  <c r="AE23" i="136"/>
  <c r="AD23" i="136"/>
  <c r="AC24" i="136"/>
  <c r="AA24" i="136"/>
  <c r="S24" i="136"/>
  <c r="Q24" i="136"/>
  <c r="N25" i="136"/>
  <c r="L25" i="136"/>
  <c r="O24" i="136"/>
  <c r="P24" i="136"/>
  <c r="N24" i="135"/>
  <c r="L24" i="135"/>
  <c r="P23" i="135"/>
  <c r="O23" i="135"/>
  <c r="U23" i="135"/>
  <c r="T23" i="135"/>
  <c r="S24" i="135"/>
  <c r="Q24" i="135"/>
  <c r="AC24" i="134"/>
  <c r="AA24" i="134"/>
  <c r="AE23" i="134"/>
  <c r="AD23" i="134"/>
  <c r="P23" i="134"/>
  <c r="O23" i="134"/>
  <c r="N24" i="134"/>
  <c r="L24" i="134"/>
  <c r="U23" i="134"/>
  <c r="T23" i="134"/>
  <c r="S24" i="134"/>
  <c r="Q24" i="134"/>
  <c r="X25" i="134"/>
  <c r="V25" i="134"/>
  <c r="Z24" i="134"/>
  <c r="Y24" i="134"/>
  <c r="AE23" i="133"/>
  <c r="AD23" i="133"/>
  <c r="T23" i="133"/>
  <c r="U23" i="133"/>
  <c r="S24" i="133"/>
  <c r="Q24" i="133"/>
  <c r="X25" i="133"/>
  <c r="V25" i="133"/>
  <c r="Z24" i="133"/>
  <c r="Y24" i="133"/>
  <c r="AC24" i="133"/>
  <c r="AA24" i="133"/>
  <c r="N24" i="133"/>
  <c r="L24" i="133"/>
  <c r="P23" i="133"/>
  <c r="O23" i="133"/>
  <c r="AC24" i="132"/>
  <c r="AA24" i="132"/>
  <c r="AE23" i="132"/>
  <c r="AD23" i="132"/>
  <c r="N24" i="132"/>
  <c r="L24" i="132"/>
  <c r="P23" i="132"/>
  <c r="O23" i="132"/>
  <c r="T23" i="132"/>
  <c r="U23" i="132"/>
  <c r="S24" i="132"/>
  <c r="Q24" i="132"/>
  <c r="U23" i="131"/>
  <c r="T23" i="131"/>
  <c r="S24" i="131"/>
  <c r="Q24" i="131"/>
  <c r="N24" i="131"/>
  <c r="L24" i="131"/>
  <c r="P23" i="131"/>
  <c r="O23" i="131"/>
  <c r="AC25" i="131"/>
  <c r="AA25" i="131"/>
  <c r="AD24" i="131"/>
  <c r="AE24" i="131"/>
  <c r="Z22" i="131"/>
  <c r="Y22" i="131"/>
  <c r="X23" i="131"/>
  <c r="V23" i="131"/>
  <c r="N24" i="130"/>
  <c r="L24" i="130"/>
  <c r="P23" i="130"/>
  <c r="O23" i="130"/>
  <c r="X25" i="130"/>
  <c r="V25" i="130"/>
  <c r="Z24" i="130"/>
  <c r="Y24" i="130"/>
  <c r="U23" i="130"/>
  <c r="T23" i="130"/>
  <c r="S24" i="130"/>
  <c r="Q24" i="130"/>
  <c r="AC24" i="130"/>
  <c r="AA24" i="130"/>
  <c r="AE23" i="130"/>
  <c r="AD23" i="130"/>
  <c r="N25" i="129"/>
  <c r="L25" i="129"/>
  <c r="AE23" i="129"/>
  <c r="AD23" i="129"/>
  <c r="O24" i="129"/>
  <c r="P24" i="129"/>
  <c r="U23" i="129"/>
  <c r="T23" i="129"/>
  <c r="S24" i="129"/>
  <c r="Q24" i="129"/>
  <c r="AC24" i="129"/>
  <c r="AA24" i="129"/>
  <c r="AC24" i="128"/>
  <c r="AA24" i="128"/>
  <c r="AE23" i="128"/>
  <c r="AD23" i="128"/>
  <c r="N24" i="128"/>
  <c r="L24" i="128"/>
  <c r="P23" i="128"/>
  <c r="O23" i="128"/>
  <c r="U23" i="128"/>
  <c r="T23" i="128"/>
  <c r="S24" i="128"/>
  <c r="Q24" i="128"/>
  <c r="N24" i="127"/>
  <c r="L24" i="127"/>
  <c r="P23" i="127"/>
  <c r="O23" i="127"/>
  <c r="Z22" i="127"/>
  <c r="Y22" i="127"/>
  <c r="X23" i="127"/>
  <c r="V23" i="127"/>
  <c r="AC24" i="127"/>
  <c r="AA24" i="127"/>
  <c r="AE23" i="127"/>
  <c r="AD23" i="127"/>
  <c r="X25" i="126"/>
  <c r="V25" i="126"/>
  <c r="Z24" i="126"/>
  <c r="Y24" i="126"/>
  <c r="AC24" i="126"/>
  <c r="AA24" i="126"/>
  <c r="AE23" i="126"/>
  <c r="AD23" i="126"/>
  <c r="U22" i="126"/>
  <c r="T22" i="126"/>
  <c r="N25" i="126"/>
  <c r="L25" i="126"/>
  <c r="P24" i="126"/>
  <c r="O24" i="126"/>
  <c r="Q23" i="126"/>
  <c r="S23" i="126"/>
  <c r="P23" i="125"/>
  <c r="O23" i="125"/>
  <c r="AC24" i="125"/>
  <c r="AA24" i="125"/>
  <c r="AE23" i="125"/>
  <c r="AD23" i="125"/>
  <c r="U23" i="125"/>
  <c r="T23" i="125"/>
  <c r="N24" i="125"/>
  <c r="L24" i="125"/>
  <c r="S24" i="125"/>
  <c r="Q24" i="125"/>
  <c r="X25" i="125"/>
  <c r="V25" i="125"/>
  <c r="Z24" i="125"/>
  <c r="Y24" i="125"/>
  <c r="U23" i="124"/>
  <c r="T23" i="124"/>
  <c r="S24" i="124"/>
  <c r="Q24" i="124"/>
  <c r="N24" i="124"/>
  <c r="L24" i="124"/>
  <c r="P23" i="124"/>
  <c r="O23" i="124"/>
  <c r="AC25" i="124"/>
  <c r="AA25" i="124"/>
  <c r="AD24" i="124"/>
  <c r="AE24" i="124"/>
  <c r="Z22" i="124"/>
  <c r="Y22" i="124"/>
  <c r="X23" i="124"/>
  <c r="V23" i="124"/>
  <c r="AC24" i="123"/>
  <c r="AA24" i="123"/>
  <c r="AE23" i="123"/>
  <c r="AD23" i="123"/>
  <c r="N24" i="123"/>
  <c r="L24" i="123"/>
  <c r="P23" i="123"/>
  <c r="O23" i="123"/>
  <c r="U23" i="123"/>
  <c r="T23" i="123"/>
  <c r="Q24" i="123"/>
  <c r="S24" i="123"/>
  <c r="AC24" i="122"/>
  <c r="AA24" i="122"/>
  <c r="AE23" i="122"/>
  <c r="AD23" i="122"/>
  <c r="N24" i="122"/>
  <c r="L24" i="122"/>
  <c r="P23" i="122"/>
  <c r="O23" i="122"/>
  <c r="U23" i="122"/>
  <c r="T23" i="122"/>
  <c r="S24" i="122"/>
  <c r="Q24" i="122"/>
  <c r="AC24" i="119"/>
  <c r="AA24" i="119"/>
  <c r="AE23" i="119"/>
  <c r="AD23" i="119"/>
  <c r="N24" i="119"/>
  <c r="L24" i="119"/>
  <c r="P23" i="119"/>
  <c r="O23" i="119"/>
  <c r="U23" i="119"/>
  <c r="T23" i="119"/>
  <c r="S24" i="119"/>
  <c r="Q24" i="119"/>
  <c r="X25" i="119"/>
  <c r="V25" i="119"/>
  <c r="Z24" i="119"/>
  <c r="Y24" i="119"/>
  <c r="N24" i="118"/>
  <c r="L24" i="118"/>
  <c r="P23" i="118"/>
  <c r="O23" i="118"/>
  <c r="AC24" i="118"/>
  <c r="AA24" i="118"/>
  <c r="Q23" i="118"/>
  <c r="S23" i="118"/>
  <c r="X25" i="118"/>
  <c r="V25" i="118"/>
  <c r="U22" i="118"/>
  <c r="T22" i="118"/>
  <c r="Z24" i="118"/>
  <c r="Y24" i="118"/>
  <c r="AE23" i="118"/>
  <c r="AD23" i="118"/>
  <c r="AE23" i="117"/>
  <c r="AD23" i="117"/>
  <c r="N24" i="117"/>
  <c r="L24" i="117"/>
  <c r="P23" i="117"/>
  <c r="O23" i="117"/>
  <c r="U23" i="117"/>
  <c r="T23" i="117"/>
  <c r="S24" i="117"/>
  <c r="Q24" i="117"/>
  <c r="Z22" i="117"/>
  <c r="Y22" i="117"/>
  <c r="X23" i="117"/>
  <c r="V23" i="117"/>
  <c r="AC24" i="117"/>
  <c r="AA24" i="117"/>
  <c r="AC24" i="116"/>
  <c r="AA24" i="116"/>
  <c r="AE23" i="116"/>
  <c r="AD23" i="116"/>
  <c r="N24" i="116"/>
  <c r="L24" i="116"/>
  <c r="P23" i="116"/>
  <c r="O23" i="116"/>
  <c r="U23" i="116"/>
  <c r="T23" i="116"/>
  <c r="S24" i="116"/>
  <c r="Q24" i="116"/>
  <c r="X25" i="115"/>
  <c r="V25" i="115"/>
  <c r="Z24" i="115"/>
  <c r="Y24" i="115"/>
  <c r="U23" i="115"/>
  <c r="T23" i="115"/>
  <c r="S24" i="115"/>
  <c r="Q24" i="115"/>
  <c r="N24" i="114"/>
  <c r="L24" i="114"/>
  <c r="P23" i="114"/>
  <c r="O23" i="114"/>
  <c r="U23" i="114"/>
  <c r="T23" i="114"/>
  <c r="S24" i="114"/>
  <c r="Q24" i="114"/>
  <c r="AC24" i="114"/>
  <c r="AA24" i="114"/>
  <c r="AE23" i="114"/>
  <c r="AD23" i="114"/>
  <c r="Z22" i="114"/>
  <c r="Y22" i="114"/>
  <c r="X23" i="114"/>
  <c r="V23" i="114"/>
  <c r="P23" i="113"/>
  <c r="O23" i="113"/>
  <c r="AC25" i="113"/>
  <c r="AA25" i="113"/>
  <c r="AD24" i="113"/>
  <c r="AE24" i="113"/>
  <c r="U23" i="113"/>
  <c r="T23" i="113"/>
  <c r="N24" i="113"/>
  <c r="L24" i="113"/>
  <c r="S24" i="113"/>
  <c r="Q24" i="113"/>
  <c r="S24" i="112"/>
  <c r="Q24" i="112"/>
  <c r="U23" i="112"/>
  <c r="T23" i="112"/>
  <c r="AC24" i="112"/>
  <c r="AA24" i="112"/>
  <c r="AE23" i="112"/>
  <c r="AD23" i="112"/>
  <c r="N24" i="112"/>
  <c r="L24" i="112"/>
  <c r="P23" i="112"/>
  <c r="O23" i="112"/>
  <c r="N24" i="111"/>
  <c r="L24" i="111"/>
  <c r="P23" i="111"/>
  <c r="O23" i="111"/>
  <c r="AC25" i="111"/>
  <c r="AA25" i="111"/>
  <c r="AD24" i="111"/>
  <c r="AE24" i="111"/>
  <c r="U23" i="111"/>
  <c r="T23" i="111"/>
  <c r="S24" i="111"/>
  <c r="Q24" i="111"/>
  <c r="N24" i="110"/>
  <c r="L24" i="110"/>
  <c r="P23" i="110"/>
  <c r="O23" i="110"/>
  <c r="AC24" i="110"/>
  <c r="AA24" i="110"/>
  <c r="AE23" i="110"/>
  <c r="AD23" i="110"/>
  <c r="U23" i="110"/>
  <c r="T23" i="110"/>
  <c r="S24" i="110"/>
  <c r="Q24" i="110"/>
  <c r="AC24" i="109"/>
  <c r="AA24" i="109"/>
  <c r="AE23" i="109"/>
  <c r="AD23" i="109"/>
  <c r="N24" i="109"/>
  <c r="L24" i="109"/>
  <c r="P23" i="109"/>
  <c r="O23" i="109"/>
  <c r="U23" i="109"/>
  <c r="T23" i="109"/>
  <c r="S24" i="109"/>
  <c r="Q24" i="109"/>
  <c r="S24" i="108"/>
  <c r="Q24" i="108"/>
  <c r="U23" i="108"/>
  <c r="T23" i="108"/>
  <c r="N24" i="108"/>
  <c r="L24" i="108"/>
  <c r="P23" i="108"/>
  <c r="O23" i="108"/>
  <c r="U23" i="107"/>
  <c r="T23" i="107"/>
  <c r="Q24" i="107"/>
  <c r="S24" i="107"/>
  <c r="X25" i="107"/>
  <c r="V25" i="107"/>
  <c r="Z24" i="107"/>
  <c r="Y24" i="107"/>
  <c r="AC24" i="107"/>
  <c r="AA24" i="107"/>
  <c r="AE23" i="107"/>
  <c r="AD23" i="107"/>
  <c r="N24" i="106"/>
  <c r="L24" i="106"/>
  <c r="P23" i="106"/>
  <c r="O23" i="106"/>
  <c r="U23" i="106"/>
  <c r="T23" i="106"/>
  <c r="S24" i="106"/>
  <c r="Q24" i="106"/>
  <c r="AC24" i="106"/>
  <c r="AA24" i="106"/>
  <c r="AE23" i="106"/>
  <c r="AD23" i="106"/>
  <c r="N24" i="105"/>
  <c r="L24" i="105"/>
  <c r="AC24" i="105"/>
  <c r="AA24" i="105"/>
  <c r="P23" i="105"/>
  <c r="O23" i="105"/>
  <c r="AE23" i="105"/>
  <c r="AD23" i="105"/>
  <c r="U23" i="105"/>
  <c r="T23" i="105"/>
  <c r="Q24" i="105"/>
  <c r="S24" i="105"/>
  <c r="N24" i="104"/>
  <c r="L24" i="104"/>
  <c r="P23" i="104"/>
  <c r="O23" i="104"/>
  <c r="AC25" i="104"/>
  <c r="AA25" i="104"/>
  <c r="AD24" i="104"/>
  <c r="AE24" i="104"/>
  <c r="U23" i="104"/>
  <c r="T23" i="104"/>
  <c r="S24" i="104"/>
  <c r="Q24" i="104"/>
  <c r="AC24" i="103"/>
  <c r="AA24" i="103"/>
  <c r="AE23" i="103"/>
  <c r="AD23" i="103"/>
  <c r="N24" i="103"/>
  <c r="L24" i="103"/>
  <c r="P23" i="103"/>
  <c r="O23" i="103"/>
  <c r="U23" i="103"/>
  <c r="T23" i="103"/>
  <c r="Q24" i="103"/>
  <c r="S24" i="103"/>
  <c r="Q24" i="53"/>
  <c r="S24" i="53"/>
  <c r="Y22" i="53"/>
  <c r="Z22" i="53"/>
  <c r="AC24" i="53"/>
  <c r="AA24" i="53"/>
  <c r="N24" i="53"/>
  <c r="L24" i="53"/>
  <c r="X23" i="53"/>
  <c r="V23" i="53"/>
  <c r="T23" i="53"/>
  <c r="U23" i="53"/>
  <c r="AE23" i="53"/>
  <c r="AD23" i="53"/>
  <c r="P23" i="53"/>
  <c r="O23" i="53"/>
  <c r="W16" i="121" l="1"/>
  <c r="W17" i="121" s="1"/>
  <c r="W18" i="121" s="1"/>
  <c r="W19" i="121" s="1"/>
  <c r="W20" i="121" s="1"/>
  <c r="W21" i="121" s="1"/>
  <c r="W22" i="121" s="1"/>
  <c r="W23" i="121" s="1"/>
  <c r="W24" i="121" s="1"/>
  <c r="W25" i="121" s="1"/>
  <c r="W26" i="121" s="1"/>
  <c r="V16" i="121"/>
  <c r="X17" i="121" s="1"/>
  <c r="C33" i="121"/>
  <c r="S23" i="151"/>
  <c r="Q23" i="151"/>
  <c r="C34" i="121"/>
  <c r="T22" i="151"/>
  <c r="U22" i="151"/>
  <c r="G34" i="121"/>
  <c r="H34" i="121" s="1"/>
  <c r="S23" i="127"/>
  <c r="Q23" i="127"/>
  <c r="AA16" i="121"/>
  <c r="AC17" i="121" s="1"/>
  <c r="AE17" i="121" s="1"/>
  <c r="T22" i="127"/>
  <c r="U22" i="127"/>
  <c r="AB16" i="121"/>
  <c r="AB17" i="121" s="1"/>
  <c r="AB18" i="121" s="1"/>
  <c r="AB19" i="121" s="1"/>
  <c r="AB20" i="121" s="1"/>
  <c r="AB21" i="121" s="1"/>
  <c r="AB22" i="121" s="1"/>
  <c r="AB23" i="121" s="1"/>
  <c r="AB24" i="121" s="1"/>
  <c r="AB25" i="121" s="1"/>
  <c r="AB26" i="121" s="1"/>
  <c r="G33" i="121"/>
  <c r="H33" i="121" s="1"/>
  <c r="D33" i="120"/>
  <c r="D34" i="120"/>
  <c r="Z17" i="121"/>
  <c r="Y17" i="121"/>
  <c r="I33" i="120"/>
  <c r="I33" i="121"/>
  <c r="I34" i="120"/>
  <c r="I34" i="121"/>
  <c r="V17" i="121"/>
  <c r="V17" i="120"/>
  <c r="V18" i="120" s="1"/>
  <c r="V19" i="120" s="1"/>
  <c r="V20" i="120" s="1"/>
  <c r="B33" i="120"/>
  <c r="K32" i="152"/>
  <c r="L32" i="152" s="1"/>
  <c r="W16" i="120"/>
  <c r="W17" i="120" s="1"/>
  <c r="W18" i="120" s="1"/>
  <c r="W19" i="120" s="1"/>
  <c r="W20" i="120" s="1"/>
  <c r="W21" i="120" s="1"/>
  <c r="W22" i="120" s="1"/>
  <c r="W23" i="120" s="1"/>
  <c r="W24" i="120" s="1"/>
  <c r="W25" i="120" s="1"/>
  <c r="W26" i="120" s="1"/>
  <c r="V16" i="120"/>
  <c r="C33" i="120"/>
  <c r="G33" i="120"/>
  <c r="H33" i="120" s="1"/>
  <c r="K33" i="152"/>
  <c r="L33" i="152" s="1"/>
  <c r="Q524" i="152"/>
  <c r="AB16" i="120"/>
  <c r="AB17" i="120" s="1"/>
  <c r="AB18" i="120" s="1"/>
  <c r="AB19" i="120" s="1"/>
  <c r="AB20" i="120" s="1"/>
  <c r="AB21" i="120" s="1"/>
  <c r="AB22" i="120" s="1"/>
  <c r="AB23" i="120" s="1"/>
  <c r="AB24" i="120" s="1"/>
  <c r="AB25" i="120" s="1"/>
  <c r="AB26" i="120" s="1"/>
  <c r="AA16" i="120"/>
  <c r="G34" i="120"/>
  <c r="H34" i="120" s="1"/>
  <c r="C34" i="120"/>
  <c r="B34" i="120"/>
  <c r="AE23" i="135"/>
  <c r="AD23" i="135"/>
  <c r="AA24" i="135"/>
  <c r="AC24" i="135"/>
  <c r="V17" i="152"/>
  <c r="AK18" i="152"/>
  <c r="X24" i="141"/>
  <c r="V24" i="141"/>
  <c r="Z23" i="141"/>
  <c r="Y23" i="141"/>
  <c r="Y23" i="122"/>
  <c r="Z23" i="122"/>
  <c r="X24" i="138"/>
  <c r="V24" i="138"/>
  <c r="X24" i="132"/>
  <c r="V24" i="132"/>
  <c r="Y23" i="138"/>
  <c r="Z23" i="138"/>
  <c r="Z23" i="132"/>
  <c r="Y23" i="132"/>
  <c r="X24" i="106"/>
  <c r="V24" i="106"/>
  <c r="X24" i="123"/>
  <c r="V24" i="123"/>
  <c r="Z23" i="142"/>
  <c r="Y23" i="142"/>
  <c r="N24" i="115"/>
  <c r="L24" i="115"/>
  <c r="Z23" i="106"/>
  <c r="Y23" i="106"/>
  <c r="Z23" i="123"/>
  <c r="Y23" i="123"/>
  <c r="X24" i="142"/>
  <c r="V24" i="142"/>
  <c r="P23" i="115"/>
  <c r="O23" i="115"/>
  <c r="Y23" i="108"/>
  <c r="Z23" i="108"/>
  <c r="AC24" i="115"/>
  <c r="AA24" i="115"/>
  <c r="X24" i="129"/>
  <c r="V24" i="129"/>
  <c r="X24" i="135"/>
  <c r="V24" i="135"/>
  <c r="X24" i="108"/>
  <c r="V24" i="108"/>
  <c r="AE23" i="115"/>
  <c r="AD23" i="115"/>
  <c r="Y23" i="129"/>
  <c r="Z23" i="129"/>
  <c r="Y23" i="135"/>
  <c r="Z23" i="135"/>
  <c r="V24" i="105"/>
  <c r="X24" i="105"/>
  <c r="Z23" i="147"/>
  <c r="Y23" i="147"/>
  <c r="X24" i="150"/>
  <c r="V24" i="150"/>
  <c r="V24" i="103"/>
  <c r="X24" i="103"/>
  <c r="X24" i="122"/>
  <c r="V24" i="122"/>
  <c r="Y23" i="105"/>
  <c r="Z23" i="105"/>
  <c r="X24" i="147"/>
  <c r="V24" i="147"/>
  <c r="Z23" i="150"/>
  <c r="Y23" i="150"/>
  <c r="Z23" i="103"/>
  <c r="Y23" i="103"/>
  <c r="X24" i="111"/>
  <c r="V24" i="111"/>
  <c r="V24" i="104"/>
  <c r="X24" i="104"/>
  <c r="P23" i="107"/>
  <c r="O23" i="107"/>
  <c r="X24" i="144"/>
  <c r="V24" i="144"/>
  <c r="Y23" i="111"/>
  <c r="Z23" i="111"/>
  <c r="Y23" i="104"/>
  <c r="Z23" i="104"/>
  <c r="N24" i="107"/>
  <c r="L24" i="107"/>
  <c r="Z23" i="144"/>
  <c r="Y23" i="144"/>
  <c r="X24" i="110"/>
  <c r="V24" i="110"/>
  <c r="X24" i="113"/>
  <c r="V24" i="113"/>
  <c r="AC24" i="108"/>
  <c r="AA24" i="108"/>
  <c r="X24" i="146"/>
  <c r="V24" i="146"/>
  <c r="V24" i="109"/>
  <c r="X24" i="109"/>
  <c r="X24" i="112"/>
  <c r="V24" i="112"/>
  <c r="Z23" i="110"/>
  <c r="Y23" i="110"/>
  <c r="Y23" i="113"/>
  <c r="Z23" i="113"/>
  <c r="AE23" i="108"/>
  <c r="AD23" i="108"/>
  <c r="Z23" i="146"/>
  <c r="Y23" i="146"/>
  <c r="Y23" i="109"/>
  <c r="Z23" i="109"/>
  <c r="Z23" i="112"/>
  <c r="Y23" i="112"/>
  <c r="X24" i="128"/>
  <c r="V24" i="128"/>
  <c r="N24" i="139"/>
  <c r="L24" i="139"/>
  <c r="X24" i="116"/>
  <c r="V24" i="116"/>
  <c r="V24" i="136"/>
  <c r="X24" i="136"/>
  <c r="Z23" i="128"/>
  <c r="Y23" i="128"/>
  <c r="P23" i="139"/>
  <c r="O23" i="139"/>
  <c r="Z23" i="116"/>
  <c r="Y23" i="116"/>
  <c r="Z23" i="136"/>
  <c r="Y23" i="136"/>
  <c r="X24" i="151"/>
  <c r="V24" i="151"/>
  <c r="Z23" i="151"/>
  <c r="Y23" i="151"/>
  <c r="AC25" i="151"/>
  <c r="AA25" i="151"/>
  <c r="AD24" i="151"/>
  <c r="AE24" i="151"/>
  <c r="N25" i="151"/>
  <c r="L25" i="151"/>
  <c r="P24" i="151"/>
  <c r="O24" i="151"/>
  <c r="U24" i="150"/>
  <c r="T24" i="150"/>
  <c r="S25" i="150"/>
  <c r="Q25" i="150"/>
  <c r="N26" i="150"/>
  <c r="L26" i="150"/>
  <c r="P25" i="150"/>
  <c r="O25" i="150"/>
  <c r="AC25" i="150"/>
  <c r="AA25" i="150"/>
  <c r="AD24" i="150"/>
  <c r="AE24" i="150"/>
  <c r="AA25" i="149"/>
  <c r="AC25" i="149"/>
  <c r="AD24" i="149"/>
  <c r="AE24" i="149"/>
  <c r="V26" i="149"/>
  <c r="X26" i="149"/>
  <c r="Z25" i="149"/>
  <c r="Y25" i="149"/>
  <c r="N25" i="149"/>
  <c r="L25" i="149"/>
  <c r="O24" i="149"/>
  <c r="P24" i="149"/>
  <c r="S25" i="149"/>
  <c r="Q25" i="149"/>
  <c r="U24" i="149"/>
  <c r="T24" i="149"/>
  <c r="U24" i="148"/>
  <c r="T24" i="148"/>
  <c r="Q25" i="148"/>
  <c r="S25" i="148"/>
  <c r="O24" i="148"/>
  <c r="P24" i="148"/>
  <c r="V26" i="148"/>
  <c r="X26" i="148"/>
  <c r="Z25" i="148"/>
  <c r="Y25" i="148"/>
  <c r="AA25" i="148"/>
  <c r="AC25" i="148"/>
  <c r="N25" i="148"/>
  <c r="L25" i="148"/>
  <c r="AD24" i="148"/>
  <c r="AE24" i="148"/>
  <c r="P24" i="147"/>
  <c r="O24" i="147"/>
  <c r="S25" i="147"/>
  <c r="Q25" i="147"/>
  <c r="U24" i="147"/>
  <c r="T24" i="147"/>
  <c r="AC25" i="147"/>
  <c r="AA25" i="147"/>
  <c r="N25" i="147"/>
  <c r="L25" i="147"/>
  <c r="AD24" i="147"/>
  <c r="AE24" i="147"/>
  <c r="O24" i="146"/>
  <c r="P24" i="146"/>
  <c r="N25" i="146"/>
  <c r="L25" i="146"/>
  <c r="AC25" i="146"/>
  <c r="AA25" i="146"/>
  <c r="AD24" i="146"/>
  <c r="AE24" i="146"/>
  <c r="S25" i="146"/>
  <c r="Q25" i="146"/>
  <c r="U24" i="146"/>
  <c r="T24" i="146"/>
  <c r="U24" i="145"/>
  <c r="T24" i="145"/>
  <c r="S25" i="145"/>
  <c r="Q25" i="145"/>
  <c r="N25" i="145"/>
  <c r="L25" i="145"/>
  <c r="P24" i="145"/>
  <c r="O24" i="145"/>
  <c r="AC25" i="145"/>
  <c r="AA25" i="145"/>
  <c r="AD24" i="145"/>
  <c r="AE24" i="145"/>
  <c r="V26" i="145"/>
  <c r="X26" i="145"/>
  <c r="Z25" i="145"/>
  <c r="Y25" i="145"/>
  <c r="P24" i="144"/>
  <c r="O24" i="144"/>
  <c r="L25" i="144"/>
  <c r="N25" i="144"/>
  <c r="U24" i="144"/>
  <c r="T24" i="144"/>
  <c r="AA25" i="144"/>
  <c r="AC25" i="144"/>
  <c r="S25" i="144"/>
  <c r="Q25" i="144"/>
  <c r="AD24" i="144"/>
  <c r="AE24" i="144"/>
  <c r="N25" i="143"/>
  <c r="L25" i="143"/>
  <c r="P24" i="143"/>
  <c r="O24" i="143"/>
  <c r="U24" i="143"/>
  <c r="T24" i="143"/>
  <c r="Q25" i="143"/>
  <c r="S25" i="143"/>
  <c r="V26" i="143"/>
  <c r="X26" i="143"/>
  <c r="Z25" i="143"/>
  <c r="Y25" i="143"/>
  <c r="AC26" i="143"/>
  <c r="AA26" i="143"/>
  <c r="AE25" i="143"/>
  <c r="AD25" i="143"/>
  <c r="P24" i="142"/>
  <c r="O24" i="142"/>
  <c r="L25" i="142"/>
  <c r="N25" i="142"/>
  <c r="AC25" i="142"/>
  <c r="AA25" i="142"/>
  <c r="AD24" i="142"/>
  <c r="AE24" i="142"/>
  <c r="S25" i="142"/>
  <c r="Q25" i="142"/>
  <c r="U24" i="142"/>
  <c r="T24" i="142"/>
  <c r="S25" i="141"/>
  <c r="Q25" i="141"/>
  <c r="U24" i="141"/>
  <c r="T24" i="141"/>
  <c r="AC25" i="141"/>
  <c r="AA25" i="141"/>
  <c r="AD24" i="141"/>
  <c r="AE24" i="141"/>
  <c r="N25" i="141"/>
  <c r="L25" i="141"/>
  <c r="P24" i="141"/>
  <c r="O24" i="141"/>
  <c r="X24" i="140"/>
  <c r="V24" i="140"/>
  <c r="Z23" i="140"/>
  <c r="Y23" i="140"/>
  <c r="N25" i="140"/>
  <c r="L25" i="140"/>
  <c r="P24" i="140"/>
  <c r="O24" i="140"/>
  <c r="S25" i="140"/>
  <c r="Q25" i="140"/>
  <c r="U24" i="140"/>
  <c r="T24" i="140"/>
  <c r="AC25" i="140"/>
  <c r="AA25" i="140"/>
  <c r="AD24" i="140"/>
  <c r="AE24" i="140"/>
  <c r="AD24" i="139"/>
  <c r="AE24" i="139"/>
  <c r="U24" i="139"/>
  <c r="T24" i="139"/>
  <c r="AC25" i="139"/>
  <c r="AA25" i="139"/>
  <c r="S25" i="139"/>
  <c r="Q25" i="139"/>
  <c r="X24" i="139"/>
  <c r="V24" i="139"/>
  <c r="Z23" i="139"/>
  <c r="Y23" i="139"/>
  <c r="S25" i="138"/>
  <c r="Q25" i="138"/>
  <c r="U24" i="138"/>
  <c r="T24" i="138"/>
  <c r="N25" i="138"/>
  <c r="L25" i="138"/>
  <c r="P24" i="138"/>
  <c r="O24" i="138"/>
  <c r="AC25" i="138"/>
  <c r="AA25" i="138"/>
  <c r="AD24" i="138"/>
  <c r="AE24" i="138"/>
  <c r="S25" i="137"/>
  <c r="Q25" i="137"/>
  <c r="U24" i="137"/>
  <c r="T24" i="137"/>
  <c r="N25" i="137"/>
  <c r="L25" i="137"/>
  <c r="P24" i="137"/>
  <c r="O24" i="137"/>
  <c r="V26" i="137"/>
  <c r="X26" i="137"/>
  <c r="Z25" i="137"/>
  <c r="Y25" i="137"/>
  <c r="AC25" i="137"/>
  <c r="AA25" i="137"/>
  <c r="AD24" i="137"/>
  <c r="AE24" i="137"/>
  <c r="P25" i="136"/>
  <c r="O25" i="136"/>
  <c r="N26" i="136"/>
  <c r="L26" i="136"/>
  <c r="S25" i="136"/>
  <c r="Q25" i="136"/>
  <c r="U24" i="136"/>
  <c r="T24" i="136"/>
  <c r="AA25" i="136"/>
  <c r="AC25" i="136"/>
  <c r="AD24" i="136"/>
  <c r="AE24" i="136"/>
  <c r="S25" i="135"/>
  <c r="Q25" i="135"/>
  <c r="U24" i="135"/>
  <c r="T24" i="135"/>
  <c r="N25" i="135"/>
  <c r="L25" i="135"/>
  <c r="P24" i="135"/>
  <c r="O24" i="135"/>
  <c r="V26" i="134"/>
  <c r="X26" i="134"/>
  <c r="Z25" i="134"/>
  <c r="Y25" i="134"/>
  <c r="S25" i="134"/>
  <c r="Q25" i="134"/>
  <c r="U24" i="134"/>
  <c r="T24" i="134"/>
  <c r="N25" i="134"/>
  <c r="L25" i="134"/>
  <c r="P24" i="134"/>
  <c r="O24" i="134"/>
  <c r="AC25" i="134"/>
  <c r="AA25" i="134"/>
  <c r="AD24" i="134"/>
  <c r="AE24" i="134"/>
  <c r="P24" i="133"/>
  <c r="O24" i="133"/>
  <c r="AA25" i="133"/>
  <c r="AC25" i="133"/>
  <c r="AD24" i="133"/>
  <c r="AE24" i="133"/>
  <c r="V26" i="133"/>
  <c r="X26" i="133"/>
  <c r="Z25" i="133"/>
  <c r="Y25" i="133"/>
  <c r="S25" i="133"/>
  <c r="Q25" i="133"/>
  <c r="U24" i="133"/>
  <c r="T24" i="133"/>
  <c r="N25" i="133"/>
  <c r="L25" i="133"/>
  <c r="S25" i="132"/>
  <c r="Q25" i="132"/>
  <c r="U24" i="132"/>
  <c r="T24" i="132"/>
  <c r="L25" i="132"/>
  <c r="N25" i="132"/>
  <c r="P24" i="132"/>
  <c r="O24" i="132"/>
  <c r="AC25" i="132"/>
  <c r="AA25" i="132"/>
  <c r="AD24" i="132"/>
  <c r="AE24" i="132"/>
  <c r="X24" i="131"/>
  <c r="V24" i="131"/>
  <c r="Z23" i="131"/>
  <c r="Y23" i="131"/>
  <c r="AC26" i="131"/>
  <c r="AA26" i="131"/>
  <c r="AE25" i="131"/>
  <c r="AD25" i="131"/>
  <c r="N25" i="131"/>
  <c r="L25" i="131"/>
  <c r="P24" i="131"/>
  <c r="O24" i="131"/>
  <c r="S25" i="131"/>
  <c r="Q25" i="131"/>
  <c r="U24" i="131"/>
  <c r="T24" i="131"/>
  <c r="AA25" i="130"/>
  <c r="AC25" i="130"/>
  <c r="AD24" i="130"/>
  <c r="AE24" i="130"/>
  <c r="S25" i="130"/>
  <c r="Q25" i="130"/>
  <c r="U24" i="130"/>
  <c r="T24" i="130"/>
  <c r="V26" i="130"/>
  <c r="X26" i="130"/>
  <c r="Z25" i="130"/>
  <c r="Y25" i="130"/>
  <c r="N25" i="130"/>
  <c r="L25" i="130"/>
  <c r="O24" i="130"/>
  <c r="P24" i="130"/>
  <c r="AD24" i="129"/>
  <c r="AE24" i="129"/>
  <c r="S25" i="129"/>
  <c r="Q25" i="129"/>
  <c r="U24" i="129"/>
  <c r="T24" i="129"/>
  <c r="AA25" i="129"/>
  <c r="AC25" i="129"/>
  <c r="N26" i="129"/>
  <c r="L26" i="129"/>
  <c r="P25" i="129"/>
  <c r="O25" i="129"/>
  <c r="S25" i="128"/>
  <c r="Q25" i="128"/>
  <c r="U24" i="128"/>
  <c r="T24" i="128"/>
  <c r="N25" i="128"/>
  <c r="L25" i="128"/>
  <c r="P24" i="128"/>
  <c r="O24" i="128"/>
  <c r="AC25" i="128"/>
  <c r="AA25" i="128"/>
  <c r="AD24" i="128"/>
  <c r="AE24" i="128"/>
  <c r="AA25" i="127"/>
  <c r="AC25" i="127"/>
  <c r="AD24" i="127"/>
  <c r="AE24" i="127"/>
  <c r="X24" i="127"/>
  <c r="V24" i="127"/>
  <c r="Z23" i="127"/>
  <c r="Y23" i="127"/>
  <c r="N25" i="127"/>
  <c r="L25" i="127"/>
  <c r="O24" i="127"/>
  <c r="P24" i="127"/>
  <c r="U23" i="126"/>
  <c r="T23" i="126"/>
  <c r="S24" i="126"/>
  <c r="Q24" i="126"/>
  <c r="N26" i="126"/>
  <c r="L26" i="126"/>
  <c r="P25" i="126"/>
  <c r="O25" i="126"/>
  <c r="AA25" i="126"/>
  <c r="AC25" i="126"/>
  <c r="AD24" i="126"/>
  <c r="AE24" i="126"/>
  <c r="V26" i="126"/>
  <c r="X26" i="126"/>
  <c r="Z25" i="126"/>
  <c r="Y25" i="126"/>
  <c r="V26" i="125"/>
  <c r="X26" i="125"/>
  <c r="Z25" i="125"/>
  <c r="Y25" i="125"/>
  <c r="S25" i="125"/>
  <c r="Q25" i="125"/>
  <c r="U24" i="125"/>
  <c r="T24" i="125"/>
  <c r="N25" i="125"/>
  <c r="L25" i="125"/>
  <c r="O24" i="125"/>
  <c r="P24" i="125"/>
  <c r="AA25" i="125"/>
  <c r="AC25" i="125"/>
  <c r="AD24" i="125"/>
  <c r="AE24" i="125"/>
  <c r="X24" i="124"/>
  <c r="V24" i="124"/>
  <c r="Z23" i="124"/>
  <c r="Y23" i="124"/>
  <c r="AC26" i="124"/>
  <c r="AA26" i="124"/>
  <c r="AE25" i="124"/>
  <c r="AD25" i="124"/>
  <c r="N25" i="124"/>
  <c r="L25" i="124"/>
  <c r="P24" i="124"/>
  <c r="O24" i="124"/>
  <c r="S25" i="124"/>
  <c r="Q25" i="124"/>
  <c r="U24" i="124"/>
  <c r="T24" i="124"/>
  <c r="U24" i="123"/>
  <c r="T24" i="123"/>
  <c r="S25" i="123"/>
  <c r="Q25" i="123"/>
  <c r="N25" i="123"/>
  <c r="L25" i="123"/>
  <c r="O24" i="123"/>
  <c r="P24" i="123"/>
  <c r="AC25" i="123"/>
  <c r="AA25" i="123"/>
  <c r="AD24" i="123"/>
  <c r="AE24" i="123"/>
  <c r="S25" i="122"/>
  <c r="Q25" i="122"/>
  <c r="U24" i="122"/>
  <c r="T24" i="122"/>
  <c r="N25" i="122"/>
  <c r="L25" i="122"/>
  <c r="P24" i="122"/>
  <c r="O24" i="122"/>
  <c r="AC25" i="122"/>
  <c r="AA25" i="122"/>
  <c r="AD24" i="122"/>
  <c r="AE24" i="122"/>
  <c r="V26" i="119"/>
  <c r="X26" i="119"/>
  <c r="Z25" i="119"/>
  <c r="Y25" i="119"/>
  <c r="S25" i="119"/>
  <c r="Q25" i="119"/>
  <c r="U24" i="119"/>
  <c r="T24" i="119"/>
  <c r="N25" i="119"/>
  <c r="L25" i="119"/>
  <c r="P24" i="119"/>
  <c r="O24" i="119"/>
  <c r="AC25" i="119"/>
  <c r="AA25" i="119"/>
  <c r="AD24" i="119"/>
  <c r="AE24" i="119"/>
  <c r="V26" i="118"/>
  <c r="X26" i="118"/>
  <c r="Z25" i="118"/>
  <c r="Y25" i="118"/>
  <c r="U23" i="118"/>
  <c r="T23" i="118"/>
  <c r="S24" i="118"/>
  <c r="Q24" i="118"/>
  <c r="AA25" i="118"/>
  <c r="AC25" i="118"/>
  <c r="AD24" i="118"/>
  <c r="AE24" i="118"/>
  <c r="N25" i="118"/>
  <c r="L25" i="118"/>
  <c r="O24" i="118"/>
  <c r="P24" i="118"/>
  <c r="AD24" i="117"/>
  <c r="AE24" i="117"/>
  <c r="X24" i="117"/>
  <c r="V24" i="117"/>
  <c r="Z23" i="117"/>
  <c r="Y23" i="117"/>
  <c r="S25" i="117"/>
  <c r="Q25" i="117"/>
  <c r="U24" i="117"/>
  <c r="T24" i="117"/>
  <c r="AC25" i="117"/>
  <c r="AA25" i="117"/>
  <c r="N25" i="117"/>
  <c r="L25" i="117"/>
  <c r="P24" i="117"/>
  <c r="O24" i="117"/>
  <c r="S25" i="116"/>
  <c r="Q25" i="116"/>
  <c r="U24" i="116"/>
  <c r="T24" i="116"/>
  <c r="N25" i="116"/>
  <c r="L25" i="116"/>
  <c r="AC25" i="116"/>
  <c r="AA25" i="116"/>
  <c r="P24" i="116"/>
  <c r="O24" i="116"/>
  <c r="AD24" i="116"/>
  <c r="AE24" i="116"/>
  <c r="Q25" i="115"/>
  <c r="S25" i="115"/>
  <c r="V26" i="115"/>
  <c r="X26" i="115"/>
  <c r="Z25" i="115"/>
  <c r="Y25" i="115"/>
  <c r="U24" i="115"/>
  <c r="T24" i="115"/>
  <c r="X24" i="114"/>
  <c r="V24" i="114"/>
  <c r="Z23" i="114"/>
  <c r="Y23" i="114"/>
  <c r="AC25" i="114"/>
  <c r="AA25" i="114"/>
  <c r="AD24" i="114"/>
  <c r="AE24" i="114"/>
  <c r="S25" i="114"/>
  <c r="Q25" i="114"/>
  <c r="U24" i="114"/>
  <c r="T24" i="114"/>
  <c r="N25" i="114"/>
  <c r="L25" i="114"/>
  <c r="P24" i="114"/>
  <c r="O24" i="114"/>
  <c r="U24" i="113"/>
  <c r="T24" i="113"/>
  <c r="N25" i="113"/>
  <c r="L25" i="113"/>
  <c r="P24" i="113"/>
  <c r="O24" i="113"/>
  <c r="Q25" i="113"/>
  <c r="S25" i="113"/>
  <c r="AA26" i="113"/>
  <c r="AC26" i="113"/>
  <c r="AE25" i="113"/>
  <c r="AD25" i="113"/>
  <c r="O24" i="112"/>
  <c r="P24" i="112"/>
  <c r="AA25" i="112"/>
  <c r="AC25" i="112"/>
  <c r="N25" i="112"/>
  <c r="L25" i="112"/>
  <c r="AD24" i="112"/>
  <c r="AE24" i="112"/>
  <c r="S25" i="112"/>
  <c r="Q25" i="112"/>
  <c r="U24" i="112"/>
  <c r="T24" i="112"/>
  <c r="S25" i="111"/>
  <c r="Q25" i="111"/>
  <c r="U24" i="111"/>
  <c r="T24" i="111"/>
  <c r="AC26" i="111"/>
  <c r="AA26" i="111"/>
  <c r="AE25" i="111"/>
  <c r="AD25" i="111"/>
  <c r="N25" i="111"/>
  <c r="L25" i="111"/>
  <c r="P24" i="111"/>
  <c r="O24" i="111"/>
  <c r="S25" i="110"/>
  <c r="Q25" i="110"/>
  <c r="U24" i="110"/>
  <c r="T24" i="110"/>
  <c r="AC25" i="110"/>
  <c r="AA25" i="110"/>
  <c r="AD24" i="110"/>
  <c r="AE24" i="110"/>
  <c r="N25" i="110"/>
  <c r="L25" i="110"/>
  <c r="P24" i="110"/>
  <c r="O24" i="110"/>
  <c r="S25" i="109"/>
  <c r="Q25" i="109"/>
  <c r="U24" i="109"/>
  <c r="T24" i="109"/>
  <c r="N25" i="109"/>
  <c r="L25" i="109"/>
  <c r="P24" i="109"/>
  <c r="O24" i="109"/>
  <c r="AC25" i="109"/>
  <c r="AA25" i="109"/>
  <c r="AD24" i="109"/>
  <c r="AE24" i="109"/>
  <c r="N25" i="108"/>
  <c r="L25" i="108"/>
  <c r="P24" i="108"/>
  <c r="O24" i="108"/>
  <c r="S25" i="108"/>
  <c r="Q25" i="108"/>
  <c r="U24" i="108"/>
  <c r="T24" i="108"/>
  <c r="AC25" i="107"/>
  <c r="AA25" i="107"/>
  <c r="AD24" i="107"/>
  <c r="AE24" i="107"/>
  <c r="V26" i="107"/>
  <c r="X26" i="107"/>
  <c r="Z25" i="107"/>
  <c r="Y25" i="107"/>
  <c r="U24" i="107"/>
  <c r="T24" i="107"/>
  <c r="S25" i="107"/>
  <c r="Q25" i="107"/>
  <c r="AA25" i="106"/>
  <c r="AC25" i="106"/>
  <c r="AD24" i="106"/>
  <c r="AE24" i="106"/>
  <c r="S25" i="106"/>
  <c r="Q25" i="106"/>
  <c r="U24" i="106"/>
  <c r="T24" i="106"/>
  <c r="N25" i="106"/>
  <c r="L25" i="106"/>
  <c r="O24" i="106"/>
  <c r="P24" i="106"/>
  <c r="U24" i="105"/>
  <c r="T24" i="105"/>
  <c r="S25" i="105"/>
  <c r="Q25" i="105"/>
  <c r="AC25" i="105"/>
  <c r="AA25" i="105"/>
  <c r="AD24" i="105"/>
  <c r="AE24" i="105"/>
  <c r="N25" i="105"/>
  <c r="L25" i="105"/>
  <c r="P24" i="105"/>
  <c r="O24" i="105"/>
  <c r="S25" i="104"/>
  <c r="Q25" i="104"/>
  <c r="U24" i="104"/>
  <c r="T24" i="104"/>
  <c r="AC26" i="104"/>
  <c r="AA26" i="104"/>
  <c r="AE25" i="104"/>
  <c r="AD25" i="104"/>
  <c r="N25" i="104"/>
  <c r="L25" i="104"/>
  <c r="P24" i="104"/>
  <c r="O24" i="104"/>
  <c r="U24" i="103"/>
  <c r="T24" i="103"/>
  <c r="S25" i="103"/>
  <c r="Q25" i="103"/>
  <c r="L25" i="103"/>
  <c r="N25" i="103"/>
  <c r="O24" i="103"/>
  <c r="P24" i="103"/>
  <c r="AC25" i="103"/>
  <c r="AA25" i="103"/>
  <c r="AD24" i="103"/>
  <c r="AE24" i="103"/>
  <c r="P24" i="53"/>
  <c r="O24" i="53"/>
  <c r="X24" i="53"/>
  <c r="V24" i="53"/>
  <c r="L25" i="53"/>
  <c r="N25" i="53"/>
  <c r="AE24" i="53"/>
  <c r="AD24" i="53"/>
  <c r="U24" i="53"/>
  <c r="T24" i="53"/>
  <c r="Y23" i="53"/>
  <c r="Z23" i="53"/>
  <c r="AA25" i="53"/>
  <c r="AC25" i="53"/>
  <c r="Q25" i="53"/>
  <c r="S25" i="53"/>
  <c r="AD17" i="121" l="1"/>
  <c r="U23" i="127"/>
  <c r="T23" i="127"/>
  <c r="AA17" i="121"/>
  <c r="AC18" i="121" s="1"/>
  <c r="S24" i="127"/>
  <c r="Q24" i="127"/>
  <c r="Q24" i="151"/>
  <c r="S24" i="151"/>
  <c r="U23" i="151"/>
  <c r="T23" i="151"/>
  <c r="X17" i="120"/>
  <c r="Z17" i="120" s="1"/>
  <c r="AC17" i="120"/>
  <c r="AE17" i="120" s="1"/>
  <c r="V18" i="121"/>
  <c r="X18" i="121"/>
  <c r="AA18" i="121"/>
  <c r="X18" i="120"/>
  <c r="Y18" i="120" s="1"/>
  <c r="AA17" i="120"/>
  <c r="AA18" i="120" s="1"/>
  <c r="AA19" i="120" s="1"/>
  <c r="AA20" i="120" s="1"/>
  <c r="AA21" i="120" s="1"/>
  <c r="AA22" i="120" s="1"/>
  <c r="AA23" i="120" s="1"/>
  <c r="AA24" i="120" s="1"/>
  <c r="X19" i="120"/>
  <c r="Q525" i="152"/>
  <c r="X20" i="120"/>
  <c r="X21" i="120"/>
  <c r="V21" i="120"/>
  <c r="AD24" i="135"/>
  <c r="AE24" i="135"/>
  <c r="AC25" i="135"/>
  <c r="AA25" i="135"/>
  <c r="AK19" i="152"/>
  <c r="V18" i="152"/>
  <c r="V25" i="141"/>
  <c r="X25" i="141"/>
  <c r="Z24" i="141"/>
  <c r="Y24" i="141"/>
  <c r="P24" i="139"/>
  <c r="O24" i="139"/>
  <c r="V25" i="105"/>
  <c r="X25" i="105"/>
  <c r="X25" i="128"/>
  <c r="V25" i="128"/>
  <c r="X25" i="112"/>
  <c r="V25" i="112"/>
  <c r="L25" i="107"/>
  <c r="N25" i="107"/>
  <c r="X25" i="123"/>
  <c r="V25" i="123"/>
  <c r="Y24" i="128"/>
  <c r="Z24" i="128"/>
  <c r="Z24" i="112"/>
  <c r="Y24" i="112"/>
  <c r="O24" i="107"/>
  <c r="P24" i="107"/>
  <c r="Z24" i="123"/>
  <c r="Y24" i="123"/>
  <c r="Y24" i="109"/>
  <c r="Z24" i="109"/>
  <c r="X25" i="147"/>
  <c r="V25" i="147"/>
  <c r="X25" i="142"/>
  <c r="V25" i="142"/>
  <c r="V25" i="106"/>
  <c r="X25" i="106"/>
  <c r="V25" i="109"/>
  <c r="X25" i="109"/>
  <c r="Z24" i="147"/>
  <c r="Y24" i="147"/>
  <c r="Z24" i="142"/>
  <c r="Y24" i="142"/>
  <c r="Z24" i="106"/>
  <c r="Y24" i="106"/>
  <c r="X25" i="146"/>
  <c r="V25" i="146"/>
  <c r="Z24" i="146"/>
  <c r="Y24" i="146"/>
  <c r="AC25" i="108"/>
  <c r="AA25" i="108"/>
  <c r="X25" i="144"/>
  <c r="V25" i="144"/>
  <c r="X25" i="122"/>
  <c r="V25" i="122"/>
  <c r="X25" i="108"/>
  <c r="V25" i="108"/>
  <c r="AD24" i="108"/>
  <c r="AE24" i="108"/>
  <c r="Z24" i="144"/>
  <c r="Y24" i="144"/>
  <c r="Z24" i="122"/>
  <c r="Y24" i="122"/>
  <c r="Z24" i="108"/>
  <c r="Y24" i="108"/>
  <c r="Z24" i="103"/>
  <c r="Y24" i="103"/>
  <c r="X25" i="135"/>
  <c r="V25" i="135"/>
  <c r="X25" i="132"/>
  <c r="V25" i="132"/>
  <c r="X25" i="103"/>
  <c r="V25" i="103"/>
  <c r="Z24" i="135"/>
  <c r="Y24" i="135"/>
  <c r="Z24" i="132"/>
  <c r="Y24" i="132"/>
  <c r="Y24" i="105"/>
  <c r="Z24" i="105"/>
  <c r="Z24" i="136"/>
  <c r="Y24" i="136"/>
  <c r="X25" i="113"/>
  <c r="V25" i="113"/>
  <c r="Y24" i="104"/>
  <c r="Z24" i="104"/>
  <c r="X25" i="150"/>
  <c r="V25" i="150"/>
  <c r="X25" i="129"/>
  <c r="V25" i="129"/>
  <c r="N25" i="115"/>
  <c r="L25" i="115"/>
  <c r="X25" i="138"/>
  <c r="V25" i="138"/>
  <c r="N25" i="139"/>
  <c r="L25" i="139"/>
  <c r="X25" i="136"/>
  <c r="V25" i="136"/>
  <c r="Z24" i="113"/>
  <c r="Y24" i="113"/>
  <c r="X25" i="104"/>
  <c r="V25" i="104"/>
  <c r="Z24" i="150"/>
  <c r="Y24" i="150"/>
  <c r="Z24" i="129"/>
  <c r="Y24" i="129"/>
  <c r="P24" i="115"/>
  <c r="O24" i="115"/>
  <c r="Z24" i="138"/>
  <c r="Y24" i="138"/>
  <c r="X25" i="116"/>
  <c r="V25" i="116"/>
  <c r="X25" i="110"/>
  <c r="V25" i="110"/>
  <c r="X25" i="111"/>
  <c r="V25" i="111"/>
  <c r="AC25" i="115"/>
  <c r="AA25" i="115"/>
  <c r="Y24" i="116"/>
  <c r="Z24" i="116"/>
  <c r="Y24" i="110"/>
  <c r="Z24" i="110"/>
  <c r="Z24" i="111"/>
  <c r="Y24" i="111"/>
  <c r="AD24" i="115"/>
  <c r="AE24" i="115"/>
  <c r="N26" i="151"/>
  <c r="L26" i="151"/>
  <c r="P25" i="151"/>
  <c r="O25" i="151"/>
  <c r="AC26" i="151"/>
  <c r="AA26" i="151"/>
  <c r="AE25" i="151"/>
  <c r="AD25" i="151"/>
  <c r="X25" i="151"/>
  <c r="V25" i="151"/>
  <c r="Z24" i="151"/>
  <c r="Y24" i="151"/>
  <c r="AC26" i="150"/>
  <c r="AA26" i="150"/>
  <c r="P26" i="150"/>
  <c r="O26" i="150"/>
  <c r="E31" i="150" s="1"/>
  <c r="F31" i="150" s="1"/>
  <c r="AE25" i="150"/>
  <c r="AD25" i="150"/>
  <c r="S26" i="150"/>
  <c r="Q26" i="150"/>
  <c r="U25" i="150"/>
  <c r="T25" i="150"/>
  <c r="S26" i="149"/>
  <c r="Q26" i="149"/>
  <c r="U25" i="149"/>
  <c r="T25" i="149"/>
  <c r="N26" i="149"/>
  <c r="L26" i="149"/>
  <c r="P25" i="149"/>
  <c r="O25" i="149"/>
  <c r="Z26" i="149"/>
  <c r="Y26" i="149"/>
  <c r="E33" i="149" s="1"/>
  <c r="F33" i="149" s="1"/>
  <c r="AE25" i="149"/>
  <c r="AD25" i="149"/>
  <c r="AC26" i="149"/>
  <c r="AA26" i="149"/>
  <c r="AC26" i="148"/>
  <c r="AA26" i="148"/>
  <c r="P25" i="148"/>
  <c r="O25" i="148"/>
  <c r="N26" i="148"/>
  <c r="L26" i="148"/>
  <c r="AE25" i="148"/>
  <c r="AD25" i="148"/>
  <c r="Y26" i="148"/>
  <c r="E33" i="148" s="1"/>
  <c r="F33" i="148" s="1"/>
  <c r="Z26" i="148"/>
  <c r="U25" i="148"/>
  <c r="T25" i="148"/>
  <c r="S26" i="148"/>
  <c r="Q26" i="148"/>
  <c r="P25" i="147"/>
  <c r="O25" i="147"/>
  <c r="AC26" i="147"/>
  <c r="AA26" i="147"/>
  <c r="AE25" i="147"/>
  <c r="AD25" i="147"/>
  <c r="S26" i="147"/>
  <c r="Q26" i="147"/>
  <c r="U25" i="147"/>
  <c r="T25" i="147"/>
  <c r="N26" i="147"/>
  <c r="L26" i="147"/>
  <c r="U25" i="146"/>
  <c r="T25" i="146"/>
  <c r="AC26" i="146"/>
  <c r="AA26" i="146"/>
  <c r="S26" i="146"/>
  <c r="Q26" i="146"/>
  <c r="AE25" i="146"/>
  <c r="AD25" i="146"/>
  <c r="N26" i="146"/>
  <c r="L26" i="146"/>
  <c r="O25" i="146"/>
  <c r="P25" i="146"/>
  <c r="Y26" i="145"/>
  <c r="E33" i="145" s="1"/>
  <c r="F33" i="145" s="1"/>
  <c r="Z26" i="145"/>
  <c r="AE25" i="145"/>
  <c r="AD25" i="145"/>
  <c r="N26" i="145"/>
  <c r="L26" i="145"/>
  <c r="P25" i="145"/>
  <c r="O25" i="145"/>
  <c r="S26" i="145"/>
  <c r="Q26" i="145"/>
  <c r="U25" i="145"/>
  <c r="T25" i="145"/>
  <c r="AC26" i="145"/>
  <c r="AA26" i="145"/>
  <c r="U25" i="144"/>
  <c r="T25" i="144"/>
  <c r="AE25" i="144"/>
  <c r="AD25" i="144"/>
  <c r="AC26" i="144"/>
  <c r="AA26" i="144"/>
  <c r="O25" i="144"/>
  <c r="P25" i="144"/>
  <c r="S26" i="144"/>
  <c r="Q26" i="144"/>
  <c r="N26" i="144"/>
  <c r="L26" i="144"/>
  <c r="Z26" i="143"/>
  <c r="Y26" i="143"/>
  <c r="E33" i="143" s="1"/>
  <c r="F33" i="143" s="1"/>
  <c r="U25" i="143"/>
  <c r="T25" i="143"/>
  <c r="AE26" i="143"/>
  <c r="AD26" i="143"/>
  <c r="E34" i="143" s="1"/>
  <c r="F34" i="143" s="1"/>
  <c r="S26" i="143"/>
  <c r="Q26" i="143"/>
  <c r="N26" i="143"/>
  <c r="L26" i="143"/>
  <c r="P25" i="143"/>
  <c r="O25" i="143"/>
  <c r="U25" i="142"/>
  <c r="T25" i="142"/>
  <c r="AC26" i="142"/>
  <c r="AA26" i="142"/>
  <c r="AE25" i="142"/>
  <c r="AD25" i="142"/>
  <c r="S26" i="142"/>
  <c r="Q26" i="142"/>
  <c r="N26" i="142"/>
  <c r="L26" i="142"/>
  <c r="P25" i="142"/>
  <c r="O25" i="142"/>
  <c r="N26" i="141"/>
  <c r="L26" i="141"/>
  <c r="P25" i="141"/>
  <c r="O25" i="141"/>
  <c r="AC26" i="141"/>
  <c r="AA26" i="141"/>
  <c r="AE25" i="141"/>
  <c r="AD25" i="141"/>
  <c r="S26" i="141"/>
  <c r="Q26" i="141"/>
  <c r="U25" i="141"/>
  <c r="T25" i="141"/>
  <c r="AC26" i="140"/>
  <c r="AA26" i="140"/>
  <c r="AE25" i="140"/>
  <c r="AD25" i="140"/>
  <c r="S26" i="140"/>
  <c r="Q26" i="140"/>
  <c r="U25" i="140"/>
  <c r="T25" i="140"/>
  <c r="N26" i="140"/>
  <c r="L26" i="140"/>
  <c r="P25" i="140"/>
  <c r="O25" i="140"/>
  <c r="X25" i="140"/>
  <c r="V25" i="140"/>
  <c r="Z24" i="140"/>
  <c r="Y24" i="140"/>
  <c r="Z24" i="139"/>
  <c r="Y24" i="139"/>
  <c r="X25" i="139"/>
  <c r="V25" i="139"/>
  <c r="S26" i="139"/>
  <c r="Q26" i="139"/>
  <c r="U25" i="139"/>
  <c r="T25" i="139"/>
  <c r="AC26" i="139"/>
  <c r="AA26" i="139"/>
  <c r="AE25" i="139"/>
  <c r="AD25" i="139"/>
  <c r="AC26" i="138"/>
  <c r="AA26" i="138"/>
  <c r="AE25" i="138"/>
  <c r="AD25" i="138"/>
  <c r="N26" i="138"/>
  <c r="L26" i="138"/>
  <c r="P25" i="138"/>
  <c r="O25" i="138"/>
  <c r="S26" i="138"/>
  <c r="Q26" i="138"/>
  <c r="U25" i="138"/>
  <c r="T25" i="138"/>
  <c r="AE25" i="137"/>
  <c r="AD25" i="137"/>
  <c r="AC26" i="137"/>
  <c r="AA26" i="137"/>
  <c r="Z26" i="137"/>
  <c r="Y26" i="137"/>
  <c r="E33" i="137" s="1"/>
  <c r="F33" i="137" s="1"/>
  <c r="N26" i="137"/>
  <c r="L26" i="137"/>
  <c r="P25" i="137"/>
  <c r="O25" i="137"/>
  <c r="S26" i="137"/>
  <c r="Q26" i="137"/>
  <c r="U25" i="137"/>
  <c r="T25" i="137"/>
  <c r="AC26" i="136"/>
  <c r="AA26" i="136"/>
  <c r="AE25" i="136"/>
  <c r="AD25" i="136"/>
  <c r="S26" i="136"/>
  <c r="Q26" i="136"/>
  <c r="U25" i="136"/>
  <c r="T25" i="136"/>
  <c r="P26" i="136"/>
  <c r="O26" i="136"/>
  <c r="E31" i="136" s="1"/>
  <c r="F31" i="136" s="1"/>
  <c r="N26" i="135"/>
  <c r="L26" i="135"/>
  <c r="P25" i="135"/>
  <c r="O25" i="135"/>
  <c r="S26" i="135"/>
  <c r="Q26" i="135"/>
  <c r="U25" i="135"/>
  <c r="T25" i="135"/>
  <c r="AC26" i="134"/>
  <c r="AA26" i="134"/>
  <c r="AE25" i="134"/>
  <c r="AD25" i="134"/>
  <c r="N26" i="134"/>
  <c r="L26" i="134"/>
  <c r="P25" i="134"/>
  <c r="O25" i="134"/>
  <c r="S26" i="134"/>
  <c r="Q26" i="134"/>
  <c r="U25" i="134"/>
  <c r="T25" i="134"/>
  <c r="Z26" i="134"/>
  <c r="Y26" i="134"/>
  <c r="E33" i="134" s="1"/>
  <c r="F33" i="134" s="1"/>
  <c r="S26" i="133"/>
  <c r="Q26" i="133"/>
  <c r="N26" i="133"/>
  <c r="L26" i="133"/>
  <c r="U25" i="133"/>
  <c r="T25" i="133"/>
  <c r="P25" i="133"/>
  <c r="O25" i="133"/>
  <c r="Y26" i="133"/>
  <c r="E33" i="133" s="1"/>
  <c r="F33" i="133" s="1"/>
  <c r="Z26" i="133"/>
  <c r="AE25" i="133"/>
  <c r="AD25" i="133"/>
  <c r="AC26" i="133"/>
  <c r="AA26" i="133"/>
  <c r="AC26" i="132"/>
  <c r="AA26" i="132"/>
  <c r="AE25" i="132"/>
  <c r="AD25" i="132"/>
  <c r="P25" i="132"/>
  <c r="O25" i="132"/>
  <c r="N26" i="132"/>
  <c r="L26" i="132"/>
  <c r="S26" i="132"/>
  <c r="Q26" i="132"/>
  <c r="U25" i="132"/>
  <c r="T25" i="132"/>
  <c r="S26" i="131"/>
  <c r="Q26" i="131"/>
  <c r="U25" i="131"/>
  <c r="T25" i="131"/>
  <c r="N26" i="131"/>
  <c r="L26" i="131"/>
  <c r="P25" i="131"/>
  <c r="O25" i="131"/>
  <c r="AE26" i="131"/>
  <c r="AD26" i="131"/>
  <c r="E34" i="131" s="1"/>
  <c r="F34" i="131" s="1"/>
  <c r="X25" i="131"/>
  <c r="V25" i="131"/>
  <c r="Z24" i="131"/>
  <c r="Y24" i="131"/>
  <c r="N26" i="130"/>
  <c r="L26" i="130"/>
  <c r="P25" i="130"/>
  <c r="O25" i="130"/>
  <c r="Z26" i="130"/>
  <c r="Y26" i="130"/>
  <c r="E33" i="130" s="1"/>
  <c r="F33" i="130" s="1"/>
  <c r="S26" i="130"/>
  <c r="Q26" i="130"/>
  <c r="U25" i="130"/>
  <c r="T25" i="130"/>
  <c r="AE25" i="130"/>
  <c r="AD25" i="130"/>
  <c r="AC26" i="130"/>
  <c r="AA26" i="130"/>
  <c r="P26" i="129"/>
  <c r="O26" i="129"/>
  <c r="E31" i="129" s="1"/>
  <c r="F31" i="129" s="1"/>
  <c r="AE25" i="129"/>
  <c r="AD25" i="129"/>
  <c r="AC26" i="129"/>
  <c r="AA26" i="129"/>
  <c r="S26" i="129"/>
  <c r="Q26" i="129"/>
  <c r="U25" i="129"/>
  <c r="T25" i="129"/>
  <c r="AC26" i="128"/>
  <c r="AA26" i="128"/>
  <c r="AE25" i="128"/>
  <c r="AD25" i="128"/>
  <c r="N26" i="128"/>
  <c r="L26" i="128"/>
  <c r="P25" i="128"/>
  <c r="O25" i="128"/>
  <c r="S26" i="128"/>
  <c r="Q26" i="128"/>
  <c r="U25" i="128"/>
  <c r="T25" i="128"/>
  <c r="N26" i="127"/>
  <c r="L26" i="127"/>
  <c r="P25" i="127"/>
  <c r="O25" i="127"/>
  <c r="X25" i="127"/>
  <c r="V25" i="127"/>
  <c r="Z24" i="127"/>
  <c r="Y24" i="127"/>
  <c r="AE25" i="127"/>
  <c r="AD25" i="127"/>
  <c r="AC26" i="127"/>
  <c r="AA26" i="127"/>
  <c r="Z26" i="126"/>
  <c r="Y26" i="126"/>
  <c r="E33" i="126" s="1"/>
  <c r="F33" i="126" s="1"/>
  <c r="AE25" i="126"/>
  <c r="AD25" i="126"/>
  <c r="AC26" i="126"/>
  <c r="AA26" i="126"/>
  <c r="P26" i="126"/>
  <c r="O26" i="126"/>
  <c r="E31" i="126" s="1"/>
  <c r="F31" i="126" s="1"/>
  <c r="S25" i="126"/>
  <c r="Q25" i="126"/>
  <c r="U24" i="126"/>
  <c r="T24" i="126"/>
  <c r="AE25" i="125"/>
  <c r="AD25" i="125"/>
  <c r="AC26" i="125"/>
  <c r="AA26" i="125"/>
  <c r="N26" i="125"/>
  <c r="L26" i="125"/>
  <c r="P25" i="125"/>
  <c r="O25" i="125"/>
  <c r="S26" i="125"/>
  <c r="Q26" i="125"/>
  <c r="U25" i="125"/>
  <c r="T25" i="125"/>
  <c r="Z26" i="125"/>
  <c r="Y26" i="125"/>
  <c r="E33" i="125" s="1"/>
  <c r="F33" i="125" s="1"/>
  <c r="S26" i="124"/>
  <c r="Q26" i="124"/>
  <c r="U25" i="124"/>
  <c r="T25" i="124"/>
  <c r="P25" i="124"/>
  <c r="O25" i="124"/>
  <c r="AE26" i="124"/>
  <c r="AD26" i="124"/>
  <c r="E34" i="124" s="1"/>
  <c r="F34" i="124" s="1"/>
  <c r="N26" i="124"/>
  <c r="L26" i="124"/>
  <c r="X25" i="124"/>
  <c r="V25" i="124"/>
  <c r="Z24" i="124"/>
  <c r="Y24" i="124"/>
  <c r="AC26" i="123"/>
  <c r="AA26" i="123"/>
  <c r="AE25" i="123"/>
  <c r="AD25" i="123"/>
  <c r="N26" i="123"/>
  <c r="L26" i="123"/>
  <c r="P25" i="123"/>
  <c r="O25" i="123"/>
  <c r="S26" i="123"/>
  <c r="Q26" i="123"/>
  <c r="U25" i="123"/>
  <c r="T25" i="123"/>
  <c r="AC26" i="122"/>
  <c r="AA26" i="122"/>
  <c r="AE25" i="122"/>
  <c r="AD25" i="122"/>
  <c r="N26" i="122"/>
  <c r="L26" i="122"/>
  <c r="P25" i="122"/>
  <c r="O25" i="122"/>
  <c r="S26" i="122"/>
  <c r="Q26" i="122"/>
  <c r="U25" i="122"/>
  <c r="T25" i="122"/>
  <c r="AC26" i="119"/>
  <c r="AA26" i="119"/>
  <c r="AE25" i="119"/>
  <c r="AD25" i="119"/>
  <c r="N26" i="119"/>
  <c r="L26" i="119"/>
  <c r="P25" i="119"/>
  <c r="O25" i="119"/>
  <c r="S26" i="119"/>
  <c r="Q26" i="119"/>
  <c r="U25" i="119"/>
  <c r="T25" i="119"/>
  <c r="Z26" i="119"/>
  <c r="Y26" i="119"/>
  <c r="E33" i="119" s="1"/>
  <c r="F33" i="119" s="1"/>
  <c r="P25" i="118"/>
  <c r="O25" i="118"/>
  <c r="AE25" i="118"/>
  <c r="AD25" i="118"/>
  <c r="AC26" i="118"/>
  <c r="AA26" i="118"/>
  <c r="S25" i="118"/>
  <c r="Q25" i="118"/>
  <c r="U24" i="118"/>
  <c r="T24" i="118"/>
  <c r="Z26" i="118"/>
  <c r="Y26" i="118"/>
  <c r="E33" i="118" s="1"/>
  <c r="F33" i="118" s="1"/>
  <c r="N26" i="118"/>
  <c r="L26" i="118"/>
  <c r="N26" i="117"/>
  <c r="L26" i="117"/>
  <c r="P25" i="117"/>
  <c r="O25" i="117"/>
  <c r="AC26" i="117"/>
  <c r="AA26" i="117"/>
  <c r="AE25" i="117"/>
  <c r="AD25" i="117"/>
  <c r="S26" i="117"/>
  <c r="Q26" i="117"/>
  <c r="U25" i="117"/>
  <c r="T25" i="117"/>
  <c r="X25" i="117"/>
  <c r="V25" i="117"/>
  <c r="Z24" i="117"/>
  <c r="Y24" i="117"/>
  <c r="AC26" i="116"/>
  <c r="AA26" i="116"/>
  <c r="AE25" i="116"/>
  <c r="AD25" i="116"/>
  <c r="N26" i="116"/>
  <c r="L26" i="116"/>
  <c r="P25" i="116"/>
  <c r="O25" i="116"/>
  <c r="S26" i="116"/>
  <c r="Q26" i="116"/>
  <c r="U25" i="116"/>
  <c r="T25" i="116"/>
  <c r="Y26" i="115"/>
  <c r="E33" i="115" s="1"/>
  <c r="F33" i="115" s="1"/>
  <c r="Z26" i="115"/>
  <c r="U25" i="115"/>
  <c r="T25" i="115"/>
  <c r="S26" i="115"/>
  <c r="Q26" i="115"/>
  <c r="N26" i="114"/>
  <c r="L26" i="114"/>
  <c r="P25" i="114"/>
  <c r="O25" i="114"/>
  <c r="S26" i="114"/>
  <c r="Q26" i="114"/>
  <c r="U25" i="114"/>
  <c r="T25" i="114"/>
  <c r="AC26" i="114"/>
  <c r="AA26" i="114"/>
  <c r="AE25" i="114"/>
  <c r="AD25" i="114"/>
  <c r="X25" i="114"/>
  <c r="V25" i="114"/>
  <c r="Z24" i="114"/>
  <c r="Y24" i="114"/>
  <c r="AE26" i="113"/>
  <c r="AD26" i="113"/>
  <c r="E34" i="113" s="1"/>
  <c r="F34" i="113" s="1"/>
  <c r="U25" i="113"/>
  <c r="T25" i="113"/>
  <c r="S26" i="113"/>
  <c r="Q26" i="113"/>
  <c r="N26" i="113"/>
  <c r="L26" i="113"/>
  <c r="P25" i="113"/>
  <c r="O25" i="113"/>
  <c r="U25" i="112"/>
  <c r="T25" i="112"/>
  <c r="N26" i="112"/>
  <c r="L26" i="112"/>
  <c r="P25" i="112"/>
  <c r="O25" i="112"/>
  <c r="S26" i="112"/>
  <c r="Q26" i="112"/>
  <c r="AD25" i="112"/>
  <c r="AE25" i="112"/>
  <c r="AC26" i="112"/>
  <c r="AA26" i="112"/>
  <c r="N26" i="111"/>
  <c r="L26" i="111"/>
  <c r="P25" i="111"/>
  <c r="O25" i="111"/>
  <c r="AE26" i="111"/>
  <c r="AD26" i="111"/>
  <c r="E34" i="111" s="1"/>
  <c r="F34" i="111" s="1"/>
  <c r="S26" i="111"/>
  <c r="Q26" i="111"/>
  <c r="U25" i="111"/>
  <c r="T25" i="111"/>
  <c r="N26" i="110"/>
  <c r="L26" i="110"/>
  <c r="P25" i="110"/>
  <c r="O25" i="110"/>
  <c r="AC26" i="110"/>
  <c r="AA26" i="110"/>
  <c r="AE25" i="110"/>
  <c r="AD25" i="110"/>
  <c r="S26" i="110"/>
  <c r="Q26" i="110"/>
  <c r="U25" i="110"/>
  <c r="T25" i="110"/>
  <c r="AC26" i="109"/>
  <c r="AA26" i="109"/>
  <c r="AE25" i="109"/>
  <c r="AD25" i="109"/>
  <c r="N26" i="109"/>
  <c r="L26" i="109"/>
  <c r="P25" i="109"/>
  <c r="O25" i="109"/>
  <c r="S26" i="109"/>
  <c r="Q26" i="109"/>
  <c r="U25" i="109"/>
  <c r="T25" i="109"/>
  <c r="S26" i="108"/>
  <c r="Q26" i="108"/>
  <c r="U25" i="108"/>
  <c r="T25" i="108"/>
  <c r="N26" i="108"/>
  <c r="L26" i="108"/>
  <c r="P25" i="108"/>
  <c r="O25" i="108"/>
  <c r="S26" i="107"/>
  <c r="Q26" i="107"/>
  <c r="U25" i="107"/>
  <c r="T25" i="107"/>
  <c r="Y26" i="107"/>
  <c r="E33" i="107" s="1"/>
  <c r="F33" i="107" s="1"/>
  <c r="Z26" i="107"/>
  <c r="AC26" i="107"/>
  <c r="AA26" i="107"/>
  <c r="AE25" i="107"/>
  <c r="AD25" i="107"/>
  <c r="N26" i="106"/>
  <c r="L26" i="106"/>
  <c r="P25" i="106"/>
  <c r="O25" i="106"/>
  <c r="S26" i="106"/>
  <c r="Q26" i="106"/>
  <c r="U25" i="106"/>
  <c r="T25" i="106"/>
  <c r="AE25" i="106"/>
  <c r="AD25" i="106"/>
  <c r="AC26" i="106"/>
  <c r="AA26" i="106"/>
  <c r="N26" i="105"/>
  <c r="L26" i="105"/>
  <c r="P25" i="105"/>
  <c r="O25" i="105"/>
  <c r="AE25" i="105"/>
  <c r="AD25" i="105"/>
  <c r="AC26" i="105"/>
  <c r="AA26" i="105"/>
  <c r="S26" i="105"/>
  <c r="Q26" i="105"/>
  <c r="U25" i="105"/>
  <c r="T25" i="105"/>
  <c r="N26" i="104"/>
  <c r="L26" i="104"/>
  <c r="P25" i="104"/>
  <c r="O25" i="104"/>
  <c r="AE26" i="104"/>
  <c r="AD26" i="104"/>
  <c r="E34" i="104" s="1"/>
  <c r="F34" i="104" s="1"/>
  <c r="S26" i="104"/>
  <c r="Q26" i="104"/>
  <c r="U25" i="104"/>
  <c r="T25" i="104"/>
  <c r="AC26" i="103"/>
  <c r="AA26" i="103"/>
  <c r="AE25" i="103"/>
  <c r="AD25" i="103"/>
  <c r="P25" i="103"/>
  <c r="O25" i="103"/>
  <c r="N26" i="103"/>
  <c r="L26" i="103"/>
  <c r="S26" i="103"/>
  <c r="Q26" i="103"/>
  <c r="U25" i="103"/>
  <c r="T25" i="103"/>
  <c r="U25" i="53"/>
  <c r="T25" i="53"/>
  <c r="AC26" i="53"/>
  <c r="AA26" i="53"/>
  <c r="S26" i="53"/>
  <c r="Q26" i="53"/>
  <c r="AE25" i="53"/>
  <c r="AD25" i="53"/>
  <c r="O25" i="53"/>
  <c r="P25" i="53"/>
  <c r="N26" i="53"/>
  <c r="L26" i="53"/>
  <c r="X25" i="53"/>
  <c r="V25" i="53"/>
  <c r="Z24" i="53"/>
  <c r="Y24" i="53"/>
  <c r="AC20" i="120" l="1"/>
  <c r="Y17" i="120"/>
  <c r="U24" i="151"/>
  <c r="T24" i="151"/>
  <c r="S25" i="151"/>
  <c r="Q25" i="151"/>
  <c r="AC18" i="120"/>
  <c r="S25" i="127"/>
  <c r="Q25" i="127"/>
  <c r="AC19" i="120"/>
  <c r="U24" i="127"/>
  <c r="T24" i="127"/>
  <c r="AC23" i="120"/>
  <c r="AE23" i="120" s="1"/>
  <c r="AC21" i="120"/>
  <c r="AD21" i="120" s="1"/>
  <c r="AK20" i="152"/>
  <c r="AK21" i="152" s="1"/>
  <c r="AK22" i="152" s="1"/>
  <c r="AK23" i="152" s="1"/>
  <c r="AK24" i="152" s="1"/>
  <c r="AK25" i="152" s="1"/>
  <c r="AK26" i="152" s="1"/>
  <c r="AK27" i="152" s="1"/>
  <c r="AK28" i="152" s="1"/>
  <c r="AK29" i="152" s="1"/>
  <c r="AK30" i="152" s="1"/>
  <c r="AK31" i="152" s="1"/>
  <c r="AK32" i="152" s="1"/>
  <c r="AK33" i="152" s="1"/>
  <c r="AK34" i="152" s="1"/>
  <c r="AK35" i="152" s="1"/>
  <c r="AK36" i="152" s="1"/>
  <c r="AK37" i="152" s="1"/>
  <c r="AK38" i="152" s="1"/>
  <c r="AK39" i="152" s="1"/>
  <c r="AK40" i="152" s="1"/>
  <c r="AK41" i="152" s="1"/>
  <c r="AK42" i="152" s="1"/>
  <c r="AK43" i="152" s="1"/>
  <c r="AK44" i="152" s="1"/>
  <c r="AK45" i="152" s="1"/>
  <c r="AK46" i="152" s="1"/>
  <c r="AK47" i="152" s="1"/>
  <c r="AK48" i="152" s="1"/>
  <c r="AK49" i="152" s="1"/>
  <c r="AK50" i="152" s="1"/>
  <c r="AK51" i="152" s="1"/>
  <c r="AK52" i="152" s="1"/>
  <c r="AK53" i="152" s="1"/>
  <c r="AK54" i="152" s="1"/>
  <c r="AK55" i="152" s="1"/>
  <c r="AK56" i="152" s="1"/>
  <c r="AK57" i="152" s="1"/>
  <c r="AK58" i="152" s="1"/>
  <c r="AK59" i="152" s="1"/>
  <c r="AK60" i="152" s="1"/>
  <c r="AK61" i="152" s="1"/>
  <c r="AK62" i="152" s="1"/>
  <c r="AK63" i="152" s="1"/>
  <c r="AK64" i="152" s="1"/>
  <c r="AK65" i="152" s="1"/>
  <c r="AK66" i="152" s="1"/>
  <c r="AK67" i="152" s="1"/>
  <c r="AK68" i="152" s="1"/>
  <c r="AK69" i="152" s="1"/>
  <c r="AK70" i="152" s="1"/>
  <c r="AK71" i="152" s="1"/>
  <c r="AK72" i="152" s="1"/>
  <c r="AK73" i="152" s="1"/>
  <c r="AK74" i="152" s="1"/>
  <c r="AK75" i="152" s="1"/>
  <c r="AK76" i="152" s="1"/>
  <c r="AK77" i="152" s="1"/>
  <c r="AK78" i="152" s="1"/>
  <c r="AK79" i="152" s="1"/>
  <c r="AK80" i="152" s="1"/>
  <c r="AK81" i="152" s="1"/>
  <c r="AK82" i="152" s="1"/>
  <c r="AK83" i="152" s="1"/>
  <c r="AK84" i="152" s="1"/>
  <c r="AK85" i="152" s="1"/>
  <c r="AK86" i="152" s="1"/>
  <c r="AK87" i="152" s="1"/>
  <c r="AK88" i="152" s="1"/>
  <c r="AK89" i="152" s="1"/>
  <c r="AK90" i="152" s="1"/>
  <c r="AK91" i="152" s="1"/>
  <c r="AK92" i="152" s="1"/>
  <c r="AK93" i="152" s="1"/>
  <c r="AK94" i="152" s="1"/>
  <c r="AK95" i="152" s="1"/>
  <c r="AK96" i="152" s="1"/>
  <c r="AK97" i="152" s="1"/>
  <c r="AK98" i="152" s="1"/>
  <c r="AK99" i="152" s="1"/>
  <c r="AK100" i="152" s="1"/>
  <c r="AK101" i="152" s="1"/>
  <c r="AK102" i="152" s="1"/>
  <c r="AK103" i="152" s="1"/>
  <c r="AK104" i="152" s="1"/>
  <c r="AK105" i="152" s="1"/>
  <c r="AK106" i="152" s="1"/>
  <c r="AK107" i="152" s="1"/>
  <c r="AK108" i="152" s="1"/>
  <c r="AK109" i="152" s="1"/>
  <c r="AK110" i="152" s="1"/>
  <c r="AK111" i="152" s="1"/>
  <c r="AK112" i="152" s="1"/>
  <c r="AK113" i="152" s="1"/>
  <c r="AK114" i="152" s="1"/>
  <c r="AK115" i="152" s="1"/>
  <c r="AK116" i="152" s="1"/>
  <c r="AK117" i="152" s="1"/>
  <c r="AK118" i="152" s="1"/>
  <c r="AK119" i="152" s="1"/>
  <c r="AK120" i="152" s="1"/>
  <c r="AK121" i="152" s="1"/>
  <c r="AK122" i="152" s="1"/>
  <c r="AK123" i="152" s="1"/>
  <c r="AK124" i="152" s="1"/>
  <c r="AK125" i="152" s="1"/>
  <c r="AK126" i="152" s="1"/>
  <c r="AK127" i="152" s="1"/>
  <c r="AK128" i="152" s="1"/>
  <c r="AK129" i="152" s="1"/>
  <c r="AK130" i="152" s="1"/>
  <c r="AK131" i="152" s="1"/>
  <c r="AK132" i="152" s="1"/>
  <c r="AK133" i="152" s="1"/>
  <c r="AK134" i="152" s="1"/>
  <c r="AK135" i="152" s="1"/>
  <c r="AK136" i="152" s="1"/>
  <c r="AK137" i="152" s="1"/>
  <c r="AK138" i="152" s="1"/>
  <c r="AK139" i="152" s="1"/>
  <c r="AK140" i="152" s="1"/>
  <c r="AK141" i="152" s="1"/>
  <c r="AK142" i="152" s="1"/>
  <c r="AK143" i="152" s="1"/>
  <c r="AK144" i="152" s="1"/>
  <c r="AK145" i="152" s="1"/>
  <c r="AK146" i="152" s="1"/>
  <c r="AK147" i="152" s="1"/>
  <c r="AK148" i="152" s="1"/>
  <c r="AK149" i="152" s="1"/>
  <c r="AK150" i="152" s="1"/>
  <c r="AK151" i="152" s="1"/>
  <c r="AK152" i="152" s="1"/>
  <c r="AK153" i="152" s="1"/>
  <c r="AK154" i="152" s="1"/>
  <c r="AK155" i="152" s="1"/>
  <c r="AK156" i="152" s="1"/>
  <c r="AK157" i="152" s="1"/>
  <c r="AK158" i="152" s="1"/>
  <c r="AK159" i="152" s="1"/>
  <c r="AK160" i="152" s="1"/>
  <c r="AK161" i="152" s="1"/>
  <c r="AK162" i="152" s="1"/>
  <c r="AK163" i="152" s="1"/>
  <c r="AK164" i="152" s="1"/>
  <c r="AK165" i="152" s="1"/>
  <c r="AK166" i="152" s="1"/>
  <c r="AK167" i="152" s="1"/>
  <c r="AK168" i="152" s="1"/>
  <c r="AK169" i="152" s="1"/>
  <c r="AK170" i="152" s="1"/>
  <c r="AK171" i="152" s="1"/>
  <c r="AK172" i="152" s="1"/>
  <c r="AK173" i="152" s="1"/>
  <c r="AK174" i="152" s="1"/>
  <c r="AK175" i="152" s="1"/>
  <c r="AK176" i="152" s="1"/>
  <c r="AK177" i="152" s="1"/>
  <c r="AK178" i="152" s="1"/>
  <c r="AK179" i="152" s="1"/>
  <c r="AK180" i="152" s="1"/>
  <c r="AK181" i="152" s="1"/>
  <c r="AK182" i="152" s="1"/>
  <c r="AK183" i="152" s="1"/>
  <c r="AK184" i="152" s="1"/>
  <c r="AK185" i="152" s="1"/>
  <c r="AK186" i="152" s="1"/>
  <c r="AK187" i="152" s="1"/>
  <c r="AK188" i="152" s="1"/>
  <c r="AK189" i="152" s="1"/>
  <c r="AK190" i="152" s="1"/>
  <c r="AK191" i="152" s="1"/>
  <c r="AK192" i="152" s="1"/>
  <c r="AK193" i="152" s="1"/>
  <c r="AK194" i="152" s="1"/>
  <c r="AK195" i="152" s="1"/>
  <c r="AK196" i="152" s="1"/>
  <c r="AK197" i="152" s="1"/>
  <c r="AK198" i="152" s="1"/>
  <c r="AK199" i="152" s="1"/>
  <c r="AK200" i="152" s="1"/>
  <c r="AK201" i="152" s="1"/>
  <c r="AK202" i="152" s="1"/>
  <c r="AK203" i="152" s="1"/>
  <c r="AK204" i="152" s="1"/>
  <c r="AK205" i="152" s="1"/>
  <c r="AK206" i="152" s="1"/>
  <c r="AK207" i="152" s="1"/>
  <c r="AK208" i="152" s="1"/>
  <c r="AK209" i="152" s="1"/>
  <c r="AK210" i="152" s="1"/>
  <c r="AK211" i="152" s="1"/>
  <c r="AK212" i="152" s="1"/>
  <c r="AK213" i="152" s="1"/>
  <c r="AK214" i="152" s="1"/>
  <c r="AK215" i="152" s="1"/>
  <c r="AK216" i="152" s="1"/>
  <c r="AK217" i="152" s="1"/>
  <c r="AK218" i="152" s="1"/>
  <c r="AK219" i="152" s="1"/>
  <c r="AK220" i="152" s="1"/>
  <c r="AK221" i="152" s="1"/>
  <c r="AK222" i="152" s="1"/>
  <c r="AK223" i="152" s="1"/>
  <c r="AK224" i="152" s="1"/>
  <c r="AK225" i="152" s="1"/>
  <c r="AK226" i="152" s="1"/>
  <c r="AK227" i="152" s="1"/>
  <c r="AK228" i="152" s="1"/>
  <c r="AK229" i="152" s="1"/>
  <c r="AK230" i="152" s="1"/>
  <c r="AK231" i="152" s="1"/>
  <c r="AK232" i="152" s="1"/>
  <c r="AK233" i="152" s="1"/>
  <c r="AK234" i="152" s="1"/>
  <c r="AK235" i="152" s="1"/>
  <c r="AK236" i="152" s="1"/>
  <c r="AK237" i="152" s="1"/>
  <c r="AK238" i="152" s="1"/>
  <c r="AK239" i="152" s="1"/>
  <c r="AK240" i="152" s="1"/>
  <c r="AK241" i="152" s="1"/>
  <c r="AK242" i="152" s="1"/>
  <c r="AK243" i="152" s="1"/>
  <c r="AK244" i="152" s="1"/>
  <c r="AK245" i="152" s="1"/>
  <c r="AK246" i="152" s="1"/>
  <c r="AK247" i="152" s="1"/>
  <c r="AK248" i="152" s="1"/>
  <c r="AK249" i="152" s="1"/>
  <c r="AK250" i="152" s="1"/>
  <c r="AK251" i="152" s="1"/>
  <c r="AK252" i="152" s="1"/>
  <c r="AK253" i="152" s="1"/>
  <c r="AK254" i="152" s="1"/>
  <c r="AK255" i="152" s="1"/>
  <c r="AK256" i="152" s="1"/>
  <c r="AK257" i="152" s="1"/>
  <c r="AK258" i="152" s="1"/>
  <c r="AK259" i="152" s="1"/>
  <c r="AK260" i="152" s="1"/>
  <c r="AK261" i="152" s="1"/>
  <c r="AK262" i="152" s="1"/>
  <c r="AK263" i="152" s="1"/>
  <c r="AK264" i="152" s="1"/>
  <c r="AK265" i="152" s="1"/>
  <c r="AK266" i="152" s="1"/>
  <c r="AK267" i="152" s="1"/>
  <c r="AK268" i="152" s="1"/>
  <c r="AK269" i="152" s="1"/>
  <c r="AK270" i="152" s="1"/>
  <c r="AK271" i="152" s="1"/>
  <c r="AK272" i="152" s="1"/>
  <c r="AK273" i="152" s="1"/>
  <c r="AK274" i="152" s="1"/>
  <c r="AK275" i="152" s="1"/>
  <c r="AK276" i="152" s="1"/>
  <c r="AK277" i="152" s="1"/>
  <c r="AK278" i="152" s="1"/>
  <c r="AK279" i="152" s="1"/>
  <c r="AK280" i="152" s="1"/>
  <c r="AK281" i="152" s="1"/>
  <c r="AK282" i="152" s="1"/>
  <c r="AK283" i="152" s="1"/>
  <c r="AK284" i="152" s="1"/>
  <c r="AK285" i="152" s="1"/>
  <c r="AK286" i="152" s="1"/>
  <c r="AK287" i="152" s="1"/>
  <c r="AK288" i="152" s="1"/>
  <c r="AK289" i="152" s="1"/>
  <c r="AK290" i="152" s="1"/>
  <c r="AK291" i="152" s="1"/>
  <c r="AK292" i="152" s="1"/>
  <c r="AK293" i="152" s="1"/>
  <c r="AK294" i="152" s="1"/>
  <c r="AK295" i="152" s="1"/>
  <c r="AK296" i="152" s="1"/>
  <c r="AK297" i="152" s="1"/>
  <c r="AK298" i="152" s="1"/>
  <c r="AK299" i="152" s="1"/>
  <c r="AK300" i="152" s="1"/>
  <c r="AK301" i="152" s="1"/>
  <c r="AK302" i="152" s="1"/>
  <c r="AK303" i="152" s="1"/>
  <c r="AK304" i="152" s="1"/>
  <c r="AK305" i="152" s="1"/>
  <c r="AK306" i="152" s="1"/>
  <c r="AK307" i="152" s="1"/>
  <c r="AK308" i="152" s="1"/>
  <c r="AK309" i="152" s="1"/>
  <c r="AK310" i="152" s="1"/>
  <c r="AK311" i="152" s="1"/>
  <c r="AK312" i="152" s="1"/>
  <c r="AK313" i="152" s="1"/>
  <c r="AK314" i="152" s="1"/>
  <c r="AK315" i="152" s="1"/>
  <c r="AK316" i="152" s="1"/>
  <c r="AK317" i="152" s="1"/>
  <c r="AK318" i="152" s="1"/>
  <c r="AK319" i="152" s="1"/>
  <c r="AK320" i="152" s="1"/>
  <c r="AK321" i="152" s="1"/>
  <c r="AK322" i="152" s="1"/>
  <c r="AK323" i="152" s="1"/>
  <c r="AK324" i="152" s="1"/>
  <c r="AK325" i="152" s="1"/>
  <c r="AK326" i="152" s="1"/>
  <c r="AK327" i="152" s="1"/>
  <c r="AK328" i="152" s="1"/>
  <c r="AK329" i="152" s="1"/>
  <c r="AK330" i="152" s="1"/>
  <c r="AK331" i="152" s="1"/>
  <c r="AK332" i="152" s="1"/>
  <c r="AK333" i="152" s="1"/>
  <c r="AK334" i="152" s="1"/>
  <c r="AK335" i="152" s="1"/>
  <c r="AK336" i="152" s="1"/>
  <c r="AK337" i="152" s="1"/>
  <c r="AK338" i="152" s="1"/>
  <c r="AK339" i="152" s="1"/>
  <c r="AK340" i="152" s="1"/>
  <c r="AK341" i="152" s="1"/>
  <c r="AK342" i="152" s="1"/>
  <c r="AK343" i="152" s="1"/>
  <c r="AK344" i="152" s="1"/>
  <c r="AK345" i="152" s="1"/>
  <c r="AK346" i="152" s="1"/>
  <c r="AK347" i="152" s="1"/>
  <c r="AK348" i="152" s="1"/>
  <c r="AK349" i="152" s="1"/>
  <c r="AK350" i="152" s="1"/>
  <c r="AK351" i="152" s="1"/>
  <c r="AK352" i="152" s="1"/>
  <c r="AK353" i="152" s="1"/>
  <c r="AK354" i="152" s="1"/>
  <c r="AK355" i="152" s="1"/>
  <c r="AK356" i="152" s="1"/>
  <c r="AK357" i="152" s="1"/>
  <c r="AK358" i="152" s="1"/>
  <c r="AK359" i="152" s="1"/>
  <c r="AK360" i="152" s="1"/>
  <c r="AK361" i="152" s="1"/>
  <c r="AK362" i="152" s="1"/>
  <c r="AK363" i="152" s="1"/>
  <c r="AK364" i="152" s="1"/>
  <c r="AK365" i="152" s="1"/>
  <c r="AK366" i="152" s="1"/>
  <c r="AK367" i="152" s="1"/>
  <c r="AK368" i="152" s="1"/>
  <c r="AK369" i="152" s="1"/>
  <c r="AK370" i="152" s="1"/>
  <c r="AK371" i="152" s="1"/>
  <c r="AK372" i="152" s="1"/>
  <c r="AK373" i="152" s="1"/>
  <c r="AK374" i="152" s="1"/>
  <c r="AK375" i="152" s="1"/>
  <c r="AK376" i="152" s="1"/>
  <c r="AK377" i="152" s="1"/>
  <c r="AK378" i="152" s="1"/>
  <c r="AK379" i="152" s="1"/>
  <c r="AK380" i="152" s="1"/>
  <c r="AK381" i="152" s="1"/>
  <c r="AK382" i="152" s="1"/>
  <c r="AK383" i="152" s="1"/>
  <c r="AK384" i="152" s="1"/>
  <c r="AK385" i="152" s="1"/>
  <c r="AK386" i="152" s="1"/>
  <c r="AK387" i="152" s="1"/>
  <c r="AK388" i="152" s="1"/>
  <c r="AK389" i="152" s="1"/>
  <c r="AK390" i="152" s="1"/>
  <c r="AK391" i="152" s="1"/>
  <c r="AK392" i="152" s="1"/>
  <c r="AK393" i="152" s="1"/>
  <c r="AK394" i="152" s="1"/>
  <c r="AK395" i="152" s="1"/>
  <c r="AK396" i="152" s="1"/>
  <c r="AK397" i="152" s="1"/>
  <c r="AK398" i="152" s="1"/>
  <c r="AK399" i="152" s="1"/>
  <c r="AK400" i="152" s="1"/>
  <c r="AK401" i="152" s="1"/>
  <c r="AK402" i="152" s="1"/>
  <c r="AK403" i="152" s="1"/>
  <c r="AK404" i="152" s="1"/>
  <c r="AK405" i="152" s="1"/>
  <c r="AK406" i="152" s="1"/>
  <c r="AK407" i="152" s="1"/>
  <c r="AK408" i="152" s="1"/>
  <c r="AK409" i="152" s="1"/>
  <c r="AK410" i="152" s="1"/>
  <c r="AK411" i="152" s="1"/>
  <c r="AK412" i="152" s="1"/>
  <c r="AK413" i="152" s="1"/>
  <c r="AK414" i="152" s="1"/>
  <c r="AK415" i="152" s="1"/>
  <c r="AK416" i="152" s="1"/>
  <c r="AK417" i="152" s="1"/>
  <c r="AK418" i="152" s="1"/>
  <c r="AK419" i="152" s="1"/>
  <c r="AK420" i="152" s="1"/>
  <c r="AK421" i="152" s="1"/>
  <c r="AK422" i="152" s="1"/>
  <c r="AK423" i="152" s="1"/>
  <c r="AK424" i="152" s="1"/>
  <c r="AK425" i="152" s="1"/>
  <c r="AK426" i="152" s="1"/>
  <c r="AK427" i="152" s="1"/>
  <c r="AK428" i="152" s="1"/>
  <c r="AK429" i="152" s="1"/>
  <c r="AK430" i="152" s="1"/>
  <c r="AK431" i="152" s="1"/>
  <c r="AK432" i="152" s="1"/>
  <c r="AK433" i="152" s="1"/>
  <c r="AK434" i="152" s="1"/>
  <c r="AK435" i="152" s="1"/>
  <c r="AK436" i="152" s="1"/>
  <c r="AK437" i="152" s="1"/>
  <c r="AK438" i="152" s="1"/>
  <c r="AK439" i="152" s="1"/>
  <c r="AK440" i="152" s="1"/>
  <c r="AK441" i="152" s="1"/>
  <c r="AK442" i="152" s="1"/>
  <c r="AK443" i="152" s="1"/>
  <c r="AK444" i="152" s="1"/>
  <c r="AK445" i="152" s="1"/>
  <c r="AK446" i="152" s="1"/>
  <c r="AK447" i="152" s="1"/>
  <c r="AK448" i="152" s="1"/>
  <c r="AK449" i="152" s="1"/>
  <c r="AK450" i="152" s="1"/>
  <c r="AK451" i="152" s="1"/>
  <c r="AK452" i="152" s="1"/>
  <c r="AK453" i="152" s="1"/>
  <c r="AK454" i="152" s="1"/>
  <c r="AK455" i="152" s="1"/>
  <c r="AK456" i="152" s="1"/>
  <c r="AK457" i="152" s="1"/>
  <c r="AK458" i="152" s="1"/>
  <c r="AK459" i="152" s="1"/>
  <c r="AK460" i="152" s="1"/>
  <c r="AK461" i="152" s="1"/>
  <c r="AK462" i="152" s="1"/>
  <c r="AK463" i="152" s="1"/>
  <c r="AK464" i="152" s="1"/>
  <c r="AK465" i="152" s="1"/>
  <c r="AK466" i="152" s="1"/>
  <c r="AK467" i="152" s="1"/>
  <c r="AK468" i="152" s="1"/>
  <c r="AK469" i="152" s="1"/>
  <c r="AK470" i="152" s="1"/>
  <c r="AK471" i="152" s="1"/>
  <c r="AK472" i="152" s="1"/>
  <c r="AK473" i="152" s="1"/>
  <c r="AK474" i="152" s="1"/>
  <c r="AK475" i="152" s="1"/>
  <c r="AK476" i="152" s="1"/>
  <c r="AK477" i="152" s="1"/>
  <c r="AK478" i="152" s="1"/>
  <c r="AK479" i="152" s="1"/>
  <c r="AK480" i="152" s="1"/>
  <c r="AK481" i="152" s="1"/>
  <c r="AK482" i="152" s="1"/>
  <c r="AK483" i="152" s="1"/>
  <c r="AK484" i="152" s="1"/>
  <c r="AK485" i="152" s="1"/>
  <c r="AK486" i="152" s="1"/>
  <c r="AK487" i="152" s="1"/>
  <c r="AK488" i="152" s="1"/>
  <c r="AK489" i="152" s="1"/>
  <c r="AK490" i="152" s="1"/>
  <c r="AK491" i="152" s="1"/>
  <c r="AK492" i="152" s="1"/>
  <c r="AK493" i="152" s="1"/>
  <c r="AK494" i="152" s="1"/>
  <c r="AK495" i="152" s="1"/>
  <c r="AK496" i="152" s="1"/>
  <c r="AK497" i="152" s="1"/>
  <c r="AK498" i="152" s="1"/>
  <c r="AK499" i="152" s="1"/>
  <c r="AK500" i="152" s="1"/>
  <c r="AK501" i="152" s="1"/>
  <c r="AK502" i="152" s="1"/>
  <c r="AK503" i="152" s="1"/>
  <c r="AK504" i="152" s="1"/>
  <c r="AK505" i="152" s="1"/>
  <c r="AK506" i="152" s="1"/>
  <c r="AK507" i="152" s="1"/>
  <c r="AK508" i="152" s="1"/>
  <c r="AK509" i="152" s="1"/>
  <c r="AK510" i="152" s="1"/>
  <c r="AK511" i="152" s="1"/>
  <c r="AK512" i="152" s="1"/>
  <c r="AK513" i="152" s="1"/>
  <c r="AK514" i="152" s="1"/>
  <c r="AK515" i="152" s="1"/>
  <c r="AK516" i="152" s="1"/>
  <c r="AK517" i="152" s="1"/>
  <c r="AK518" i="152" s="1"/>
  <c r="AK519" i="152" s="1"/>
  <c r="AK520" i="152" s="1"/>
  <c r="AK521" i="152" s="1"/>
  <c r="AK522" i="152" s="1"/>
  <c r="AK523" i="152" s="1"/>
  <c r="AK524" i="152" s="1"/>
  <c r="AK525" i="152" s="1"/>
  <c r="AK526" i="152" s="1"/>
  <c r="AK527" i="152" s="1"/>
  <c r="AK528" i="152" s="1"/>
  <c r="AK529" i="152" s="1"/>
  <c r="AK530" i="152" s="1"/>
  <c r="AK531" i="152" s="1"/>
  <c r="AK532" i="152" s="1"/>
  <c r="AK533" i="152" s="1"/>
  <c r="AK534" i="152" s="1"/>
  <c r="AK535" i="152" s="1"/>
  <c r="AK536" i="152" s="1"/>
  <c r="AK537" i="152" s="1"/>
  <c r="AK538" i="152" s="1"/>
  <c r="AK539" i="152" s="1"/>
  <c r="AK540" i="152" s="1"/>
  <c r="AK541" i="152" s="1"/>
  <c r="AK542" i="152" s="1"/>
  <c r="AK543" i="152" s="1"/>
  <c r="AK544" i="152" s="1"/>
  <c r="AK545" i="152" s="1"/>
  <c r="AK546" i="152" s="1"/>
  <c r="AK547" i="152" s="1"/>
  <c r="AK548" i="152" s="1"/>
  <c r="AK549" i="152" s="1"/>
  <c r="AK550" i="152" s="1"/>
  <c r="AK551" i="152" s="1"/>
  <c r="AK552" i="152" s="1"/>
  <c r="AK553" i="152" s="1"/>
  <c r="AK554" i="152" s="1"/>
  <c r="AK555" i="152" s="1"/>
  <c r="AK556" i="152" s="1"/>
  <c r="AK557" i="152" s="1"/>
  <c r="AK558" i="152" s="1"/>
  <c r="AK559" i="152" s="1"/>
  <c r="AK560" i="152" s="1"/>
  <c r="AK561" i="152" s="1"/>
  <c r="AK562" i="152" s="1"/>
  <c r="AK563" i="152" s="1"/>
  <c r="AK564" i="152" s="1"/>
  <c r="AK565" i="152" s="1"/>
  <c r="AK566" i="152" s="1"/>
  <c r="AK567" i="152" s="1"/>
  <c r="AK568" i="152" s="1"/>
  <c r="AK569" i="152" s="1"/>
  <c r="AK570" i="152" s="1"/>
  <c r="AK571" i="152" s="1"/>
  <c r="AK572" i="152" s="1"/>
  <c r="AK573" i="152" s="1"/>
  <c r="AK574" i="152" s="1"/>
  <c r="AK575" i="152" s="1"/>
  <c r="AK576" i="152" s="1"/>
  <c r="AK577" i="152" s="1"/>
  <c r="AK578" i="152" s="1"/>
  <c r="AK579" i="152" s="1"/>
  <c r="AK580" i="152" s="1"/>
  <c r="AK581" i="152" s="1"/>
  <c r="AK582" i="152" s="1"/>
  <c r="AK583" i="152" s="1"/>
  <c r="AK584" i="152" s="1"/>
  <c r="AK585" i="152" s="1"/>
  <c r="AK586" i="152" s="1"/>
  <c r="AK587" i="152" s="1"/>
  <c r="AK588" i="152" s="1"/>
  <c r="AK589" i="152" s="1"/>
  <c r="AK590" i="152" s="1"/>
  <c r="AK591" i="152" s="1"/>
  <c r="AK592" i="152" s="1"/>
  <c r="AK593" i="152" s="1"/>
  <c r="AK594" i="152" s="1"/>
  <c r="AK595" i="152" s="1"/>
  <c r="AK596" i="152" s="1"/>
  <c r="AK597" i="152" s="1"/>
  <c r="AK598" i="152" s="1"/>
  <c r="AK599" i="152" s="1"/>
  <c r="AK600" i="152" s="1"/>
  <c r="AK601" i="152" s="1"/>
  <c r="AK602" i="152" s="1"/>
  <c r="AK603" i="152" s="1"/>
  <c r="AK604" i="152" s="1"/>
  <c r="AK605" i="152" s="1"/>
  <c r="AK606" i="152" s="1"/>
  <c r="AK607" i="152" s="1"/>
  <c r="AK608" i="152" s="1"/>
  <c r="AK609" i="152" s="1"/>
  <c r="AK610" i="152" s="1"/>
  <c r="AK611" i="152" s="1"/>
  <c r="AK612" i="152" s="1"/>
  <c r="AK613" i="152" s="1"/>
  <c r="AK614" i="152" s="1"/>
  <c r="AK615" i="152" s="1"/>
  <c r="AK616" i="152" s="1"/>
  <c r="AK617" i="152" s="1"/>
  <c r="AK618" i="152" s="1"/>
  <c r="AK619" i="152" s="1"/>
  <c r="AK620" i="152" s="1"/>
  <c r="AK621" i="152" s="1"/>
  <c r="AK622" i="152" s="1"/>
  <c r="AK623" i="152" s="1"/>
  <c r="AK624" i="152" s="1"/>
  <c r="AK625" i="152" s="1"/>
  <c r="AK626" i="152" s="1"/>
  <c r="AK627" i="152" s="1"/>
  <c r="AK628" i="152" s="1"/>
  <c r="AK629" i="152" s="1"/>
  <c r="AK630" i="152" s="1"/>
  <c r="AK631" i="152" s="1"/>
  <c r="AK632" i="152" s="1"/>
  <c r="AK633" i="152" s="1"/>
  <c r="AK634" i="152" s="1"/>
  <c r="AK635" i="152" s="1"/>
  <c r="AK636" i="152" s="1"/>
  <c r="AK637" i="152" s="1"/>
  <c r="AK638" i="152" s="1"/>
  <c r="AK639" i="152" s="1"/>
  <c r="AK640" i="152" s="1"/>
  <c r="AK641" i="152" s="1"/>
  <c r="AK642" i="152" s="1"/>
  <c r="AK643" i="152" s="1"/>
  <c r="AK644" i="152" s="1"/>
  <c r="AK645" i="152" s="1"/>
  <c r="AK646" i="152" s="1"/>
  <c r="AK647" i="152" s="1"/>
  <c r="AK648" i="152" s="1"/>
  <c r="AK649" i="152" s="1"/>
  <c r="AK650" i="152" s="1"/>
  <c r="AK651" i="152" s="1"/>
  <c r="AK652" i="152" s="1"/>
  <c r="AK653" i="152" s="1"/>
  <c r="AK654" i="152" s="1"/>
  <c r="AK655" i="152" s="1"/>
  <c r="AK656" i="152" s="1"/>
  <c r="AK657" i="152" s="1"/>
  <c r="AK658" i="152" s="1"/>
  <c r="AK659" i="152" s="1"/>
  <c r="AK660" i="152" s="1"/>
  <c r="AK661" i="152" s="1"/>
  <c r="AK662" i="152" s="1"/>
  <c r="AK663" i="152" s="1"/>
  <c r="AK664" i="152" s="1"/>
  <c r="AK665" i="152" s="1"/>
  <c r="AK666" i="152" s="1"/>
  <c r="AK667" i="152" s="1"/>
  <c r="AK668" i="152" s="1"/>
  <c r="AK669" i="152" s="1"/>
  <c r="AK670" i="152" s="1"/>
  <c r="AK671" i="152" s="1"/>
  <c r="AK672" i="152" s="1"/>
  <c r="AK673" i="152" s="1"/>
  <c r="AK674" i="152" s="1"/>
  <c r="AK675" i="152" s="1"/>
  <c r="AK676" i="152" s="1"/>
  <c r="AK677" i="152" s="1"/>
  <c r="AK678" i="152" s="1"/>
  <c r="AK679" i="152" s="1"/>
  <c r="AK680" i="152" s="1"/>
  <c r="AK681" i="152" s="1"/>
  <c r="AK682" i="152" s="1"/>
  <c r="AK683" i="152" s="1"/>
  <c r="AK684" i="152" s="1"/>
  <c r="AK685" i="152" s="1"/>
  <c r="AK686" i="152" s="1"/>
  <c r="AK687" i="152" s="1"/>
  <c r="AK688" i="152" s="1"/>
  <c r="AK689" i="152" s="1"/>
  <c r="AK690" i="152" s="1"/>
  <c r="AK691" i="152" s="1"/>
  <c r="AK692" i="152" s="1"/>
  <c r="AK693" i="152" s="1"/>
  <c r="AK694" i="152" s="1"/>
  <c r="AK695" i="152" s="1"/>
  <c r="AK696" i="152" s="1"/>
  <c r="AK697" i="152" s="1"/>
  <c r="AK698" i="152" s="1"/>
  <c r="AK699" i="152" s="1"/>
  <c r="AK700" i="152" s="1"/>
  <c r="AK701" i="152" s="1"/>
  <c r="AK702" i="152" s="1"/>
  <c r="AK703" i="152" s="1"/>
  <c r="AK704" i="152" s="1"/>
  <c r="AK705" i="152" s="1"/>
  <c r="AK706" i="152" s="1"/>
  <c r="AK707" i="152" s="1"/>
  <c r="AK708" i="152" s="1"/>
  <c r="AD17" i="120"/>
  <c r="AC22" i="120"/>
  <c r="AE22" i="120" s="1"/>
  <c r="AC25" i="120"/>
  <c r="AA25" i="120"/>
  <c r="Z18" i="120"/>
  <c r="AE18" i="121"/>
  <c r="AD18" i="121"/>
  <c r="AC19" i="121"/>
  <c r="AA19" i="121"/>
  <c r="AC24" i="120"/>
  <c r="AD24" i="120" s="1"/>
  <c r="Y18" i="121"/>
  <c r="Z18" i="121"/>
  <c r="V19" i="121"/>
  <c r="X19" i="121"/>
  <c r="V22" i="120"/>
  <c r="X22" i="120"/>
  <c r="Q526" i="152"/>
  <c r="Z21" i="120"/>
  <c r="Y21" i="120"/>
  <c r="Z20" i="120"/>
  <c r="Y20" i="120"/>
  <c r="Y19" i="120"/>
  <c r="Z19" i="120"/>
  <c r="AD20" i="120"/>
  <c r="AE20" i="120"/>
  <c r="AE18" i="120"/>
  <c r="AD18" i="120"/>
  <c r="AE19" i="120"/>
  <c r="AD19" i="120"/>
  <c r="AE21" i="120"/>
  <c r="AA26" i="135"/>
  <c r="AC26" i="135"/>
  <c r="AD25" i="135"/>
  <c r="AE25" i="135"/>
  <c r="V19" i="152"/>
  <c r="Z25" i="141"/>
  <c r="Y25" i="141"/>
  <c r="V26" i="141"/>
  <c r="X26" i="141"/>
  <c r="Z25" i="110"/>
  <c r="Y25" i="110"/>
  <c r="Z25" i="136"/>
  <c r="Y25" i="136"/>
  <c r="Z25" i="144"/>
  <c r="Y25" i="144"/>
  <c r="X26" i="106"/>
  <c r="V26" i="106"/>
  <c r="V26" i="136"/>
  <c r="X26" i="136"/>
  <c r="V26" i="116"/>
  <c r="X26" i="116"/>
  <c r="N26" i="139"/>
  <c r="L26" i="139"/>
  <c r="AC26" i="108"/>
  <c r="AA26" i="108"/>
  <c r="V26" i="142"/>
  <c r="X26" i="142"/>
  <c r="V26" i="123"/>
  <c r="X26" i="123"/>
  <c r="Z25" i="116"/>
  <c r="Y25" i="116"/>
  <c r="O25" i="139"/>
  <c r="P25" i="139"/>
  <c r="AE25" i="108"/>
  <c r="AD25" i="108"/>
  <c r="Z25" i="142"/>
  <c r="Y25" i="142"/>
  <c r="Z25" i="123"/>
  <c r="Y25" i="123"/>
  <c r="V26" i="138"/>
  <c r="X26" i="138"/>
  <c r="V26" i="147"/>
  <c r="X26" i="147"/>
  <c r="P25" i="107"/>
  <c r="O25" i="107"/>
  <c r="X26" i="110"/>
  <c r="V26" i="110"/>
  <c r="Y25" i="138"/>
  <c r="Z25" i="138"/>
  <c r="Z25" i="147"/>
  <c r="Y25" i="147"/>
  <c r="N26" i="107"/>
  <c r="L26" i="107"/>
  <c r="N26" i="115"/>
  <c r="L26" i="115"/>
  <c r="V26" i="146"/>
  <c r="X26" i="146"/>
  <c r="V26" i="112"/>
  <c r="X26" i="112"/>
  <c r="P25" i="115"/>
  <c r="O25" i="115"/>
  <c r="Z25" i="146"/>
  <c r="Y25" i="146"/>
  <c r="Z25" i="112"/>
  <c r="Y25" i="112"/>
  <c r="V26" i="129"/>
  <c r="X26" i="129"/>
  <c r="V26" i="103"/>
  <c r="X26" i="103"/>
  <c r="V26" i="128"/>
  <c r="X26" i="128"/>
  <c r="Z25" i="129"/>
  <c r="Y25" i="129"/>
  <c r="Y25" i="103"/>
  <c r="Z25" i="103"/>
  <c r="Z25" i="128"/>
  <c r="Y25" i="128"/>
  <c r="V26" i="150"/>
  <c r="X26" i="150"/>
  <c r="Z25" i="150"/>
  <c r="Y25" i="150"/>
  <c r="Y25" i="106"/>
  <c r="Z25" i="106"/>
  <c r="AC26" i="115"/>
  <c r="AA26" i="115"/>
  <c r="V26" i="104"/>
  <c r="X26" i="104"/>
  <c r="V26" i="132"/>
  <c r="X26" i="132"/>
  <c r="V26" i="108"/>
  <c r="X26" i="108"/>
  <c r="Z25" i="105"/>
  <c r="Y25" i="105"/>
  <c r="V26" i="144"/>
  <c r="X26" i="144"/>
  <c r="AE25" i="115"/>
  <c r="AD25" i="115"/>
  <c r="Y25" i="104"/>
  <c r="Z25" i="104"/>
  <c r="Z25" i="132"/>
  <c r="Y25" i="132"/>
  <c r="Y25" i="108"/>
  <c r="Z25" i="108"/>
  <c r="V26" i="105"/>
  <c r="X26" i="105"/>
  <c r="X26" i="111"/>
  <c r="V26" i="111"/>
  <c r="V26" i="113"/>
  <c r="X26" i="113"/>
  <c r="V26" i="135"/>
  <c r="X26" i="135"/>
  <c r="V26" i="122"/>
  <c r="X26" i="122"/>
  <c r="Y25" i="109"/>
  <c r="Z25" i="109"/>
  <c r="Z25" i="111"/>
  <c r="Y25" i="111"/>
  <c r="Z25" i="113"/>
  <c r="Y25" i="113"/>
  <c r="Y25" i="135"/>
  <c r="Z25" i="135"/>
  <c r="Y25" i="122"/>
  <c r="Z25" i="122"/>
  <c r="X26" i="109"/>
  <c r="V26" i="109"/>
  <c r="V26" i="151"/>
  <c r="X26" i="151"/>
  <c r="AE26" i="151"/>
  <c r="AD26" i="151"/>
  <c r="E34" i="151" s="1"/>
  <c r="F34" i="151" s="1"/>
  <c r="Z25" i="151"/>
  <c r="Y25" i="151"/>
  <c r="P26" i="151"/>
  <c r="O26" i="151"/>
  <c r="E31" i="151" s="1"/>
  <c r="F31" i="151" s="1"/>
  <c r="U26" i="150"/>
  <c r="T26" i="150"/>
  <c r="E32" i="150" s="1"/>
  <c r="F32" i="150" s="1"/>
  <c r="AE26" i="150"/>
  <c r="AD26" i="150"/>
  <c r="E34" i="150" s="1"/>
  <c r="F34" i="150" s="1"/>
  <c r="AE26" i="149"/>
  <c r="AD26" i="149"/>
  <c r="E34" i="149" s="1"/>
  <c r="F34" i="149" s="1"/>
  <c r="P26" i="149"/>
  <c r="O26" i="149"/>
  <c r="E31" i="149" s="1"/>
  <c r="F31" i="149" s="1"/>
  <c r="U26" i="149"/>
  <c r="T26" i="149"/>
  <c r="E32" i="149" s="1"/>
  <c r="F32" i="149" s="1"/>
  <c r="P26" i="148"/>
  <c r="O26" i="148"/>
  <c r="E31" i="148" s="1"/>
  <c r="F31" i="148" s="1"/>
  <c r="U26" i="148"/>
  <c r="T26" i="148"/>
  <c r="E32" i="148" s="1"/>
  <c r="F32" i="148" s="1"/>
  <c r="AD26" i="148"/>
  <c r="E34" i="148" s="1"/>
  <c r="F34" i="148" s="1"/>
  <c r="AE26" i="148"/>
  <c r="U26" i="147"/>
  <c r="T26" i="147"/>
  <c r="E32" i="147" s="1"/>
  <c r="F32" i="147" s="1"/>
  <c r="P26" i="147"/>
  <c r="O26" i="147"/>
  <c r="E31" i="147" s="1"/>
  <c r="F31" i="147" s="1"/>
  <c r="AE26" i="147"/>
  <c r="AD26" i="147"/>
  <c r="E34" i="147" s="1"/>
  <c r="F34" i="147" s="1"/>
  <c r="P26" i="146"/>
  <c r="O26" i="146"/>
  <c r="E31" i="146" s="1"/>
  <c r="F31" i="146" s="1"/>
  <c r="U26" i="146"/>
  <c r="T26" i="146"/>
  <c r="E32" i="146" s="1"/>
  <c r="F32" i="146" s="1"/>
  <c r="AE26" i="146"/>
  <c r="AD26" i="146"/>
  <c r="E34" i="146" s="1"/>
  <c r="F34" i="146" s="1"/>
  <c r="AE26" i="145"/>
  <c r="AD26" i="145"/>
  <c r="E34" i="145" s="1"/>
  <c r="F34" i="145" s="1"/>
  <c r="U26" i="145"/>
  <c r="T26" i="145"/>
  <c r="E32" i="145" s="1"/>
  <c r="F32" i="145" s="1"/>
  <c r="P26" i="145"/>
  <c r="O26" i="145"/>
  <c r="E31" i="145" s="1"/>
  <c r="F31" i="145" s="1"/>
  <c r="P26" i="144"/>
  <c r="O26" i="144"/>
  <c r="E31" i="144" s="1"/>
  <c r="F31" i="144" s="1"/>
  <c r="U26" i="144"/>
  <c r="T26" i="144"/>
  <c r="E32" i="144" s="1"/>
  <c r="F32" i="144" s="1"/>
  <c r="AE26" i="144"/>
  <c r="AD26" i="144"/>
  <c r="E34" i="144" s="1"/>
  <c r="F34" i="144" s="1"/>
  <c r="P26" i="143"/>
  <c r="O26" i="143"/>
  <c r="E31" i="143" s="1"/>
  <c r="F31" i="143" s="1"/>
  <c r="U26" i="143"/>
  <c r="T26" i="143"/>
  <c r="E32" i="143" s="1"/>
  <c r="F32" i="143" s="1"/>
  <c r="P26" i="142"/>
  <c r="O26" i="142"/>
  <c r="E31" i="142" s="1"/>
  <c r="F31" i="142" s="1"/>
  <c r="U26" i="142"/>
  <c r="T26" i="142"/>
  <c r="E32" i="142" s="1"/>
  <c r="F32" i="142" s="1"/>
  <c r="AE26" i="142"/>
  <c r="AD26" i="142"/>
  <c r="E34" i="142" s="1"/>
  <c r="F34" i="142" s="1"/>
  <c r="U26" i="141"/>
  <c r="T26" i="141"/>
  <c r="E32" i="141" s="1"/>
  <c r="F32" i="141" s="1"/>
  <c r="AE26" i="141"/>
  <c r="AD26" i="141"/>
  <c r="E34" i="141" s="1"/>
  <c r="F34" i="141" s="1"/>
  <c r="P26" i="141"/>
  <c r="O26" i="141"/>
  <c r="E31" i="141" s="1"/>
  <c r="F31" i="141" s="1"/>
  <c r="P26" i="140"/>
  <c r="O26" i="140"/>
  <c r="E31" i="140" s="1"/>
  <c r="F31" i="140" s="1"/>
  <c r="Z25" i="140"/>
  <c r="Y25" i="140"/>
  <c r="U26" i="140"/>
  <c r="T26" i="140"/>
  <c r="E32" i="140" s="1"/>
  <c r="F32" i="140" s="1"/>
  <c r="V26" i="140"/>
  <c r="X26" i="140"/>
  <c r="AE26" i="140"/>
  <c r="AD26" i="140"/>
  <c r="E34" i="140" s="1"/>
  <c r="F34" i="140" s="1"/>
  <c r="U26" i="139"/>
  <c r="T26" i="139"/>
  <c r="E32" i="139" s="1"/>
  <c r="F32" i="139" s="1"/>
  <c r="V26" i="139"/>
  <c r="X26" i="139"/>
  <c r="Z25" i="139"/>
  <c r="Y25" i="139"/>
  <c r="AE26" i="139"/>
  <c r="AD26" i="139"/>
  <c r="E34" i="139" s="1"/>
  <c r="F34" i="139" s="1"/>
  <c r="U26" i="138"/>
  <c r="T26" i="138"/>
  <c r="E32" i="138" s="1"/>
  <c r="F32" i="138" s="1"/>
  <c r="P26" i="138"/>
  <c r="O26" i="138"/>
  <c r="E31" i="138" s="1"/>
  <c r="F31" i="138" s="1"/>
  <c r="AE26" i="138"/>
  <c r="AD26" i="138"/>
  <c r="E34" i="138" s="1"/>
  <c r="F34" i="138" s="1"/>
  <c r="U26" i="137"/>
  <c r="T26" i="137"/>
  <c r="E32" i="137" s="1"/>
  <c r="F32" i="137" s="1"/>
  <c r="P26" i="137"/>
  <c r="O26" i="137"/>
  <c r="E31" i="137" s="1"/>
  <c r="F31" i="137" s="1"/>
  <c r="AE26" i="137"/>
  <c r="AD26" i="137"/>
  <c r="E34" i="137" s="1"/>
  <c r="F34" i="137" s="1"/>
  <c r="U26" i="136"/>
  <c r="T26" i="136"/>
  <c r="E32" i="136" s="1"/>
  <c r="F32" i="136" s="1"/>
  <c r="AE26" i="136"/>
  <c r="AD26" i="136"/>
  <c r="E34" i="136" s="1"/>
  <c r="F34" i="136" s="1"/>
  <c r="U26" i="135"/>
  <c r="T26" i="135"/>
  <c r="E32" i="135" s="1"/>
  <c r="F32" i="135" s="1"/>
  <c r="P26" i="135"/>
  <c r="O26" i="135"/>
  <c r="E31" i="135" s="1"/>
  <c r="F31" i="135" s="1"/>
  <c r="U26" i="134"/>
  <c r="T26" i="134"/>
  <c r="E32" i="134" s="1"/>
  <c r="F32" i="134" s="1"/>
  <c r="P26" i="134"/>
  <c r="O26" i="134"/>
  <c r="E31" i="134" s="1"/>
  <c r="F31" i="134" s="1"/>
  <c r="AE26" i="134"/>
  <c r="AD26" i="134"/>
  <c r="E34" i="134" s="1"/>
  <c r="F34" i="134" s="1"/>
  <c r="AE26" i="133"/>
  <c r="AD26" i="133"/>
  <c r="E34" i="133" s="1"/>
  <c r="F34" i="133" s="1"/>
  <c r="P26" i="133"/>
  <c r="O26" i="133"/>
  <c r="E31" i="133" s="1"/>
  <c r="F31" i="133" s="1"/>
  <c r="U26" i="133"/>
  <c r="T26" i="133"/>
  <c r="E32" i="133" s="1"/>
  <c r="F32" i="133" s="1"/>
  <c r="U26" i="132"/>
  <c r="T26" i="132"/>
  <c r="E32" i="132" s="1"/>
  <c r="F32" i="132" s="1"/>
  <c r="P26" i="132"/>
  <c r="O26" i="132"/>
  <c r="E31" i="132" s="1"/>
  <c r="F31" i="132" s="1"/>
  <c r="AE26" i="132"/>
  <c r="AD26" i="132"/>
  <c r="E34" i="132" s="1"/>
  <c r="F34" i="132" s="1"/>
  <c r="V26" i="131"/>
  <c r="X26" i="131"/>
  <c r="Z25" i="131"/>
  <c r="Y25" i="131"/>
  <c r="P26" i="131"/>
  <c r="O26" i="131"/>
  <c r="E31" i="131" s="1"/>
  <c r="F31" i="131" s="1"/>
  <c r="U26" i="131"/>
  <c r="T26" i="131"/>
  <c r="E32" i="131" s="1"/>
  <c r="F32" i="131" s="1"/>
  <c r="AE26" i="130"/>
  <c r="AD26" i="130"/>
  <c r="E34" i="130" s="1"/>
  <c r="F34" i="130" s="1"/>
  <c r="U26" i="130"/>
  <c r="T26" i="130"/>
  <c r="E32" i="130" s="1"/>
  <c r="F32" i="130" s="1"/>
  <c r="P26" i="130"/>
  <c r="O26" i="130"/>
  <c r="E31" i="130" s="1"/>
  <c r="F31" i="130" s="1"/>
  <c r="U26" i="129"/>
  <c r="T26" i="129"/>
  <c r="E32" i="129" s="1"/>
  <c r="F32" i="129" s="1"/>
  <c r="AE26" i="129"/>
  <c r="AD26" i="129"/>
  <c r="E34" i="129" s="1"/>
  <c r="F34" i="129" s="1"/>
  <c r="U26" i="128"/>
  <c r="T26" i="128"/>
  <c r="E32" i="128" s="1"/>
  <c r="F32" i="128" s="1"/>
  <c r="P26" i="128"/>
  <c r="O26" i="128"/>
  <c r="E31" i="128" s="1"/>
  <c r="F31" i="128" s="1"/>
  <c r="AE26" i="128"/>
  <c r="AD26" i="128"/>
  <c r="E34" i="128" s="1"/>
  <c r="F34" i="128" s="1"/>
  <c r="AE26" i="127"/>
  <c r="AD26" i="127"/>
  <c r="E34" i="127" s="1"/>
  <c r="F34" i="127" s="1"/>
  <c r="V26" i="127"/>
  <c r="X26" i="127"/>
  <c r="Z25" i="127"/>
  <c r="Y25" i="127"/>
  <c r="P26" i="127"/>
  <c r="O26" i="127"/>
  <c r="E31" i="127" s="1"/>
  <c r="F31" i="127" s="1"/>
  <c r="S26" i="126"/>
  <c r="Q26" i="126"/>
  <c r="U25" i="126"/>
  <c r="T25" i="126"/>
  <c r="AE26" i="126"/>
  <c r="AD26" i="126"/>
  <c r="E34" i="126" s="1"/>
  <c r="F34" i="126" s="1"/>
  <c r="P26" i="125"/>
  <c r="O26" i="125"/>
  <c r="E31" i="125" s="1"/>
  <c r="F31" i="125" s="1"/>
  <c r="AE26" i="125"/>
  <c r="AD26" i="125"/>
  <c r="E34" i="125" s="1"/>
  <c r="F34" i="125" s="1"/>
  <c r="U26" i="125"/>
  <c r="T26" i="125"/>
  <c r="E32" i="125" s="1"/>
  <c r="F32" i="125" s="1"/>
  <c r="P26" i="124"/>
  <c r="O26" i="124"/>
  <c r="E31" i="124" s="1"/>
  <c r="F31" i="124" s="1"/>
  <c r="Z25" i="124"/>
  <c r="Y25" i="124"/>
  <c r="V26" i="124"/>
  <c r="X26" i="124"/>
  <c r="U26" i="124"/>
  <c r="T26" i="124"/>
  <c r="E32" i="124" s="1"/>
  <c r="F32" i="124" s="1"/>
  <c r="U26" i="123"/>
  <c r="T26" i="123"/>
  <c r="E32" i="123" s="1"/>
  <c r="F32" i="123" s="1"/>
  <c r="P26" i="123"/>
  <c r="O26" i="123"/>
  <c r="E31" i="123" s="1"/>
  <c r="F31" i="123" s="1"/>
  <c r="AE26" i="123"/>
  <c r="AD26" i="123"/>
  <c r="E34" i="123" s="1"/>
  <c r="F34" i="123" s="1"/>
  <c r="U26" i="122"/>
  <c r="T26" i="122"/>
  <c r="E32" i="122" s="1"/>
  <c r="F32" i="122" s="1"/>
  <c r="P26" i="122"/>
  <c r="O26" i="122"/>
  <c r="E31" i="122" s="1"/>
  <c r="F31" i="122" s="1"/>
  <c r="AE26" i="122"/>
  <c r="AD26" i="122"/>
  <c r="E34" i="122" s="1"/>
  <c r="F34" i="122" s="1"/>
  <c r="U26" i="119"/>
  <c r="T26" i="119"/>
  <c r="E32" i="119" s="1"/>
  <c r="F32" i="119" s="1"/>
  <c r="P26" i="119"/>
  <c r="O26" i="119"/>
  <c r="E31" i="119" s="1"/>
  <c r="F31" i="119" s="1"/>
  <c r="AE26" i="119"/>
  <c r="AD26" i="119"/>
  <c r="E34" i="119" s="1"/>
  <c r="F34" i="119" s="1"/>
  <c r="P26" i="118"/>
  <c r="O26" i="118"/>
  <c r="E31" i="118" s="1"/>
  <c r="F31" i="118" s="1"/>
  <c r="S26" i="118"/>
  <c r="Q26" i="118"/>
  <c r="U25" i="118"/>
  <c r="T25" i="118"/>
  <c r="AE26" i="118"/>
  <c r="AD26" i="118"/>
  <c r="E34" i="118" s="1"/>
  <c r="F34" i="118" s="1"/>
  <c r="V26" i="117"/>
  <c r="X26" i="117"/>
  <c r="Z25" i="117"/>
  <c r="Y25" i="117"/>
  <c r="U26" i="117"/>
  <c r="T26" i="117"/>
  <c r="E32" i="117" s="1"/>
  <c r="F32" i="117" s="1"/>
  <c r="AE26" i="117"/>
  <c r="AD26" i="117"/>
  <c r="E34" i="117" s="1"/>
  <c r="F34" i="117" s="1"/>
  <c r="P26" i="117"/>
  <c r="O26" i="117"/>
  <c r="E31" i="117" s="1"/>
  <c r="F31" i="117" s="1"/>
  <c r="U26" i="116"/>
  <c r="T26" i="116"/>
  <c r="E32" i="116" s="1"/>
  <c r="F32" i="116" s="1"/>
  <c r="P26" i="116"/>
  <c r="O26" i="116"/>
  <c r="E31" i="116" s="1"/>
  <c r="F31" i="116" s="1"/>
  <c r="AE26" i="116"/>
  <c r="AD26" i="116"/>
  <c r="E34" i="116" s="1"/>
  <c r="F34" i="116" s="1"/>
  <c r="U26" i="115"/>
  <c r="T26" i="115"/>
  <c r="E32" i="115" s="1"/>
  <c r="F32" i="115" s="1"/>
  <c r="V26" i="114"/>
  <c r="X26" i="114"/>
  <c r="Z25" i="114"/>
  <c r="Y25" i="114"/>
  <c r="AE26" i="114"/>
  <c r="AD26" i="114"/>
  <c r="E34" i="114" s="1"/>
  <c r="F34" i="114" s="1"/>
  <c r="U26" i="114"/>
  <c r="T26" i="114"/>
  <c r="E32" i="114" s="1"/>
  <c r="F32" i="114" s="1"/>
  <c r="P26" i="114"/>
  <c r="O26" i="114"/>
  <c r="E31" i="114" s="1"/>
  <c r="F31" i="114" s="1"/>
  <c r="P26" i="113"/>
  <c r="O26" i="113"/>
  <c r="E31" i="113" s="1"/>
  <c r="F31" i="113" s="1"/>
  <c r="U26" i="113"/>
  <c r="T26" i="113"/>
  <c r="E32" i="113" s="1"/>
  <c r="F32" i="113" s="1"/>
  <c r="AE26" i="112"/>
  <c r="AD26" i="112"/>
  <c r="E34" i="112" s="1"/>
  <c r="F34" i="112" s="1"/>
  <c r="U26" i="112"/>
  <c r="T26" i="112"/>
  <c r="E32" i="112" s="1"/>
  <c r="F32" i="112" s="1"/>
  <c r="P26" i="112"/>
  <c r="O26" i="112"/>
  <c r="E31" i="112" s="1"/>
  <c r="F31" i="112" s="1"/>
  <c r="U26" i="111"/>
  <c r="T26" i="111"/>
  <c r="E32" i="111" s="1"/>
  <c r="F32" i="111" s="1"/>
  <c r="P26" i="111"/>
  <c r="O26" i="111"/>
  <c r="E31" i="111" s="1"/>
  <c r="F31" i="111" s="1"/>
  <c r="U26" i="110"/>
  <c r="T26" i="110"/>
  <c r="E32" i="110" s="1"/>
  <c r="F32" i="110" s="1"/>
  <c r="AE26" i="110"/>
  <c r="AD26" i="110"/>
  <c r="E34" i="110" s="1"/>
  <c r="F34" i="110" s="1"/>
  <c r="P26" i="110"/>
  <c r="O26" i="110"/>
  <c r="E31" i="110" s="1"/>
  <c r="F31" i="110" s="1"/>
  <c r="U26" i="109"/>
  <c r="T26" i="109"/>
  <c r="E32" i="109" s="1"/>
  <c r="F32" i="109" s="1"/>
  <c r="P26" i="109"/>
  <c r="O26" i="109"/>
  <c r="E31" i="109" s="1"/>
  <c r="F31" i="109" s="1"/>
  <c r="AE26" i="109"/>
  <c r="AD26" i="109"/>
  <c r="E34" i="109" s="1"/>
  <c r="F34" i="109" s="1"/>
  <c r="P26" i="108"/>
  <c r="O26" i="108"/>
  <c r="E31" i="108" s="1"/>
  <c r="F31" i="108" s="1"/>
  <c r="U26" i="108"/>
  <c r="T26" i="108"/>
  <c r="E32" i="108" s="1"/>
  <c r="F32" i="108" s="1"/>
  <c r="AE26" i="107"/>
  <c r="AD26" i="107"/>
  <c r="E34" i="107" s="1"/>
  <c r="F34" i="107" s="1"/>
  <c r="U26" i="107"/>
  <c r="T26" i="107"/>
  <c r="E32" i="107" s="1"/>
  <c r="F32" i="107" s="1"/>
  <c r="AE26" i="106"/>
  <c r="AD26" i="106"/>
  <c r="E34" i="106" s="1"/>
  <c r="F34" i="106" s="1"/>
  <c r="U26" i="106"/>
  <c r="T26" i="106"/>
  <c r="E32" i="106" s="1"/>
  <c r="F32" i="106" s="1"/>
  <c r="P26" i="106"/>
  <c r="O26" i="106"/>
  <c r="E31" i="106" s="1"/>
  <c r="F31" i="106" s="1"/>
  <c r="AE26" i="105"/>
  <c r="AD26" i="105"/>
  <c r="E34" i="105" s="1"/>
  <c r="F34" i="105" s="1"/>
  <c r="U26" i="105"/>
  <c r="T26" i="105"/>
  <c r="E32" i="105" s="1"/>
  <c r="F32" i="105" s="1"/>
  <c r="P26" i="105"/>
  <c r="O26" i="105"/>
  <c r="E31" i="105" s="1"/>
  <c r="F31" i="105" s="1"/>
  <c r="U26" i="104"/>
  <c r="T26" i="104"/>
  <c r="E32" i="104" s="1"/>
  <c r="F32" i="104" s="1"/>
  <c r="P26" i="104"/>
  <c r="O26" i="104"/>
  <c r="E31" i="104" s="1"/>
  <c r="F31" i="104" s="1"/>
  <c r="U26" i="103"/>
  <c r="T26" i="103"/>
  <c r="E32" i="103" s="1"/>
  <c r="F32" i="103" s="1"/>
  <c r="P26" i="103"/>
  <c r="O26" i="103"/>
  <c r="E31" i="103" s="1"/>
  <c r="F31" i="103" s="1"/>
  <c r="AE26" i="103"/>
  <c r="AD26" i="103"/>
  <c r="E34" i="103" s="1"/>
  <c r="F34" i="103" s="1"/>
  <c r="Y25" i="53"/>
  <c r="Z25" i="53"/>
  <c r="P26" i="53"/>
  <c r="O26" i="53"/>
  <c r="E31" i="53" s="1"/>
  <c r="F31" i="53" s="1"/>
  <c r="X26" i="53"/>
  <c r="V26" i="53"/>
  <c r="U26" i="53"/>
  <c r="T26" i="53"/>
  <c r="E32" i="53" s="1"/>
  <c r="F32" i="53" s="1"/>
  <c r="AE26" i="53"/>
  <c r="AD26" i="53"/>
  <c r="E34" i="53" s="1"/>
  <c r="F34" i="53" s="1"/>
  <c r="AD23" i="120" l="1"/>
  <c r="CE19" i="152" a="1"/>
  <c r="CE19" i="152" s="1"/>
  <c r="CF19" i="152" s="1"/>
  <c r="CG19" i="152" s="1"/>
  <c r="CE22" i="152" a="1"/>
  <c r="CE22" i="152" s="1"/>
  <c r="CB17" i="152"/>
  <c r="CE15" i="152" a="1"/>
  <c r="CE15" i="152" s="1"/>
  <c r="CF15" i="152" s="1"/>
  <c r="CG15" i="152" s="1"/>
  <c r="CB18" i="152"/>
  <c r="CB16" i="152"/>
  <c r="CE13" i="152" a="1"/>
  <c r="CE13" i="152" s="1"/>
  <c r="CH13" i="152" s="1"/>
  <c r="Q26" i="127"/>
  <c r="S26" i="127"/>
  <c r="CB11" i="152"/>
  <c r="U25" i="127"/>
  <c r="T25" i="127"/>
  <c r="CE21" i="152" a="1"/>
  <c r="CE21" i="152" s="1"/>
  <c r="CF21" i="152" s="1"/>
  <c r="CG21" i="152" s="1"/>
  <c r="CB14" i="152"/>
  <c r="CB22" i="152"/>
  <c r="CB20" i="152"/>
  <c r="CB21" i="152"/>
  <c r="CE14" i="152" a="1"/>
  <c r="CE14" i="152" s="1"/>
  <c r="CF14" i="152" s="1"/>
  <c r="CG14" i="152" s="1"/>
  <c r="S26" i="151"/>
  <c r="Q26" i="151"/>
  <c r="CB10" i="152"/>
  <c r="CE16" i="152" a="1"/>
  <c r="CE16" i="152" s="1"/>
  <c r="CF16" i="152" s="1"/>
  <c r="CG16" i="152" s="1"/>
  <c r="U25" i="151"/>
  <c r="T25" i="151"/>
  <c r="CB12" i="152"/>
  <c r="CE10" i="152" a="1"/>
  <c r="CE10" i="152" s="1"/>
  <c r="CF10" i="152" s="1"/>
  <c r="CG10" i="152" s="1"/>
  <c r="CE9" i="152" a="1"/>
  <c r="CE9" i="152" s="1"/>
  <c r="CB13" i="152"/>
  <c r="CE12" i="152" a="1"/>
  <c r="CE12" i="152" s="1"/>
  <c r="CF12" i="152" s="1"/>
  <c r="CG12" i="152" s="1"/>
  <c r="CB19" i="152"/>
  <c r="CC17" i="152" a="1"/>
  <c r="CC17" i="152" s="1"/>
  <c r="CI17" i="152" s="1"/>
  <c r="CE18" i="152" a="1"/>
  <c r="CE18" i="152" s="1"/>
  <c r="CH18" i="152" s="1"/>
  <c r="CC21" i="152" a="1"/>
  <c r="CC21" i="152" s="1"/>
  <c r="CI21" i="152" s="1"/>
  <c r="CD18" i="152" a="1"/>
  <c r="CD18" i="152" s="1"/>
  <c r="CE17" i="152" a="1"/>
  <c r="CE17" i="152" s="1"/>
  <c r="CH17" i="152" s="1"/>
  <c r="CD12" i="152" a="1"/>
  <c r="CD12" i="152" s="1"/>
  <c r="CD19" i="152" a="1"/>
  <c r="CD19" i="152" s="1"/>
  <c r="CD22" i="152" a="1"/>
  <c r="CD22" i="152" s="1"/>
  <c r="CD20" i="152" a="1"/>
  <c r="CD20" i="152" s="1"/>
  <c r="CE11" i="152" a="1"/>
  <c r="CE11" i="152" s="1"/>
  <c r="CF11" i="152" s="1"/>
  <c r="CG11" i="152" s="1"/>
  <c r="CD21" i="152" a="1"/>
  <c r="CD21" i="152" s="1"/>
  <c r="CC19" i="152" a="1"/>
  <c r="CC19" i="152" s="1"/>
  <c r="CI19" i="152" s="1"/>
  <c r="CC9" i="152" a="1"/>
  <c r="CC9" i="152" s="1"/>
  <c r="CB15" i="152"/>
  <c r="CC11" i="152" a="1"/>
  <c r="CC11" i="152" s="1"/>
  <c r="CC15" i="152" a="1"/>
  <c r="CC15" i="152" s="1"/>
  <c r="CI15" i="152" s="1"/>
  <c r="CC22" i="152" a="1"/>
  <c r="CC22" i="152" s="1"/>
  <c r="CI22" i="152" s="1"/>
  <c r="CE20" i="152" a="1"/>
  <c r="CE20" i="152" s="1"/>
  <c r="CF20" i="152" s="1"/>
  <c r="CG20" i="152" s="1"/>
  <c r="CD11" i="152" a="1"/>
  <c r="CD11" i="152" s="1"/>
  <c r="CD9" i="152" a="1"/>
  <c r="CD9" i="152" s="1"/>
  <c r="CC10" i="152" a="1"/>
  <c r="CC10" i="152" s="1"/>
  <c r="CB9" i="152"/>
  <c r="CD10" i="152" a="1"/>
  <c r="CD10" i="152" s="1"/>
  <c r="CD14" i="152" a="1"/>
  <c r="CD14" i="152" s="1"/>
  <c r="CC13" i="152" a="1"/>
  <c r="CC13" i="152" s="1"/>
  <c r="CI13" i="152" s="1"/>
  <c r="CC18" i="152" a="1"/>
  <c r="CC18" i="152" s="1"/>
  <c r="CI18" i="152" s="1"/>
  <c r="CD15" i="152" a="1"/>
  <c r="CD15" i="152" s="1"/>
  <c r="CC12" i="152" a="1"/>
  <c r="CC12" i="152" s="1"/>
  <c r="CC16" i="152" a="1"/>
  <c r="CC16" i="152" s="1"/>
  <c r="CI16" i="152" s="1"/>
  <c r="CC20" i="152" a="1"/>
  <c r="CC20" i="152" s="1"/>
  <c r="CI20" i="152" s="1"/>
  <c r="CD17" i="152" a="1"/>
  <c r="CD17" i="152" s="1"/>
  <c r="CD16" i="152" a="1"/>
  <c r="CD16" i="152" s="1"/>
  <c r="CD13" i="152" a="1"/>
  <c r="CD13" i="152" s="1"/>
  <c r="CC14" i="152" a="1"/>
  <c r="CC14" i="152" s="1"/>
  <c r="CI14" i="152" s="1"/>
  <c r="AE24" i="120"/>
  <c r="AD22" i="120"/>
  <c r="Z19" i="121"/>
  <c r="Y19" i="121"/>
  <c r="X20" i="121"/>
  <c r="V20" i="121"/>
  <c r="AC20" i="121"/>
  <c r="AA20" i="121"/>
  <c r="AD19" i="121"/>
  <c r="AE19" i="121"/>
  <c r="AC26" i="120"/>
  <c r="AA26" i="120"/>
  <c r="AE25" i="120"/>
  <c r="AD25" i="120"/>
  <c r="Q527" i="152"/>
  <c r="Y22" i="120"/>
  <c r="Z22" i="120"/>
  <c r="V23" i="120"/>
  <c r="X23" i="120"/>
  <c r="CH15" i="152"/>
  <c r="CF13" i="152"/>
  <c r="CG13" i="152" s="1"/>
  <c r="AE26" i="135"/>
  <c r="AD26" i="135"/>
  <c r="E34" i="135" s="1"/>
  <c r="F34" i="135" s="1"/>
  <c r="CF17" i="152"/>
  <c r="CG17" i="152" s="1"/>
  <c r="V20" i="152"/>
  <c r="CH22" i="152"/>
  <c r="CF22" i="152"/>
  <c r="CG22" i="152" s="1"/>
  <c r="CH21" i="152"/>
  <c r="CF9" i="152"/>
  <c r="CG9" i="152" s="1"/>
  <c r="Z26" i="141"/>
  <c r="Y26" i="141"/>
  <c r="E33" i="141" s="1"/>
  <c r="F33" i="141" s="1"/>
  <c r="P26" i="107"/>
  <c r="O26" i="107"/>
  <c r="E31" i="107" s="1"/>
  <c r="F31" i="107" s="1"/>
  <c r="Z26" i="135"/>
  <c r="Y26" i="135"/>
  <c r="E33" i="135" s="1"/>
  <c r="F33" i="135" s="1"/>
  <c r="Z26" i="144"/>
  <c r="Y26" i="144"/>
  <c r="E33" i="144" s="1"/>
  <c r="F33" i="144" s="1"/>
  <c r="Y26" i="150"/>
  <c r="E33" i="150" s="1"/>
  <c r="F33" i="150" s="1"/>
  <c r="Z26" i="150"/>
  <c r="Z26" i="129"/>
  <c r="Y26" i="129"/>
  <c r="E33" i="129" s="1"/>
  <c r="F33" i="129" s="1"/>
  <c r="P26" i="139"/>
  <c r="O26" i="139"/>
  <c r="E31" i="139" s="1"/>
  <c r="F31" i="139" s="1"/>
  <c r="Z26" i="113"/>
  <c r="Y26" i="113"/>
  <c r="E33" i="113" s="1"/>
  <c r="F33" i="113" s="1"/>
  <c r="Y26" i="116"/>
  <c r="E33" i="116" s="1"/>
  <c r="F33" i="116" s="1"/>
  <c r="Z26" i="116"/>
  <c r="Z26" i="109"/>
  <c r="Y26" i="109"/>
  <c r="E33" i="109" s="1"/>
  <c r="F33" i="109" s="1"/>
  <c r="Z26" i="108"/>
  <c r="Y26" i="108"/>
  <c r="E33" i="108" s="1"/>
  <c r="F33" i="108" s="1"/>
  <c r="Z26" i="136"/>
  <c r="Y26" i="136"/>
  <c r="E33" i="136" s="1"/>
  <c r="F33" i="136" s="1"/>
  <c r="Y26" i="111"/>
  <c r="E33" i="111" s="1"/>
  <c r="F33" i="111" s="1"/>
  <c r="Z26" i="111"/>
  <c r="Y26" i="110"/>
  <c r="E33" i="110" s="1"/>
  <c r="F33" i="110" s="1"/>
  <c r="Z26" i="110"/>
  <c r="Z26" i="105"/>
  <c r="Y26" i="105"/>
  <c r="E33" i="105" s="1"/>
  <c r="F33" i="105" s="1"/>
  <c r="Z26" i="132"/>
  <c r="Y26" i="132"/>
  <c r="E33" i="132" s="1"/>
  <c r="F33" i="132" s="1"/>
  <c r="Z26" i="106"/>
  <c r="Y26" i="106"/>
  <c r="E33" i="106" s="1"/>
  <c r="F33" i="106" s="1"/>
  <c r="Y26" i="104"/>
  <c r="E33" i="104" s="1"/>
  <c r="F33" i="104" s="1"/>
  <c r="Z26" i="104"/>
  <c r="Z26" i="112"/>
  <c r="Y26" i="112"/>
  <c r="E33" i="112" s="1"/>
  <c r="F33" i="112" s="1"/>
  <c r="Z26" i="147"/>
  <c r="Y26" i="147"/>
  <c r="E33" i="147" s="1"/>
  <c r="F33" i="147" s="1"/>
  <c r="Y26" i="123"/>
  <c r="E33" i="123" s="1"/>
  <c r="F33" i="123" s="1"/>
  <c r="Z26" i="123"/>
  <c r="Z26" i="122"/>
  <c r="Y26" i="122"/>
  <c r="E33" i="122" s="1"/>
  <c r="F33" i="122" s="1"/>
  <c r="Z26" i="103"/>
  <c r="Y26" i="103"/>
  <c r="E33" i="103" s="1"/>
  <c r="F33" i="103" s="1"/>
  <c r="Z26" i="128"/>
  <c r="Y26" i="128"/>
  <c r="E33" i="128" s="1"/>
  <c r="F33" i="128" s="1"/>
  <c r="Z26" i="146"/>
  <c r="Y26" i="146"/>
  <c r="E33" i="146" s="1"/>
  <c r="F33" i="146" s="1"/>
  <c r="Y26" i="138"/>
  <c r="E33" i="138" s="1"/>
  <c r="F33" i="138" s="1"/>
  <c r="Z26" i="138"/>
  <c r="Z26" i="142"/>
  <c r="Y26" i="142"/>
  <c r="E33" i="142" s="1"/>
  <c r="F33" i="142" s="1"/>
  <c r="AE26" i="115"/>
  <c r="AD26" i="115"/>
  <c r="E34" i="115" s="1"/>
  <c r="F34" i="115" s="1"/>
  <c r="P26" i="115"/>
  <c r="O26" i="115"/>
  <c r="E31" i="115" s="1"/>
  <c r="F31" i="115" s="1"/>
  <c r="AE26" i="108"/>
  <c r="AD26" i="108"/>
  <c r="E34" i="108" s="1"/>
  <c r="F34" i="108" s="1"/>
  <c r="Z26" i="151"/>
  <c r="Y26" i="151"/>
  <c r="E33" i="151" s="1"/>
  <c r="F33" i="151" s="1"/>
  <c r="Z26" i="140"/>
  <c r="Y26" i="140"/>
  <c r="E33" i="140" s="1"/>
  <c r="F33" i="140" s="1"/>
  <c r="Z26" i="139"/>
  <c r="Y26" i="139"/>
  <c r="E33" i="139" s="1"/>
  <c r="F33" i="139" s="1"/>
  <c r="Z26" i="131"/>
  <c r="Y26" i="131"/>
  <c r="E33" i="131" s="1"/>
  <c r="F33" i="131" s="1"/>
  <c r="Z26" i="127"/>
  <c r="Y26" i="127"/>
  <c r="E33" i="127" s="1"/>
  <c r="F33" i="127" s="1"/>
  <c r="U26" i="126"/>
  <c r="T26" i="126"/>
  <c r="E32" i="126" s="1"/>
  <c r="F32" i="126" s="1"/>
  <c r="Z26" i="124"/>
  <c r="Y26" i="124"/>
  <c r="E33" i="124" s="1"/>
  <c r="F33" i="124" s="1"/>
  <c r="U26" i="118"/>
  <c r="T26" i="118"/>
  <c r="E32" i="118" s="1"/>
  <c r="F32" i="118" s="1"/>
  <c r="Z26" i="117"/>
  <c r="Y26" i="117"/>
  <c r="E33" i="117" s="1"/>
  <c r="F33" i="117" s="1"/>
  <c r="Z26" i="114"/>
  <c r="Y26" i="114"/>
  <c r="E33" i="114" s="1"/>
  <c r="F33" i="114" s="1"/>
  <c r="Y26" i="53"/>
  <c r="E33" i="53" s="1"/>
  <c r="F33" i="53" s="1"/>
  <c r="Z26" i="53"/>
  <c r="CH19" i="152" l="1"/>
  <c r="CH14" i="152"/>
  <c r="CF18" i="152"/>
  <c r="CG18" i="152" s="1"/>
  <c r="U26" i="127"/>
  <c r="T26" i="127"/>
  <c r="E32" i="127" s="1"/>
  <c r="F32" i="127" s="1"/>
  <c r="CH16" i="152"/>
  <c r="CH10" i="152"/>
  <c r="CH20" i="152"/>
  <c r="T26" i="151"/>
  <c r="E32" i="151" s="1"/>
  <c r="F32" i="151" s="1"/>
  <c r="U26" i="151"/>
  <c r="CI12" i="152"/>
  <c r="CI11" i="152"/>
  <c r="CI9" i="152"/>
  <c r="J25" i="152" s="1"/>
  <c r="G44" i="121" s="1"/>
  <c r="CI10" i="152"/>
  <c r="J24" i="152" s="1"/>
  <c r="G43" i="121" s="1"/>
  <c r="CH9" i="152"/>
  <c r="L23" i="152" s="1"/>
  <c r="AD26" i="120"/>
  <c r="E34" i="120" s="1"/>
  <c r="F34" i="120" s="1"/>
  <c r="AE26" i="120"/>
  <c r="C43" i="121"/>
  <c r="AA21" i="121"/>
  <c r="AC21" i="121"/>
  <c r="AE20" i="121"/>
  <c r="AD20" i="121"/>
  <c r="V21" i="121"/>
  <c r="X21" i="121"/>
  <c r="Z20" i="121"/>
  <c r="Y20" i="121"/>
  <c r="C42" i="121"/>
  <c r="Z23" i="120"/>
  <c r="Y23" i="120"/>
  <c r="V24" i="120"/>
  <c r="X24" i="120"/>
  <c r="CH12" i="152"/>
  <c r="L26" i="152" s="1"/>
  <c r="Q528" i="152"/>
  <c r="CH11" i="152"/>
  <c r="L25" i="152" s="1"/>
  <c r="V21" i="152"/>
  <c r="G44" i="120" l="1"/>
  <c r="I25" i="152"/>
  <c r="J23" i="152"/>
  <c r="G42" i="121" s="1"/>
  <c r="E43" i="121"/>
  <c r="F43" i="121" s="1"/>
  <c r="L24" i="152"/>
  <c r="G43" i="120" s="1"/>
  <c r="I26" i="152"/>
  <c r="C45" i="120" s="1"/>
  <c r="I24" i="152"/>
  <c r="C43" i="120" s="1"/>
  <c r="I23" i="152"/>
  <c r="C42" i="120" s="1"/>
  <c r="J26" i="152"/>
  <c r="G45" i="121" s="1"/>
  <c r="C44" i="120"/>
  <c r="E44" i="120" s="1"/>
  <c r="F44" i="120" s="1"/>
  <c r="C44" i="121"/>
  <c r="E44" i="121" s="1"/>
  <c r="F44" i="121" s="1"/>
  <c r="Z21" i="121"/>
  <c r="Y21" i="121"/>
  <c r="V22" i="121"/>
  <c r="X22" i="121"/>
  <c r="AE21" i="121"/>
  <c r="AD21" i="121"/>
  <c r="AC22" i="121"/>
  <c r="AA22" i="121"/>
  <c r="C45" i="121"/>
  <c r="Q529" i="152"/>
  <c r="Z24" i="120"/>
  <c r="Y24" i="120"/>
  <c r="V25" i="120"/>
  <c r="X25" i="120"/>
  <c r="V22" i="152"/>
  <c r="G42" i="120" l="1"/>
  <c r="E45" i="121"/>
  <c r="F45" i="121" s="1"/>
  <c r="G45" i="120"/>
  <c r="E43" i="120"/>
  <c r="F43" i="120" s="1"/>
  <c r="E45" i="120"/>
  <c r="F45" i="120" s="1"/>
  <c r="E46" i="120"/>
  <c r="F46" i="120" s="1"/>
  <c r="AC23" i="121"/>
  <c r="AA23" i="121"/>
  <c r="Z22" i="121"/>
  <c r="Y22" i="121"/>
  <c r="E46" i="121"/>
  <c r="F46" i="121" s="1"/>
  <c r="X23" i="121"/>
  <c r="V23" i="121"/>
  <c r="AE22" i="121"/>
  <c r="AD22" i="121"/>
  <c r="Y25" i="120"/>
  <c r="Z25" i="120"/>
  <c r="X26" i="120"/>
  <c r="V26" i="120"/>
  <c r="Q530" i="152"/>
  <c r="V23" i="152"/>
  <c r="AE23" i="121" l="1"/>
  <c r="AD23" i="121"/>
  <c r="X24" i="121"/>
  <c r="V24" i="121"/>
  <c r="Z23" i="121"/>
  <c r="Y23" i="121"/>
  <c r="AC24" i="121"/>
  <c r="AA24" i="121"/>
  <c r="Q531" i="152"/>
  <c r="Y26" i="120"/>
  <c r="E33" i="120" s="1"/>
  <c r="F33" i="120" s="1"/>
  <c r="Z26" i="120"/>
  <c r="V24" i="152"/>
  <c r="AC25" i="121" l="1"/>
  <c r="AA25" i="121"/>
  <c r="V25" i="121"/>
  <c r="X25" i="121"/>
  <c r="AD24" i="121"/>
  <c r="AE24" i="121"/>
  <c r="Z24" i="121"/>
  <c r="Y24" i="121"/>
  <c r="Q532" i="152"/>
  <c r="V25" i="152"/>
  <c r="Z25" i="121" l="1"/>
  <c r="Y25" i="121"/>
  <c r="V26" i="121"/>
  <c r="X26" i="121"/>
  <c r="AC26" i="121"/>
  <c r="AA26" i="121"/>
  <c r="AE25" i="121"/>
  <c r="AD25" i="121"/>
  <c r="Q533" i="152"/>
  <c r="V26" i="152"/>
  <c r="AE26" i="121" l="1"/>
  <c r="AD26" i="121"/>
  <c r="E34" i="121" s="1"/>
  <c r="F34" i="121" s="1"/>
  <c r="Y26" i="121"/>
  <c r="E33" i="121" s="1"/>
  <c r="F33" i="121" s="1"/>
  <c r="Z26" i="121"/>
  <c r="Q534" i="152"/>
  <c r="V27" i="152"/>
  <c r="Q535" i="152" l="1"/>
  <c r="V28" i="152"/>
  <c r="Q536" i="152" l="1"/>
  <c r="V29" i="152"/>
  <c r="Q537" i="152" l="1"/>
  <c r="V30" i="152"/>
  <c r="Q538" i="152" l="1"/>
  <c r="V31" i="152"/>
  <c r="Q539" i="152" l="1"/>
  <c r="V32" i="152"/>
  <c r="Q540" i="152" l="1"/>
  <c r="V33" i="152"/>
  <c r="Q541" i="152" l="1"/>
  <c r="V34" i="152"/>
  <c r="Q542" i="152" l="1"/>
  <c r="V35" i="152"/>
  <c r="Q543" i="152" l="1"/>
  <c r="V36" i="152"/>
  <c r="Q544" i="152" l="1"/>
  <c r="V37" i="152"/>
  <c r="Q545" i="152" l="1"/>
  <c r="V38" i="152"/>
  <c r="Q546" i="152" l="1"/>
  <c r="V39" i="152"/>
  <c r="Q547" i="152" l="1"/>
  <c r="V40" i="152"/>
  <c r="Q548" i="152" l="1"/>
  <c r="V41" i="152"/>
  <c r="Q549" i="152" l="1"/>
  <c r="V42" i="152"/>
  <c r="Q550" i="152" l="1"/>
  <c r="V43" i="152"/>
  <c r="Q551" i="152" l="1"/>
  <c r="V44" i="152"/>
  <c r="Q552" i="152" l="1"/>
  <c r="V45" i="152"/>
  <c r="Q553" i="152" l="1"/>
  <c r="V46" i="152"/>
  <c r="Q554" i="152" l="1"/>
  <c r="V47" i="152"/>
  <c r="Q555" i="152" l="1"/>
  <c r="V48" i="152"/>
  <c r="Q556" i="152" l="1"/>
  <c r="V49" i="152"/>
  <c r="Q557" i="152" l="1"/>
  <c r="V50" i="152"/>
  <c r="Q558" i="152" l="1"/>
  <c r="V51" i="152"/>
  <c r="Q559" i="152" l="1"/>
  <c r="V52" i="152"/>
  <c r="Q560" i="152" l="1"/>
  <c r="V53" i="152"/>
  <c r="Q561" i="152" l="1"/>
  <c r="V54" i="152"/>
  <c r="Q562" i="152" l="1"/>
  <c r="V55" i="152"/>
  <c r="Q563" i="152" l="1"/>
  <c r="V56" i="152"/>
  <c r="Q564" i="152" l="1"/>
  <c r="V57" i="152"/>
  <c r="Q565" i="152" l="1"/>
  <c r="V58" i="152"/>
  <c r="Q566" i="152" l="1"/>
  <c r="V59" i="152"/>
  <c r="Q567" i="152" l="1"/>
  <c r="V60" i="152"/>
  <c r="Q568" i="152" l="1"/>
  <c r="V61" i="152"/>
  <c r="Q569" i="152" l="1"/>
  <c r="V62" i="152"/>
  <c r="Q570" i="152" l="1"/>
  <c r="V63" i="152"/>
  <c r="Q571" i="152" l="1"/>
  <c r="V64" i="152"/>
  <c r="Q572" i="152" l="1"/>
  <c r="V65" i="152"/>
  <c r="Q573" i="152" l="1"/>
  <c r="V66" i="152"/>
  <c r="Q574" i="152" l="1"/>
  <c r="V67" i="152"/>
  <c r="Q575" i="152" l="1"/>
  <c r="V68" i="152"/>
  <c r="Q576" i="152" l="1"/>
  <c r="V69" i="152"/>
  <c r="Q577" i="152" l="1"/>
  <c r="V70" i="152"/>
  <c r="Q578" i="152" l="1"/>
  <c r="V71" i="152"/>
  <c r="Q579" i="152" l="1"/>
  <c r="V72" i="152"/>
  <c r="Q580" i="152" l="1"/>
  <c r="V73" i="152"/>
  <c r="Q581" i="152" l="1"/>
  <c r="V74" i="152"/>
  <c r="Q582" i="152" l="1"/>
  <c r="V75" i="152"/>
  <c r="Q583" i="152" l="1"/>
  <c r="V76" i="152"/>
  <c r="Q584" i="152" l="1"/>
  <c r="V77" i="152"/>
  <c r="Q585" i="152" l="1"/>
  <c r="V78" i="152"/>
  <c r="Q586" i="152" l="1"/>
  <c r="V79" i="152"/>
  <c r="Q587" i="152" l="1"/>
  <c r="V80" i="152"/>
  <c r="Q588" i="152" l="1"/>
  <c r="V81" i="152"/>
  <c r="Q589" i="152" l="1"/>
  <c r="V82" i="152"/>
  <c r="Q590" i="152" l="1"/>
  <c r="V83" i="152"/>
  <c r="Q591" i="152" l="1"/>
  <c r="V84" i="152"/>
  <c r="Q592" i="152" l="1"/>
  <c r="V85" i="152"/>
  <c r="Q593" i="152" l="1"/>
  <c r="V86" i="152"/>
  <c r="Q594" i="152" l="1"/>
  <c r="V87" i="152"/>
  <c r="Q595" i="152" l="1"/>
  <c r="V88" i="152"/>
  <c r="Q596" i="152" l="1"/>
  <c r="V89" i="152"/>
  <c r="Q597" i="152" l="1"/>
  <c r="V90" i="152"/>
  <c r="Q598" i="152" l="1"/>
  <c r="V91" i="152"/>
  <c r="Q599" i="152" l="1"/>
  <c r="V92" i="152"/>
  <c r="Q600" i="152" l="1"/>
  <c r="V93" i="152"/>
  <c r="Q601" i="152" l="1"/>
  <c r="V94" i="152"/>
  <c r="Q602" i="152" l="1"/>
  <c r="V95" i="152"/>
  <c r="Q603" i="152" l="1"/>
  <c r="V96" i="152"/>
  <c r="Q604" i="152" l="1"/>
  <c r="V97" i="152"/>
  <c r="Q605" i="152" l="1"/>
  <c r="V98" i="152"/>
  <c r="Q606" i="152" l="1"/>
  <c r="V99" i="152"/>
  <c r="Q607" i="152" l="1"/>
  <c r="V100" i="152"/>
  <c r="Q608" i="152" l="1"/>
  <c r="V101" i="152"/>
  <c r="Q609" i="152" l="1"/>
  <c r="V102" i="152"/>
  <c r="Q610" i="152" l="1"/>
  <c r="V103" i="152"/>
  <c r="Q611" i="152" l="1"/>
  <c r="V104" i="152"/>
  <c r="Q612" i="152" l="1"/>
  <c r="V105" i="152"/>
  <c r="Q613" i="152" l="1"/>
  <c r="V106" i="152"/>
  <c r="Q614" i="152" l="1"/>
  <c r="V107" i="152"/>
  <c r="Q615" i="152" l="1"/>
  <c r="V108" i="152"/>
  <c r="Q616" i="152" l="1"/>
  <c r="V109" i="152"/>
  <c r="Q617" i="152" l="1"/>
  <c r="V110" i="152"/>
  <c r="Q618" i="152" l="1"/>
  <c r="V111" i="152"/>
  <c r="Q619" i="152" l="1"/>
  <c r="V112" i="152"/>
  <c r="Q620" i="152" l="1"/>
  <c r="V113" i="152"/>
  <c r="Q621" i="152" l="1"/>
  <c r="V114" i="152"/>
  <c r="Q622" i="152" l="1"/>
  <c r="V115" i="152"/>
  <c r="Q623" i="152" l="1"/>
  <c r="V116" i="152"/>
  <c r="Q624" i="152" l="1"/>
  <c r="V117" i="152"/>
  <c r="Q625" i="152" l="1"/>
  <c r="V118" i="152"/>
  <c r="Q626" i="152" l="1"/>
  <c r="V119" i="152"/>
  <c r="Q627" i="152" l="1"/>
  <c r="V120" i="152"/>
  <c r="Q628" i="152" l="1"/>
  <c r="V121" i="152"/>
  <c r="Q629" i="152" l="1"/>
  <c r="V122" i="152"/>
  <c r="Q630" i="152" l="1"/>
  <c r="V123" i="152"/>
  <c r="Q631" i="152" l="1"/>
  <c r="V124" i="152"/>
  <c r="Q632" i="152" l="1"/>
  <c r="V125" i="152"/>
  <c r="Q633" i="152" l="1"/>
  <c r="V126" i="152"/>
  <c r="Q634" i="152" l="1"/>
  <c r="V127" i="152"/>
  <c r="Q635" i="152" l="1"/>
  <c r="V128" i="152"/>
  <c r="Q636" i="152" l="1"/>
  <c r="V129" i="152"/>
  <c r="Q637" i="152" l="1"/>
  <c r="V130" i="152"/>
  <c r="Q638" i="152" l="1"/>
  <c r="V131" i="152"/>
  <c r="Q639" i="152" l="1"/>
  <c r="V132" i="152"/>
  <c r="Q640" i="152" l="1"/>
  <c r="V133" i="152"/>
  <c r="Q641" i="152" l="1"/>
  <c r="V134" i="152"/>
  <c r="Q642" i="152" l="1"/>
  <c r="V135" i="152"/>
  <c r="Q643" i="152" l="1"/>
  <c r="V136" i="152"/>
  <c r="Q644" i="152" l="1"/>
  <c r="V137" i="152"/>
  <c r="Q645" i="152" l="1"/>
  <c r="V138" i="152"/>
  <c r="Q646" i="152" l="1"/>
  <c r="V139" i="152"/>
  <c r="Q647" i="152" l="1"/>
  <c r="V140" i="152"/>
  <c r="Q648" i="152" l="1"/>
  <c r="V141" i="152"/>
  <c r="Q649" i="152" l="1"/>
  <c r="V142" i="152"/>
  <c r="Q650" i="152" l="1"/>
  <c r="V143" i="152"/>
  <c r="Q651" i="152" l="1"/>
  <c r="V144" i="152"/>
  <c r="Q652" i="152" l="1"/>
  <c r="V145" i="152"/>
  <c r="Q653" i="152" l="1"/>
  <c r="V146" i="152"/>
  <c r="Q654" i="152" l="1"/>
  <c r="V147" i="152"/>
  <c r="Q655" i="152" l="1"/>
  <c r="V148" i="152"/>
  <c r="Q656" i="152" l="1"/>
  <c r="V149" i="152"/>
  <c r="Q657" i="152" l="1"/>
  <c r="V150" i="152"/>
  <c r="Q658" i="152" l="1"/>
  <c r="V151" i="152"/>
  <c r="Q659" i="152" l="1"/>
  <c r="V152" i="152"/>
  <c r="Q660" i="152" l="1"/>
  <c r="V153" i="152"/>
  <c r="Q661" i="152" l="1"/>
  <c r="V154" i="152"/>
  <c r="Q662" i="152" l="1"/>
  <c r="V155" i="152"/>
  <c r="Q663" i="152" l="1"/>
  <c r="V156" i="152"/>
  <c r="Q664" i="152" l="1"/>
  <c r="V157" i="152"/>
  <c r="Q665" i="152" l="1"/>
  <c r="V158" i="152"/>
  <c r="Q666" i="152" l="1"/>
  <c r="V159" i="152"/>
  <c r="Q667" i="152" l="1"/>
  <c r="V160" i="152"/>
  <c r="Q668" i="152" l="1"/>
  <c r="V161" i="152"/>
  <c r="Q669" i="152" l="1"/>
  <c r="V162" i="152"/>
  <c r="Q670" i="152" l="1"/>
  <c r="V163" i="152"/>
  <c r="Q671" i="152" l="1"/>
  <c r="V164" i="152"/>
  <c r="Q672" i="152" l="1"/>
  <c r="V165" i="152"/>
  <c r="Q673" i="152" l="1"/>
  <c r="V166" i="152"/>
  <c r="Q674" i="152" l="1"/>
  <c r="V167" i="152"/>
  <c r="Q675" i="152" l="1"/>
  <c r="V168" i="152"/>
  <c r="Q676" i="152" l="1"/>
  <c r="V169" i="152"/>
  <c r="Q677" i="152" l="1"/>
  <c r="V170" i="152"/>
  <c r="Q678" i="152" l="1"/>
  <c r="V171" i="152"/>
  <c r="Q679" i="152" l="1"/>
  <c r="V172" i="152"/>
  <c r="Q680" i="152" l="1"/>
  <c r="V173" i="152"/>
  <c r="Q681" i="152" l="1"/>
  <c r="V174" i="152"/>
  <c r="Q682" i="152" l="1"/>
  <c r="V175" i="152"/>
  <c r="Q683" i="152" l="1"/>
  <c r="V176" i="152"/>
  <c r="Q684" i="152" l="1"/>
  <c r="V177" i="152"/>
  <c r="Q685" i="152" l="1"/>
  <c r="V178" i="152"/>
  <c r="Q686" i="152" l="1"/>
  <c r="V179" i="152"/>
  <c r="Q687" i="152" l="1"/>
  <c r="V180" i="152"/>
  <c r="Q688" i="152" l="1"/>
  <c r="V181" i="152"/>
  <c r="Q689" i="152" l="1"/>
  <c r="V182" i="152"/>
  <c r="Q690" i="152" l="1"/>
  <c r="V183" i="152"/>
  <c r="Q691" i="152" l="1"/>
  <c r="V184" i="152"/>
  <c r="Q692" i="152" l="1"/>
  <c r="V185" i="152"/>
  <c r="Q693" i="152" l="1"/>
  <c r="V186" i="152"/>
  <c r="Q694" i="152" l="1"/>
  <c r="V187" i="152"/>
  <c r="Q695" i="152" l="1"/>
  <c r="V188" i="152"/>
  <c r="Q696" i="152" l="1"/>
  <c r="V189" i="152"/>
  <c r="Q697" i="152" l="1"/>
  <c r="V190" i="152"/>
  <c r="Q698" i="152" l="1"/>
  <c r="V191" i="152"/>
  <c r="Q699" i="152" l="1"/>
  <c r="V192" i="152"/>
  <c r="Q700" i="152" l="1"/>
  <c r="V193" i="152"/>
  <c r="Q701" i="152" l="1"/>
  <c r="V194" i="152"/>
  <c r="Q702" i="152" l="1"/>
  <c r="V195" i="152"/>
  <c r="Q703" i="152" l="1"/>
  <c r="V196" i="152"/>
  <c r="Q704" i="152" l="1"/>
  <c r="V197" i="152"/>
  <c r="Q705" i="152" l="1"/>
  <c r="V198" i="152"/>
  <c r="Q706" i="152" l="1"/>
  <c r="V199" i="152"/>
  <c r="Q707" i="152" l="1"/>
  <c r="V200" i="152"/>
  <c r="Q708" i="152" l="1"/>
  <c r="AU16" i="152" a="1"/>
  <c r="AU16" i="152" s="1"/>
  <c r="AU19" i="152" a="1"/>
  <c r="AU19" i="152" s="1"/>
  <c r="AU15" i="152" a="1"/>
  <c r="AU15" i="152" s="1"/>
  <c r="AU13" i="152" a="1"/>
  <c r="AU13" i="152" s="1"/>
  <c r="V201" i="152"/>
  <c r="AT22" i="152" l="1" a="1"/>
  <c r="AT22" i="152" s="1"/>
  <c r="AT19" i="152" a="1"/>
  <c r="AT19" i="152" s="1"/>
  <c r="AT16" i="152" a="1"/>
  <c r="AT16" i="152" s="1"/>
  <c r="AS9" i="152" a="1"/>
  <c r="AS9" i="152" s="1"/>
  <c r="AT17" i="152" a="1"/>
  <c r="AT17" i="152" s="1"/>
  <c r="AU22" i="152" a="1"/>
  <c r="AU22" i="152" s="1"/>
  <c r="AX22" i="152" s="1"/>
  <c r="AS21" i="152" a="1"/>
  <c r="AS21" i="152" s="1"/>
  <c r="AS11" i="152" a="1"/>
  <c r="AS11" i="152" s="1"/>
  <c r="AS22" i="152" a="1"/>
  <c r="AS22" i="152" s="1"/>
  <c r="AY22" i="152" s="1"/>
  <c r="AT14" i="152" a="1"/>
  <c r="AT14" i="152" s="1"/>
  <c r="AS12" i="152" a="1"/>
  <c r="AS12" i="152" s="1"/>
  <c r="AS17" i="152" a="1"/>
  <c r="AS17" i="152" s="1"/>
  <c r="AY17" i="152" s="1"/>
  <c r="AS10" i="152" a="1"/>
  <c r="AS10" i="152" s="1"/>
  <c r="AU12" i="152" a="1"/>
  <c r="AU12" i="152" s="1"/>
  <c r="AV12" i="152" s="1"/>
  <c r="AW12" i="152" s="1"/>
  <c r="AS20" i="152" a="1"/>
  <c r="AS20" i="152" s="1"/>
  <c r="AY20" i="152" s="1"/>
  <c r="AU21" i="152" a="1"/>
  <c r="AU21" i="152" s="1"/>
  <c r="AX21" i="152" s="1"/>
  <c r="AT12" i="152" a="1"/>
  <c r="AT12" i="152" s="1"/>
  <c r="AS16" i="152" a="1"/>
  <c r="AS16" i="152" s="1"/>
  <c r="AU10" i="152" a="1"/>
  <c r="AU10" i="152" s="1"/>
  <c r="AV10" i="152" s="1"/>
  <c r="AW10" i="152" s="1"/>
  <c r="AT10" i="152" a="1"/>
  <c r="AT10" i="152" s="1"/>
  <c r="AT13" i="152" a="1"/>
  <c r="AT13" i="152" s="1"/>
  <c r="AU17" i="152" a="1"/>
  <c r="AU17" i="152" s="1"/>
  <c r="AV17" i="152" s="1"/>
  <c r="AW17" i="152" s="1"/>
  <c r="AS15" i="152" a="1"/>
  <c r="AS15" i="152" s="1"/>
  <c r="AT18" i="152" a="1"/>
  <c r="AT18" i="152" s="1"/>
  <c r="AT9" i="152" a="1"/>
  <c r="AT9" i="152" s="1"/>
  <c r="AT20" i="152" a="1"/>
  <c r="AT20" i="152" s="1"/>
  <c r="AS14" i="152" a="1"/>
  <c r="AS14" i="152" s="1"/>
  <c r="AS19" i="152" a="1"/>
  <c r="AS19" i="152" s="1"/>
  <c r="AY19" i="152" s="1"/>
  <c r="AT15" i="152" a="1"/>
  <c r="AT15" i="152" s="1"/>
  <c r="AT21" i="152" a="1"/>
  <c r="AT21" i="152" s="1"/>
  <c r="AS13" i="152" a="1"/>
  <c r="AS13" i="152" s="1"/>
  <c r="AT11" i="152" a="1"/>
  <c r="AT11" i="152" s="1"/>
  <c r="AS18" i="152" a="1"/>
  <c r="AS18" i="152" s="1"/>
  <c r="AY18" i="152" s="1"/>
  <c r="AV13" i="152"/>
  <c r="AW13" i="152" s="1"/>
  <c r="AV15" i="152"/>
  <c r="AW15" i="152" s="1"/>
  <c r="AV22" i="152"/>
  <c r="AW22" i="152" s="1"/>
  <c r="AX19" i="152"/>
  <c r="AV19" i="152"/>
  <c r="AW19" i="152" s="1"/>
  <c r="AV16" i="152"/>
  <c r="AW16" i="152" s="1"/>
  <c r="AR16" i="152"/>
  <c r="AR13" i="152"/>
  <c r="AR11" i="152"/>
  <c r="AR10" i="152"/>
  <c r="AR9" i="152"/>
  <c r="AR18" i="152"/>
  <c r="AR19" i="152"/>
  <c r="AR12" i="152"/>
  <c r="AR17" i="152"/>
  <c r="AR14" i="152"/>
  <c r="AR15" i="152"/>
  <c r="AR21" i="152"/>
  <c r="AR22" i="152"/>
  <c r="AR20" i="152"/>
  <c r="AU18" i="152" a="1"/>
  <c r="AU18" i="152" s="1"/>
  <c r="AU11" i="152" a="1"/>
  <c r="AU11" i="152" s="1"/>
  <c r="AU9" i="152" a="1"/>
  <c r="AU9" i="152" s="1"/>
  <c r="AU14" i="152" a="1"/>
  <c r="AU14" i="152" s="1"/>
  <c r="AY21" i="152"/>
  <c r="AU20" i="152" a="1"/>
  <c r="AU20" i="152" s="1"/>
  <c r="V202" i="152"/>
  <c r="AY11" i="152" l="1"/>
  <c r="AX17" i="152"/>
  <c r="AV21" i="152"/>
  <c r="AW21" i="152" s="1"/>
  <c r="AX16" i="152"/>
  <c r="AX10" i="152"/>
  <c r="I19" i="152"/>
  <c r="AY15" i="152"/>
  <c r="AV11" i="152"/>
  <c r="AW11" i="152" s="1"/>
  <c r="AY14" i="152"/>
  <c r="AV18" i="152"/>
  <c r="AW18" i="152" s="1"/>
  <c r="AX18" i="152"/>
  <c r="AY12" i="152"/>
  <c r="H19" i="152"/>
  <c r="AX20" i="152"/>
  <c r="AV20" i="152"/>
  <c r="AW20" i="152" s="1"/>
  <c r="H18" i="152"/>
  <c r="AX12" i="152"/>
  <c r="I16" i="152"/>
  <c r="AY13" i="152"/>
  <c r="AV14" i="152"/>
  <c r="AW14" i="152" s="1"/>
  <c r="I18" i="152"/>
  <c r="C25" i="121" s="1"/>
  <c r="AY10" i="152"/>
  <c r="I17" i="152"/>
  <c r="C24" i="121" s="1"/>
  <c r="H30" i="152"/>
  <c r="AX15" i="152"/>
  <c r="H17" i="152"/>
  <c r="AX13" i="152"/>
  <c r="AV9" i="152"/>
  <c r="H16" i="152"/>
  <c r="AY9" i="152"/>
  <c r="H12" i="152" s="1"/>
  <c r="AY16" i="152"/>
  <c r="V203" i="152"/>
  <c r="AW9" i="152" l="1"/>
  <c r="I9" i="152" s="1"/>
  <c r="C23" i="120"/>
  <c r="C23" i="121"/>
  <c r="B23" i="120"/>
  <c r="B23" i="121"/>
  <c r="B26" i="120"/>
  <c r="B26" i="121"/>
  <c r="C26" i="120"/>
  <c r="C26" i="121"/>
  <c r="B19" i="120"/>
  <c r="B19" i="121"/>
  <c r="B24" i="120"/>
  <c r="B24" i="121"/>
  <c r="B25" i="120"/>
  <c r="B25" i="121"/>
  <c r="I13" i="152"/>
  <c r="C20" i="121" s="1"/>
  <c r="AX11" i="152"/>
  <c r="C25" i="120"/>
  <c r="CR18" i="152"/>
  <c r="AX14" i="152"/>
  <c r="O30" i="152" s="1"/>
  <c r="AX9" i="152"/>
  <c r="H9" i="152"/>
  <c r="H20" i="152"/>
  <c r="H11" i="152"/>
  <c r="H10" i="152"/>
  <c r="I12" i="152"/>
  <c r="C19" i="121" s="1"/>
  <c r="I14" i="152"/>
  <c r="I10" i="152"/>
  <c r="C17" i="121" s="1"/>
  <c r="H15" i="152"/>
  <c r="I20" i="152"/>
  <c r="CR16" i="152"/>
  <c r="C24" i="120"/>
  <c r="CR17" i="152"/>
  <c r="I11" i="152"/>
  <c r="C18" i="121" s="1"/>
  <c r="I15" i="152"/>
  <c r="C22" i="121" s="1"/>
  <c r="H14" i="152"/>
  <c r="H13" i="152"/>
  <c r="V204" i="152"/>
  <c r="C16" i="121" l="1"/>
  <c r="J30" i="152"/>
  <c r="C20" i="120"/>
  <c r="B18" i="120"/>
  <c r="B18" i="121"/>
  <c r="B21" i="120"/>
  <c r="B21" i="121"/>
  <c r="C21" i="120"/>
  <c r="C21" i="121"/>
  <c r="G31" i="121" s="1"/>
  <c r="H31" i="121" s="1"/>
  <c r="B27" i="120"/>
  <c r="B27" i="121"/>
  <c r="B20" i="120"/>
  <c r="B20" i="121"/>
  <c r="B16" i="120"/>
  <c r="B16" i="121"/>
  <c r="B17" i="120"/>
  <c r="B17" i="121"/>
  <c r="M16" i="121"/>
  <c r="M17" i="121" s="1"/>
  <c r="M18" i="121" s="1"/>
  <c r="M19" i="121" s="1"/>
  <c r="M20" i="121" s="1"/>
  <c r="L16" i="121"/>
  <c r="N17" i="121" s="1"/>
  <c r="C27" i="120"/>
  <c r="C27" i="121"/>
  <c r="C31" i="121" s="1"/>
  <c r="B22" i="120"/>
  <c r="B22" i="121"/>
  <c r="CR13" i="152"/>
  <c r="CR14" i="152"/>
  <c r="C22" i="120"/>
  <c r="CR15" i="152"/>
  <c r="C18" i="120"/>
  <c r="CR11" i="152"/>
  <c r="M30" i="152"/>
  <c r="C16" i="120"/>
  <c r="CR9" i="152"/>
  <c r="I30" i="152"/>
  <c r="C19" i="120"/>
  <c r="CR12" i="152"/>
  <c r="C17" i="120"/>
  <c r="CR10" i="152"/>
  <c r="V205" i="152"/>
  <c r="D31" i="120" l="1"/>
  <c r="D31" i="121"/>
  <c r="M21" i="121"/>
  <c r="M22" i="121" s="1"/>
  <c r="M23" i="121" s="1"/>
  <c r="M24" i="121" s="1"/>
  <c r="M25" i="121" s="1"/>
  <c r="M26" i="121" s="1"/>
  <c r="P17" i="121"/>
  <c r="O17" i="121"/>
  <c r="I31" i="120"/>
  <c r="I31" i="121"/>
  <c r="L17" i="121"/>
  <c r="B31" i="121"/>
  <c r="K30" i="152"/>
  <c r="L30" i="152" s="1"/>
  <c r="M16" i="120"/>
  <c r="M17" i="120" s="1"/>
  <c r="M18" i="120" s="1"/>
  <c r="M19" i="120" s="1"/>
  <c r="M20" i="120" s="1"/>
  <c r="M21" i="120" s="1"/>
  <c r="M22" i="120" s="1"/>
  <c r="M23" i="120" s="1"/>
  <c r="M24" i="120" s="1"/>
  <c r="M25" i="120" s="1"/>
  <c r="M26" i="120" s="1"/>
  <c r="L16" i="120"/>
  <c r="N17" i="120" s="1"/>
  <c r="C31" i="120"/>
  <c r="G31" i="120"/>
  <c r="H31" i="120" s="1"/>
  <c r="B31" i="120"/>
  <c r="V206" i="152"/>
  <c r="N18" i="121" l="1"/>
  <c r="L18" i="121"/>
  <c r="L17" i="120"/>
  <c r="P17" i="120"/>
  <c r="O17" i="120"/>
  <c r="V207" i="152"/>
  <c r="N18" i="120" l="1"/>
  <c r="L18" i="120"/>
  <c r="N19" i="121"/>
  <c r="L19" i="121"/>
  <c r="O18" i="121"/>
  <c r="P18" i="121"/>
  <c r="V208" i="152"/>
  <c r="L20" i="121" l="1"/>
  <c r="N20" i="121"/>
  <c r="L19" i="120"/>
  <c r="N19" i="120"/>
  <c r="O19" i="121"/>
  <c r="P19" i="121"/>
  <c r="P18" i="120"/>
  <c r="O18" i="120"/>
  <c r="V209" i="152"/>
  <c r="O19" i="120" l="1"/>
  <c r="P19" i="120"/>
  <c r="L20" i="120"/>
  <c r="N20" i="120"/>
  <c r="P20" i="121"/>
  <c r="O20" i="121"/>
  <c r="N21" i="121"/>
  <c r="L21" i="121"/>
  <c r="V210" i="152"/>
  <c r="O21" i="121" l="1"/>
  <c r="P21" i="121"/>
  <c r="N22" i="121"/>
  <c r="L22" i="121"/>
  <c r="O20" i="120"/>
  <c r="P20" i="120"/>
  <c r="L21" i="120"/>
  <c r="N21" i="120"/>
  <c r="V211" i="152"/>
  <c r="O21" i="120" l="1"/>
  <c r="P21" i="120"/>
  <c r="N23" i="121"/>
  <c r="L23" i="121"/>
  <c r="N22" i="120"/>
  <c r="L22" i="120"/>
  <c r="P22" i="121"/>
  <c r="O22" i="121"/>
  <c r="V212" i="152"/>
  <c r="N23" i="120" l="1"/>
  <c r="L23" i="120"/>
  <c r="P23" i="121"/>
  <c r="O23" i="121"/>
  <c r="N24" i="121"/>
  <c r="L24" i="121"/>
  <c r="P22" i="120"/>
  <c r="O22" i="120"/>
  <c r="V213" i="152"/>
  <c r="O24" i="121" l="1"/>
  <c r="P24" i="121"/>
  <c r="N25" i="121"/>
  <c r="L25" i="121"/>
  <c r="L24" i="120"/>
  <c r="N24" i="120"/>
  <c r="O23" i="120"/>
  <c r="P23" i="120"/>
  <c r="V214" i="152"/>
  <c r="P24" i="120" l="1"/>
  <c r="O24" i="120"/>
  <c r="N26" i="121"/>
  <c r="L26" i="121"/>
  <c r="N25" i="120"/>
  <c r="L25" i="120"/>
  <c r="P25" i="121"/>
  <c r="O25" i="121"/>
  <c r="V215" i="152"/>
  <c r="L26" i="120" l="1"/>
  <c r="N26" i="120"/>
  <c r="P26" i="121"/>
  <c r="O26" i="121"/>
  <c r="E31" i="121" s="1"/>
  <c r="F31" i="121" s="1"/>
  <c r="P25" i="120"/>
  <c r="O25" i="120"/>
  <c r="V216" i="152"/>
  <c r="P26" i="120" l="1"/>
  <c r="O26" i="120"/>
  <c r="E31" i="120" s="1"/>
  <c r="F31" i="120" s="1"/>
  <c r="V217" i="152"/>
  <c r="V218" i="152" l="1"/>
  <c r="V219" i="152" l="1"/>
  <c r="V220" i="152" l="1"/>
  <c r="V221" i="152" l="1"/>
  <c r="V222" i="152" l="1"/>
  <c r="V223" i="152" l="1"/>
  <c r="V224" i="152" l="1"/>
  <c r="V225" i="152" l="1"/>
  <c r="V226" i="152" l="1"/>
  <c r="V227" i="152" l="1"/>
  <c r="V228" i="152" l="1"/>
  <c r="V229" i="152" l="1"/>
  <c r="V230" i="152" l="1"/>
  <c r="V231" i="152" l="1"/>
  <c r="V232" i="152" l="1"/>
  <c r="V233" i="152" l="1"/>
  <c r="V234" i="152" l="1"/>
  <c r="V235" i="152" l="1"/>
  <c r="V236" i="152" l="1"/>
  <c r="V237" i="152" l="1"/>
  <c r="V238" i="152" l="1"/>
  <c r="V239" i="152" l="1"/>
  <c r="V240" i="152" l="1"/>
  <c r="V241" i="152" l="1"/>
  <c r="V242" i="152" l="1"/>
  <c r="V243" i="152" l="1"/>
  <c r="V244" i="152" l="1"/>
  <c r="V245" i="152" l="1"/>
  <c r="V246" i="152" l="1"/>
  <c r="V247" i="152" l="1"/>
  <c r="V248" i="152" l="1"/>
  <c r="V249" i="152" l="1"/>
  <c r="V250" i="152" l="1"/>
  <c r="V251" i="152" l="1"/>
  <c r="V252" i="152" l="1"/>
  <c r="V253" i="152" l="1"/>
  <c r="V254" i="152" l="1"/>
  <c r="V255" i="152" l="1"/>
  <c r="V256" i="152" l="1"/>
  <c r="V257" i="152" l="1"/>
  <c r="V258" i="152" l="1"/>
  <c r="V259" i="152" l="1"/>
  <c r="V260" i="152" l="1"/>
  <c r="V261" i="152" l="1"/>
  <c r="V262" i="152" l="1"/>
  <c r="V263" i="152" l="1"/>
  <c r="V264" i="152" l="1"/>
  <c r="V265" i="152" l="1"/>
  <c r="V266" i="152" l="1"/>
  <c r="V267" i="152" l="1"/>
  <c r="V268" i="152" l="1"/>
  <c r="V269" i="152" l="1"/>
  <c r="V270" i="152" l="1"/>
  <c r="V271" i="152" l="1"/>
  <c r="V272" i="152" l="1"/>
  <c r="V273" i="152" l="1"/>
  <c r="V274" i="152" l="1"/>
  <c r="V275" i="152" l="1"/>
  <c r="V276" i="152" l="1"/>
  <c r="V277" i="152" l="1"/>
  <c r="V278" i="152" l="1"/>
  <c r="V279" i="152" l="1"/>
  <c r="V280" i="152" l="1"/>
  <c r="V281" i="152" l="1"/>
  <c r="V282" i="152" l="1"/>
  <c r="V283" i="152" l="1"/>
  <c r="V284" i="152" l="1"/>
  <c r="V285" i="152" l="1"/>
  <c r="V286" i="152" l="1"/>
  <c r="V287" i="152" l="1"/>
  <c r="V288" i="152" l="1"/>
  <c r="V289" i="152" l="1"/>
  <c r="V290" i="152" l="1"/>
  <c r="V291" i="152" l="1"/>
  <c r="V292" i="152" l="1"/>
  <c r="V293" i="152" l="1"/>
  <c r="V294" i="152" l="1"/>
  <c r="V295" i="152" l="1"/>
  <c r="V296" i="152" l="1"/>
  <c r="V297" i="152" l="1"/>
  <c r="V298" i="152" l="1"/>
  <c r="V299" i="152" l="1"/>
  <c r="V300" i="152" l="1"/>
  <c r="V301" i="152" l="1"/>
  <c r="V302" i="152" l="1"/>
  <c r="V303" i="152" l="1"/>
  <c r="V304" i="152" l="1"/>
  <c r="V305" i="152" l="1"/>
  <c r="V306" i="152" l="1"/>
  <c r="V307" i="152" l="1"/>
  <c r="V308" i="152" l="1"/>
  <c r="V309" i="152" l="1"/>
  <c r="V310" i="152" l="1"/>
  <c r="V311" i="152" l="1"/>
  <c r="V312" i="152" l="1"/>
  <c r="V313" i="152" l="1"/>
  <c r="V314" i="152" l="1"/>
  <c r="V315" i="152" l="1"/>
  <c r="V316" i="152" l="1"/>
  <c r="V317" i="152" l="1"/>
  <c r="V318" i="152" l="1"/>
  <c r="V319" i="152" l="1"/>
  <c r="V320" i="152" l="1"/>
  <c r="V321" i="152" l="1"/>
  <c r="V322" i="152" l="1"/>
  <c r="V323" i="152" l="1"/>
  <c r="V324" i="152" l="1"/>
  <c r="V325" i="152" l="1"/>
  <c r="V326" i="152" l="1"/>
  <c r="V327" i="152" l="1"/>
  <c r="V328" i="152" l="1"/>
  <c r="V329" i="152" l="1"/>
  <c r="V330" i="152" l="1"/>
  <c r="V331" i="152" l="1"/>
  <c r="V332" i="152" l="1"/>
  <c r="V333" i="152" l="1"/>
  <c r="V334" i="152" l="1"/>
  <c r="V335" i="152" l="1"/>
  <c r="V336" i="152" l="1"/>
  <c r="V337" i="152" l="1"/>
  <c r="V338" i="152" l="1"/>
  <c r="V339" i="152" l="1"/>
  <c r="V340" i="152" l="1"/>
  <c r="V341" i="152" l="1"/>
  <c r="V342" i="152" l="1"/>
  <c r="V343" i="152" l="1"/>
  <c r="V344" i="152" l="1"/>
  <c r="V345" i="152" l="1"/>
  <c r="V346" i="152" l="1"/>
  <c r="V347" i="152" l="1"/>
  <c r="V348" i="152" l="1"/>
  <c r="V349" i="152" l="1"/>
  <c r="V350" i="152" l="1"/>
  <c r="V351" i="152" l="1"/>
  <c r="V352" i="152" l="1"/>
  <c r="V353" i="152" l="1"/>
  <c r="V354" i="152" l="1"/>
  <c r="V355" i="152" l="1"/>
  <c r="V356" i="152" l="1"/>
  <c r="V357" i="152" l="1"/>
  <c r="V358" i="152" l="1"/>
  <c r="V359" i="152" l="1"/>
  <c r="V360" i="152" l="1"/>
  <c r="V361" i="152" l="1"/>
  <c r="V362" i="152" l="1"/>
  <c r="V363" i="152" l="1"/>
  <c r="V364" i="152" l="1"/>
  <c r="V365" i="152" l="1"/>
  <c r="V366" i="152" l="1"/>
  <c r="V367" i="152" l="1"/>
  <c r="V368" i="152" l="1"/>
  <c r="V369" i="152" l="1"/>
  <c r="V370" i="152" l="1"/>
  <c r="V371" i="152" l="1"/>
  <c r="V372" i="152" l="1"/>
  <c r="V373" i="152" l="1"/>
  <c r="V374" i="152" l="1"/>
  <c r="V375" i="152" l="1"/>
  <c r="V376" i="152" l="1"/>
  <c r="V377" i="152" l="1"/>
  <c r="V378" i="152" l="1"/>
  <c r="V379" i="152" l="1"/>
  <c r="V380" i="152" l="1"/>
  <c r="V381" i="152" l="1"/>
  <c r="V382" i="152" l="1"/>
  <c r="V383" i="152" l="1"/>
  <c r="V384" i="152" l="1"/>
  <c r="V385" i="152" l="1"/>
  <c r="V386" i="152" l="1"/>
  <c r="V387" i="152" l="1"/>
  <c r="V388" i="152" l="1"/>
  <c r="V389" i="152" l="1"/>
  <c r="V390" i="152" l="1"/>
  <c r="V391" i="152" l="1"/>
  <c r="V392" i="152" l="1"/>
  <c r="V393" i="152" l="1"/>
  <c r="V394" i="152" l="1"/>
  <c r="V395" i="152" l="1"/>
  <c r="V396" i="152" l="1"/>
  <c r="V397" i="152" l="1"/>
  <c r="V398" i="152" l="1"/>
  <c r="V399" i="152" l="1"/>
  <c r="V400" i="152" l="1"/>
  <c r="V401" i="152" l="1"/>
  <c r="V402" i="152" l="1"/>
  <c r="V403" i="152" l="1"/>
  <c r="V404" i="152" l="1"/>
  <c r="V405" i="152" l="1"/>
  <c r="V406" i="152" l="1"/>
  <c r="V407" i="152" l="1"/>
  <c r="V408" i="152" l="1"/>
  <c r="V409" i="152" l="1"/>
  <c r="V410" i="152" l="1"/>
  <c r="V411" i="152" l="1"/>
  <c r="V412" i="152" l="1"/>
  <c r="V413" i="152" l="1"/>
  <c r="V414" i="152" l="1"/>
  <c r="V415" i="152" l="1"/>
  <c r="V416" i="152" l="1"/>
  <c r="V417" i="152" l="1"/>
  <c r="V418" i="152" l="1"/>
  <c r="V419" i="152" l="1"/>
  <c r="V420" i="152" l="1"/>
  <c r="V421" i="152" l="1"/>
  <c r="V422" i="152" l="1"/>
  <c r="V423" i="152" l="1"/>
  <c r="V424" i="152" l="1"/>
  <c r="V425" i="152" l="1"/>
  <c r="V426" i="152" l="1"/>
  <c r="V427" i="152" l="1"/>
  <c r="V428" i="152" l="1"/>
  <c r="V429" i="152" l="1"/>
  <c r="V430" i="152" l="1"/>
  <c r="V431" i="152" l="1"/>
  <c r="V432" i="152" l="1"/>
  <c r="V433" i="152" l="1"/>
  <c r="V434" i="152" l="1"/>
  <c r="V435" i="152" l="1"/>
  <c r="V436" i="152" l="1"/>
  <c r="V437" i="152" l="1"/>
  <c r="V438" i="152" l="1"/>
  <c r="V439" i="152" l="1"/>
  <c r="V440" i="152" l="1"/>
  <c r="V441" i="152" l="1"/>
  <c r="V442" i="152" l="1"/>
  <c r="V443" i="152" l="1"/>
  <c r="V444" i="152" l="1"/>
  <c r="V445" i="152" l="1"/>
  <c r="V446" i="152" l="1"/>
  <c r="V447" i="152" l="1"/>
  <c r="V448" i="152" l="1"/>
  <c r="V449" i="152" l="1"/>
  <c r="V450" i="152" l="1"/>
  <c r="V451" i="152" l="1"/>
  <c r="V452" i="152" l="1"/>
  <c r="V453" i="152" l="1"/>
  <c r="V454" i="152" l="1"/>
  <c r="V455" i="152" l="1"/>
  <c r="V456" i="152" l="1"/>
  <c r="V457" i="152" l="1"/>
  <c r="V458" i="152" l="1"/>
  <c r="V459" i="152" l="1"/>
  <c r="V460" i="152" l="1"/>
  <c r="V461" i="152" l="1"/>
  <c r="V462" i="152" l="1"/>
  <c r="V463" i="152" l="1"/>
  <c r="V464" i="152" l="1"/>
  <c r="V465" i="152" l="1"/>
  <c r="V466" i="152" l="1"/>
  <c r="V467" i="152" l="1"/>
  <c r="V468" i="152" l="1"/>
  <c r="V469" i="152" l="1"/>
  <c r="V470" i="152" l="1"/>
  <c r="V471" i="152" l="1"/>
  <c r="V472" i="152" l="1"/>
  <c r="V473" i="152" l="1"/>
  <c r="V474" i="152" l="1"/>
  <c r="V475" i="152" l="1"/>
  <c r="V476" i="152" l="1"/>
  <c r="V477" i="152" l="1"/>
  <c r="V478" i="152" l="1"/>
  <c r="V479" i="152" l="1"/>
  <c r="V480" i="152" l="1"/>
  <c r="V481" i="152" l="1"/>
  <c r="V482" i="152" l="1"/>
  <c r="V483" i="152" l="1"/>
  <c r="V484" i="152" l="1"/>
  <c r="V485" i="152" l="1"/>
  <c r="V486" i="152" l="1"/>
  <c r="V487" i="152" l="1"/>
  <c r="V488" i="152" l="1"/>
  <c r="V489" i="152" l="1"/>
  <c r="V490" i="152" l="1"/>
  <c r="V491" i="152" l="1"/>
  <c r="V492" i="152" l="1"/>
  <c r="V493" i="152" l="1"/>
  <c r="V494" i="152" l="1"/>
  <c r="V495" i="152" l="1"/>
  <c r="V496" i="152" l="1"/>
  <c r="V497" i="152" l="1"/>
  <c r="V498" i="152" l="1"/>
  <c r="V499" i="152" l="1"/>
  <c r="V500" i="152" l="1"/>
  <c r="V501" i="152" l="1"/>
  <c r="V502" i="152" l="1"/>
  <c r="V503" i="152" l="1"/>
  <c r="V504" i="152" l="1"/>
  <c r="V505" i="152" l="1"/>
  <c r="V506" i="152" l="1"/>
  <c r="V507" i="152" l="1"/>
  <c r="V508" i="152" l="1"/>
  <c r="V509" i="152" l="1"/>
  <c r="V510" i="152" l="1"/>
  <c r="V511" i="152" l="1"/>
  <c r="V512" i="152" l="1"/>
  <c r="V513" i="152" l="1"/>
  <c r="V514" i="152" l="1"/>
  <c r="V515" i="152" l="1"/>
  <c r="V516" i="152" l="1"/>
  <c r="V517" i="152" l="1"/>
  <c r="V518" i="152" l="1"/>
  <c r="V519" i="152" l="1"/>
  <c r="V520" i="152" l="1"/>
  <c r="V521" i="152" l="1"/>
  <c r="V522" i="152" l="1"/>
  <c r="V523" i="152" l="1"/>
  <c r="V524" i="152" l="1"/>
  <c r="V525" i="152" l="1"/>
  <c r="V526" i="152" l="1"/>
  <c r="V527" i="152" l="1"/>
  <c r="V528" i="152" l="1"/>
  <c r="V529" i="152" l="1"/>
  <c r="V530" i="152" l="1"/>
  <c r="V531" i="152" l="1"/>
  <c r="V532" i="152" l="1"/>
  <c r="V533" i="152" l="1"/>
  <c r="V534" i="152" l="1"/>
  <c r="V535" i="152" l="1"/>
  <c r="V536" i="152" l="1"/>
  <c r="V537" i="152" l="1"/>
  <c r="V538" i="152" l="1"/>
  <c r="V539" i="152" l="1"/>
  <c r="V540" i="152" l="1"/>
  <c r="V541" i="152" l="1"/>
  <c r="V542" i="152" l="1"/>
  <c r="V543" i="152" l="1"/>
  <c r="V544" i="152" l="1"/>
  <c r="V545" i="152" l="1"/>
  <c r="V546" i="152" l="1"/>
  <c r="V547" i="152" l="1"/>
  <c r="V548" i="152" l="1"/>
  <c r="V549" i="152" l="1"/>
  <c r="V550" i="152" l="1"/>
  <c r="V551" i="152" l="1"/>
  <c r="V552" i="152" l="1"/>
  <c r="V553" i="152" l="1"/>
  <c r="V554" i="152" l="1"/>
  <c r="V555" i="152" l="1"/>
  <c r="V556" i="152" l="1"/>
  <c r="V557" i="152" l="1"/>
  <c r="V558" i="152" l="1"/>
  <c r="V559" i="152" l="1"/>
  <c r="V560" i="152" l="1"/>
  <c r="V561" i="152" l="1"/>
  <c r="V562" i="152" l="1"/>
  <c r="V563" i="152" l="1"/>
  <c r="V564" i="152" l="1"/>
  <c r="V565" i="152" l="1"/>
  <c r="V566" i="152" l="1"/>
  <c r="V567" i="152" l="1"/>
  <c r="V568" i="152" l="1"/>
  <c r="V569" i="152" l="1"/>
  <c r="V570" i="152" l="1"/>
  <c r="V571" i="152" l="1"/>
  <c r="V572" i="152" l="1"/>
  <c r="V573" i="152" l="1"/>
  <c r="V574" i="152" l="1"/>
  <c r="V575" i="152" l="1"/>
  <c r="V576" i="152" l="1"/>
  <c r="V577" i="152" l="1"/>
  <c r="V578" i="152" l="1"/>
  <c r="V579" i="152" l="1"/>
  <c r="V580" i="152" l="1"/>
  <c r="V581" i="152" l="1"/>
  <c r="V582" i="152" l="1"/>
  <c r="V583" i="152" l="1"/>
  <c r="V584" i="152" l="1"/>
  <c r="V585" i="152" l="1"/>
  <c r="V586" i="152" l="1"/>
  <c r="V587" i="152" l="1"/>
  <c r="V588" i="152" l="1"/>
  <c r="V589" i="152" l="1"/>
  <c r="V590" i="152" l="1"/>
  <c r="V591" i="152" l="1"/>
  <c r="V592" i="152" l="1"/>
  <c r="V593" i="152" l="1"/>
  <c r="V594" i="152" l="1"/>
  <c r="V595" i="152" l="1"/>
  <c r="V596" i="152" l="1"/>
  <c r="V597" i="152" l="1"/>
  <c r="V598" i="152" l="1"/>
  <c r="V599" i="152" l="1"/>
  <c r="V600" i="152" l="1"/>
  <c r="V601" i="152" l="1"/>
  <c r="V602" i="152" l="1"/>
  <c r="V603" i="152" l="1"/>
  <c r="V604" i="152" l="1"/>
  <c r="V605" i="152" l="1"/>
  <c r="V606" i="152" l="1"/>
  <c r="V607" i="152" l="1"/>
  <c r="V608" i="152" l="1"/>
  <c r="V609" i="152" l="1"/>
  <c r="V610" i="152" l="1"/>
  <c r="V611" i="152" l="1"/>
  <c r="V612" i="152" l="1"/>
  <c r="V613" i="152" l="1"/>
  <c r="V614" i="152" l="1"/>
  <c r="V615" i="152" l="1"/>
  <c r="V616" i="152" l="1"/>
  <c r="V617" i="152" l="1"/>
  <c r="V618" i="152" l="1"/>
  <c r="V619" i="152" l="1"/>
  <c r="V620" i="152" l="1"/>
  <c r="V621" i="152" l="1"/>
  <c r="V622" i="152" l="1"/>
  <c r="V623" i="152" l="1"/>
  <c r="V624" i="152" l="1"/>
  <c r="V625" i="152" l="1"/>
  <c r="V626" i="152" l="1"/>
  <c r="V627" i="152" l="1"/>
  <c r="V628" i="152" l="1"/>
  <c r="V629" i="152" l="1"/>
  <c r="V630" i="152" l="1"/>
  <c r="V631" i="152" l="1"/>
  <c r="V632" i="152" l="1"/>
  <c r="V633" i="152" l="1"/>
  <c r="V634" i="152" l="1"/>
  <c r="V635" i="152" l="1"/>
  <c r="V636" i="152" l="1"/>
  <c r="V637" i="152" l="1"/>
  <c r="V638" i="152" l="1"/>
  <c r="V639" i="152" l="1"/>
  <c r="V640" i="152" l="1"/>
  <c r="V641" i="152" l="1"/>
  <c r="V642" i="152" l="1"/>
  <c r="V643" i="152" l="1"/>
  <c r="V644" i="152" l="1"/>
  <c r="V645" i="152" l="1"/>
  <c r="V646" i="152" l="1"/>
  <c r="V647" i="152" l="1"/>
  <c r="V648" i="152" l="1"/>
  <c r="V649" i="152" l="1"/>
  <c r="V650" i="152" l="1"/>
  <c r="V651" i="152" l="1"/>
  <c r="V652" i="152" l="1"/>
  <c r="V653" i="152" l="1"/>
  <c r="V654" i="152" l="1"/>
  <c r="V655" i="152" l="1"/>
  <c r="V656" i="152" l="1"/>
  <c r="V657" i="152" l="1"/>
  <c r="V658" i="152" l="1"/>
  <c r="V659" i="152" l="1"/>
  <c r="V660" i="152" l="1"/>
  <c r="V661" i="152" l="1"/>
  <c r="V662" i="152" l="1"/>
  <c r="V663" i="152" l="1"/>
  <c r="V664" i="152" l="1"/>
  <c r="V665" i="152" l="1"/>
  <c r="V666" i="152" l="1"/>
  <c r="V667" i="152" l="1"/>
  <c r="V668" i="152" l="1"/>
  <c r="V669" i="152" l="1"/>
  <c r="V670" i="152" l="1"/>
  <c r="V671" i="152" l="1"/>
  <c r="V672" i="152" l="1"/>
  <c r="V673" i="152" l="1"/>
  <c r="V674" i="152" l="1"/>
  <c r="V675" i="152" l="1"/>
  <c r="V676" i="152" l="1"/>
  <c r="V677" i="152" l="1"/>
  <c r="V678" i="152" l="1"/>
  <c r="V679" i="152" l="1"/>
  <c r="V680" i="152" l="1"/>
  <c r="V681" i="152" l="1"/>
  <c r="V682" i="152" l="1"/>
  <c r="V683" i="152" l="1"/>
  <c r="V684" i="152" l="1"/>
  <c r="V685" i="152" l="1"/>
  <c r="V686" i="152" l="1"/>
  <c r="V687" i="152" l="1"/>
  <c r="V688" i="152" l="1"/>
  <c r="V689" i="152" l="1"/>
  <c r="V690" i="152" l="1"/>
  <c r="V691" i="152" l="1"/>
  <c r="V692" i="152" l="1"/>
  <c r="V693" i="152" l="1"/>
  <c r="V694" i="152" l="1"/>
  <c r="V695" i="152" l="1"/>
  <c r="V696" i="152" l="1"/>
  <c r="V697" i="152" l="1"/>
  <c r="V698" i="152" l="1"/>
  <c r="V699" i="152" l="1"/>
  <c r="V700" i="152" l="1"/>
  <c r="V701" i="152" l="1"/>
  <c r="V702" i="152" l="1"/>
  <c r="V703" i="152" l="1"/>
  <c r="V704" i="152" l="1"/>
  <c r="V705" i="152" l="1"/>
  <c r="V706" i="152" l="1"/>
  <c r="V707" i="152" l="1"/>
  <c r="BB14" i="152" l="1" a="1"/>
  <c r="BB14" i="152" s="1"/>
  <c r="BC19" i="152" a="1"/>
  <c r="BC19" i="152" s="1"/>
  <c r="BC9" i="152" a="1"/>
  <c r="BC9" i="152" s="1"/>
  <c r="BB19" i="152" a="1"/>
  <c r="BB19" i="152" s="1"/>
  <c r="V708" i="152"/>
  <c r="BD9" i="152" a="1"/>
  <c r="BD9" i="152" s="1"/>
  <c r="BD10" i="152" a="1"/>
  <c r="BD10" i="152" s="1"/>
  <c r="BC15" i="152" l="1" a="1"/>
  <c r="BC15" i="152" s="1"/>
  <c r="BC18" i="152" a="1"/>
  <c r="BC18" i="152" s="1"/>
  <c r="BB9" i="152" a="1"/>
  <c r="BB9" i="152" s="1"/>
  <c r="BB17" i="152" a="1"/>
  <c r="BB17" i="152" s="1"/>
  <c r="BB11" i="152" a="1"/>
  <c r="BB11" i="152" s="1"/>
  <c r="BB18" i="152" a="1"/>
  <c r="BB18" i="152" s="1"/>
  <c r="BB13" i="152" a="1"/>
  <c r="BB13" i="152" s="1"/>
  <c r="BB16" i="152" a="1"/>
  <c r="BB16" i="152" s="1"/>
  <c r="BC11" i="152" a="1"/>
  <c r="BC11" i="152" s="1"/>
  <c r="BC21" i="152" a="1"/>
  <c r="BC21" i="152" s="1"/>
  <c r="BC17" i="152" a="1"/>
  <c r="BC17" i="152" s="1"/>
  <c r="BC16" i="152" a="1"/>
  <c r="BC16" i="152" s="1"/>
  <c r="BB12" i="152" a="1"/>
  <c r="BB12" i="152" s="1"/>
  <c r="BC20" i="152" a="1"/>
  <c r="BC20" i="152" s="1"/>
  <c r="BB10" i="152" a="1"/>
  <c r="BB10" i="152" s="1"/>
  <c r="A7" i="152" s="1"/>
  <c r="BC14" i="152" a="1"/>
  <c r="BC14" i="152" s="1"/>
  <c r="BB20" i="152" a="1"/>
  <c r="BB20" i="152" s="1"/>
  <c r="BC22" i="152" a="1"/>
  <c r="BC22" i="152" s="1"/>
  <c r="BC13" i="152" a="1"/>
  <c r="BC13" i="152" s="1"/>
  <c r="BB15" i="152" a="1"/>
  <c r="BB15" i="152" s="1"/>
  <c r="BB21" i="152" a="1"/>
  <c r="BB21" i="152" s="1"/>
  <c r="BC10" i="152" a="1"/>
  <c r="BC10" i="152" s="1"/>
  <c r="BB22" i="152" a="1"/>
  <c r="BB22" i="152" s="1"/>
  <c r="BH22" i="152" s="1"/>
  <c r="BC12" i="152" a="1"/>
  <c r="BC12" i="152" s="1"/>
  <c r="BE10" i="152"/>
  <c r="BF10" i="152" s="1"/>
  <c r="BE9" i="152"/>
  <c r="BA14" i="152"/>
  <c r="BA11" i="152"/>
  <c r="BA20" i="152"/>
  <c r="BA15" i="152"/>
  <c r="BA16" i="152"/>
  <c r="BA12" i="152"/>
  <c r="BA13" i="152"/>
  <c r="BA10" i="152"/>
  <c r="BA21" i="152"/>
  <c r="BA19" i="152"/>
  <c r="BA9" i="152"/>
  <c r="BA18" i="152"/>
  <c r="BA22" i="152"/>
  <c r="BA17" i="152"/>
  <c r="BD13" i="152" a="1"/>
  <c r="BD13" i="152" s="1"/>
  <c r="BD21" i="152" a="1"/>
  <c r="BD21" i="152" s="1"/>
  <c r="BD19" i="152" a="1"/>
  <c r="BD19" i="152" s="1"/>
  <c r="BD14" i="152" a="1"/>
  <c r="BD14" i="152" s="1"/>
  <c r="BD17" i="152" a="1"/>
  <c r="BD17" i="152" s="1"/>
  <c r="BD15" i="152" a="1"/>
  <c r="BD15" i="152" s="1"/>
  <c r="BD11" i="152" a="1"/>
  <c r="BD11" i="152" s="1"/>
  <c r="BH21" i="152"/>
  <c r="BD20" i="152" a="1"/>
  <c r="BD20" i="152" s="1"/>
  <c r="BD18" i="152" a="1"/>
  <c r="BD18" i="152" s="1"/>
  <c r="BD12" i="152" a="1"/>
  <c r="BD12" i="152" s="1"/>
  <c r="BD22" i="152" a="1"/>
  <c r="BD22" i="152" s="1"/>
  <c r="BD16" i="152" a="1"/>
  <c r="BD16" i="152" s="1"/>
  <c r="BF9" i="152" l="1"/>
  <c r="BH20" i="152"/>
  <c r="BH13" i="152"/>
  <c r="BH11" i="152"/>
  <c r="BH19" i="152"/>
  <c r="BG9" i="152"/>
  <c r="BH14" i="152"/>
  <c r="BG10" i="152"/>
  <c r="BH15" i="152"/>
  <c r="BH18" i="152"/>
  <c r="BH12" i="152"/>
  <c r="BH16" i="152"/>
  <c r="BH17" i="152"/>
  <c r="BH10" i="152"/>
  <c r="J11" i="152" s="1"/>
  <c r="BE16" i="152"/>
  <c r="BF16" i="152" s="1"/>
  <c r="K16" i="152" s="1"/>
  <c r="E23" i="121" s="1"/>
  <c r="BE17" i="152"/>
  <c r="BF17" i="152" s="1"/>
  <c r="K17" i="152" s="1"/>
  <c r="BG22" i="152"/>
  <c r="BE22" i="152"/>
  <c r="BF22" i="152" s="1"/>
  <c r="BE14" i="152"/>
  <c r="BF14" i="152" s="1"/>
  <c r="K14" i="152" s="1"/>
  <c r="BE19" i="152"/>
  <c r="BF19" i="152" s="1"/>
  <c r="K19" i="152" s="1"/>
  <c r="BE12" i="152"/>
  <c r="BF12" i="152" s="1"/>
  <c r="K12" i="152" s="1"/>
  <c r="BE18" i="152"/>
  <c r="BF18" i="152" s="1"/>
  <c r="K18" i="152" s="1"/>
  <c r="E25" i="121" s="1"/>
  <c r="BG21" i="152"/>
  <c r="BE21" i="152"/>
  <c r="BF21" i="152" s="1"/>
  <c r="BE20" i="152"/>
  <c r="BF20" i="152" s="1"/>
  <c r="K20" i="152" s="1"/>
  <c r="BE13" i="152"/>
  <c r="BF13" i="152" s="1"/>
  <c r="K13" i="152" s="1"/>
  <c r="E20" i="121" s="1"/>
  <c r="BH9" i="152"/>
  <c r="H31" i="152"/>
  <c r="BE11" i="152"/>
  <c r="BE15" i="152"/>
  <c r="BF15" i="152" s="1"/>
  <c r="K15" i="152" s="1"/>
  <c r="E22" i="121" s="1"/>
  <c r="BF11" i="152" l="1"/>
  <c r="K11" i="152" s="1"/>
  <c r="CS11" i="152" s="1"/>
  <c r="J16" i="152"/>
  <c r="J14" i="152"/>
  <c r="K10" i="152"/>
  <c r="E17" i="121" s="1"/>
  <c r="J20" i="152"/>
  <c r="D27" i="120" s="1"/>
  <c r="J10" i="152"/>
  <c r="D17" i="120" s="1"/>
  <c r="J13" i="152"/>
  <c r="D20" i="120" s="1"/>
  <c r="E24" i="120"/>
  <c r="E24" i="121"/>
  <c r="E18" i="121"/>
  <c r="D18" i="120"/>
  <c r="D18" i="121"/>
  <c r="D23" i="120"/>
  <c r="D23" i="121"/>
  <c r="D21" i="120"/>
  <c r="D21" i="121"/>
  <c r="D27" i="121"/>
  <c r="D20" i="121"/>
  <c r="D17" i="121"/>
  <c r="E27" i="120"/>
  <c r="E27" i="121"/>
  <c r="E19" i="120"/>
  <c r="E19" i="121"/>
  <c r="E26" i="120"/>
  <c r="E26" i="121"/>
  <c r="E21" i="120"/>
  <c r="E21" i="121"/>
  <c r="J19" i="152"/>
  <c r="BG13" i="152"/>
  <c r="J15" i="152"/>
  <c r="BG14" i="152"/>
  <c r="J12" i="152"/>
  <c r="J17" i="152"/>
  <c r="J18" i="152"/>
  <c r="CS13" i="152"/>
  <c r="E20" i="120"/>
  <c r="CS18" i="152"/>
  <c r="E25" i="120"/>
  <c r="CS16" i="152"/>
  <c r="E23" i="120"/>
  <c r="CS15" i="152"/>
  <c r="E22" i="120"/>
  <c r="BG17" i="152"/>
  <c r="BG16" i="152"/>
  <c r="BG11" i="152"/>
  <c r="BG18" i="152"/>
  <c r="BG12" i="152"/>
  <c r="BG15" i="152"/>
  <c r="E17" i="120"/>
  <c r="BG19" i="152"/>
  <c r="BG20" i="152"/>
  <c r="O31" i="152" s="1"/>
  <c r="J9" i="152"/>
  <c r="K9" i="152"/>
  <c r="CS12" i="152"/>
  <c r="CS14" i="152"/>
  <c r="CS17" i="152"/>
  <c r="CS10" i="152" l="1"/>
  <c r="E18" i="120"/>
  <c r="J31" i="152"/>
  <c r="D19" i="120"/>
  <c r="D19" i="121"/>
  <c r="D24" i="120"/>
  <c r="D24" i="121"/>
  <c r="D22" i="120"/>
  <c r="D22" i="121"/>
  <c r="D26" i="120"/>
  <c r="D26" i="121"/>
  <c r="D16" i="120"/>
  <c r="D16" i="121"/>
  <c r="D25" i="120"/>
  <c r="D25" i="121"/>
  <c r="E16" i="120"/>
  <c r="E16" i="121"/>
  <c r="D32" i="121" s="1"/>
  <c r="B32" i="121"/>
  <c r="M31" i="152"/>
  <c r="I32" i="121" s="1"/>
  <c r="B32" i="120"/>
  <c r="I31" i="152"/>
  <c r="CS9" i="152"/>
  <c r="K31" i="152" s="1"/>
  <c r="L31" i="152" s="1"/>
  <c r="G32" i="120" l="1"/>
  <c r="H32" i="120" s="1"/>
  <c r="D32" i="120"/>
  <c r="Q16" i="120"/>
  <c r="Q17" i="120" s="1"/>
  <c r="R16" i="120"/>
  <c r="R17" i="120" s="1"/>
  <c r="R18" i="120" s="1"/>
  <c r="I32" i="120"/>
  <c r="Q18" i="120"/>
  <c r="Q19" i="120" s="1"/>
  <c r="Q20" i="120" s="1"/>
  <c r="Q21" i="120" s="1"/>
  <c r="Q22" i="120" s="1"/>
  <c r="Q23" i="120" s="1"/>
  <c r="Q24" i="120" s="1"/>
  <c r="Q25" i="120" s="1"/>
  <c r="Q26" i="120" s="1"/>
  <c r="R16" i="121"/>
  <c r="R17" i="121" s="1"/>
  <c r="R18" i="121" s="1"/>
  <c r="R19" i="121" s="1"/>
  <c r="R20" i="121" s="1"/>
  <c r="R21" i="121" s="1"/>
  <c r="R22" i="121" s="1"/>
  <c r="R23" i="121" s="1"/>
  <c r="R24" i="121" s="1"/>
  <c r="R25" i="121" s="1"/>
  <c r="R26" i="121" s="1"/>
  <c r="Q16" i="121"/>
  <c r="G32" i="121"/>
  <c r="H32" i="121" s="1"/>
  <c r="C32" i="121"/>
  <c r="S17" i="120"/>
  <c r="T17" i="120" s="1"/>
  <c r="C32" i="120"/>
  <c r="R19" i="120"/>
  <c r="U17" i="120" l="1"/>
  <c r="S19" i="120"/>
  <c r="S18" i="120"/>
  <c r="S17" i="121"/>
  <c r="Q17" i="121"/>
  <c r="R20" i="120"/>
  <c r="S20" i="120"/>
  <c r="U19" i="120"/>
  <c r="T19" i="120"/>
  <c r="U18" i="120" l="1"/>
  <c r="T18" i="120"/>
  <c r="S18" i="121"/>
  <c r="Q18" i="121"/>
  <c r="U17" i="121"/>
  <c r="T17" i="121"/>
  <c r="U20" i="120"/>
  <c r="T20" i="120"/>
  <c r="R21" i="120"/>
  <c r="S21" i="120"/>
  <c r="Q19" i="121" l="1"/>
  <c r="S19" i="121"/>
  <c r="T18" i="121"/>
  <c r="U18" i="121"/>
  <c r="R22" i="120"/>
  <c r="S22" i="120"/>
  <c r="U21" i="120"/>
  <c r="T21" i="120"/>
  <c r="U19" i="121" l="1"/>
  <c r="T19" i="121"/>
  <c r="S20" i="121"/>
  <c r="Q20" i="121"/>
  <c r="U22" i="120"/>
  <c r="T22" i="120"/>
  <c r="R23" i="120"/>
  <c r="S23" i="120"/>
  <c r="S21" i="121" l="1"/>
  <c r="Q21" i="121"/>
  <c r="U20" i="121"/>
  <c r="T20" i="121"/>
  <c r="R24" i="120"/>
  <c r="S24" i="120"/>
  <c r="U23" i="120"/>
  <c r="T23" i="120"/>
  <c r="S22" i="121" l="1"/>
  <c r="Q22" i="121"/>
  <c r="U21" i="121"/>
  <c r="T21" i="121"/>
  <c r="T24" i="120"/>
  <c r="U24" i="120"/>
  <c r="R25" i="120"/>
  <c r="S25" i="120"/>
  <c r="Q23" i="121" l="1"/>
  <c r="S23" i="121"/>
  <c r="T22" i="121"/>
  <c r="U22" i="121"/>
  <c r="U25" i="120"/>
  <c r="T25" i="120"/>
  <c r="R26" i="120"/>
  <c r="S26" i="120"/>
  <c r="T23" i="121" l="1"/>
  <c r="U23" i="121"/>
  <c r="S24" i="121"/>
  <c r="Q24" i="121"/>
  <c r="U26" i="120"/>
  <c r="T26" i="120"/>
  <c r="E32" i="120" s="1"/>
  <c r="F32" i="120" s="1"/>
  <c r="Q25" i="121" l="1"/>
  <c r="S25" i="121"/>
  <c r="T24" i="121"/>
  <c r="U24" i="121"/>
  <c r="T25" i="121" l="1"/>
  <c r="U25" i="121"/>
  <c r="Q26" i="121"/>
  <c r="S26" i="121"/>
  <c r="U26" i="121" l="1"/>
  <c r="T26" i="121"/>
  <c r="E32" i="121" s="1"/>
  <c r="F32" i="12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8B93F1-F7E3-4D41-9244-954EA11FD00F}" name="연결" type="4" refreshedVersion="8" refreshOnLoad="1" saveData="1">
    <webPr xl2000="1" url="https://services.swpc.noaa.gov/text/3-day-forecast.txt"/>
  </connection>
  <connection id="2" xr16:uid="{7F11B9BF-B872-465A-A0A0-A06987F13E32}" name="연결1" type="4" refreshedVersion="8" refreshOnLoad="1" saveData="1">
    <webPr xl2000="1" url="https://services.swpc.noaa.gov/text/27-day-outlook.txt"/>
  </connection>
  <connection id="3" xr16:uid="{4A853F39-A4AF-402F-AD7F-23EDE2D40D15}" name="연결2" type="4" refreshedVersion="8" saveData="1">
    <webPr xl2000="1" url="https://services.swpc.noaa.gov/text/3-day-forecast.txt?d=[&quot;d&quot;,&quot;관측일&quot;]"/>
    <parameters count="1">
      <parameter name="d" parameterType="cell" refreshOnChange="1" cell="'01_태백 신규점'!$AG$1"/>
    </parameters>
    <extLst>
      <ext xmlns:x15="http://schemas.microsoft.com/office/spreadsheetml/2010/11/main" uri="{DE250136-89BD-433C-8126-D09CA5730AF9}">
        <x15:connection id="" excludeFromRefreshAll="1"/>
      </ext>
    </extLst>
  </connection>
  <connection id="4" xr16:uid="{478CE0A2-2F66-441A-BBEF-FECB6C50A746}" name="연결21" type="4" refreshedVersion="8" saveData="1">
    <webPr xl2000="1" url="https://services.swpc.noaa.gov/text/3-day-forecast.txt?d=[&quot;d&quot;,&quot;관측일&quot;]"/>
    <parameters count="1">
      <parameter name="d" parameterType="cell" refreshOnChange="1" cell="'03_예산 신규점2'!$AG$1"/>
    </parameters>
    <extLst>
      <ext xmlns:x15="http://schemas.microsoft.com/office/spreadsheetml/2010/11/main" uri="{DE250136-89BD-433C-8126-D09CA5730AF9}">
        <x15:connection id="" excludeFromRefreshAll="1"/>
      </ext>
    </extLst>
  </connection>
  <connection id="5" xr16:uid="{3910AE13-7205-4B7C-AFCD-F9B85C54ECEF}" name="연결210" type="4" refreshedVersion="8" saveData="1">
    <webPr xl2000="1" url="https://services.swpc.noaa.gov/text/3-day-forecast.txt?d=[&quot;d&quot;,&quot;관측일&quot;]"/>
    <parameters count="1">
      <parameter name="d" parameterType="cell" refreshOnChange="1" cell="'12_순창 신규점'!$AG$1"/>
    </parameters>
    <extLst>
      <ext xmlns:x15="http://schemas.microsoft.com/office/spreadsheetml/2010/11/main" uri="{DE250136-89BD-433C-8126-D09CA5730AF9}">
        <x15:connection id="" excludeFromRefreshAll="1"/>
      </ext>
    </extLst>
  </connection>
  <connection id="6" xr16:uid="{037396F9-DDE3-42EF-A40C-91E11837F1BA}" name="연결211" type="4" refreshedVersion="8" saveData="1">
    <webPr xl2000="1" url="https://services.swpc.noaa.gov/text/3-day-forecast.txt?d=[&quot;d&quot;,&quot;관측일&quot;]"/>
    <parameters count="1">
      <parameter name="d" parameterType="cell" refreshOnChange="1" cell="'13_순천 신규점'!$AG$1"/>
    </parameters>
    <extLst>
      <ext xmlns:x15="http://schemas.microsoft.com/office/spreadsheetml/2010/11/main" uri="{DE250136-89BD-433C-8126-D09CA5730AF9}">
        <x15:connection id="" excludeFromRefreshAll="1"/>
      </ext>
    </extLst>
  </connection>
  <connection id="7" xr16:uid="{7C7C5D58-63C6-40DB-93B0-6F03421E2A9E}" name="연결212" type="4" refreshedVersion="8" saveData="1">
    <webPr xl2000="1" url="https://services.swpc.noaa.gov/text/3-day-forecast.txt?d=[&quot;d&quot;,&quot;관측일&quot;]"/>
    <parameters count="1">
      <parameter name="d" parameterType="cell" refreshOnChange="1" cell="'14_청송 신규점1'!$AG$1"/>
    </parameters>
    <extLst>
      <ext xmlns:x15="http://schemas.microsoft.com/office/spreadsheetml/2010/11/main" uri="{DE250136-89BD-433C-8126-D09CA5730AF9}">
        <x15:connection id="" excludeFromRefreshAll="1"/>
      </ext>
    </extLst>
  </connection>
  <connection id="8" xr16:uid="{88DBF941-E4A5-483D-BB38-BF1A8D9AB071}" name="연결213" type="4" refreshedVersion="8" saveData="1">
    <webPr xl2000="1" url="https://services.swpc.noaa.gov/text/3-day-forecast.txt?d=[&quot;d&quot;,&quot;관측일&quot;]"/>
    <parameters count="1">
      <parameter name="d" parameterType="cell" refreshOnChange="1" cell="'15_의성 신규점'!$AG$1"/>
    </parameters>
    <extLst>
      <ext xmlns:x15="http://schemas.microsoft.com/office/spreadsheetml/2010/11/main" uri="{DE250136-89BD-433C-8126-D09CA5730AF9}">
        <x15:connection id="" excludeFromRefreshAll="1"/>
      </ext>
    </extLst>
  </connection>
  <connection id="9" xr16:uid="{76FFE2D1-A771-4F55-8C79-EEE8B420400B}" name="연결214" type="4" refreshedVersion="8" saveData="1">
    <webPr xl2000="1" url="https://services.swpc.noaa.gov/text/3-day-forecast.txt?d=[&quot;d&quot;,&quot;관측일&quot;]"/>
    <parameters count="1">
      <parameter name="d" parameterType="cell" refreshOnChange="1" cell="'16_예천 신규점'!$AG$1"/>
    </parameters>
    <extLst>
      <ext xmlns:x15="http://schemas.microsoft.com/office/spreadsheetml/2010/11/main" uri="{DE250136-89BD-433C-8126-D09CA5730AF9}">
        <x15:connection id="" excludeFromRefreshAll="1"/>
      </ext>
    </extLst>
  </connection>
  <connection id="10" xr16:uid="{32862281-6284-436B-BD74-E7927B1B969D}" name="연결215" type="4" refreshedVersion="8" saveData="1">
    <webPr xl2000="1" url="https://services.swpc.noaa.gov/text/3-day-forecast.txt?d=[&quot;d&quot;,&quot;관측일&quot;]"/>
    <parameters count="1">
      <parameter name="d" parameterType="cell" refreshOnChange="1" cell="'17_영양 신규점4'!$AG$1"/>
    </parameters>
    <extLst>
      <ext xmlns:x15="http://schemas.microsoft.com/office/spreadsheetml/2010/11/main" uri="{DE250136-89BD-433C-8126-D09CA5730AF9}">
        <x15:connection id="" excludeFromRefreshAll="1"/>
      </ext>
    </extLst>
  </connection>
  <connection id="11" xr16:uid="{639C5914-3670-411C-8B14-9AC974C6B1A8}" name="연결216" type="4" refreshedVersion="8" saveData="1">
    <webPr xl2000="1" url="https://services.swpc.noaa.gov/text/3-day-forecast.txt?d=[&quot;d&quot;,&quot;관측일&quot;]"/>
    <parameters count="1">
      <parameter name="d" parameterType="cell" refreshOnChange="1" cell="'18_통영 신규점'!$AG$1"/>
    </parameters>
    <extLst>
      <ext xmlns:x15="http://schemas.microsoft.com/office/spreadsheetml/2010/11/main" uri="{DE250136-89BD-433C-8126-D09CA5730AF9}">
        <x15:connection id="" excludeFromRefreshAll="1"/>
      </ext>
    </extLst>
  </connection>
  <connection id="12" xr16:uid="{1CB8BF93-5BA4-41A1-8F44-FE83E69B8C89}" name="연결217" type="4" refreshedVersion="8" saveData="1">
    <webPr xl2000="1" url="https://services.swpc.noaa.gov/text/3-day-forecast.txt?d=[&quot;d&quot;,&quot;관측일&quot;]"/>
    <parameters count="1">
      <parameter name="d" parameterType="cell" refreshOnChange="1" cell="'19_오호 신규점'!$AG$1"/>
    </parameters>
    <extLst>
      <ext xmlns:x15="http://schemas.microsoft.com/office/spreadsheetml/2010/11/main" uri="{DE250136-89BD-433C-8126-D09CA5730AF9}">
        <x15:connection id="" excludeFromRefreshAll="1"/>
      </ext>
    </extLst>
  </connection>
  <connection id="13" xr16:uid="{63077911-CB30-451D-B36D-CBB88D19109C}" name="연결218" type="4" refreshedVersion="8" saveData="1">
    <webPr xl2000="1" url="https://services.swpc.noaa.gov/text/3-day-forecast.txt?d=[&quot;d&quot;,&quot;관측일&quot;]"/>
    <parameters count="1">
      <parameter name="d" parameterType="cell" refreshOnChange="1" cell="'20_보령 신규점2'!$AG$1"/>
    </parameters>
    <extLst>
      <ext xmlns:x15="http://schemas.microsoft.com/office/spreadsheetml/2010/11/main" uri="{DE250136-89BD-433C-8126-D09CA5730AF9}">
        <x15:connection id="" excludeFromRefreshAll="1"/>
      </ext>
    </extLst>
  </connection>
  <connection id="14" xr16:uid="{7598B9AB-55DA-469E-A3CA-10EAEFB061B8}" name="연결219" type="4" refreshedVersion="8" saveData="1">
    <webPr xl2000="1" url="https://services.swpc.noaa.gov/text/3-day-forecast.txt?d=[&quot;d&quot;,&quot;관측일&quot;]"/>
    <parameters count="1">
      <parameter name="d" parameterType="cell" refreshOnChange="1" cell="'21_담양 신규점2'!$AG$1"/>
    </parameters>
    <extLst>
      <ext xmlns:x15="http://schemas.microsoft.com/office/spreadsheetml/2010/11/main" uri="{DE250136-89BD-433C-8126-D09CA5730AF9}">
        <x15:connection id="" excludeFromRefreshAll="1"/>
      </ext>
    </extLst>
  </connection>
  <connection id="15" xr16:uid="{4AB701A2-4BB3-44C7-8541-3CD407CD3367}" name="연결22" type="4" refreshedVersion="8" saveData="1">
    <webPr xl2000="1" url="https://services.swpc.noaa.gov/text/3-day-forecast.txt?d=[&quot;d&quot;,&quot;관측일&quot;]"/>
    <parameters count="1">
      <parameter name="d" parameterType="cell" refreshOnChange="1" cell="'04_진안 신규점1'!$AG$1"/>
    </parameters>
    <extLst>
      <ext xmlns:x15="http://schemas.microsoft.com/office/spreadsheetml/2010/11/main" uri="{DE250136-89BD-433C-8126-D09CA5730AF9}">
        <x15:connection id="" excludeFromRefreshAll="1"/>
      </ext>
    </extLst>
  </connection>
  <connection id="16" xr16:uid="{4130B7A0-068A-40CA-96FA-A6514B936BF6}" name="연결220" type="4" refreshedVersion="8" saveData="1">
    <webPr xl2000="1" url="https://services.swpc.noaa.gov/text/3-day-forecast.txt?d=[&quot;d&quot;,&quot;관측일&quot;]"/>
    <parameters count="1">
      <parameter name="d" parameterType="cell" refreshOnChange="1" cell="'22_완도 신규점'!$AG$1"/>
    </parameters>
    <extLst>
      <ext xmlns:x15="http://schemas.microsoft.com/office/spreadsheetml/2010/11/main" uri="{DE250136-89BD-433C-8126-D09CA5730AF9}">
        <x15:connection id="" excludeFromRefreshAll="1"/>
      </ext>
    </extLst>
  </connection>
  <connection id="17" xr16:uid="{B7DAFBA6-868F-4113-8638-9227D3F8C9BD}" name="연결221" type="4" refreshedVersion="8" saveData="1">
    <webPr xl2000="1" url="https://services.swpc.noaa.gov/text/3-day-forecast.txt?d=[&quot;d&quot;,&quot;관측일&quot;]"/>
    <parameters count="1">
      <parameter name="d" parameterType="cell" refreshOnChange="1" cell="'23_덕산 신규점1'!$AG$1"/>
    </parameters>
    <extLst>
      <ext xmlns:x15="http://schemas.microsoft.com/office/spreadsheetml/2010/11/main" uri="{DE250136-89BD-433C-8126-D09CA5730AF9}">
        <x15:connection id="" excludeFromRefreshAll="1"/>
      </ext>
    </extLst>
  </connection>
  <connection id="18" xr16:uid="{D36F625E-5D7A-445B-90CB-5CB61BE0E38F}" name="연결222" type="4" refreshedVersion="8" saveData="1">
    <webPr xl2000="1" url="https://services.swpc.noaa.gov/text/3-day-forecast.txt?d=[&quot;d&quot;,&quot;관측일&quot;]"/>
    <parameters count="1">
      <parameter name="d" parameterType="cell" refreshOnChange="1" cell="'24_회천 신규점2'!$AG$1"/>
    </parameters>
    <extLst>
      <ext xmlns:x15="http://schemas.microsoft.com/office/spreadsheetml/2010/11/main" uri="{DE250136-89BD-433C-8126-D09CA5730AF9}">
        <x15:connection id="" excludeFromRefreshAll="1"/>
      </ext>
    </extLst>
  </connection>
  <connection id="19" xr16:uid="{AA273ABA-FB8B-403A-BD4D-4DFDAE719315}" name="연결223" type="4" refreshedVersion="8" saveData="1">
    <webPr xl2000="1" url="https://services.swpc.noaa.gov/text/3-day-forecast.txt?d=[&quot;d&quot;,&quot;관측일&quot;]"/>
    <parameters count="1">
      <parameter name="d" parameterType="cell" refreshOnChange="1" cell="'25_관리 신규점3'!$AG$1"/>
    </parameters>
    <extLst>
      <ext xmlns:x15="http://schemas.microsoft.com/office/spreadsheetml/2010/11/main" uri="{DE250136-89BD-433C-8126-D09CA5730AF9}">
        <x15:connection id="" excludeFromRefreshAll="1"/>
      </ext>
    </extLst>
  </connection>
  <connection id="20" xr16:uid="{C44DC299-96D7-4407-9288-43876B2E20C6}" name="연결224" type="4" refreshedVersion="8" saveData="1">
    <webPr xl2000="1" url="https://services.swpc.noaa.gov/text/3-day-forecast.txt?d=[&quot;d&quot;,&quot;관측일&quot;]"/>
    <parameters count="1">
      <parameter name="d" parameterType="cell" refreshOnChange="1" cell="'26_고남 신규점2'!$AG$1"/>
    </parameters>
    <extLst>
      <ext xmlns:x15="http://schemas.microsoft.com/office/spreadsheetml/2010/11/main" uri="{DE250136-89BD-433C-8126-D09CA5730AF9}">
        <x15:connection id="" excludeFromRefreshAll="1"/>
      </ext>
    </extLst>
  </connection>
  <connection id="21" xr16:uid="{A9186943-A166-467F-AE83-A6334DEF946F}" name="연결225" type="4" refreshedVersion="8" saveData="1">
    <webPr xl2000="1" url="https://services.swpc.noaa.gov/text/3-day-forecast.txt?d=[&quot;d&quot;,&quot;관측일&quot;]"/>
    <parameters count="1">
      <parameter name="d" parameterType="cell" refreshOnChange="1" cell="'27_전의 신규점'!$AG$1"/>
    </parameters>
    <extLst>
      <ext xmlns:x15="http://schemas.microsoft.com/office/spreadsheetml/2010/11/main" uri="{DE250136-89BD-433C-8126-D09CA5730AF9}">
        <x15:connection id="" excludeFromRefreshAll="1"/>
      </ext>
    </extLst>
  </connection>
  <connection id="22" xr16:uid="{2BA56757-E2B3-4B73-B238-C6E9DAA75E00}" name="연결226" type="4" refreshedVersion="8" saveData="1">
    <webPr xl2000="1" url="https://services.swpc.noaa.gov/text/3-day-forecast.txt?d=[&quot;d&quot;,&quot;관측일&quot;]"/>
    <parameters count="1">
      <parameter name="d" parameterType="cell" refreshOnChange="1" cell="'28_이원 신규점'!$AG$1"/>
    </parameters>
    <extLst>
      <ext xmlns:x15="http://schemas.microsoft.com/office/spreadsheetml/2010/11/main" uri="{DE250136-89BD-433C-8126-D09CA5730AF9}">
        <x15:connection id="" excludeFromRefreshAll="1"/>
      </ext>
    </extLst>
  </connection>
  <connection id="23" xr16:uid="{EF2C2119-A808-49B5-A2C5-6DB7898A4DA2}" name="연결227" type="4" refreshedVersion="8" saveData="1">
    <webPr xl2000="1" url="https://services.swpc.noaa.gov/text/3-day-forecast.txt?d=[&quot;d&quot;,&quot;관측일&quot;]"/>
    <parameters count="1">
      <parameter name="d" parameterType="cell" refreshOnChange="1" cell="'29_가야 신규점1'!$AG$1"/>
    </parameters>
    <extLst>
      <ext xmlns:x15="http://schemas.microsoft.com/office/spreadsheetml/2010/11/main" uri="{DE250136-89BD-433C-8126-D09CA5730AF9}">
        <x15:connection id="" excludeFromRefreshAll="1"/>
      </ext>
    </extLst>
  </connection>
  <connection id="24" xr16:uid="{A6275523-288D-4A7D-949B-D80C16B9BD79}" name="연결228" type="4" refreshedVersion="8" saveData="1">
    <webPr xl2000="1" url="https://services.swpc.noaa.gov/text/3-day-forecast.txt?d=[&quot;d&quot;,&quot;관측일&quot;]"/>
    <parameters count="1">
      <parameter name="d" parameterType="cell" refreshOnChange="1" cell="'30_창녕 신규점'!$AG$1"/>
    </parameters>
    <extLst>
      <ext xmlns:x15="http://schemas.microsoft.com/office/spreadsheetml/2010/11/main" uri="{DE250136-89BD-433C-8126-D09CA5730AF9}">
        <x15:connection id="" excludeFromRefreshAll="1"/>
      </ext>
    </extLst>
  </connection>
  <connection id="25" xr16:uid="{338AEBCC-CDF6-4580-A530-C8E6F272539B}" name="연결229" type="4" refreshedVersion="8" saveData="1">
    <webPr xl2000="1" url="https://services.swpc.noaa.gov/text/3-day-forecast.txt?d=[&quot;d&quot;,&quot;관측일&quot;]"/>
    <parameters count="1">
      <parameter name="d" parameterType="cell" refreshOnChange="1" cell="'31_언양 신규점3'!$AG$1"/>
    </parameters>
    <extLst>
      <ext xmlns:x15="http://schemas.microsoft.com/office/spreadsheetml/2010/11/main" uri="{DE250136-89BD-433C-8126-D09CA5730AF9}">
        <x15:connection id="" excludeFromRefreshAll="1"/>
      </ext>
    </extLst>
  </connection>
  <connection id="26" xr16:uid="{848F50B3-1F1B-4F6E-ADC8-01D6DCD9CA46}" name="연결23" type="4" refreshedVersion="8" saveData="1">
    <webPr xl2000="1" url="https://services.swpc.noaa.gov/text/3-day-forecast.txt?d=[&quot;d&quot;,&quot;관측일&quot;]"/>
    <parameters count="1">
      <parameter name="d" parameterType="cell" refreshOnChange="1" cell="'05_무풍 신규점1'!$AG$1"/>
    </parameters>
    <extLst>
      <ext xmlns:x15="http://schemas.microsoft.com/office/spreadsheetml/2010/11/main" uri="{DE250136-89BD-433C-8126-D09CA5730AF9}">
        <x15:connection id="" excludeFromRefreshAll="1"/>
      </ext>
    </extLst>
  </connection>
  <connection id="27" xr16:uid="{C3AC051F-B975-4CF9-AD92-D0658B2B8DF4}" name="연결230" type="4" refreshedVersion="8" saveData="1">
    <webPr xl2000="1" url="https://services.swpc.noaa.gov/text/3-day-forecast.txt?d=[&quot;d&quot;,&quot;관측일&quot;]"/>
    <parameters count="1">
      <parameter name="d" parameterType="cell" refreshOnChange="1" cell="'32_함양 신규점'!$AG$1"/>
    </parameters>
    <extLst>
      <ext xmlns:x15="http://schemas.microsoft.com/office/spreadsheetml/2010/11/main" uri="{DE250136-89BD-433C-8126-D09CA5730AF9}">
        <x15:connection id="" excludeFromRefreshAll="1"/>
      </ext>
    </extLst>
  </connection>
  <connection id="28" xr16:uid="{5700EA37-D8E3-488F-B656-3F5D44F2B955}" name="연결231" type="4" refreshedVersion="8" saveData="1">
    <webPr xl2000="1" url="https://services.swpc.noaa.gov/text/3-day-forecast.txt?d=[&quot;d&quot;,&quot;관측일&quot;]"/>
    <parameters count="1">
      <parameter name="d" parameterType="cell" refreshOnChange="1" cell="'33_문산 신규점'!$AG$1"/>
    </parameters>
    <extLst>
      <ext xmlns:x15="http://schemas.microsoft.com/office/spreadsheetml/2010/11/main" uri="{DE250136-89BD-433C-8126-D09CA5730AF9}">
        <x15:connection id="" excludeFromRefreshAll="1"/>
      </ext>
    </extLst>
  </connection>
  <connection id="29" xr16:uid="{1C779E8F-F25E-4F6E-AD92-A13F9DA36DA2}" name="연결232" type="4" refreshedVersion="8" saveData="1">
    <webPr xl2000="1" url="https://services.swpc.noaa.gov/text/3-day-forecast.txt?d=[&quot;d&quot;,&quot;관측일&quot;]"/>
    <parameters count="1">
      <parameter name="d" parameterType="cell" refreshOnChange="1" cell="'34_부안 신규점'!$AG$1"/>
    </parameters>
    <extLst>
      <ext xmlns:x15="http://schemas.microsoft.com/office/spreadsheetml/2010/11/main" uri="{DE250136-89BD-433C-8126-D09CA5730AF9}">
        <x15:connection id="" excludeFromRefreshAll="1"/>
      </ext>
    </extLst>
  </connection>
  <connection id="30" xr16:uid="{39AB4E53-935C-47E7-A4C2-61AABC7E8EB5}" name="연결233" type="4" refreshedVersion="8" saveData="1">
    <webPr xl2000="1" url="https://services.swpc.noaa.gov/text/3-day-forecast.txt?d=[&quot;d&quot;,&quot;관측일&quot;]"/>
    <parameters count="1">
      <parameter name="d" parameterType="cell" refreshOnChange="1" cell="'35_상주'!$AG$1"/>
    </parameters>
    <extLst>
      <ext xmlns:x15="http://schemas.microsoft.com/office/spreadsheetml/2010/11/main" uri="{DE250136-89BD-433C-8126-D09CA5730AF9}">
        <x15:connection id="" excludeFromRefreshAll="1"/>
      </ext>
    </extLst>
  </connection>
  <connection id="31" xr16:uid="{93A5B59B-0123-4F50-840B-CE7362A30708}" name="연결234" type="4" refreshedVersion="8" saveData="1">
    <webPr xl2000="1" url="https://services.swpc.noaa.gov/text/3-day-forecast.txt?d=[&quot;d&quot;,&quot;관측일&quot;]"/>
    <parameters count="1">
      <parameter name="d" parameterType="cell" refreshOnChange="1" cell="'36_미원'!$AG$1"/>
    </parameters>
    <extLst>
      <ext xmlns:x15="http://schemas.microsoft.com/office/spreadsheetml/2010/11/main" uri="{DE250136-89BD-433C-8126-D09CA5730AF9}">
        <x15:connection id="" excludeFromRefreshAll="1"/>
      </ext>
    </extLst>
  </connection>
  <connection id="32" xr16:uid="{62F9569E-E946-4181-ADC8-92CBDC0D3931}" name="연결235" type="4" refreshedVersion="8" saveData="1">
    <webPr xl2000="1" url="https://services.swpc.noaa.gov/text/3-day-forecast.txt?d=[&quot;d&quot;,&quot;관측일&quot;]"/>
    <parameters count="1">
      <parameter name="d" parameterType="cell" refreshOnChange="1" cell="'37_부안'!$AG$1"/>
    </parameters>
    <extLst>
      <ext xmlns:x15="http://schemas.microsoft.com/office/spreadsheetml/2010/11/main" uri="{DE250136-89BD-433C-8126-D09CA5730AF9}">
        <x15:connection id="" excludeFromRefreshAll="1"/>
      </ext>
    </extLst>
  </connection>
  <connection id="33" xr16:uid="{3AF036C7-C9A9-44B7-9E26-5C890B5C5534}" name="연결236" type="4" refreshedVersion="8" saveData="1">
    <webPr xl2000="1" url="https://services.swpc.noaa.gov/text/3-day-forecast.txt?d=[&quot;d&quot;,&quot;관측일&quot;]"/>
    <parameters count="1">
      <parameter name="d" parameterType="cell" refreshOnChange="1" cell="'38_강화'!$AG$1"/>
    </parameters>
    <extLst>
      <ext xmlns:x15="http://schemas.microsoft.com/office/spreadsheetml/2010/11/main" uri="{DE250136-89BD-433C-8126-D09CA5730AF9}">
        <x15:connection id="" excludeFromRefreshAll="1"/>
      </ext>
    </extLst>
  </connection>
  <connection id="34" xr16:uid="{D6A4E881-0339-456A-85FC-1942948C6353}" name="연결237" type="4" refreshedVersion="8" saveData="1">
    <webPr xl2000="1" url="https://services.swpc.noaa.gov/text/3-day-forecast.txt?d=[&quot;d&quot;,&quot;관측일&quot;]"/>
    <parameters count="1">
      <parameter name="d" parameterType="cell" refreshOnChange="1" cell="'39_언양'!$AG$1"/>
    </parameters>
    <extLst>
      <ext xmlns:x15="http://schemas.microsoft.com/office/spreadsheetml/2010/11/main" uri="{DE250136-89BD-433C-8126-D09CA5730AF9}">
        <x15:connection id="" excludeFromRefreshAll="1"/>
      </ext>
    </extLst>
  </connection>
  <connection id="35" xr16:uid="{05B9F194-51FF-4DE3-B5A4-BC5C84CB0CEF}" name="연결238" type="4" refreshedVersion="8" saveData="1">
    <webPr xl2000="1" url="https://services.swpc.noaa.gov/text/3-day-forecast.txt?d=[&quot;d&quot;,&quot;관측일&quot;]"/>
    <parameters count="1">
      <parameter name="d" parameterType="cell" refreshOnChange="1" cell="'40_남지'!$AG$1"/>
    </parameters>
    <extLst>
      <ext xmlns:x15="http://schemas.microsoft.com/office/spreadsheetml/2010/11/main" uri="{DE250136-89BD-433C-8126-D09CA5730AF9}">
        <x15:connection id="" excludeFromRefreshAll="1"/>
      </ext>
    </extLst>
  </connection>
  <connection id="36" xr16:uid="{E451832A-FCB6-4794-940D-C7252CEADE02}" name="연결239" type="4" refreshedVersion="8" saveData="1">
    <webPr xl2000="1" url="https://services.swpc.noaa.gov/text/3-day-forecast.txt?d=[&quot;d&quot;,&quot;관측일&quot;]"/>
    <parameters count="1">
      <parameter name="d" parameterType="cell" refreshOnChange="1" cell="'41_거제'!$AG$1"/>
    </parameters>
    <extLst>
      <ext xmlns:x15="http://schemas.microsoft.com/office/spreadsheetml/2010/11/main" uri="{DE250136-89BD-433C-8126-D09CA5730AF9}">
        <x15:connection id="" excludeFromRefreshAll="1"/>
      </ext>
    </extLst>
  </connection>
  <connection id="37" xr16:uid="{028CB3B8-3902-4C53-8C74-3893C2D7FFDE}" name="연결24" type="4" refreshedVersion="8" saveData="1">
    <webPr xl2000="1" url="https://services.swpc.noaa.gov/text/3-day-forecast.txt?d=[&quot;d&quot;,&quot;관측일&quot;]"/>
    <parameters count="1">
      <parameter name="d" parameterType="cell" refreshOnChange="1" cell="'06_길담 신규점'!$AG$1"/>
    </parameters>
    <extLst>
      <ext xmlns:x15="http://schemas.microsoft.com/office/spreadsheetml/2010/11/main" uri="{DE250136-89BD-433C-8126-D09CA5730AF9}">
        <x15:connection id="" excludeFromRefreshAll="1"/>
      </ext>
    </extLst>
  </connection>
  <connection id="38" xr16:uid="{55C7C378-D92F-45D4-81AD-8836529B0643}" name="연결240" type="4" refreshedVersion="8" saveData="1">
    <webPr xl2000="1" url="https://services.swpc.noaa.gov/text/3-day-forecast.txt?d=[&quot;d&quot;,&quot;관측일&quot;]"/>
    <parameters count="1">
      <parameter name="d" parameterType="cell" refreshOnChange="1" cell="'42_조도'!$AG$1"/>
    </parameters>
    <extLst>
      <ext xmlns:x15="http://schemas.microsoft.com/office/spreadsheetml/2010/11/main" uri="{DE250136-89BD-433C-8126-D09CA5730AF9}">
        <x15:connection id="" excludeFromRefreshAll="1"/>
      </ext>
    </extLst>
  </connection>
  <connection id="39" xr16:uid="{F11C4B7F-0423-411D-A103-A58CB5037D34}" name="연결241" type="4" refreshedVersion="8" saveData="1">
    <webPr xl2000="1" url="https://services.swpc.noaa.gov/text/3-day-forecast.txt?d=[&quot;d&quot;,&quot;관측일&quot;]"/>
    <parameters count="1">
      <parameter name="d" parameterType="cell" refreshOnChange="1" cell="'43_포천'!$AG$1"/>
    </parameters>
    <extLst>
      <ext xmlns:x15="http://schemas.microsoft.com/office/spreadsheetml/2010/11/main" uri="{DE250136-89BD-433C-8126-D09CA5730AF9}">
        <x15:connection id="" excludeFromRefreshAll="1"/>
      </ext>
    </extLst>
  </connection>
  <connection id="40" xr16:uid="{A4E83CB1-FBBF-49E1-92F5-E1AD8F64F0A3}" name="연결242" type="4" refreshedVersion="8" saveData="1">
    <webPr xl2000="1" url="https://services.swpc.noaa.gov/text/3-day-forecast.txt?d=[&quot;d&quot;,&quot;관측일&quot;]"/>
    <parameters count="1">
      <parameter name="d" parameterType="cell" refreshOnChange="1" cell="'44_성산'!$AG$1"/>
    </parameters>
    <extLst>
      <ext xmlns:x15="http://schemas.microsoft.com/office/spreadsheetml/2010/11/main" uri="{DE250136-89BD-433C-8126-D09CA5730AF9}">
        <x15:connection id="" excludeFromRefreshAll="1"/>
      </ext>
    </extLst>
  </connection>
  <connection id="41" xr16:uid="{D651C6BF-72AB-4FCE-B510-E5B48A3B193B}" name="연결243" type="4" refreshedVersion="8" saveData="1">
    <webPr xl2000="1" url="https://services.swpc.noaa.gov/text/3-day-forecast.txt?d=[&quot;d&quot;,&quot;관측일&quot;]"/>
    <parameters count="1">
      <parameter name="d" parameterType="cell" refreshOnChange="1" cell="'45_여주'!$AG$1"/>
    </parameters>
    <extLst>
      <ext xmlns:x15="http://schemas.microsoft.com/office/spreadsheetml/2010/11/main" uri="{DE250136-89BD-433C-8126-D09CA5730AF9}">
        <x15:connection id="" excludeFromRefreshAll="1"/>
      </ext>
    </extLst>
  </connection>
  <connection id="42" xr16:uid="{0024A0D2-1455-40AB-8D45-C2CF5AB063CB}" name="연결244" type="4" refreshedVersion="8" saveData="1">
    <webPr xl2000="1" url="https://services.swpc.noaa.gov/text/3-day-forecast.txt?d=[&quot;d&quot;,&quot;관측일&quot;]"/>
    <parameters count="1">
      <parameter name="d" parameterType="cell" refreshOnChange="1" cell="'46_화천'!$AG$1"/>
    </parameters>
    <extLst>
      <ext xmlns:x15="http://schemas.microsoft.com/office/spreadsheetml/2010/11/main" uri="{DE250136-89BD-433C-8126-D09CA5730AF9}">
        <x15:connection id="" excludeFromRefreshAll="1"/>
      </ext>
    </extLst>
  </connection>
  <connection id="43" xr16:uid="{24FD16B1-8610-44DE-882B-8EC363156581}" name="연결245" type="4" refreshedVersion="8" saveData="1">
    <webPr xl2000="1" url="https://services.swpc.noaa.gov/text/3-day-forecast.txt?d=[&quot;d&quot;,&quot;관측일&quot;]"/>
    <parameters count="1">
      <parameter name="d" parameterType="cell" refreshOnChange="1" cell="'47_봉평'!$AG$1"/>
    </parameters>
    <extLst>
      <ext xmlns:x15="http://schemas.microsoft.com/office/spreadsheetml/2010/11/main" uri="{DE250136-89BD-433C-8126-D09CA5730AF9}">
        <x15:connection id="" excludeFromRefreshAll="1"/>
      </ext>
    </extLst>
  </connection>
  <connection id="44" xr16:uid="{513CE8F5-1352-4A6F-8576-8FE004A68377}" name="연결246" type="4" refreshedVersion="8" saveData="1">
    <webPr xl2000="1" url="https://services.swpc.noaa.gov/text/3-day-forecast.txt?d=[&quot;d&quot;,&quot;관측일&quot;]"/>
    <parameters count="1">
      <parameter name="d" parameterType="cell" refreshOnChange="1" cell="'48_삼척'!$AG$1"/>
    </parameters>
    <extLst>
      <ext xmlns:x15="http://schemas.microsoft.com/office/spreadsheetml/2010/11/main" uri="{DE250136-89BD-433C-8126-D09CA5730AF9}">
        <x15:connection id="" excludeFromRefreshAll="1"/>
      </ext>
    </extLst>
  </connection>
  <connection id="45" xr16:uid="{7BE68B79-B512-4D56-A179-99165DFB45F0}" name="연결247" type="4" refreshedVersion="8" saveData="1">
    <webPr xl2000="1" url="https://services.swpc.noaa.gov/text/3-day-forecast.txt?d=[&quot;d&quot;,&quot;관측일&quot;]"/>
    <parameters count="1">
      <parameter name="d" parameterType="cell" refreshOnChange="1" cell="'49_제천'!$AG$1"/>
    </parameters>
    <extLst>
      <ext xmlns:x15="http://schemas.microsoft.com/office/spreadsheetml/2010/11/main" uri="{DE250136-89BD-433C-8126-D09CA5730AF9}">
        <x15:connection id="" excludeFromRefreshAll="1"/>
      </ext>
    </extLst>
  </connection>
  <connection id="46" xr16:uid="{8C9FABCD-9E1D-4578-AA18-FBC76E273A36}" name="연결248" type="4" refreshedVersion="8" saveData="1">
    <webPr xl2000="1" url="https://services.swpc.noaa.gov/text/3-day-forecast.txt?d=[&quot;d&quot;,&quot;관측일&quot;]"/>
    <parameters count="1">
      <parameter name="d" parameterType="cell" refreshOnChange="1" cell="'50_함양'!$AG$1"/>
    </parameters>
    <extLst>
      <ext xmlns:x15="http://schemas.microsoft.com/office/spreadsheetml/2010/11/main" uri="{DE250136-89BD-433C-8126-D09CA5730AF9}">
        <x15:connection id="" excludeFromRefreshAll="1"/>
      </ext>
    </extLst>
  </connection>
  <connection id="47" xr16:uid="{0A79BC09-A59A-434A-B9EB-D00A4B192B86}" name="연결25" type="4" refreshedVersion="8" saveData="1">
    <webPr xl2000="1" url="https://services.swpc.noaa.gov/text/3-day-forecast.txt?d=[&quot;d&quot;,&quot;관측일&quot;]"/>
    <parameters count="1">
      <parameter name="d" parameterType="cell" refreshOnChange="1" cell="'07_남해 신규점1'!$AG$1"/>
    </parameters>
    <extLst>
      <ext xmlns:x15="http://schemas.microsoft.com/office/spreadsheetml/2010/11/main" uri="{DE250136-89BD-433C-8126-D09CA5730AF9}">
        <x15:connection id="" excludeFromRefreshAll="1"/>
      </ext>
    </extLst>
  </connection>
  <connection id="48" xr16:uid="{33CE4D64-656F-4F65-BB87-9FE63C24F1EC}" name="연결250" type="4" refreshedVersion="8" saveData="1">
    <webPr xl2000="1" url="https://services.swpc.noaa.gov/text/3-day-forecast.txt?d=[&quot;d&quot;,&quot;관측일&quot;]"/>
    <parameters count="1">
      <parameter name="d" parameterType="cell" refreshOnChange="1" cell="'02_임계 신규점1'!$AG$1"/>
    </parameters>
    <extLst>
      <ext xmlns:x15="http://schemas.microsoft.com/office/spreadsheetml/2010/11/main" uri="{DE250136-89BD-433C-8126-D09CA5730AF9}">
        <x15:connection id="" excludeFromRefreshAll="1"/>
      </ext>
    </extLst>
  </connection>
  <connection id="49" xr16:uid="{D0273CF5-196F-4F0D-B2E9-E2207ADE8ADA}" name="연결26" type="4" refreshedVersion="8" saveData="1">
    <webPr xl2000="1" url="https://services.swpc.noaa.gov/text/3-day-forecast.txt?d=[&quot;d&quot;,&quot;관측일&quot;]"/>
    <parameters count="1">
      <parameter name="d" parameterType="cell" refreshOnChange="1" cell="'08_청일 신규점2'!$AG$1"/>
    </parameters>
    <extLst>
      <ext xmlns:x15="http://schemas.microsoft.com/office/spreadsheetml/2010/11/main" uri="{DE250136-89BD-433C-8126-D09CA5730AF9}">
        <x15:connection id="" excludeFromRefreshAll="1"/>
      </ext>
    </extLst>
  </connection>
  <connection id="50" xr16:uid="{D4786645-36DF-4ED8-BEFA-D36AB88EE49D}" name="연결27" type="4" refreshedVersion="8" saveData="1">
    <webPr xl2000="1" url="https://services.swpc.noaa.gov/text/3-day-forecast.txt?d=[&quot;d&quot;,&quot;관측일&quot;]"/>
    <parameters count="1">
      <parameter name="d" parameterType="cell" refreshOnChange="1" cell="'09_어론 신규점'!$AG$1"/>
    </parameters>
    <extLst>
      <ext xmlns:x15="http://schemas.microsoft.com/office/spreadsheetml/2010/11/main" uri="{DE250136-89BD-433C-8126-D09CA5730AF9}">
        <x15:connection id="" excludeFromRefreshAll="1"/>
      </ext>
    </extLst>
  </connection>
  <connection id="51" xr16:uid="{3DB0D166-FE6F-49BF-AA0E-9EA69FD72940}" name="연결28" type="4" refreshedVersion="8" saveData="1">
    <webPr xl2000="1" url="https://services.swpc.noaa.gov/text/3-day-forecast.txt?d=[&quot;d&quot;,&quot;관측일&quot;]"/>
    <parameters count="1">
      <parameter name="d" parameterType="cell" refreshOnChange="1" cell="'10_예안 신규점1'!$AG$1"/>
    </parameters>
    <extLst>
      <ext xmlns:x15="http://schemas.microsoft.com/office/spreadsheetml/2010/11/main" uri="{DE250136-89BD-433C-8126-D09CA5730AF9}">
        <x15:connection id="" excludeFromRefreshAll="1"/>
      </ext>
    </extLst>
  </connection>
  <connection id="52" xr16:uid="{1C95EF90-C77D-473E-8788-69D1AD4A3205}" name="연결29" type="4" refreshedVersion="8" saveData="1">
    <webPr xl2000="1" url="https://services.swpc.noaa.gov/text/3-day-forecast.txt?d=[&quot;d&quot;,&quot;관측일&quot;]"/>
    <parameters count="1">
      <parameter name="d" parameterType="cell" refreshOnChange="1" cell="'11_소천 신규점4'!$AG$1"/>
    </parameters>
    <extLst>
      <ext xmlns:x15="http://schemas.microsoft.com/office/spreadsheetml/2010/11/main" uri="{DE250136-89BD-433C-8126-D09CA5730AF9}">
        <x15:connection id="" excludeFromRefreshAll="1"/>
      </ext>
    </extLst>
  </connection>
  <connection id="53" xr16:uid="{D3CB83E3-430A-4217-AC81-78E6E370B5D4}" name="연결3" type="4" refreshedVersion="8" saveData="1">
    <webPr xl2000="1" url="https://services.swpc.noaa.gov/text/27-day-outlook.txt?d=[&quot;d&quot;,&quot;관측일&quot;]"/>
    <parameters count="1">
      <parameter name="d" parameterType="cell" refreshOnChange="1" cell="'01_태백 신규점'!$AG$1"/>
    </parameters>
    <extLst>
      <ext xmlns:x15="http://schemas.microsoft.com/office/spreadsheetml/2010/11/main" uri="{DE250136-89BD-433C-8126-D09CA5730AF9}">
        <x15:connection id="" excludeFromRefreshAll="1"/>
      </ext>
    </extLst>
  </connection>
  <connection id="54" xr16:uid="{536F76AC-BE57-4EB0-B70C-56207E8DF1EA}" name="연결31" type="4" refreshedVersion="8" saveData="1">
    <webPr xl2000="1" url="https://services.swpc.noaa.gov/text/27-day-outlook.txt?d=[&quot;d&quot;,&quot;관측일&quot;]"/>
    <parameters count="1">
      <parameter name="d" parameterType="cell" refreshOnChange="1" cell="'03_예산 신규점2'!$AG$1"/>
    </parameters>
    <extLst>
      <ext xmlns:x15="http://schemas.microsoft.com/office/spreadsheetml/2010/11/main" uri="{DE250136-89BD-433C-8126-D09CA5730AF9}">
        <x15:connection id="" excludeFromRefreshAll="1"/>
      </ext>
    </extLst>
  </connection>
  <connection id="55" xr16:uid="{70EC6110-FB15-47FC-8879-69EFA7270F3F}" name="연결310" type="4" refreshedVersion="8" saveData="1">
    <webPr xl2000="1" url="https://services.swpc.noaa.gov/text/27-day-outlook.txt?d=[&quot;d&quot;,&quot;관측일&quot;]"/>
    <parameters count="1">
      <parameter name="d" parameterType="cell" refreshOnChange="1" cell="'12_순창 신규점'!$AG$1"/>
    </parameters>
    <extLst>
      <ext xmlns:x15="http://schemas.microsoft.com/office/spreadsheetml/2010/11/main" uri="{DE250136-89BD-433C-8126-D09CA5730AF9}">
        <x15:connection id="" excludeFromRefreshAll="1"/>
      </ext>
    </extLst>
  </connection>
  <connection id="56" xr16:uid="{0260F378-236A-4530-8831-71AB16B5383E}" name="연결311" type="4" refreshedVersion="8" saveData="1">
    <webPr xl2000="1" url="https://services.swpc.noaa.gov/text/27-day-outlook.txt?d=[&quot;d&quot;,&quot;관측일&quot;]"/>
    <parameters count="1">
      <parameter name="d" parameterType="cell" refreshOnChange="1" cell="'13_순천 신규점'!$AG$1"/>
    </parameters>
    <extLst>
      <ext xmlns:x15="http://schemas.microsoft.com/office/spreadsheetml/2010/11/main" uri="{DE250136-89BD-433C-8126-D09CA5730AF9}">
        <x15:connection id="" excludeFromRefreshAll="1"/>
      </ext>
    </extLst>
  </connection>
  <connection id="57" xr16:uid="{4F3D0AD2-638F-41E7-9273-938CD3AFEF75}" name="연결312" type="4" refreshedVersion="8" saveData="1">
    <webPr xl2000="1" url="https://services.swpc.noaa.gov/text/27-day-outlook.txt?d=[&quot;d&quot;,&quot;관측일&quot;]"/>
    <parameters count="1">
      <parameter name="d" parameterType="cell" refreshOnChange="1" cell="'14_청송 신규점1'!$AG$1"/>
    </parameters>
    <extLst>
      <ext xmlns:x15="http://schemas.microsoft.com/office/spreadsheetml/2010/11/main" uri="{DE250136-89BD-433C-8126-D09CA5730AF9}">
        <x15:connection id="" excludeFromRefreshAll="1"/>
      </ext>
    </extLst>
  </connection>
  <connection id="58" xr16:uid="{D0C7F891-A899-47AA-905D-5BAB6D29DAF6}" name="연결313" type="4" refreshedVersion="8" saveData="1">
    <webPr xl2000="1" url="https://services.swpc.noaa.gov/text/27-day-outlook.txt?d=[&quot;d&quot;,&quot;관측일&quot;]"/>
    <parameters count="1">
      <parameter name="d" parameterType="cell" refreshOnChange="1" cell="'15_의성 신규점'!$AG$1"/>
    </parameters>
    <extLst>
      <ext xmlns:x15="http://schemas.microsoft.com/office/spreadsheetml/2010/11/main" uri="{DE250136-89BD-433C-8126-D09CA5730AF9}">
        <x15:connection id="" excludeFromRefreshAll="1"/>
      </ext>
    </extLst>
  </connection>
  <connection id="59" xr16:uid="{4B4E30EE-4579-4541-88C6-995CF51B6199}" name="연결314" type="4" refreshedVersion="8" saveData="1">
    <webPr xl2000="1" url="https://services.swpc.noaa.gov/text/27-day-outlook.txt?d=[&quot;d&quot;,&quot;관측일&quot;]"/>
    <parameters count="1">
      <parameter name="d" parameterType="cell" refreshOnChange="1" cell="'16_예천 신규점'!$AG$1"/>
    </parameters>
    <extLst>
      <ext xmlns:x15="http://schemas.microsoft.com/office/spreadsheetml/2010/11/main" uri="{DE250136-89BD-433C-8126-D09CA5730AF9}">
        <x15:connection id="" excludeFromRefreshAll="1"/>
      </ext>
    </extLst>
  </connection>
  <connection id="60" xr16:uid="{C8045DA1-2FCE-487F-8F1E-C2E0BB2273D7}" name="연결315" type="4" refreshedVersion="8" saveData="1">
    <webPr xl2000="1" url="https://services.swpc.noaa.gov/text/27-day-outlook.txt?d=[&quot;d&quot;,&quot;관측일&quot;]"/>
    <parameters count="1">
      <parameter name="d" parameterType="cell" refreshOnChange="1" cell="'17_영양 신규점4'!$AG$1"/>
    </parameters>
    <extLst>
      <ext xmlns:x15="http://schemas.microsoft.com/office/spreadsheetml/2010/11/main" uri="{DE250136-89BD-433C-8126-D09CA5730AF9}">
        <x15:connection id="" excludeFromRefreshAll="1"/>
      </ext>
    </extLst>
  </connection>
  <connection id="61" xr16:uid="{5584BFF1-DFC0-4A61-8AAF-7682AAF838A4}" name="연결316" type="4" refreshedVersion="8" saveData="1">
    <webPr xl2000="1" url="https://services.swpc.noaa.gov/text/27-day-outlook.txt?d=[&quot;d&quot;,&quot;관측일&quot;]"/>
    <parameters count="1">
      <parameter name="d" parameterType="cell" refreshOnChange="1" cell="'18_통영 신규점'!$AG$1"/>
    </parameters>
    <extLst>
      <ext xmlns:x15="http://schemas.microsoft.com/office/spreadsheetml/2010/11/main" uri="{DE250136-89BD-433C-8126-D09CA5730AF9}">
        <x15:connection id="" excludeFromRefreshAll="1"/>
      </ext>
    </extLst>
  </connection>
  <connection id="62" xr16:uid="{98532A29-9B57-4E24-886F-3D76C4F7028E}" name="연결317" type="4" refreshedVersion="8" saveData="1">
    <webPr xl2000="1" url="https://services.swpc.noaa.gov/text/27-day-outlook.txt?d=[&quot;d&quot;,&quot;관측일&quot;]"/>
    <parameters count="1">
      <parameter name="d" parameterType="cell" refreshOnChange="1" cell="'19_오호 신규점'!$AG$1"/>
    </parameters>
    <extLst>
      <ext xmlns:x15="http://schemas.microsoft.com/office/spreadsheetml/2010/11/main" uri="{DE250136-89BD-433C-8126-D09CA5730AF9}">
        <x15:connection id="" excludeFromRefreshAll="1"/>
      </ext>
    </extLst>
  </connection>
  <connection id="63" xr16:uid="{0AE693D5-06DD-4EA3-9CD3-072CCA500D18}" name="연결318" type="4" refreshedVersion="8" saveData="1">
    <webPr xl2000="1" url="https://services.swpc.noaa.gov/text/27-day-outlook.txt?d=[&quot;d&quot;,&quot;관측일&quot;]"/>
    <parameters count="1">
      <parameter name="d" parameterType="cell" refreshOnChange="1" cell="'20_보령 신규점2'!$AG$1"/>
    </parameters>
    <extLst>
      <ext xmlns:x15="http://schemas.microsoft.com/office/spreadsheetml/2010/11/main" uri="{DE250136-89BD-433C-8126-D09CA5730AF9}">
        <x15:connection id="" excludeFromRefreshAll="1"/>
      </ext>
    </extLst>
  </connection>
  <connection id="64" xr16:uid="{C7546916-B9AC-4862-86DD-DDA4D5FA180E}" name="연결319" type="4" refreshedVersion="8" saveData="1">
    <webPr xl2000="1" url="https://services.swpc.noaa.gov/text/27-day-outlook.txt?d=[&quot;d&quot;,&quot;관측일&quot;]"/>
    <parameters count="1">
      <parameter name="d" parameterType="cell" refreshOnChange="1" cell="'21_담양 신규점2'!$AG$1"/>
    </parameters>
    <extLst>
      <ext xmlns:x15="http://schemas.microsoft.com/office/spreadsheetml/2010/11/main" uri="{DE250136-89BD-433C-8126-D09CA5730AF9}">
        <x15:connection id="" excludeFromRefreshAll="1"/>
      </ext>
    </extLst>
  </connection>
  <connection id="65" xr16:uid="{A8F09C6B-F082-4B35-9A20-5FA370EEEB8E}" name="연결32" type="4" refreshedVersion="8" saveData="1">
    <webPr xl2000="1" url="https://services.swpc.noaa.gov/text/27-day-outlook.txt?d=[&quot;d&quot;,&quot;관측일&quot;]"/>
    <parameters count="1">
      <parameter name="d" parameterType="cell" refreshOnChange="1" cell="'04_진안 신규점1'!$AG$1"/>
    </parameters>
    <extLst>
      <ext xmlns:x15="http://schemas.microsoft.com/office/spreadsheetml/2010/11/main" uri="{DE250136-89BD-433C-8126-D09CA5730AF9}">
        <x15:connection id="" excludeFromRefreshAll="1"/>
      </ext>
    </extLst>
  </connection>
  <connection id="66" xr16:uid="{CC3B113D-472D-4477-BA80-1332B4D8F6A3}" name="연결320" type="4" refreshedVersion="8" saveData="1">
    <webPr xl2000="1" url="https://services.swpc.noaa.gov/text/27-day-outlook.txt?d=[&quot;d&quot;,&quot;관측일&quot;]"/>
    <parameters count="1">
      <parameter name="d" parameterType="cell" refreshOnChange="1" cell="'22_완도 신규점'!$AG$1"/>
    </parameters>
    <extLst>
      <ext xmlns:x15="http://schemas.microsoft.com/office/spreadsheetml/2010/11/main" uri="{DE250136-89BD-433C-8126-D09CA5730AF9}">
        <x15:connection id="" excludeFromRefreshAll="1"/>
      </ext>
    </extLst>
  </connection>
  <connection id="67" xr16:uid="{00CE1F6C-E457-4538-8A44-F72F3A196FEA}" name="연결321" type="4" refreshedVersion="8" saveData="1">
    <webPr xl2000="1" url="https://services.swpc.noaa.gov/text/27-day-outlook.txt?d=[&quot;d&quot;,&quot;관측일&quot;]"/>
    <parameters count="1">
      <parameter name="d" parameterType="cell" refreshOnChange="1" cell="'23_덕산 신규점1'!$AG$1"/>
    </parameters>
    <extLst>
      <ext xmlns:x15="http://schemas.microsoft.com/office/spreadsheetml/2010/11/main" uri="{DE250136-89BD-433C-8126-D09CA5730AF9}">
        <x15:connection id="" excludeFromRefreshAll="1"/>
      </ext>
    </extLst>
  </connection>
  <connection id="68" xr16:uid="{009E61B2-1671-4BBD-8D53-7C3D46A13EB6}" name="연결322" type="4" refreshedVersion="8" saveData="1">
    <webPr xl2000="1" url="https://services.swpc.noaa.gov/text/27-day-outlook.txt?d=[&quot;d&quot;,&quot;관측일&quot;]"/>
    <parameters count="1">
      <parameter name="d" parameterType="cell" refreshOnChange="1" cell="'24_회천 신규점2'!$AG$1"/>
    </parameters>
    <extLst>
      <ext xmlns:x15="http://schemas.microsoft.com/office/spreadsheetml/2010/11/main" uri="{DE250136-89BD-433C-8126-D09CA5730AF9}">
        <x15:connection id="" excludeFromRefreshAll="1"/>
      </ext>
    </extLst>
  </connection>
  <connection id="69" xr16:uid="{192DDA1D-30C7-4082-AFBA-96FC4E525F57}" name="연결323" type="4" refreshedVersion="8" saveData="1">
    <webPr xl2000="1" url="https://services.swpc.noaa.gov/text/27-day-outlook.txt?d=[&quot;d&quot;,&quot;관측일&quot;]"/>
    <parameters count="1">
      <parameter name="d" parameterType="cell" refreshOnChange="1" cell="'25_관리 신규점3'!$AG$1"/>
    </parameters>
    <extLst>
      <ext xmlns:x15="http://schemas.microsoft.com/office/spreadsheetml/2010/11/main" uri="{DE250136-89BD-433C-8126-D09CA5730AF9}">
        <x15:connection id="" excludeFromRefreshAll="1"/>
      </ext>
    </extLst>
  </connection>
  <connection id="70" xr16:uid="{55A67D3A-7711-444C-88AB-62281C806F0D}" name="연결324" type="4" refreshedVersion="8" saveData="1">
    <webPr xl2000="1" url="https://services.swpc.noaa.gov/text/27-day-outlook.txt?d=[&quot;d&quot;,&quot;관측일&quot;]"/>
    <parameters count="1">
      <parameter name="d" parameterType="cell" refreshOnChange="1" cell="'26_고남 신규점2'!$AG$1"/>
    </parameters>
    <extLst>
      <ext xmlns:x15="http://schemas.microsoft.com/office/spreadsheetml/2010/11/main" uri="{DE250136-89BD-433C-8126-D09CA5730AF9}">
        <x15:connection id="" excludeFromRefreshAll="1"/>
      </ext>
    </extLst>
  </connection>
  <connection id="71" xr16:uid="{6FA441D2-1963-45A6-B766-60BFFD76DA4A}" name="연결325" type="4" refreshedVersion="8" saveData="1">
    <webPr xl2000="1" url="https://services.swpc.noaa.gov/text/27-day-outlook.txt?d=[&quot;d&quot;,&quot;관측일&quot;]"/>
    <parameters count="1">
      <parameter name="d" parameterType="cell" refreshOnChange="1" cell="'27_전의 신규점'!$AG$1"/>
    </parameters>
    <extLst>
      <ext xmlns:x15="http://schemas.microsoft.com/office/spreadsheetml/2010/11/main" uri="{DE250136-89BD-433C-8126-D09CA5730AF9}">
        <x15:connection id="" excludeFromRefreshAll="1"/>
      </ext>
    </extLst>
  </connection>
  <connection id="72" xr16:uid="{78C35345-02A8-453A-BE07-F94FA40E4838}" name="연결326" type="4" refreshedVersion="8" saveData="1">
    <webPr xl2000="1" url="https://services.swpc.noaa.gov/text/27-day-outlook.txt?d=[&quot;d&quot;,&quot;관측일&quot;]"/>
    <parameters count="1">
      <parameter name="d" parameterType="cell" refreshOnChange="1" cell="'28_이원 신규점'!$AG$1"/>
    </parameters>
    <extLst>
      <ext xmlns:x15="http://schemas.microsoft.com/office/spreadsheetml/2010/11/main" uri="{DE250136-89BD-433C-8126-D09CA5730AF9}">
        <x15:connection id="" excludeFromRefreshAll="1"/>
      </ext>
    </extLst>
  </connection>
  <connection id="73" xr16:uid="{30F840F0-BD04-4BFB-A43B-E263C2CFF3B4}" name="연결327" type="4" refreshedVersion="8" saveData="1">
    <webPr xl2000="1" url="https://services.swpc.noaa.gov/text/27-day-outlook.txt?d=[&quot;d&quot;,&quot;관측일&quot;]"/>
    <parameters count="1">
      <parameter name="d" parameterType="cell" refreshOnChange="1" cell="'29_가야 신규점1'!$AG$1"/>
    </parameters>
    <extLst>
      <ext xmlns:x15="http://schemas.microsoft.com/office/spreadsheetml/2010/11/main" uri="{DE250136-89BD-433C-8126-D09CA5730AF9}">
        <x15:connection id="" excludeFromRefreshAll="1"/>
      </ext>
    </extLst>
  </connection>
  <connection id="74" xr16:uid="{4C97E3B6-18C4-487B-9097-79E980D0D7A6}" name="연결328" type="4" refreshedVersion="8" saveData="1">
    <webPr xl2000="1" url="https://services.swpc.noaa.gov/text/27-day-outlook.txt?d=[&quot;d&quot;,&quot;관측일&quot;]"/>
    <parameters count="1">
      <parameter name="d" parameterType="cell" refreshOnChange="1" cell="'30_창녕 신규점'!$AG$1"/>
    </parameters>
    <extLst>
      <ext xmlns:x15="http://schemas.microsoft.com/office/spreadsheetml/2010/11/main" uri="{DE250136-89BD-433C-8126-D09CA5730AF9}">
        <x15:connection id="" excludeFromRefreshAll="1"/>
      </ext>
    </extLst>
  </connection>
  <connection id="75" xr16:uid="{FC9CB69A-23D3-4011-8B58-B3284243D61A}" name="연결329" type="4" refreshedVersion="8" saveData="1">
    <webPr xl2000="1" url="https://services.swpc.noaa.gov/text/27-day-outlook.txt?d=[&quot;d&quot;,&quot;관측일&quot;]"/>
    <parameters count="1">
      <parameter name="d" parameterType="cell" refreshOnChange="1" cell="'31_언양 신규점3'!$AG$1"/>
    </parameters>
    <extLst>
      <ext xmlns:x15="http://schemas.microsoft.com/office/spreadsheetml/2010/11/main" uri="{DE250136-89BD-433C-8126-D09CA5730AF9}">
        <x15:connection id="" excludeFromRefreshAll="1"/>
      </ext>
    </extLst>
  </connection>
  <connection id="76" xr16:uid="{464D4EF5-8F96-464D-9B73-853FB8291C77}" name="연결33" type="4" refreshedVersion="8" saveData="1">
    <webPr xl2000="1" url="https://services.swpc.noaa.gov/text/27-day-outlook.txt?d=[&quot;d&quot;,&quot;관측일&quot;]"/>
    <parameters count="1">
      <parameter name="d" parameterType="cell" refreshOnChange="1" cell="'05_무풍 신규점1'!$AG$1"/>
    </parameters>
    <extLst>
      <ext xmlns:x15="http://schemas.microsoft.com/office/spreadsheetml/2010/11/main" uri="{DE250136-89BD-433C-8126-D09CA5730AF9}">
        <x15:connection id="" excludeFromRefreshAll="1"/>
      </ext>
    </extLst>
  </connection>
  <connection id="77" xr16:uid="{9F31C625-1CC5-46FF-9EA0-0567D41C6D09}" name="연결330" type="4" refreshedVersion="8" saveData="1">
    <webPr xl2000="1" url="https://services.swpc.noaa.gov/text/27-day-outlook.txt?d=[&quot;d&quot;,&quot;관측일&quot;]"/>
    <parameters count="1">
      <parameter name="d" parameterType="cell" refreshOnChange="1" cell="'32_함양 신규점'!$AG$1"/>
    </parameters>
    <extLst>
      <ext xmlns:x15="http://schemas.microsoft.com/office/spreadsheetml/2010/11/main" uri="{DE250136-89BD-433C-8126-D09CA5730AF9}">
        <x15:connection id="" excludeFromRefreshAll="1"/>
      </ext>
    </extLst>
  </connection>
  <connection id="78" xr16:uid="{D6106D8E-42A6-4BB5-9197-E263873659A5}" name="연결331" type="4" refreshedVersion="8" saveData="1">
    <webPr xl2000="1" url="https://services.swpc.noaa.gov/text/27-day-outlook.txt?d=[&quot;d&quot;,&quot;관측일&quot;]"/>
    <parameters count="1">
      <parameter name="d" parameterType="cell" refreshOnChange="1" cell="'33_문산 신규점'!$AG$1"/>
    </parameters>
    <extLst>
      <ext xmlns:x15="http://schemas.microsoft.com/office/spreadsheetml/2010/11/main" uri="{DE250136-89BD-433C-8126-D09CA5730AF9}">
        <x15:connection id="" excludeFromRefreshAll="1"/>
      </ext>
    </extLst>
  </connection>
  <connection id="79" xr16:uid="{35F6FFD2-E434-4620-8F08-6C6489B2C845}" name="연결332" type="4" refreshedVersion="8" saveData="1">
    <webPr xl2000="1" url="https://services.swpc.noaa.gov/text/27-day-outlook.txt?d=[&quot;d&quot;,&quot;관측일&quot;]"/>
    <parameters count="1">
      <parameter name="d" parameterType="cell" refreshOnChange="1" cell="'34_부안 신규점'!$AG$1"/>
    </parameters>
    <extLst>
      <ext xmlns:x15="http://schemas.microsoft.com/office/spreadsheetml/2010/11/main" uri="{DE250136-89BD-433C-8126-D09CA5730AF9}">
        <x15:connection id="" excludeFromRefreshAll="1"/>
      </ext>
    </extLst>
  </connection>
  <connection id="80" xr16:uid="{15728F4D-FF38-49B6-9D02-E2CB10B1BDE8}" name="연결333" type="4" refreshedVersion="8" saveData="1">
    <webPr xl2000="1" url="https://services.swpc.noaa.gov/text/27-day-outlook.txt?d=[&quot;d&quot;,&quot;관측일&quot;]"/>
    <parameters count="1">
      <parameter name="d" parameterType="cell" refreshOnChange="1" cell="'35_상주'!$AG$1"/>
    </parameters>
    <extLst>
      <ext xmlns:x15="http://schemas.microsoft.com/office/spreadsheetml/2010/11/main" uri="{DE250136-89BD-433C-8126-D09CA5730AF9}">
        <x15:connection id="" excludeFromRefreshAll="1"/>
      </ext>
    </extLst>
  </connection>
  <connection id="81" xr16:uid="{7BB7976B-CF31-4EEA-8FB6-3422509001FA}" name="연결334" type="4" refreshedVersion="8" saveData="1">
    <webPr xl2000="1" url="https://services.swpc.noaa.gov/text/27-day-outlook.txt?d=[&quot;d&quot;,&quot;관측일&quot;]"/>
    <parameters count="1">
      <parameter name="d" parameterType="cell" refreshOnChange="1" cell="'36_미원'!$AG$1"/>
    </parameters>
    <extLst>
      <ext xmlns:x15="http://schemas.microsoft.com/office/spreadsheetml/2010/11/main" uri="{DE250136-89BD-433C-8126-D09CA5730AF9}">
        <x15:connection id="" excludeFromRefreshAll="1"/>
      </ext>
    </extLst>
  </connection>
  <connection id="82" xr16:uid="{E08FC1A2-0588-4EC2-AA4E-1C198DAF2AB0}" name="연결335" type="4" refreshedVersion="8" saveData="1">
    <webPr xl2000="1" url="https://services.swpc.noaa.gov/text/27-day-outlook.txt?d=[&quot;d&quot;,&quot;관측일&quot;]"/>
    <parameters count="1">
      <parameter name="d" parameterType="cell" refreshOnChange="1" cell="'37_부안'!$AG$1"/>
    </parameters>
    <extLst>
      <ext xmlns:x15="http://schemas.microsoft.com/office/spreadsheetml/2010/11/main" uri="{DE250136-89BD-433C-8126-D09CA5730AF9}">
        <x15:connection id="" excludeFromRefreshAll="1"/>
      </ext>
    </extLst>
  </connection>
  <connection id="83" xr16:uid="{1065E539-D2CC-4CED-8717-6C0449207F5A}" name="연결336" type="4" refreshedVersion="8" saveData="1">
    <webPr xl2000="1" url="https://services.swpc.noaa.gov/text/27-day-outlook.txt?d=[&quot;d&quot;,&quot;관측일&quot;]"/>
    <parameters count="1">
      <parameter name="d" parameterType="cell" refreshOnChange="1" cell="'38_강화'!$AG$1"/>
    </parameters>
    <extLst>
      <ext xmlns:x15="http://schemas.microsoft.com/office/spreadsheetml/2010/11/main" uri="{DE250136-89BD-433C-8126-D09CA5730AF9}">
        <x15:connection id="" excludeFromRefreshAll="1"/>
      </ext>
    </extLst>
  </connection>
  <connection id="84" xr16:uid="{94D55276-6E1A-4058-89B3-C31C839EE103}" name="연결337" type="4" refreshedVersion="8" saveData="1">
    <webPr xl2000="1" url="https://services.swpc.noaa.gov/text/27-day-outlook.txt?d=[&quot;d&quot;,&quot;관측일&quot;]"/>
    <parameters count="1">
      <parameter name="d" parameterType="cell" refreshOnChange="1" cell="'39_언양'!$AG$1"/>
    </parameters>
    <extLst>
      <ext xmlns:x15="http://schemas.microsoft.com/office/spreadsheetml/2010/11/main" uri="{DE250136-89BD-433C-8126-D09CA5730AF9}">
        <x15:connection id="" excludeFromRefreshAll="1"/>
      </ext>
    </extLst>
  </connection>
  <connection id="85" xr16:uid="{3517E48A-5BD6-4C88-AAF8-A67AD426BC75}" name="연결338" type="4" refreshedVersion="8" saveData="1">
    <webPr xl2000="1" url="https://services.swpc.noaa.gov/text/27-day-outlook.txt?d=[&quot;d&quot;,&quot;관측일&quot;]"/>
    <parameters count="1">
      <parameter name="d" parameterType="cell" refreshOnChange="1" cell="'40_남지'!$AG$1"/>
    </parameters>
    <extLst>
      <ext xmlns:x15="http://schemas.microsoft.com/office/spreadsheetml/2010/11/main" uri="{DE250136-89BD-433C-8126-D09CA5730AF9}">
        <x15:connection id="" excludeFromRefreshAll="1"/>
      </ext>
    </extLst>
  </connection>
  <connection id="86" xr16:uid="{4F13DC2E-E6E7-4F41-B98B-4C5A8CBB3C72}" name="연결339" type="4" refreshedVersion="8" saveData="1">
    <webPr xl2000="1" url="https://services.swpc.noaa.gov/text/27-day-outlook.txt?d=[&quot;d&quot;,&quot;관측일&quot;]"/>
    <parameters count="1">
      <parameter name="d" parameterType="cell" refreshOnChange="1" cell="'41_거제'!$AG$1"/>
    </parameters>
    <extLst>
      <ext xmlns:x15="http://schemas.microsoft.com/office/spreadsheetml/2010/11/main" uri="{DE250136-89BD-433C-8126-D09CA5730AF9}">
        <x15:connection id="" excludeFromRefreshAll="1"/>
      </ext>
    </extLst>
  </connection>
  <connection id="87" xr16:uid="{296EB3B7-4EB4-4F16-9ABB-BF9408C8DF1D}" name="연결34" type="4" refreshedVersion="8" saveData="1">
    <webPr xl2000="1" url="https://services.swpc.noaa.gov/text/27-day-outlook.txt?d=[&quot;d&quot;,&quot;관측일&quot;]"/>
    <parameters count="1">
      <parameter name="d" parameterType="cell" refreshOnChange="1" cell="'06_길담 신규점'!$AG$1"/>
    </parameters>
    <extLst>
      <ext xmlns:x15="http://schemas.microsoft.com/office/spreadsheetml/2010/11/main" uri="{DE250136-89BD-433C-8126-D09CA5730AF9}">
        <x15:connection id="" excludeFromRefreshAll="1"/>
      </ext>
    </extLst>
  </connection>
  <connection id="88" xr16:uid="{98EC69D4-9A33-4A30-B09E-217D6FE89EBA}" name="연결340" type="4" refreshedVersion="8" saveData="1">
    <webPr xl2000="1" url="https://services.swpc.noaa.gov/text/27-day-outlook.txt?d=[&quot;d&quot;,&quot;관측일&quot;]"/>
    <parameters count="1">
      <parameter name="d" parameterType="cell" refreshOnChange="1" cell="'42_조도'!$AG$1"/>
    </parameters>
    <extLst>
      <ext xmlns:x15="http://schemas.microsoft.com/office/spreadsheetml/2010/11/main" uri="{DE250136-89BD-433C-8126-D09CA5730AF9}">
        <x15:connection id="" excludeFromRefreshAll="1"/>
      </ext>
    </extLst>
  </connection>
  <connection id="89" xr16:uid="{B6783C14-0876-4437-A63D-41E3EF8909B9}" name="연결341" type="4" refreshedVersion="8" saveData="1">
    <webPr xl2000="1" url="https://services.swpc.noaa.gov/text/27-day-outlook.txt?d=[&quot;d&quot;,&quot;관측일&quot;]"/>
    <parameters count="1">
      <parameter name="d" parameterType="cell" refreshOnChange="1" cell="'43_포천'!$AG$1"/>
    </parameters>
    <extLst>
      <ext xmlns:x15="http://schemas.microsoft.com/office/spreadsheetml/2010/11/main" uri="{DE250136-89BD-433C-8126-D09CA5730AF9}">
        <x15:connection id="" excludeFromRefreshAll="1"/>
      </ext>
    </extLst>
  </connection>
  <connection id="90" xr16:uid="{8C70331A-816D-4EB5-8DFA-F3C5D44534EC}" name="연결342" type="4" refreshedVersion="8" saveData="1">
    <webPr xl2000="1" url="https://services.swpc.noaa.gov/text/27-day-outlook.txt?d=[&quot;d&quot;,&quot;관측일&quot;]"/>
    <parameters count="1">
      <parameter name="d" parameterType="cell" refreshOnChange="1" cell="'44_성산'!$AG$1"/>
    </parameters>
    <extLst>
      <ext xmlns:x15="http://schemas.microsoft.com/office/spreadsheetml/2010/11/main" uri="{DE250136-89BD-433C-8126-D09CA5730AF9}">
        <x15:connection id="" excludeFromRefreshAll="1"/>
      </ext>
    </extLst>
  </connection>
  <connection id="91" xr16:uid="{F1C7B812-DBD3-45E2-9EC8-7BFCAEC79342}" name="연결343" type="4" refreshedVersion="8" saveData="1">
    <webPr xl2000="1" url="https://services.swpc.noaa.gov/text/27-day-outlook.txt?d=[&quot;d&quot;,&quot;관측일&quot;]"/>
    <parameters count="1">
      <parameter name="d" parameterType="cell" refreshOnChange="1" cell="'45_여주'!$AG$1"/>
    </parameters>
    <extLst>
      <ext xmlns:x15="http://schemas.microsoft.com/office/spreadsheetml/2010/11/main" uri="{DE250136-89BD-433C-8126-D09CA5730AF9}">
        <x15:connection id="" excludeFromRefreshAll="1"/>
      </ext>
    </extLst>
  </connection>
  <connection id="92" xr16:uid="{BF22D3B6-3AF3-4CF3-89A0-B200667AADCC}" name="연결344" type="4" refreshedVersion="8" saveData="1">
    <webPr xl2000="1" url="https://services.swpc.noaa.gov/text/27-day-outlook.txt?d=[&quot;d&quot;,&quot;관측일&quot;]"/>
    <parameters count="1">
      <parameter name="d" parameterType="cell" refreshOnChange="1" cell="'46_화천'!$AG$1"/>
    </parameters>
    <extLst>
      <ext xmlns:x15="http://schemas.microsoft.com/office/spreadsheetml/2010/11/main" uri="{DE250136-89BD-433C-8126-D09CA5730AF9}">
        <x15:connection id="" excludeFromRefreshAll="1"/>
      </ext>
    </extLst>
  </connection>
  <connection id="93" xr16:uid="{4541267C-F46E-4A25-A5B5-52195C2B838C}" name="연결345" type="4" refreshedVersion="8" saveData="1">
    <webPr xl2000="1" url="https://services.swpc.noaa.gov/text/27-day-outlook.txt?d=[&quot;d&quot;,&quot;관측일&quot;]"/>
    <parameters count="1">
      <parameter name="d" parameterType="cell" refreshOnChange="1" cell="'47_봉평'!$AG$1"/>
    </parameters>
    <extLst>
      <ext xmlns:x15="http://schemas.microsoft.com/office/spreadsheetml/2010/11/main" uri="{DE250136-89BD-433C-8126-D09CA5730AF9}">
        <x15:connection id="" excludeFromRefreshAll="1"/>
      </ext>
    </extLst>
  </connection>
  <connection id="94" xr16:uid="{58A0177B-7CCF-488E-8BA0-EEA1950F0194}" name="연결346" type="4" refreshedVersion="8" saveData="1">
    <webPr xl2000="1" url="https://services.swpc.noaa.gov/text/27-day-outlook.txt?d=[&quot;d&quot;,&quot;관측일&quot;]"/>
    <parameters count="1">
      <parameter name="d" parameterType="cell" refreshOnChange="1" cell="'48_삼척'!$AG$1"/>
    </parameters>
    <extLst>
      <ext xmlns:x15="http://schemas.microsoft.com/office/spreadsheetml/2010/11/main" uri="{DE250136-89BD-433C-8126-D09CA5730AF9}">
        <x15:connection id="" excludeFromRefreshAll="1"/>
      </ext>
    </extLst>
  </connection>
  <connection id="95" xr16:uid="{8B3054A8-355D-442F-9F07-83B139470144}" name="연결347" type="4" refreshedVersion="8" saveData="1">
    <webPr xl2000="1" url="https://services.swpc.noaa.gov/text/27-day-outlook.txt?d=[&quot;d&quot;,&quot;관측일&quot;]"/>
    <parameters count="1">
      <parameter name="d" parameterType="cell" refreshOnChange="1" cell="'49_제천'!$AG$1"/>
    </parameters>
    <extLst>
      <ext xmlns:x15="http://schemas.microsoft.com/office/spreadsheetml/2010/11/main" uri="{DE250136-89BD-433C-8126-D09CA5730AF9}">
        <x15:connection id="" excludeFromRefreshAll="1"/>
      </ext>
    </extLst>
  </connection>
  <connection id="96" xr16:uid="{5978FA4E-FB3E-4434-BE6F-118CE6F06386}" name="연결348" type="4" refreshedVersion="8" saveData="1">
    <webPr xl2000="1" url="https://services.swpc.noaa.gov/text/27-day-outlook.txt?d=[&quot;d&quot;,&quot;관측일&quot;]"/>
    <parameters count="1">
      <parameter name="d" parameterType="cell" refreshOnChange="1" cell="'50_함양'!$AG$1"/>
    </parameters>
    <extLst>
      <ext xmlns:x15="http://schemas.microsoft.com/office/spreadsheetml/2010/11/main" uri="{DE250136-89BD-433C-8126-D09CA5730AF9}">
        <x15:connection id="" excludeFromRefreshAll="1"/>
      </ext>
    </extLst>
  </connection>
  <connection id="97" xr16:uid="{5904CCDA-5A35-43F3-96C9-1FBAFD0DEFA1}" name="연결35" type="4" refreshedVersion="8" saveData="1">
    <webPr xl2000="1" url="https://services.swpc.noaa.gov/text/27-day-outlook.txt?d=[&quot;d&quot;,&quot;관측일&quot;]"/>
    <parameters count="1">
      <parameter name="d" parameterType="cell" refreshOnChange="1" cell="'07_남해 신규점1'!$AG$1"/>
    </parameters>
    <extLst>
      <ext xmlns:x15="http://schemas.microsoft.com/office/spreadsheetml/2010/11/main" uri="{DE250136-89BD-433C-8126-D09CA5730AF9}">
        <x15:connection id="" excludeFromRefreshAll="1"/>
      </ext>
    </extLst>
  </connection>
  <connection id="98" xr16:uid="{D15DE13E-9AB5-4A98-8303-2568D60123E3}" name="연결350" type="4" refreshedVersion="8" saveData="1">
    <webPr xl2000="1" url="https://services.swpc.noaa.gov/text/27-day-outlook.txt?d=[&quot;d&quot;,&quot;관측일&quot;]"/>
    <parameters count="1">
      <parameter name="d" parameterType="cell" refreshOnChange="1" cell="'02_임계 신규점1'!$AG$1"/>
    </parameters>
    <extLst>
      <ext xmlns:x15="http://schemas.microsoft.com/office/spreadsheetml/2010/11/main" uri="{DE250136-89BD-433C-8126-D09CA5730AF9}">
        <x15:connection id="" excludeFromRefreshAll="1"/>
      </ext>
    </extLst>
  </connection>
  <connection id="99" xr16:uid="{327269C4-01BE-41E0-BD69-5EFE2424273C}" name="연결36" type="4" refreshedVersion="8" saveData="1">
    <webPr xl2000="1" url="https://services.swpc.noaa.gov/text/27-day-outlook.txt?d=[&quot;d&quot;,&quot;관측일&quot;]"/>
    <parameters count="1">
      <parameter name="d" parameterType="cell" refreshOnChange="1" cell="'08_청일 신규점2'!$AG$1"/>
    </parameters>
    <extLst>
      <ext xmlns:x15="http://schemas.microsoft.com/office/spreadsheetml/2010/11/main" uri="{DE250136-89BD-433C-8126-D09CA5730AF9}">
        <x15:connection id="" excludeFromRefreshAll="1"/>
      </ext>
    </extLst>
  </connection>
  <connection id="100" xr16:uid="{E49DB34D-E3EA-464F-88BC-1F69BB9DFA1F}" name="연결37" type="4" refreshedVersion="8" saveData="1">
    <webPr xl2000="1" url="https://services.swpc.noaa.gov/text/27-day-outlook.txt?d=[&quot;d&quot;,&quot;관측일&quot;]"/>
    <parameters count="1">
      <parameter name="d" parameterType="cell" refreshOnChange="1" cell="'09_어론 신규점'!$AG$1"/>
    </parameters>
    <extLst>
      <ext xmlns:x15="http://schemas.microsoft.com/office/spreadsheetml/2010/11/main" uri="{DE250136-89BD-433C-8126-D09CA5730AF9}">
        <x15:connection id="" excludeFromRefreshAll="1"/>
      </ext>
    </extLst>
  </connection>
  <connection id="101" xr16:uid="{8F08ACF3-ADD5-4BCC-8C14-DE39E0C14578}" name="연결38" type="4" refreshedVersion="8" saveData="1">
    <webPr xl2000="1" url="https://services.swpc.noaa.gov/text/27-day-outlook.txt?d=[&quot;d&quot;,&quot;관측일&quot;]"/>
    <parameters count="1">
      <parameter name="d" parameterType="cell" refreshOnChange="1" cell="'10_예안 신규점1'!$AG$1"/>
    </parameters>
    <extLst>
      <ext xmlns:x15="http://schemas.microsoft.com/office/spreadsheetml/2010/11/main" uri="{DE250136-89BD-433C-8126-D09CA5730AF9}">
        <x15:connection id="" excludeFromRefreshAll="1"/>
      </ext>
    </extLst>
  </connection>
  <connection id="102" xr16:uid="{B8CB6C0C-683B-4B53-A69A-5324A1AB119F}" name="연결39" type="4" refreshedVersion="8" saveData="1">
    <webPr xl2000="1" url="https://services.swpc.noaa.gov/text/27-day-outlook.txt?d=[&quot;d&quot;,&quot;관측일&quot;]"/>
    <parameters count="1">
      <parameter name="d" parameterType="cell" refreshOnChange="1" cell="'11_소천 신규점4'!$AG$1"/>
    </parameters>
    <extLst>
      <ext xmlns:x15="http://schemas.microsoft.com/office/spreadsheetml/2010/11/main" uri="{DE250136-89BD-433C-8126-D09CA5730AF9}">
        <x15:connection id="" excludeFromRefreshAll="1"/>
      </ext>
    </extLst>
  </connection>
  <connection id="103" xr16:uid="{B69C8A20-25A0-4A2C-80E4-283ED27EBC81}" name="연결4" type="4" refreshedVersion="8" saveData="1">
    <webPr xl2000="1" url="https://kp.gfz.de/app/json/?start=[&quot;s&quot;,&quot;시작일&quot;]T00:00:00Z&amp;end=[&quot;e&quot;,&quot;종료일&quot;]T23:59:59Z&amp;index=Kp"/>
    <parameters count="2">
      <parameter name="s" parameterType="cell" refreshOnChange="1" cell="'01_태백 신규점'!$AG$2"/>
      <parameter name="e" parameterType="cell" refreshOnChange="1" cell="'01_태백 신규점'!$AG$2"/>
    </parameters>
  </connection>
  <connection id="104" xr16:uid="{78AF27D4-DFAD-41A0-BCE8-7A5A51D57182}" name="연결41" type="4" refreshedVersion="8" saveData="1">
    <webPr xl2000="1" url="https://kp.gfz.de/app/json/?start=[&quot;s&quot;,&quot;시작일&quot;]T00:00:00Z&amp;end=[&quot;e&quot;,&quot;종료일&quot;]T23:59:59Z&amp;index=Kp"/>
    <parameters count="2">
      <parameter name="s" parameterType="cell" refreshOnChange="1" cell="'03_예산 신규점2'!$AG$2"/>
      <parameter name="e" parameterType="cell" refreshOnChange="1" cell="'03_예산 신규점2'!$AG$2"/>
    </parameters>
  </connection>
  <connection id="105" xr16:uid="{9D5660B1-6E6C-4733-8A54-E0F25A428AE5}" name="연결410" type="4" refreshedVersion="8" saveData="1">
    <webPr xl2000="1" url="https://kp.gfz.de/app/json/?start=[&quot;s&quot;,&quot;시작일&quot;]T00:00:00Z&amp;end=[&quot;e&quot;,&quot;종료일&quot;]T23:59:59Z&amp;index=Kp"/>
    <parameters count="2">
      <parameter name="s" parameterType="cell" refreshOnChange="1" cell="'12_순창 신규점'!$AG$2"/>
      <parameter name="e" parameterType="cell" refreshOnChange="1" cell="'12_순창 신규점'!$AG$2"/>
    </parameters>
  </connection>
  <connection id="106" xr16:uid="{1B7111F4-3762-4CAF-B24C-998E9F4983E4}" name="연결411" type="4" refreshedVersion="8" saveData="1">
    <webPr xl2000="1" url="https://kp.gfz.de/app/json/?start=[&quot;s&quot;,&quot;시작일&quot;]T00:00:00Z&amp;end=[&quot;e&quot;,&quot;종료일&quot;]T23:59:59Z&amp;index=Kp"/>
    <parameters count="2">
      <parameter name="s" parameterType="cell" refreshOnChange="1" cell="'13_순천 신규점'!$AG$2"/>
      <parameter name="e" parameterType="cell" refreshOnChange="1" cell="'13_순천 신규점'!$AG$2"/>
    </parameters>
  </connection>
  <connection id="107" xr16:uid="{070F4B3E-F0EF-4C0B-9FEA-404B234F5DFD}" name="연결412" type="4" refreshedVersion="8" saveData="1">
    <webPr xl2000="1" url="https://kp.gfz.de/app/json/?start=[&quot;s&quot;,&quot;시작일&quot;]T00:00:00Z&amp;end=[&quot;e&quot;,&quot;종료일&quot;]T23:59:59Z&amp;index=Kp"/>
    <parameters count="2">
      <parameter name="s" parameterType="cell" refreshOnChange="1" cell="'14_청송 신규점1'!$AG$2"/>
      <parameter name="e" parameterType="cell" refreshOnChange="1" cell="'14_청송 신규점1'!$AG$2"/>
    </parameters>
  </connection>
  <connection id="108" xr16:uid="{C4C01225-20B4-484F-94A8-EA05F780A384}" name="연결413" type="4" refreshedVersion="8" saveData="1">
    <webPr xl2000="1" url="https://kp.gfz.de/app/json/?start=[&quot;s&quot;,&quot;시작일&quot;]T00:00:00Z&amp;end=[&quot;e&quot;,&quot;종료일&quot;]T23:59:59Z&amp;index=Kp"/>
    <parameters count="2">
      <parameter name="s" parameterType="cell" refreshOnChange="1" cell="'15_의성 신규점'!$AG$2"/>
      <parameter name="e" parameterType="cell" refreshOnChange="1" cell="'15_의성 신규점'!$AG$2"/>
    </parameters>
  </connection>
  <connection id="109" xr16:uid="{F1B2DFF5-0A33-4CF6-981E-3A71DFB4544C}" name="연결414" type="4" refreshedVersion="8" saveData="1">
    <webPr xl2000="1" url="https://kp.gfz.de/app/json/?start=[&quot;s&quot;,&quot;시작일&quot;]T00:00:00Z&amp;end=[&quot;e&quot;,&quot;종료일&quot;]T23:59:59Z&amp;index=Kp"/>
    <parameters count="2">
      <parameter name="s" parameterType="cell" refreshOnChange="1" cell="'16_예천 신규점'!$AG$2"/>
      <parameter name="e" parameterType="cell" refreshOnChange="1" cell="'16_예천 신규점'!$AG$2"/>
    </parameters>
  </connection>
  <connection id="110" xr16:uid="{9ACF3882-3129-4F92-B58C-EE9D18F4B30E}" name="연결415" type="4" refreshedVersion="8" saveData="1">
    <webPr xl2000="1" url="https://kp.gfz.de/app/json/?start=[&quot;s&quot;,&quot;시작일&quot;]T00:00:00Z&amp;end=[&quot;e&quot;,&quot;종료일&quot;]T23:59:59Z&amp;index=Kp"/>
    <parameters count="2">
      <parameter name="s" parameterType="cell" refreshOnChange="1" cell="'17_영양 신규점4'!$AG$2"/>
      <parameter name="e" parameterType="cell" refreshOnChange="1" cell="'17_영양 신규점4'!$AG$2"/>
    </parameters>
  </connection>
  <connection id="111" xr16:uid="{99D2E505-F4F9-48C8-8001-E62A7362171B}" name="연결416" type="4" refreshedVersion="8" saveData="1">
    <webPr xl2000="1" url="https://kp.gfz.de/app/json/?start=[&quot;s&quot;,&quot;시작일&quot;]T00:00:00Z&amp;end=[&quot;e&quot;,&quot;종료일&quot;]T23:59:59Z&amp;index=Kp"/>
    <parameters count="2">
      <parameter name="s" parameterType="cell" refreshOnChange="1" cell="'18_통영 신규점'!$AG$2"/>
      <parameter name="e" parameterType="cell" refreshOnChange="1" cell="'18_통영 신규점'!$AG$2"/>
    </parameters>
  </connection>
  <connection id="112" xr16:uid="{4E7A65CD-54C6-4BFA-99F5-79EA25D64DAE}" name="연결417" type="4" refreshedVersion="8" saveData="1">
    <webPr xl2000="1" url="https://kp.gfz.de/app/json/?start=[&quot;s&quot;,&quot;시작일&quot;]T00:00:00Z&amp;end=[&quot;e&quot;,&quot;종료일&quot;]T23:59:59Z&amp;index=Kp"/>
    <parameters count="2">
      <parameter name="s" parameterType="cell" refreshOnChange="1" cell="'19_오호 신규점'!$AG$2"/>
      <parameter name="e" parameterType="cell" refreshOnChange="1" cell="'19_오호 신규점'!$AG$2"/>
    </parameters>
  </connection>
  <connection id="113" xr16:uid="{3A264830-AD8C-4BB3-823B-EAF3F3C974C3}" name="연결418" type="4" refreshedVersion="8" saveData="1">
    <webPr xl2000="1" url="https://kp.gfz.de/app/json/?start=[&quot;s&quot;,&quot;시작일&quot;]T00:00:00Z&amp;end=[&quot;e&quot;,&quot;종료일&quot;]T23:59:59Z&amp;index=Kp"/>
    <parameters count="2">
      <parameter name="s" parameterType="cell" refreshOnChange="1" cell="'20_보령 신규점2'!$AG$2"/>
      <parameter name="e" parameterType="cell" refreshOnChange="1" cell="'20_보령 신규점2'!$AG$2"/>
    </parameters>
  </connection>
  <connection id="114" xr16:uid="{4430B30C-5542-40F1-AEBB-A91960A2C6B2}" name="연결419" type="4" refreshedVersion="8" saveData="1">
    <webPr xl2000="1" url="https://kp.gfz.de/app/json/?start=[&quot;s&quot;,&quot;시작일&quot;]T00:00:00Z&amp;end=[&quot;e&quot;,&quot;종료일&quot;]T23:59:59Z&amp;index=Kp"/>
    <parameters count="2">
      <parameter name="s" parameterType="cell" refreshOnChange="1" cell="'21_담양 신규점2'!$AG$2"/>
      <parameter name="e" parameterType="cell" refreshOnChange="1" cell="'21_담양 신규점2'!$AG$2"/>
    </parameters>
  </connection>
  <connection id="115" xr16:uid="{3AC46750-1AFC-410F-B6E9-F7E90A7816BC}" name="연결42" type="4" refreshedVersion="8" saveData="1">
    <webPr xl2000="1" url="https://kp.gfz.de/app/json/?start=[&quot;s&quot;,&quot;시작일&quot;]T00:00:00Z&amp;end=[&quot;e&quot;,&quot;종료일&quot;]T23:59:59Z&amp;index=Kp"/>
    <parameters count="2">
      <parameter name="s" parameterType="cell" refreshOnChange="1" cell="'04_진안 신규점1'!$AG$2"/>
      <parameter name="e" parameterType="cell" refreshOnChange="1" cell="'04_진안 신규점1'!$AG$2"/>
    </parameters>
  </connection>
  <connection id="116" xr16:uid="{B3DCDB84-82AD-45D0-9026-254BB540D87D}" name="연결420" type="4" refreshedVersion="8" saveData="1">
    <webPr xl2000="1" url="https://kp.gfz.de/app/json/?start=[&quot;s&quot;,&quot;시작일&quot;]T00:00:00Z&amp;end=[&quot;e&quot;,&quot;종료일&quot;]T23:59:59Z&amp;index=Kp"/>
    <parameters count="2">
      <parameter name="s" parameterType="cell" refreshOnChange="1" cell="'22_완도 신규점'!$AG$2"/>
      <parameter name="e" parameterType="cell" refreshOnChange="1" cell="'22_완도 신규점'!$AG$2"/>
    </parameters>
  </connection>
  <connection id="117" xr16:uid="{3B83F614-C478-4FC4-8233-236E2BECD0C8}" name="연결421" type="4" refreshedVersion="8" saveData="1">
    <webPr xl2000="1" url="https://kp.gfz.de/app/json/?start=[&quot;s&quot;,&quot;시작일&quot;]T00:00:00Z&amp;end=[&quot;e&quot;,&quot;종료일&quot;]T23:59:59Z&amp;index=Kp"/>
    <parameters count="2">
      <parameter name="s" parameterType="cell" refreshOnChange="1" cell="'23_덕산 신규점1'!$AG$2"/>
      <parameter name="e" parameterType="cell" refreshOnChange="1" cell="'23_덕산 신규점1'!$AG$2"/>
    </parameters>
  </connection>
  <connection id="118" xr16:uid="{0F35E966-FCF7-4C4B-A741-9544CE1B2847}" name="연결422" type="4" refreshedVersion="8" saveData="1">
    <webPr xl2000="1" url="https://kp.gfz.de/app/json/?start=[&quot;s&quot;,&quot;시작일&quot;]T00:00:00Z&amp;end=[&quot;e&quot;,&quot;종료일&quot;]T23:59:59Z&amp;index=Kp"/>
    <parameters count="2">
      <parameter name="s" parameterType="cell" refreshOnChange="1" cell="'24_회천 신규점2'!$AG$2"/>
      <parameter name="e" parameterType="cell" refreshOnChange="1" cell="'24_회천 신규점2'!$AG$2"/>
    </parameters>
  </connection>
  <connection id="119" xr16:uid="{9A1AE4C9-6E72-45CF-BBAB-2743A9DCB583}" name="연결423" type="4" refreshedVersion="8" saveData="1">
    <webPr xl2000="1" url="https://kp.gfz.de/app/json/?start=[&quot;s&quot;,&quot;시작일&quot;]T00:00:00Z&amp;end=[&quot;e&quot;,&quot;종료일&quot;]T23:59:59Z&amp;index=Kp"/>
    <parameters count="2">
      <parameter name="s" parameterType="cell" refreshOnChange="1" cell="'25_관리 신규점3'!$AG$2"/>
      <parameter name="e" parameterType="cell" refreshOnChange="1" cell="'25_관리 신규점3'!$AG$2"/>
    </parameters>
  </connection>
  <connection id="120" xr16:uid="{94B33DBD-1E13-4827-A483-77D3A33E85B1}" name="연결424" type="4" refreshedVersion="8" saveData="1">
    <webPr xl2000="1" url="https://kp.gfz.de/app/json/?start=[&quot;s&quot;,&quot;시작일&quot;]T00:00:00Z&amp;end=[&quot;e&quot;,&quot;종료일&quot;]T23:59:59Z&amp;index=Kp"/>
    <parameters count="2">
      <parameter name="s" parameterType="cell" refreshOnChange="1" cell="'26_고남 신규점2'!$AG$2"/>
      <parameter name="e" parameterType="cell" refreshOnChange="1" cell="'26_고남 신규점2'!$AG$2"/>
    </parameters>
  </connection>
  <connection id="121" xr16:uid="{5352330F-A085-43F0-A075-20A25C2AB24E}" name="연결425" type="4" refreshedVersion="8" saveData="1">
    <webPr xl2000="1" url="https://kp.gfz.de/app/json/?start=[&quot;s&quot;,&quot;시작일&quot;]T00:00:00Z&amp;end=[&quot;e&quot;,&quot;종료일&quot;]T23:59:59Z&amp;index=Kp"/>
    <parameters count="2">
      <parameter name="s" parameterType="cell" refreshOnChange="1" cell="'27_전의 신규점'!$AG$2"/>
      <parameter name="e" parameterType="cell" refreshOnChange="1" cell="'27_전의 신규점'!$AG$2"/>
    </parameters>
  </connection>
  <connection id="122" xr16:uid="{588AA3FC-2543-4452-BE27-A212F581D44A}" name="연결426" type="4" refreshedVersion="8" saveData="1">
    <webPr xl2000="1" url="https://kp.gfz.de/app/json/?start=[&quot;s&quot;,&quot;시작일&quot;]T00:00:00Z&amp;end=[&quot;e&quot;,&quot;종료일&quot;]T23:59:59Z&amp;index=Kp"/>
    <parameters count="2">
      <parameter name="s" parameterType="cell" refreshOnChange="1" cell="'28_이원 신규점'!$AG$2"/>
      <parameter name="e" parameterType="cell" refreshOnChange="1" cell="'28_이원 신규점'!$AG$2"/>
    </parameters>
  </connection>
  <connection id="123" xr16:uid="{70CB4E7D-2BE2-43C6-A460-83356B6D3167}" name="연결427" type="4" refreshedVersion="8" saveData="1">
    <webPr xl2000="1" url="https://kp.gfz.de/app/json/?start=[&quot;s&quot;,&quot;시작일&quot;]T00:00:00Z&amp;end=[&quot;e&quot;,&quot;종료일&quot;]T23:59:59Z&amp;index=Kp"/>
    <parameters count="2">
      <parameter name="s" parameterType="cell" refreshOnChange="1" cell="'29_가야 신규점1'!$AG$2"/>
      <parameter name="e" parameterType="cell" refreshOnChange="1" cell="'29_가야 신규점1'!$AG$2"/>
    </parameters>
  </connection>
  <connection id="124" xr16:uid="{3C589535-8735-4789-B3A7-D99A24EDCB43}" name="연결428" type="4" refreshedVersion="8" saveData="1">
    <webPr xl2000="1" url="https://kp.gfz.de/app/json/?start=[&quot;s&quot;,&quot;시작일&quot;]T00:00:00Z&amp;end=[&quot;e&quot;,&quot;종료일&quot;]T23:59:59Z&amp;index=Kp"/>
    <parameters count="2">
      <parameter name="s" parameterType="cell" refreshOnChange="1" cell="'30_창녕 신규점'!$AG$2"/>
      <parameter name="e" parameterType="cell" refreshOnChange="1" cell="'30_창녕 신규점'!$AG$2"/>
    </parameters>
  </connection>
  <connection id="125" xr16:uid="{89EE4C18-87DC-4622-BB39-1DAE7005F553}" name="연결429" type="4" refreshedVersion="8" saveData="1">
    <webPr xl2000="1" url="https://kp.gfz.de/app/json/?start=[&quot;s&quot;,&quot;시작일&quot;]T00:00:00Z&amp;end=[&quot;e&quot;,&quot;종료일&quot;]T23:59:59Z&amp;index=Kp"/>
    <parameters count="2">
      <parameter name="s" parameterType="cell" refreshOnChange="1" cell="'31_언양 신규점3'!$AG$2"/>
      <parameter name="e" parameterType="cell" refreshOnChange="1" cell="'31_언양 신규점3'!$AG$2"/>
    </parameters>
  </connection>
  <connection id="126" xr16:uid="{69F8CD23-BA5F-4745-90D5-0811F5E83326}" name="연결43" type="4" refreshedVersion="8" saveData="1">
    <webPr xl2000="1" url="https://kp.gfz.de/app/json/?start=[&quot;s&quot;,&quot;시작일&quot;]T00:00:00Z&amp;end=[&quot;e&quot;,&quot;종료일&quot;]T23:59:59Z&amp;index=Kp"/>
    <parameters count="2">
      <parameter name="s" parameterType="cell" refreshOnChange="1" cell="'05_무풍 신규점1'!$AG$2"/>
      <parameter name="e" parameterType="cell" refreshOnChange="1" cell="'05_무풍 신규점1'!$AG$2"/>
    </parameters>
  </connection>
  <connection id="127" xr16:uid="{3D57508C-70EA-4D54-A817-D1F62D317565}" name="연결430" type="4" refreshedVersion="8" saveData="1">
    <webPr xl2000="1" url="https://kp.gfz.de/app/json/?start=[&quot;s&quot;,&quot;시작일&quot;]T00:00:00Z&amp;end=[&quot;e&quot;,&quot;종료일&quot;]T23:59:59Z&amp;index=Kp"/>
    <parameters count="2">
      <parameter name="s" parameterType="cell" refreshOnChange="1" cell="'32_함양 신규점'!$AG$2"/>
      <parameter name="e" parameterType="cell" refreshOnChange="1" cell="'32_함양 신규점'!$AG$2"/>
    </parameters>
  </connection>
  <connection id="128" xr16:uid="{E0987D90-70CB-4323-AC9F-3CF81AC59BBA}" name="연결431" type="4" refreshedVersion="8" saveData="1">
    <webPr xl2000="1" url="https://kp.gfz.de/app/json/?start=[&quot;s&quot;,&quot;시작일&quot;]T00:00:00Z&amp;end=[&quot;e&quot;,&quot;종료일&quot;]T23:59:59Z&amp;index=Kp"/>
    <parameters count="2">
      <parameter name="s" parameterType="cell" refreshOnChange="1" cell="'33_문산 신규점'!$AG$2"/>
      <parameter name="e" parameterType="cell" refreshOnChange="1" cell="'33_문산 신규점'!$AG$2"/>
    </parameters>
  </connection>
  <connection id="129" xr16:uid="{C0F4C11D-A176-49DE-BAAA-E853900A656A}" name="연결432" type="4" refreshedVersion="8" saveData="1">
    <webPr xl2000="1" url="https://kp.gfz.de/app/json/?start=[&quot;s&quot;,&quot;시작일&quot;]T00:00:00Z&amp;end=[&quot;e&quot;,&quot;종료일&quot;]T23:59:59Z&amp;index=Kp"/>
    <parameters count="2">
      <parameter name="s" parameterType="cell" refreshOnChange="1" cell="'34_부안 신규점'!$AG$2"/>
      <parameter name="e" parameterType="cell" refreshOnChange="1" cell="'34_부안 신규점'!$AG$2"/>
    </parameters>
  </connection>
  <connection id="130" xr16:uid="{EBAFA2AD-17A1-401C-B74D-5E8BE236DCF8}" name="연결433" type="4" refreshedVersion="8" saveData="1">
    <webPr xl2000="1" url="https://kp.gfz.de/app/json/?start=[&quot;s&quot;,&quot;시작일&quot;]T00:00:00Z&amp;end=[&quot;e&quot;,&quot;종료일&quot;]T23:59:59Z&amp;index=Kp"/>
    <parameters count="2">
      <parameter name="s" parameterType="cell" refreshOnChange="1" cell="'35_상주'!$AG$2"/>
      <parameter name="e" parameterType="cell" refreshOnChange="1" cell="'35_상주'!$AG$2"/>
    </parameters>
  </connection>
  <connection id="131" xr16:uid="{152CB6CD-3E59-4DB5-B2C0-B1BD5979E36E}" name="연결434" type="4" refreshedVersion="8" saveData="1">
    <webPr xl2000="1" url="https://kp.gfz.de/app/json/?start=[&quot;s&quot;,&quot;시작일&quot;]T00:00:00Z&amp;end=[&quot;e&quot;,&quot;종료일&quot;]T23:59:59Z&amp;index=Kp"/>
    <parameters count="2">
      <parameter name="s" parameterType="cell" refreshOnChange="1" cell="'36_미원'!$AG$2"/>
      <parameter name="e" parameterType="cell" refreshOnChange="1" cell="'36_미원'!$AG$2"/>
    </parameters>
  </connection>
  <connection id="132" xr16:uid="{00016414-1CE7-49CF-B066-40DFE3DBDFCA}" name="연결435" type="4" refreshedVersion="8" saveData="1">
    <webPr xl2000="1" url="https://kp.gfz.de/app/json/?start=[&quot;s&quot;,&quot;시작일&quot;]T00:00:00Z&amp;end=[&quot;e&quot;,&quot;종료일&quot;]T23:59:59Z&amp;index=Kp"/>
    <parameters count="2">
      <parameter name="s" parameterType="cell" refreshOnChange="1" cell="'37_부안'!$AG$2"/>
      <parameter name="e" parameterType="cell" refreshOnChange="1" cell="'37_부안'!$AG$2"/>
    </parameters>
  </connection>
  <connection id="133" xr16:uid="{81C1A36B-4C55-42AE-BB5C-AF52FC99C83B}" name="연결436" type="4" refreshedVersion="8" saveData="1">
    <webPr xl2000="1" url="https://kp.gfz.de/app/json/?start=[&quot;s&quot;,&quot;시작일&quot;]T00:00:00Z&amp;end=[&quot;e&quot;,&quot;종료일&quot;]T23:59:59Z&amp;index=Kp"/>
    <parameters count="2">
      <parameter name="s" parameterType="cell" refreshOnChange="1" cell="'38_강화'!$AG$2"/>
      <parameter name="e" parameterType="cell" refreshOnChange="1" cell="'38_강화'!$AG$2"/>
    </parameters>
  </connection>
  <connection id="134" xr16:uid="{84F89EAB-18CB-4744-993D-0836A4DA08F2}" name="연결437" type="4" refreshedVersion="8" saveData="1">
    <webPr xl2000="1" url="https://kp.gfz.de/app/json/?start=[&quot;s&quot;,&quot;시작일&quot;]T00:00:00Z&amp;end=[&quot;e&quot;,&quot;종료일&quot;]T23:59:59Z&amp;index=Kp"/>
    <parameters count="2">
      <parameter name="s" parameterType="cell" refreshOnChange="1" cell="'39_언양'!$AG$2"/>
      <parameter name="e" parameterType="cell" refreshOnChange="1" cell="'39_언양'!$AG$2"/>
    </parameters>
  </connection>
  <connection id="135" xr16:uid="{9A252384-268B-4EB5-89DC-9CDE82FA09A0}" name="연결438" type="4" refreshedVersion="8" saveData="1">
    <webPr xl2000="1" url="https://kp.gfz.de/app/json/?start=[&quot;s&quot;,&quot;시작일&quot;]T00:00:00Z&amp;end=[&quot;e&quot;,&quot;종료일&quot;]T23:59:59Z&amp;index=Kp"/>
    <parameters count="2">
      <parameter name="s" parameterType="cell" refreshOnChange="1" cell="'40_남지'!$AG$2"/>
      <parameter name="e" parameterType="cell" refreshOnChange="1" cell="'40_남지'!$AG$2"/>
    </parameters>
  </connection>
  <connection id="136" xr16:uid="{599C7E72-6BF8-48CC-BFA1-AE1AFD1BC655}" name="연결439" type="4" refreshedVersion="8" saveData="1">
    <webPr xl2000="1" url="https://kp.gfz.de/app/json/?start=[&quot;s&quot;,&quot;시작일&quot;]T00:00:00Z&amp;end=[&quot;e&quot;,&quot;종료일&quot;]T23:59:59Z&amp;index=Kp"/>
    <parameters count="2">
      <parameter name="s" parameterType="cell" refreshOnChange="1" cell="'41_거제'!$AG$2"/>
      <parameter name="e" parameterType="cell" refreshOnChange="1" cell="'41_거제'!$AG$2"/>
    </parameters>
  </connection>
  <connection id="137" xr16:uid="{16551025-D977-4D30-BE8D-7E1F0D96BD6F}" name="연결44" type="4" refreshedVersion="8" saveData="1">
    <webPr xl2000="1" url="https://kp.gfz.de/app/json/?start=[&quot;s&quot;,&quot;시작일&quot;]T00:00:00Z&amp;end=[&quot;e&quot;,&quot;종료일&quot;]T23:59:59Z&amp;index=Kp"/>
    <parameters count="2">
      <parameter name="s" parameterType="cell" refreshOnChange="1" cell="'06_길담 신규점'!$AG$2"/>
      <parameter name="e" parameterType="cell" refreshOnChange="1" cell="'06_길담 신규점'!$AG$2"/>
    </parameters>
  </connection>
  <connection id="138" xr16:uid="{5DFF60CF-6881-4760-8D9A-E7B04EAD80E8}" name="연결440" type="4" refreshedVersion="8" saveData="1">
    <webPr xl2000="1" url="https://kp.gfz.de/app/json/?start=[&quot;s&quot;,&quot;시작일&quot;]T00:00:00Z&amp;end=[&quot;e&quot;,&quot;종료일&quot;]T23:59:59Z&amp;index=Kp"/>
    <parameters count="2">
      <parameter name="s" parameterType="cell" refreshOnChange="1" cell="'42_조도'!$AG$2"/>
      <parameter name="e" parameterType="cell" refreshOnChange="1" cell="'42_조도'!$AG$2"/>
    </parameters>
  </connection>
  <connection id="139" xr16:uid="{B00262B8-130A-4E0D-9FE1-E0582BEEAB99}" name="연결441" type="4" refreshedVersion="8" saveData="1">
    <webPr xl2000="1" url="https://kp.gfz.de/app/json/?start=[&quot;s&quot;,&quot;시작일&quot;]T00:00:00Z&amp;end=[&quot;e&quot;,&quot;종료일&quot;]T23:59:59Z&amp;index=Kp"/>
    <parameters count="2">
      <parameter name="s" parameterType="cell" refreshOnChange="1" cell="'43_포천'!$AG$2"/>
      <parameter name="e" parameterType="cell" refreshOnChange="1" cell="'43_포천'!$AG$2"/>
    </parameters>
  </connection>
  <connection id="140" xr16:uid="{74CDF292-7DE2-4828-967A-8D6A5C91FD81}" name="연결442" type="4" refreshedVersion="8" saveData="1">
    <webPr xl2000="1" url="https://kp.gfz.de/app/json/?start=[&quot;s&quot;,&quot;시작일&quot;]T00:00:00Z&amp;end=[&quot;e&quot;,&quot;종료일&quot;]T23:59:59Z&amp;index=Kp"/>
    <parameters count="2">
      <parameter name="s" parameterType="cell" refreshOnChange="1" cell="'44_성산'!$AG$2"/>
      <parameter name="e" parameterType="cell" refreshOnChange="1" cell="'44_성산'!$AG$2"/>
    </parameters>
  </connection>
  <connection id="141" xr16:uid="{29DEE48B-883F-4F92-AFB9-359A4A5CBFFC}" name="연결443" type="4" refreshedVersion="8" saveData="1">
    <webPr xl2000="1" url="https://kp.gfz.de/app/json/?start=[&quot;s&quot;,&quot;시작일&quot;]T00:00:00Z&amp;end=[&quot;e&quot;,&quot;종료일&quot;]T23:59:59Z&amp;index=Kp"/>
    <parameters count="2">
      <parameter name="s" parameterType="cell" refreshOnChange="1" cell="'45_여주'!$AG$2"/>
      <parameter name="e" parameterType="cell" refreshOnChange="1" cell="'45_여주'!$AG$2"/>
    </parameters>
  </connection>
  <connection id="142" xr16:uid="{C41EFD25-184C-4FFD-9930-F37F759833FD}" name="연결444" type="4" refreshedVersion="8" saveData="1">
    <webPr xl2000="1" url="https://kp.gfz.de/app/json/?start=[&quot;s&quot;,&quot;시작일&quot;]T00:00:00Z&amp;end=[&quot;e&quot;,&quot;종료일&quot;]T23:59:59Z&amp;index=Kp"/>
    <parameters count="2">
      <parameter name="s" parameterType="cell" refreshOnChange="1" cell="'46_화천'!$AG$2"/>
      <parameter name="e" parameterType="cell" refreshOnChange="1" cell="'46_화천'!$AG$2"/>
    </parameters>
  </connection>
  <connection id="143" xr16:uid="{0A036939-EB69-4F3F-B6D5-0E578E155D1E}" name="연결445" type="4" refreshedVersion="8" saveData="1">
    <webPr xl2000="1" url="https://kp.gfz.de/app/json/?start=[&quot;s&quot;,&quot;시작일&quot;]T00:00:00Z&amp;end=[&quot;e&quot;,&quot;종료일&quot;]T23:59:59Z&amp;index=Kp"/>
    <parameters count="2">
      <parameter name="s" parameterType="cell" refreshOnChange="1" cell="'47_봉평'!$AG$2"/>
      <parameter name="e" parameterType="cell" refreshOnChange="1" cell="'47_봉평'!$AG$2"/>
    </parameters>
  </connection>
  <connection id="144" xr16:uid="{698BFEE3-13C7-48F2-A025-E7DBFE91B0E7}" name="연결446" type="4" refreshedVersion="8" saveData="1">
    <webPr xl2000="1" url="https://kp.gfz.de/app/json/?start=[&quot;s&quot;,&quot;시작일&quot;]T00:00:00Z&amp;end=[&quot;e&quot;,&quot;종료일&quot;]T23:59:59Z&amp;index=Kp"/>
    <parameters count="2">
      <parameter name="s" parameterType="cell" refreshOnChange="1" cell="'48_삼척'!$AG$2"/>
      <parameter name="e" parameterType="cell" refreshOnChange="1" cell="'48_삼척'!$AG$2"/>
    </parameters>
  </connection>
  <connection id="145" xr16:uid="{9CA4D093-B7FD-4645-8BF3-39656DEE563B}" name="연결447" type="4" refreshedVersion="8" saveData="1">
    <webPr xl2000="1" url="https://kp.gfz.de/app/json/?start=[&quot;s&quot;,&quot;시작일&quot;]T00:00:00Z&amp;end=[&quot;e&quot;,&quot;종료일&quot;]T23:59:59Z&amp;index=Kp"/>
    <parameters count="2">
      <parameter name="s" parameterType="cell" refreshOnChange="1" cell="'49_제천'!$AG$2"/>
      <parameter name="e" parameterType="cell" refreshOnChange="1" cell="'49_제천'!$AG$2"/>
    </parameters>
  </connection>
  <connection id="146" xr16:uid="{14D15E5F-6AF0-4CBC-A2D5-31C50B3FCBB8}" name="연결448" type="4" refreshedVersion="8" saveData="1">
    <webPr xl2000="1" url="https://kp.gfz.de/app/json/?start=[&quot;s&quot;,&quot;시작일&quot;]T00:00:00Z&amp;end=[&quot;e&quot;,&quot;종료일&quot;]T23:59:59Z&amp;index=Kp"/>
    <parameters count="2">
      <parameter name="s" parameterType="cell" refreshOnChange="1" cell="'50_함양'!$AG$2"/>
      <parameter name="e" parameterType="cell" refreshOnChange="1" cell="'50_함양'!$AG$2"/>
    </parameters>
  </connection>
  <connection id="147" xr16:uid="{AEAFD499-F992-4F3E-9A1F-5F0209C441D3}" name="연결45" type="4" refreshedVersion="8" saveData="1">
    <webPr xl2000="1" url="https://kp.gfz.de/app/json/?start=[&quot;s&quot;,&quot;시작일&quot;]T00:00:00Z&amp;end=[&quot;e&quot;,&quot;종료일&quot;]T23:59:59Z&amp;index=Kp"/>
    <parameters count="2">
      <parameter name="s" parameterType="cell" refreshOnChange="1" cell="'07_남해 신규점1'!$AG$2"/>
      <parameter name="e" parameterType="cell" refreshOnChange="1" cell="'07_남해 신규점1'!$AG$2"/>
    </parameters>
  </connection>
  <connection id="148" xr16:uid="{846F8F2F-EB74-4A66-ACB6-DE66FEBA1F93}" name="연결450" type="4" refreshedVersion="8" saveData="1">
    <webPr xl2000="1" url="https://kp.gfz.de/app/json/?start=[&quot;s&quot;,&quot;시작일&quot;]T00:00:00Z&amp;end=[&quot;e&quot;,&quot;종료일&quot;]T23:59:59Z&amp;index=Kp"/>
    <parameters count="2">
      <parameter name="s" parameterType="cell" refreshOnChange="1" cell="'02_임계 신규점1'!$AG$2"/>
      <parameter name="e" parameterType="cell" refreshOnChange="1" cell="'02_임계 신규점1'!$AG$2"/>
    </parameters>
  </connection>
  <connection id="149" xr16:uid="{A1296B67-5F45-468B-A5D3-21F2E2ADA372}" name="연결46" type="4" refreshedVersion="8" saveData="1">
    <webPr xl2000="1" url="https://kp.gfz.de/app/json/?start=[&quot;s&quot;,&quot;시작일&quot;]T00:00:00Z&amp;end=[&quot;e&quot;,&quot;종료일&quot;]T23:59:59Z&amp;index=Kp"/>
    <parameters count="2">
      <parameter name="s" parameterType="cell" refreshOnChange="1" cell="'08_청일 신규점2'!$AG$2"/>
      <parameter name="e" parameterType="cell" refreshOnChange="1" cell="'08_청일 신규점2'!$AG$2"/>
    </parameters>
  </connection>
  <connection id="150" xr16:uid="{652E4408-4E24-4E3A-949B-916CC545E422}" name="연결47" type="4" refreshedVersion="8" saveData="1">
    <webPr xl2000="1" url="https://kp.gfz.de/app/json/?start=[&quot;s&quot;,&quot;시작일&quot;]T00:00:00Z&amp;end=[&quot;e&quot;,&quot;종료일&quot;]T23:59:59Z&amp;index=Kp"/>
    <parameters count="2">
      <parameter name="s" parameterType="cell" refreshOnChange="1" cell="'09_어론 신규점'!$AG$2"/>
      <parameter name="e" parameterType="cell" refreshOnChange="1" cell="'09_어론 신규점'!$AG$2"/>
    </parameters>
  </connection>
  <connection id="151" xr16:uid="{632A0C56-27AB-45DA-94B6-1FC3E8F75A4D}" name="연결48" type="4" refreshedVersion="8" saveData="1">
    <webPr xl2000="1" url="https://kp.gfz.de/app/json/?start=[&quot;s&quot;,&quot;시작일&quot;]T00:00:00Z&amp;end=[&quot;e&quot;,&quot;종료일&quot;]T23:59:59Z&amp;index=Kp"/>
    <parameters count="2">
      <parameter name="s" parameterType="cell" refreshOnChange="1" cell="'10_예안 신규점1'!$AG$2"/>
      <parameter name="e" parameterType="cell" refreshOnChange="1" cell="'10_예안 신규점1'!$AG$2"/>
    </parameters>
  </connection>
  <connection id="152" xr16:uid="{734D456B-4345-4AD7-BAF0-F6CB614C773D}" name="연결49" type="4" refreshedVersion="8" saveData="1">
    <webPr xl2000="1" url="https://kp.gfz.de/app/json/?start=[&quot;s&quot;,&quot;시작일&quot;]T00:00:00Z&amp;end=[&quot;e&quot;,&quot;종료일&quot;]T23:59:59Z&amp;index=Kp"/>
    <parameters count="2">
      <parameter name="s" parameterType="cell" refreshOnChange="1" cell="'11_소천 신규점4'!$AG$2"/>
      <parameter name="e" parameterType="cell" refreshOnChange="1" cell="'11_소천 신규점4'!$AG$2"/>
    </parameters>
  </connection>
</connections>
</file>

<file path=xl/sharedStrings.xml><?xml version="1.0" encoding="utf-8"?>
<sst xmlns="http://schemas.openxmlformats.org/spreadsheetml/2006/main" count="13168" uniqueCount="2000">
  <si>
    <t>지자기 시험 탐사 현장야장 — 대상 50점</t>
  </si>
  <si>
    <t>점마다 시트가 하나씩 있다. 현장에서는 그 시트만 채우면 된다. 시간변화 보정·구배 산출·판정은 사무실에서 「시험탐사 표준야장」으로 한다.</t>
  </si>
  <si>
    <t>연번</t>
  </si>
  <si>
    <t>Site ID</t>
  </si>
  <si>
    <t>구분</t>
  </si>
  <si>
    <t>지점명</t>
  </si>
  <si>
    <t>도엽명</t>
  </si>
  <si>
    <t>위도</t>
  </si>
  <si>
    <t>경도</t>
  </si>
  <si>
    <t>유의사항</t>
  </si>
  <si>
    <t>관측일자</t>
  </si>
  <si>
    <t>관측자</t>
  </si>
  <si>
    <t>진행 상태</t>
  </si>
  <si>
    <t>S01</t>
  </si>
  <si>
    <t>A</t>
  </si>
  <si>
    <t>태백 신규점</t>
  </si>
  <si>
    <t>태백</t>
  </si>
  <si>
    <t>S02</t>
  </si>
  <si>
    <t>임계 신규점1</t>
  </si>
  <si>
    <t>임계</t>
  </si>
  <si>
    <t>S03</t>
  </si>
  <si>
    <t>예산 신규점2</t>
  </si>
  <si>
    <t>예산</t>
  </si>
  <si>
    <t>S04</t>
  </si>
  <si>
    <t>진안 신규점1</t>
  </si>
  <si>
    <t>진안</t>
  </si>
  <si>
    <t>S05</t>
  </si>
  <si>
    <t>무풍 신규점1</t>
  </si>
  <si>
    <t>무풍</t>
  </si>
  <si>
    <t>S06</t>
  </si>
  <si>
    <t>B</t>
  </si>
  <si>
    <t>길담 신규점</t>
  </si>
  <si>
    <t>갈담</t>
  </si>
  <si>
    <t>S07</t>
  </si>
  <si>
    <t>남해 신규점1</t>
  </si>
  <si>
    <t>남해</t>
  </si>
  <si>
    <t>S08</t>
  </si>
  <si>
    <t>청일 신규점2</t>
  </si>
  <si>
    <t>청일</t>
  </si>
  <si>
    <t>S09</t>
  </si>
  <si>
    <t>어론 신규점</t>
  </si>
  <si>
    <t>어론</t>
  </si>
  <si>
    <t>S10</t>
  </si>
  <si>
    <t>예안 신규점1</t>
  </si>
  <si>
    <t>예안</t>
  </si>
  <si>
    <t>S11</t>
  </si>
  <si>
    <t>소천 신규점4</t>
  </si>
  <si>
    <t>소천</t>
  </si>
  <si>
    <t>S12</t>
  </si>
  <si>
    <t>순창 신규점</t>
  </si>
  <si>
    <t>순창</t>
  </si>
  <si>
    <t>S13</t>
  </si>
  <si>
    <t>순천 신규점</t>
  </si>
  <si>
    <t>순천</t>
  </si>
  <si>
    <t>S14</t>
  </si>
  <si>
    <t>청송 신규점1</t>
  </si>
  <si>
    <t>청송</t>
  </si>
  <si>
    <t>S15</t>
  </si>
  <si>
    <t>의성 신규점</t>
  </si>
  <si>
    <t>의성</t>
  </si>
  <si>
    <t>S16</t>
  </si>
  <si>
    <t>예천 신규점</t>
  </si>
  <si>
    <t>예천</t>
  </si>
  <si>
    <t>S17</t>
  </si>
  <si>
    <t>영양 신규점4</t>
  </si>
  <si>
    <t>영양</t>
  </si>
  <si>
    <t>S18</t>
  </si>
  <si>
    <t>통영 신규점</t>
  </si>
  <si>
    <t>통영</t>
  </si>
  <si>
    <t>S19</t>
  </si>
  <si>
    <t>오호 신규점</t>
  </si>
  <si>
    <t>오호</t>
  </si>
  <si>
    <t>S20</t>
  </si>
  <si>
    <t>보령 신규점2</t>
  </si>
  <si>
    <t>보령</t>
  </si>
  <si>
    <t>S21</t>
  </si>
  <si>
    <t>담양 신규점2</t>
  </si>
  <si>
    <t>담양</t>
  </si>
  <si>
    <t>S22</t>
  </si>
  <si>
    <t>완도 신규점</t>
  </si>
  <si>
    <t>완도</t>
  </si>
  <si>
    <t>S23</t>
  </si>
  <si>
    <t>덕산 신규점1</t>
  </si>
  <si>
    <t>덕산</t>
  </si>
  <si>
    <t>S24</t>
  </si>
  <si>
    <t>회천 신규점2</t>
  </si>
  <si>
    <t>회천</t>
  </si>
  <si>
    <t>S25</t>
  </si>
  <si>
    <t>관리 신규점3</t>
  </si>
  <si>
    <t>관기</t>
  </si>
  <si>
    <t>S26</t>
  </si>
  <si>
    <t>고남 신규점2</t>
  </si>
  <si>
    <t>고남</t>
  </si>
  <si>
    <t>S27</t>
  </si>
  <si>
    <t>전의 신규점</t>
  </si>
  <si>
    <t>전의</t>
  </si>
  <si>
    <t>S28</t>
  </si>
  <si>
    <t>이원 신규점</t>
  </si>
  <si>
    <t>이원</t>
  </si>
  <si>
    <t>S29</t>
  </si>
  <si>
    <t>가야 신규점1</t>
  </si>
  <si>
    <t>가야</t>
  </si>
  <si>
    <t>S30</t>
  </si>
  <si>
    <t>창녕 신규점</t>
  </si>
  <si>
    <t>창녕</t>
  </si>
  <si>
    <t>S31</t>
  </si>
  <si>
    <t>언양 신규점3</t>
  </si>
  <si>
    <t>언양</t>
  </si>
  <si>
    <t>S32</t>
  </si>
  <si>
    <t>함양 신규점</t>
  </si>
  <si>
    <t>함양</t>
  </si>
  <si>
    <t>S33</t>
  </si>
  <si>
    <t>문산 신규점</t>
  </si>
  <si>
    <t>문산</t>
  </si>
  <si>
    <t>S34</t>
  </si>
  <si>
    <t>부안 신규점</t>
  </si>
  <si>
    <t>부안</t>
  </si>
  <si>
    <t>S35</t>
  </si>
  <si>
    <t>기존점</t>
  </si>
  <si>
    <t>상주</t>
  </si>
  <si>
    <t>S36</t>
  </si>
  <si>
    <t>미원</t>
  </si>
  <si>
    <t>S37</t>
  </si>
  <si>
    <t>주변 태양광 위치</t>
  </si>
  <si>
    <t>S38</t>
  </si>
  <si>
    <t>강화</t>
  </si>
  <si>
    <t>S39</t>
  </si>
  <si>
    <t>도로 접근성 나쁨</t>
  </si>
  <si>
    <t>S40</t>
  </si>
  <si>
    <t>남지</t>
  </si>
  <si>
    <t>S41</t>
  </si>
  <si>
    <t>거제</t>
  </si>
  <si>
    <t>S42</t>
  </si>
  <si>
    <t>조도</t>
  </si>
  <si>
    <t>하천(제방)</t>
  </si>
  <si>
    <t>S43</t>
  </si>
  <si>
    <t>포천</t>
  </si>
  <si>
    <t>S44</t>
  </si>
  <si>
    <t>성산</t>
  </si>
  <si>
    <t>S45</t>
  </si>
  <si>
    <t>여주</t>
  </si>
  <si>
    <t>S46</t>
  </si>
  <si>
    <t>화천</t>
  </si>
  <si>
    <t>S47</t>
  </si>
  <si>
    <t>봉평</t>
  </si>
  <si>
    <t>주변 송신탑 위치</t>
  </si>
  <si>
    <t>S48</t>
  </si>
  <si>
    <t>삼척</t>
  </si>
  <si>
    <t>S49</t>
  </si>
  <si>
    <t>제천</t>
  </si>
  <si>
    <t>S50</t>
  </si>
  <si>
    <t>[S01] 태백 신규점 — 지자기 시험 탐사 현장야장</t>
  </si>
  <si>
    <t>구분 A · 원번호 DS-008 · 도엽 NJ52-8-28 태백 · 사전좌표 37.020705 / 128.983930 · 표고 872.0 m</t>
  </si>
  <si>
    <t>소재지: 경북 봉화군 소천면 고선리 산 1</t>
  </si>
  <si>
    <t>Visit ID</t>
  </si>
  <si>
    <t>Location ID</t>
  </si>
  <si>
    <t>S01-P0a</t>
  </si>
  <si>
    <t>기상</t>
  </si>
  <si>
    <t>GSM-19T 기기번호</t>
  </si>
  <si>
    <t>십진도로 적어 주세요. 미리 알려 드린 사전좌표와 많이 차이가 난다면, 어떤 사정으로 자리를 옮기셨는지 소견에 적어 주시면 됩니다.</t>
  </si>
  <si>
    <t>취득방법</t>
  </si>
  <si>
    <t>사전값 대비(m)</t>
  </si>
  <si>
    <t>동 시각</t>
  </si>
  <si>
    <t>서 시각</t>
  </si>
  <si>
    <t>P0(전)</t>
  </si>
  <si>
    <t>1 m</t>
  </si>
  <si>
    <t>2 m</t>
  </si>
  <si>
    <t>3 m</t>
  </si>
  <si>
    <t>4 m</t>
  </si>
  <si>
    <t>5 m</t>
  </si>
  <si>
    <t>6 m</t>
  </si>
  <si>
    <t>7 m</t>
  </si>
  <si>
    <t>8 m</t>
  </si>
  <si>
    <t>9 m</t>
  </si>
  <si>
    <t>10 m</t>
  </si>
  <si>
    <t>P0(후)</t>
  </si>
  <si>
    <t>남 시각</t>
  </si>
  <si>
    <t>북 시각</t>
  </si>
  <si>
    <t>표지</t>
  </si>
  <si>
    <t>표지 위도</t>
  </si>
  <si>
    <t>표지 경도</t>
  </si>
  <si>
    <t>방위표지1</t>
  </si>
  <si>
    <t>방위표지2</t>
  </si>
  <si>
    <t>[ 표석·마커가 보이게 ]</t>
  </si>
  <si>
    <t>파일명</t>
  </si>
  <si>
    <t>NOAA Kp 예보 조회</t>
  </si>
  <si>
    <t>⑧ 시트 C열에 탐사일시를 한국시간(KST)으로 입력하면 E·F열이 자동 계산됩니다. 인터넷 연결 후 ‘데이터 &gt; 모두 새로 고침’을 실행하십시오.</t>
  </si>
  <si>
    <t>조회 날짜·시각 (KST)</t>
  </si>
  <si>
    <t>UTC 환산</t>
  </si>
  <si>
    <t>3일 예보 Kp (3시간)</t>
  </si>
  <si>
    <t>27일 예보 Kp (UTC 일 최대)</t>
  </si>
  <si>
    <t>사용 예보</t>
  </si>
  <si>
    <t>운영 원칙</t>
  </si>
  <si>
    <t>3일 예보 발행 (UTC)</t>
  </si>
  <si>
    <t>27일 예보 발행 (UTC)</t>
  </si>
  <si>
    <t>새로 고침</t>
  </si>
  <si>
    <t>NOAA 3일 원문</t>
  </si>
  <si>
    <t>NOAA 27일 원문</t>
  </si>
  <si>
    <t>시간 기준</t>
  </si>
  <si>
    <t>인터넷 미연결</t>
  </si>
  <si>
    <t>데이터 &gt; 모두 새로 고침</t>
  </si>
  <si>
    <t>https://services.swpc.noaa.gov/text/3-day-forecast.txt</t>
  </si>
  <si>
    <t>https://services.swpc.noaa.gov/text/27-day-outlook.txt</t>
  </si>
  <si>
    <t>KST = UTC+9 · 조회 시 KST에서 9시간을 뺍니다.</t>
  </si>
  <si>
    <t>저장된 마지막 예보가 남을 수 있으므로 발행시각을 확인합니다.</t>
  </si>
  <si>
    <t>UTC 시작</t>
  </si>
  <si>
    <t>UTC 종료</t>
  </si>
  <si>
    <t>KST 시작</t>
  </si>
  <si>
    <t>KST 종료</t>
  </si>
  <si>
    <t>Kp 예보</t>
  </si>
  <si>
    <t>UTC 날짜</t>
  </si>
  <si>
    <t>일 최대 Kp</t>
  </si>
  <si>
    <t>A index</t>
  </si>
  <si>
    <t>F10.7</t>
  </si>
  <si>
    <t>노란색 KST 날짜·시각을 바꾸면 그래프도 해당 날짜로 갱신됩니다. ‘데이터 &gt; 모두 새로 고침’ 후 최신 NOAA 예보를 확인하십시오. Kp는 기록 항목이며 배제 기준은 아직 확정되지 않았습니다.</t>
  </si>
  <si>
    <t>NOAA 3-day raw</t>
  </si>
  <si>
    <t>NOAA 27-day raw</t>
  </si>
  <si>
    <t>선택일 KST 시각</t>
  </si>
  <si>
    <t>Kp</t>
  </si>
  <si>
    <t>선택일 전후 UTC 날짜</t>
  </si>
  <si>
    <t>:Product: 3-Day Forecast</t>
  </si>
  <si>
    <t># Prepared by the U.S. Dept. of Commerce, NOAA, Space Weather Prediction Center</t>
  </si>
  <si>
    <t>#</t>
  </si>
  <si>
    <t>A. NOAA Geomagnetic Activity Observation and Forecast</t>
  </si>
  <si>
    <t>Scale levels).</t>
  </si>
  <si>
    <t>G1).</t>
  </si>
  <si>
    <t>B. NOAA Solar Radiation Activity Observation and Forecast</t>
  </si>
  <si>
    <t>Solar radiation, as observed by NOAA GOES-18 over the past 24 hours, was</t>
  </si>
  <si>
    <t>below S-scale storm level thresholds.</t>
  </si>
  <si>
    <t>S1 or greater    1%      1%      1%</t>
  </si>
  <si>
    <t>Rationale: No S1 (Minor) or greater solar radiation storms are expected.</t>
  </si>
  <si>
    <t>No significant active region activity favorable for radiation storm</t>
  </si>
  <si>
    <t>production is forecast.</t>
  </si>
  <si>
    <t>C. NOAA Radio Blackout Activity and Forecast</t>
  </si>
  <si>
    <t>No radio blackouts were observed over the past 24 hours.</t>
  </si>
  <si>
    <t>R1-R2            5%            5%            5%</t>
  </si>
  <si>
    <t>R3 or greater    1%            1%            1%</t>
  </si>
  <si>
    <t>Rationale: No R1 (Minor) or greater radio blackouts are expected.  No</t>
  </si>
  <si>
    <t>significant active region flare activity is forecast.</t>
  </si>
  <si>
    <t xml:space="preserve"> </t>
  </si>
  <si>
    <t>:Product: 27-day Space Weather Outlook Table 27DO.txt</t>
  </si>
  <si>
    <t>:Issued: 2026 Sep 14 0117 UTC</t>
  </si>
  <si>
    <t># Prepared by the US Dept. of Commerce, NOAA, Space Weather Prediction Center</t>
  </si>
  <si>
    <t># Product description and SWPC contact on the Web</t>
  </si>
  <si>
    <t># https://www.swpc.noaa.gov/content/subscription-services</t>
  </si>
  <si>
    <t>#      27-day Space Weather Outlook Table</t>
  </si>
  <si>
    <t>#                Issued 2026-09-14</t>
  </si>
  <si>
    <t>#   UTC      Radio Flux   Planetary   Largest</t>
  </si>
  <si>
    <t>#  Date       10.7 cm      A Index    Kp Index</t>
  </si>
  <si>
    <t>2026 Sep 14     105          18          4</t>
  </si>
  <si>
    <t>2026 Sep 15     100          16          4</t>
  </si>
  <si>
    <t>2026 Sep 16      95          20          5</t>
  </si>
  <si>
    <t>2026 Sep 17      93          18          5</t>
  </si>
  <si>
    <t>2026 Sep 18      90          10          3</t>
  </si>
  <si>
    <t>2026 Sep 19      90           5          2</t>
  </si>
  <si>
    <t>2026 Sep 20      95           5          2</t>
  </si>
  <si>
    <t>2026 Sep 21     100           5          2</t>
  </si>
  <si>
    <t>2026 Sep 22     110           4          2</t>
  </si>
  <si>
    <t>2026 Sep 23     105           4          2</t>
  </si>
  <si>
    <t>2026 Sep 24     100          18          5</t>
  </si>
  <si>
    <t>2026 Sep 25     105          18          5</t>
  </si>
  <si>
    <t>2026 Sep 26     105          18          5</t>
  </si>
  <si>
    <t>2026 Sep 27     100          15          4</t>
  </si>
  <si>
    <t>2026 Sep 28     100           5          2</t>
  </si>
  <si>
    <t>2026 Sep 29     105           5          2</t>
  </si>
  <si>
    <t>2026 Sep 30     110           5          2</t>
  </si>
  <si>
    <t>2026 Oct 01     110           5          2</t>
  </si>
  <si>
    <t>2026 Oct 02     110           5          2</t>
  </si>
  <si>
    <t>2026 Oct 03     110           5          2</t>
  </si>
  <si>
    <t>2026 Oct 04     110          12          3</t>
  </si>
  <si>
    <t>2026 Oct 05     110          15          4</t>
  </si>
  <si>
    <t>2026 Oct 06     110          12          4</t>
  </si>
  <si>
    <t>2026 Oct 07     115          10          3</t>
  </si>
  <si>
    <t>2026 Oct 08     110           8          3</t>
  </si>
  <si>
    <t>2026 Oct 09     110           5          2</t>
  </si>
  <si>
    <t>2026 Oct 10     115           5          2</t>
  </si>
  <si>
    <t>1. 기본 정보</t>
  </si>
  <si>
    <t>Kp 예보 기준</t>
  </si>
  <si>
    <t>Kp 확정 기준</t>
  </si>
  <si>
    <t>「Kp 예보」는 현장에 나가기 전에 보는 참고값입니다. 관측일자를 넣는 순간 NOAA 예보를 받아 그날(UTC) 하루 최대값을 보여 주고, 관측일자를 바꾸기 전까지는 파일을 다시 열거나 새로 고쳐도 바뀌지 않습니다. 「Kp (확정)」은 관측일에 실제로 기록된 GFZ 관측값(그날 UTC 하루 최대)이며, 관측일이 지난 뒤 「데이터 &gt; 모두 새로 고침」을 하면 들어옵니다. 확정값은 한 달쯤 뒤에 나오므로 그 전에는 「잠정」으로 표시됩니다.</t>
  </si>
  <si>
    <t>2. 수평 자기구배</t>
  </si>
  <si>
    <t>거리</t>
  </si>
  <si>
    <t>동 평균 F(nT)</t>
  </si>
  <si>
    <t>서 평균 F(nT)</t>
  </si>
  <si>
    <t>남 평균 F(nT)</t>
  </si>
  <si>
    <t>북 평균 F(nT)</t>
  </si>
  <si>
    <t>② 방향별 수평구배 결과 (자동 계산)</t>
  </si>
  <si>
    <t>방향</t>
  </si>
  <si>
    <t>발생구간</t>
  </si>
  <si>
    <t>비고</t>
  </si>
  <si>
    <t>동</t>
  </si>
  <si>
    <t>서</t>
  </si>
  <si>
    <t>남</t>
  </si>
  <si>
    <t>북</t>
  </si>
  <si>
    <t>참고 1) IAGA: 반복관측점 후보지의 총자기장 변화 확인 시 반경 10 m 내 약 50 nT 참고 (넘으면 변화폭이 붉게 표시됩니다)</t>
  </si>
  <si>
    <t>참고 2) 유럽 반복관측 권고: 측점의 자기장 구배 3 nT/m 미만 권고, PPM cross-profile 및 수직구배 확인</t>
  </si>
  <si>
    <t>3. 수직 자기구배 — 중심점(P0)에서 높이별</t>
  </si>
  <si>
    <t>막대 마디 수만 바꿔 가며 중심점 위에서 잽니다. 높이는 센서 가운데 높이이고 기본값을 채워 두었으니, 실제로 다르면 고쳐 적어 주세요. 한 높이에서 여러 번 읽었다면 평균을 적고, 읽은 시각 범위는 비고에 남겨 주세요. F 차이는 «그 높이 − 바로 위 높이»라서 + 면 땅에 가까울수록 값이 커진다는 뜻입니다.</t>
  </si>
  <si>
    <t>봉 번호</t>
  </si>
  <si>
    <t>높이
(cm)</t>
  </si>
  <si>
    <t>평균 F
(nT)</t>
  </si>
  <si>
    <t>인접
높이 차</t>
  </si>
  <si>
    <t>F 차이
(nT)</t>
  </si>
  <si>
    <t>수직구배
(nT/m)</t>
  </si>
  <si>
    <t>비고 (측정 시각 · 삭제한 값 등)</t>
  </si>
  <si>
    <t>전체 높이구간</t>
  </si>
  <si>
    <t>4. 기준점 좌표 (GNSS 실측)</t>
  </si>
  <si>
    <t>6. 현장 사진 기록</t>
  </si>
  <si>
    <t>전경 (방향 표시)</t>
  </si>
  <si>
    <t>중심점 사진</t>
  </si>
  <si>
    <t>표지 설치 사진</t>
  </si>
  <si>
    <t>[ 촬영 방향이 보이게 · 나침반 화면 함께 ]</t>
  </si>
  <si>
    <t>[ 설치한 표지 ]</t>
  </si>
  <si>
    <t>동 사진</t>
  </si>
  <si>
    <t>서 사진</t>
  </si>
  <si>
    <t>남 사진</t>
  </si>
  <si>
    <t>북 사진</t>
  </si>
  <si>
    <t>7. 현장 소견</t>
  </si>
  <si>
    <t>현황조사 위치</t>
  </si>
  <si>
    <t>위치 조정
여부</t>
  </si>
  <si>
    <t>위치 조정 사유</t>
  </si>
  <si>
    <t>관측 특이사항</t>
  </si>
  <si>
    <t>사진</t>
  </si>
  <si>
    <t>[ 사진 ]</t>
  </si>
  <si>
    <t>소견</t>
  </si>
  <si>
    <t>조치사항</t>
  </si>
  <si>
    <t>주변 철제물·매설물·케이블 등 자기장 영향원 제거</t>
  </si>
  <si>
    <t>동일 지점 재측정으로 재현성 확인</t>
  </si>
  <si>
    <t>이상구간 전후를 더 촘촘한 간격으로 추가 측정</t>
  </si>
  <si>
    <t>주변 철제물·매설물·케이블 등 자기장 영향원 확인</t>
  </si>
  <si>
    <t>The greatest expected 3 hr Kp for Sep 17-Sep 19 2026 is 4.67 (NOAA Scale</t>
  </si>
  <si>
    <t>NOAA Kp index breakdown Sep 17-Sep 19 2026</t>
  </si>
  <si>
    <t xml:space="preserve">             Sep 17       Sep 18       Sep 19</t>
  </si>
  <si>
    <t xml:space="preserve">12-15UT       3.33         2.67         2.33     </t>
  </si>
  <si>
    <t xml:space="preserve">15-18UT       3.33         2.67         2.33     </t>
  </si>
  <si>
    <t xml:space="preserve">18-21UT       3.33         2.67         2.33     </t>
  </si>
  <si>
    <t>Solar Radiation Storm Forecast for Sep 17-Sep 19 2026</t>
  </si>
  <si>
    <t xml:space="preserve">              Sep 17  Sep 18  Sep 19</t>
  </si>
  <si>
    <t>Radio Blackout Forecast for Sep 17-Sep 19 2026</t>
  </si>
  <si>
    <t xml:space="preserve">              Sep 17        Sep 18        Sep 19</t>
  </si>
  <si>
    <t>{"Kp":[0.667,1.333,1.667,2.333,1.667,1.333,1.667,1.333],"datetime":["2026-09-01T00:00:00Z","2026-09-01T03:00:00Z","2026-09-01T06:00:00Z","2026-09-01T09:00:00Z","2026-09-01T12:00:00Z","2026-09-01T15:00:00Z","2026-09-01T18:00:00Z","2026-09-01T21:00:00Z"],"meta":{"license":"CC BY 4.0","source":"GFZ Potsdam"},"status":["pre","pre","pre","pre","pre","pre","pre","pre"]}</t>
  </si>
  <si>
    <t>:Issued: 2026 Sep 17 1230 UTC</t>
  </si>
  <si>
    <t>The greatest observed 3 hr Kp over the past 24 hours was 3 (below NOAA</t>
  </si>
  <si>
    <t xml:space="preserve">00-03UT       3.00         3.67         2.67     </t>
  </si>
  <si>
    <t xml:space="preserve">03-06UT       1.67         2.00         2.00     </t>
  </si>
  <si>
    <t xml:space="preserve">06-09UT       1.67         2.00         2.33     </t>
  </si>
  <si>
    <t xml:space="preserve">09-12UT       1.67         2.67         2.33     </t>
  </si>
  <si>
    <t xml:space="preserve">21-00UT       4.67 (G1)    3.00         2.67     </t>
  </si>
  <si>
    <t>Rationale: Rationale: Active to G1 (Minor) geomagnetic storm conditions</t>
  </si>
  <si>
    <t>are likely on 17 Sep due to combined negative polarity CH HSS and CME</t>
  </si>
  <si>
    <t>influences. Unsettled to active levels are expected on 18 and 19 Sep as</t>
  </si>
  <si>
    <t>enhancements wane.</t>
  </si>
  <si>
    <t>R1-R2            5%            5%            1%</t>
  </si>
  <si>
    <t>[S02] 임계 신규점1 — 지자기 시험 탐사 현장야장</t>
    <phoneticPr fontId="14" type="noConversion"/>
  </si>
  <si>
    <t>구분 A · 원번호 DS-015 · 도엽 NJ52-8-20 임계 · 사전좌표 37.359346 / 128.973865 · 표고 844.0 m</t>
    <phoneticPr fontId="14" type="noConversion"/>
  </si>
  <si>
    <t>소재지: 강원특별자치도 삼척시 하장면 숙암리 산 11-1</t>
    <phoneticPr fontId="14" type="noConversion"/>
  </si>
  <si>
    <t>S02-P0a</t>
    <phoneticPr fontId="14" type="noConversion"/>
  </si>
  <si>
    <t>[S03] 예산 신규점2 — 지자기 시험 탐사 현장야장</t>
    <phoneticPr fontId="14" type="noConversion"/>
  </si>
  <si>
    <t>구분 A · 원번호 DS-076 · 도엽 NJ52-10-12 예산 · 사전좌표 36.534085 / 126.936269 · 표고 116.0 m</t>
    <phoneticPr fontId="14" type="noConversion"/>
  </si>
  <si>
    <t>소재지: 충남 공주시 신풍면 산정리 산 3</t>
    <phoneticPr fontId="14" type="noConversion"/>
  </si>
  <si>
    <t>S03-P0a</t>
    <phoneticPr fontId="14" type="noConversion"/>
  </si>
  <si>
    <t>[S04] 진안 신규점1 — 지자기 시험 탐사 현장야장</t>
    <phoneticPr fontId="14" type="noConversion"/>
  </si>
  <si>
    <t>구분 A · 원번호 DS-081 · 도엽 NI52-1-06 진안 · 사전좌표 35.891309 / 127.309017 · 표고 297.0 m</t>
    <phoneticPr fontId="14" type="noConversion"/>
  </si>
  <si>
    <t>소재지: 전북특별자치도 완주군 동상면 사봉리 산 107-2</t>
    <phoneticPr fontId="14" type="noConversion"/>
  </si>
  <si>
    <t>S04-P0a</t>
    <phoneticPr fontId="14" type="noConversion"/>
  </si>
  <si>
    <t>[S05] 무풍 신규점1 — 지자기 시험 탐사 현장야장</t>
    <phoneticPr fontId="14" type="noConversion"/>
  </si>
  <si>
    <t>구분 A · 원번호 DS-083 · 도엽 NI52-1-08 무풍 · 사전좌표 35.945212 / 127.800855 · 표고 584.0 m</t>
    <phoneticPr fontId="14" type="noConversion"/>
  </si>
  <si>
    <t>소재지: 전북특별자치도 무주군 설천면 두길리 165</t>
    <phoneticPr fontId="14" type="noConversion"/>
  </si>
  <si>
    <t>S05-P0a</t>
    <phoneticPr fontId="14" type="noConversion"/>
  </si>
  <si>
    <t>[S06] 길담 신규점 — 지자기 시험 탐사 현장야장</t>
    <phoneticPr fontId="14" type="noConversion"/>
  </si>
  <si>
    <t>구분 B · 원번호 DS-003 · 도엽 NI52-1-13 갈담 · 사전좌표 35.604653 / 127.230237 · 표고 281.0 m</t>
    <phoneticPr fontId="14" type="noConversion"/>
  </si>
  <si>
    <t>소재지: 전북특별자치도 임실군 임실읍 신안리 산 87-1</t>
    <phoneticPr fontId="14" type="noConversion"/>
  </si>
  <si>
    <t>S06-P0a</t>
    <phoneticPr fontId="14" type="noConversion"/>
  </si>
  <si>
    <t>[S07] 남해 신규점1 — 지자기 시험 탐사 현장야장</t>
    <phoneticPr fontId="14" type="noConversion"/>
  </si>
  <si>
    <t>구분 B · 원번호 DS-004 · 도엽 NI52-4-08 남해 · 사전좌표 34.852281 / 127.981473 · 표고 262.0 m</t>
    <phoneticPr fontId="14" type="noConversion"/>
  </si>
  <si>
    <t>소재지: 경남 남해군 창선면 지족리 산 115</t>
    <phoneticPr fontId="14" type="noConversion"/>
  </si>
  <si>
    <t>S07-P0a</t>
    <phoneticPr fontId="14" type="noConversion"/>
  </si>
  <si>
    <t>[S08] 청일 신규점2 — 지자기 시험 탐사 현장야장</t>
    <phoneticPr fontId="14" type="noConversion"/>
  </si>
  <si>
    <t>구분 B · 원번호 DS-013 · 도엽 NJ52-8-09 청일 · 사전좌표 37.618578 / 128.169800 · 표고 372.0 m</t>
    <phoneticPr fontId="14" type="noConversion"/>
  </si>
  <si>
    <t>소재지: 강원특별자치도 횡성군 청일면 춘당리 산 1</t>
    <phoneticPr fontId="14" type="noConversion"/>
  </si>
  <si>
    <t>S08-P0a</t>
    <phoneticPr fontId="14" type="noConversion"/>
  </si>
  <si>
    <t>[S09] 어론 신규점 — 지자기 시험 탐사 현장야장</t>
    <phoneticPr fontId="14" type="noConversion"/>
  </si>
  <si>
    <t>구분 B · 원번호 DS-014 · 도엽 NJ52-8-01 어론 · 사전좌표 37.776326 / 128.075858 · 표고 532.0 m</t>
    <phoneticPr fontId="14" type="noConversion"/>
  </si>
  <si>
    <t>소재지: 강원특별자치도 홍천군 내촌면 화상대리 산 108-2</t>
    <phoneticPr fontId="14" type="noConversion"/>
  </si>
  <si>
    <t>S09-P0a</t>
    <phoneticPr fontId="14" type="noConversion"/>
  </si>
  <si>
    <t>[S10] 예안 신규점1 — 지자기 시험 탐사 현장야장</t>
    <phoneticPr fontId="14" type="noConversion"/>
  </si>
  <si>
    <t>구분 B · 원번호 DS-020 · 도엽 NJ52-11-12 예안 · 사전좌표 36.745399 / 128.853559 · 표고 293.0 m</t>
    <phoneticPr fontId="14" type="noConversion"/>
  </si>
  <si>
    <t>소재지: 경북 안동시 도산면 토계리 350</t>
    <phoneticPr fontId="14" type="noConversion"/>
  </si>
  <si>
    <t>S10-P0a</t>
    <phoneticPr fontId="14" type="noConversion"/>
  </si>
  <si>
    <t>[S11] 소천 신규점4 — 지자기 시험 탐사 현장야장</t>
    <phoneticPr fontId="14" type="noConversion"/>
  </si>
  <si>
    <t>구분 B · 원번호 DS-025 · 도엽 NJ52-11-05 소천 · 사전좌표 36.765848 / 129.154341 · 표고 380.0 m</t>
    <phoneticPr fontId="14" type="noConversion"/>
  </si>
  <si>
    <t>소재지: 경북 영양군 일월면 문암리 산 59-2</t>
    <phoneticPr fontId="14" type="noConversion"/>
  </si>
  <si>
    <t>S11-P0a</t>
    <phoneticPr fontId="14" type="noConversion"/>
  </si>
  <si>
    <t>[S12] 순창 신규점 — 지자기 시험 탐사 현장야장</t>
    <phoneticPr fontId="14" type="noConversion"/>
  </si>
  <si>
    <t>구분 B · 원번호 DS-030 · 도엽 NI52-1-21 순창 · 사전좌표 35.284821 / 127.092148 · 표고 219.0 m</t>
    <phoneticPr fontId="14" type="noConversion"/>
  </si>
  <si>
    <t>소재지: 전남광주통합특별시 곡성군 오산면 운곡리 산 73-1</t>
    <phoneticPr fontId="14" type="noConversion"/>
  </si>
  <si>
    <t>S12-P0a</t>
    <phoneticPr fontId="14" type="noConversion"/>
  </si>
  <si>
    <t>[S13] 순천 신규점 — 지자기 시험 탐사 현장야장</t>
    <phoneticPr fontId="14" type="noConversion"/>
  </si>
  <si>
    <t>구분 B · 원번호 DS-031 · 도엽 NI52-4-06 순천 · 사전좌표 34.904713 / 127.294737 · 표고 301.0 m</t>
    <phoneticPr fontId="14" type="noConversion"/>
  </si>
  <si>
    <t>소재지: 전남광주통합특별시 순천시 외서면 신덕리 산 185-2</t>
    <phoneticPr fontId="14" type="noConversion"/>
  </si>
  <si>
    <t>S13-P0a</t>
    <phoneticPr fontId="14" type="noConversion"/>
  </si>
  <si>
    <t>[S14] 청송 신규점1 — 지자기 시험 탐사 현장야장</t>
    <phoneticPr fontId="14" type="noConversion"/>
  </si>
  <si>
    <t>구분 B · 원번호 DS-033 · 도엽 NJ52-11-21 청송 · 사전좌표 36.382888 / 129.145795 · 표고 313.0 m</t>
    <phoneticPr fontId="14" type="noConversion"/>
  </si>
  <si>
    <t>소재지: 경북 청송군 주왕산면 상의리 876</t>
    <phoneticPr fontId="14" type="noConversion"/>
  </si>
  <si>
    <t>S14-P0a</t>
    <phoneticPr fontId="14" type="noConversion"/>
  </si>
  <si>
    <t>[S15] 의성 신규점 — 지자기 시험 탐사 현장야장</t>
    <phoneticPr fontId="14" type="noConversion"/>
  </si>
  <si>
    <t>구분 B · 원번호 DS-035 · 도엽 NJ52-11-19 의성 · 사전좌표 36.476700 / 128.508751 · 표고 179.0 m</t>
    <phoneticPr fontId="14" type="noConversion"/>
  </si>
  <si>
    <t>소재지: 경북 의성군 신평면 교안리 산 31-1</t>
    <phoneticPr fontId="14" type="noConversion"/>
  </si>
  <si>
    <t>S15-P0a</t>
    <phoneticPr fontId="14" type="noConversion"/>
  </si>
  <si>
    <t>[S16] 예천 신규점 — 지자기 시험 탐사 현장야장</t>
    <phoneticPr fontId="14" type="noConversion"/>
  </si>
  <si>
    <t>구분 B · 원번호 DS-036 · 도엽 NJ52-11-10 예천 · 사전좌표 36.509390 / 128.494519 · 표고 160.0 m</t>
    <phoneticPr fontId="14" type="noConversion"/>
  </si>
  <si>
    <t>소재지: 경북 의성군 신평면 중율리 산 9</t>
    <phoneticPr fontId="14" type="noConversion"/>
  </si>
  <si>
    <t>S16-P0a</t>
    <phoneticPr fontId="14" type="noConversion"/>
  </si>
  <si>
    <t>[S17] 영양 신규점4 — 지자기 시험 탐사 현장야장</t>
    <phoneticPr fontId="14" type="noConversion"/>
  </si>
  <si>
    <t>구분 B · 원번호 DS-040 · 도엽 NJ52-11-13 영양 · 사전좌표 36.743626 / 129.181307 · 표고 512.0 m</t>
    <phoneticPr fontId="14" type="noConversion"/>
  </si>
  <si>
    <t>소재지: 경북 영양군 수비면 오기리 산 208-1</t>
    <phoneticPr fontId="14" type="noConversion"/>
  </si>
  <si>
    <t>S17-P0a</t>
    <phoneticPr fontId="14" type="noConversion"/>
  </si>
  <si>
    <t>[S18] 통영 신규점 — 지자기 시험 탐사 현장야장</t>
    <phoneticPr fontId="14" type="noConversion"/>
  </si>
  <si>
    <t>구분 B · 원번호 DS-045 · 도엽 NI52-5-02 통영 · 사전좌표 34.792976 / 128.393827 · 표고 79.0 m</t>
    <phoneticPr fontId="14" type="noConversion"/>
  </si>
  <si>
    <t>소재지: 경남 통영시 산양읍 연화리 584</t>
    <phoneticPr fontId="14" type="noConversion"/>
  </si>
  <si>
    <t>S18-P0a</t>
    <phoneticPr fontId="14" type="noConversion"/>
  </si>
  <si>
    <t>[S19] 오호 신규점 — 지자기 시험 탐사 현장야장</t>
    <phoneticPr fontId="14" type="noConversion"/>
  </si>
  <si>
    <t>구분 B · 원번호 DS-046 · 도엽 NJ52-5-19 오호 · 사전좌표 38.318869 / 128.521755 · 표고 21.0 m</t>
    <phoneticPr fontId="14" type="noConversion"/>
  </si>
  <si>
    <t>소재지: 강원특별자치도 고성군 죽왕면 삼포리 산 5</t>
    <phoneticPr fontId="14" type="noConversion"/>
  </si>
  <si>
    <t>S19-P0a</t>
    <phoneticPr fontId="14" type="noConversion"/>
  </si>
  <si>
    <t>[S20] 보령 신규점2 — 지자기 시험 탐사 현장야장</t>
    <phoneticPr fontId="14" type="noConversion"/>
  </si>
  <si>
    <t>구분 B · 원번호 DS-049 · 도엽 NJ52-10-19 보령 · 사전좌표 36.266844 / 126.706961 · 표고 277.0 m</t>
    <phoneticPr fontId="14" type="noConversion"/>
  </si>
  <si>
    <t>소재지: 충남 부여군 외산면 가덕리 산 11-1</t>
    <phoneticPr fontId="14" type="noConversion"/>
  </si>
  <si>
    <t>S20-P0a</t>
    <phoneticPr fontId="14" type="noConversion"/>
  </si>
  <si>
    <t>[S21] 담양 신규점2 — 지자기 시험 탐사 현장야장</t>
    <phoneticPr fontId="14" type="noConversion"/>
  </si>
  <si>
    <t>구분 B · 원번호 DS-051 · 도엽 NI52-1-20 담양 · 사전좌표 35.456101 / 126.962054 · 표고 350.0 m</t>
    <phoneticPr fontId="14" type="noConversion"/>
  </si>
  <si>
    <t>소재지: 전북특별자치도 순창군 복흥면 하리 산 27</t>
    <phoneticPr fontId="14" type="noConversion"/>
  </si>
  <si>
    <t>S21-P0a</t>
    <phoneticPr fontId="14" type="noConversion"/>
  </si>
  <si>
    <t>[S22] 완도 신규점 — 지자기 시험 탐사 현장야장</t>
    <phoneticPr fontId="14" type="noConversion"/>
  </si>
  <si>
    <t>구분 B · 원번호 DS-055 · 도엽 NI52-4-19 완도 · 사전좌표 34.328826 / 126.543215 · 표고 131.0 m</t>
    <phoneticPr fontId="14" type="noConversion"/>
  </si>
  <si>
    <t>소재지: 전남광주통합특별시 해남군 송지면 송호리 산 178-3</t>
    <phoneticPr fontId="14" type="noConversion"/>
  </si>
  <si>
    <t>S22-P0a</t>
    <phoneticPr fontId="14" type="noConversion"/>
  </si>
  <si>
    <t>[S23] 덕산 신규점1 — 지자기 시험 탐사 현장야장</t>
    <phoneticPr fontId="14" type="noConversion"/>
  </si>
  <si>
    <t>구분 B · 원번호 DS-057 · 도엽 NJ52-11-01 덕산 · 사전좌표 36.888529 / 128.192739 · 표고 388.0 m</t>
    <phoneticPr fontId="14" type="noConversion"/>
  </si>
  <si>
    <t>소재지: 충북 제천시 덕산면 선고리 산 28-8</t>
    <phoneticPr fontId="14" type="noConversion"/>
  </si>
  <si>
    <t>S23-P0a</t>
    <phoneticPr fontId="14" type="noConversion"/>
  </si>
  <si>
    <t>[S24] 회천 신규점2 — 지자기 시험 탐사 현장야장</t>
    <phoneticPr fontId="14" type="noConversion"/>
  </si>
  <si>
    <t>구분 B · 원번호 DS-060 · 도엽 NI52-4-13 회천 · 사전좌표 34.680805 / 127.047660 · 표고 99.0 m</t>
    <phoneticPr fontId="14" type="noConversion"/>
  </si>
  <si>
    <t>소재지: 전남광주통합특별시 보성군 회천면 회령리 산 155</t>
    <phoneticPr fontId="14" type="noConversion"/>
  </si>
  <si>
    <t>S24-P0a</t>
    <phoneticPr fontId="14" type="noConversion"/>
  </si>
  <si>
    <t>[S25] 관리 신규점3 — 지자기 시험 탐사 현장야장</t>
    <phoneticPr fontId="14" type="noConversion"/>
  </si>
  <si>
    <t>구분 B · 원번호 DS-068 · 도엽 NJ52-10-24 관기 · 사전좌표 36.325755 / 127.905982 · 표고 383.0 m</t>
    <phoneticPr fontId="14" type="noConversion"/>
  </si>
  <si>
    <t>소재지: 경북 상주시 모서면 득수리 산 146</t>
    <phoneticPr fontId="14" type="noConversion"/>
  </si>
  <si>
    <t>S25-P0a</t>
    <phoneticPr fontId="14" type="noConversion"/>
  </si>
  <si>
    <t>[S26] 고남 신규점2 — 지자기 시험 탐사 현장야장</t>
    <phoneticPr fontId="14" type="noConversion"/>
  </si>
  <si>
    <t>구분 B · 원번호 DS-075 · 도엽 NJ52-10-18 고남 · 사전좌표 36.452304 / 126.395802 · 표고 38.0 m</t>
    <phoneticPr fontId="14" type="noConversion"/>
  </si>
  <si>
    <t>소재지: 충남 태안군 고남면 누동리 산 6-514</t>
    <phoneticPr fontId="14" type="noConversion"/>
  </si>
  <si>
    <t>S26-P0a</t>
    <phoneticPr fontId="14" type="noConversion"/>
  </si>
  <si>
    <t>[S27] 전의 신규점 — 지자기 시험 탐사 현장야장</t>
    <phoneticPr fontId="14" type="noConversion"/>
  </si>
  <si>
    <t>구분 B · 원번호 DS-078 · 도엽 NJ52-10-13 전의 · 사전좌표 36.579379 / 127.068702 · 표고 372.0 m</t>
    <phoneticPr fontId="14" type="noConversion"/>
  </si>
  <si>
    <t>소재지: 충남 공주시 사곡면 월가리 산 10-1</t>
    <phoneticPr fontId="14" type="noConversion"/>
  </si>
  <si>
    <t>S27-P0a</t>
    <phoneticPr fontId="14" type="noConversion"/>
  </si>
  <si>
    <t>[S28] 이원 신규점 — 지자기 시험 탐사 현장야장</t>
    <phoneticPr fontId="14" type="noConversion"/>
  </si>
  <si>
    <t>구분 B · 원번호 DS-080 · 도엽 NJ52-10-31 이원 · 사전좌표 36.166620 / 127.583121 · 표고 300.0 m</t>
    <phoneticPr fontId="14" type="noConversion"/>
  </si>
  <si>
    <t>소재지: 충남 금산군 제원면 신안리 산 4-1</t>
    <phoneticPr fontId="14" type="noConversion"/>
  </si>
  <si>
    <t>S28-P0a</t>
    <phoneticPr fontId="14" type="noConversion"/>
  </si>
  <si>
    <t>[S29] 가야 신규점1 — 지자기 시험 탐사 현장야장</t>
    <phoneticPr fontId="14" type="noConversion"/>
  </si>
  <si>
    <t>구분 B · 원번호 DS-084 · 도엽 NI52-2-01 가야 · 사전좌표 35.777986 / 128.036833 · 표고 825.0 m</t>
    <phoneticPr fontId="14" type="noConversion"/>
  </si>
  <si>
    <t>소재지: 경남 거창군 가북면 우혜리 산 3</t>
    <phoneticPr fontId="14" type="noConversion"/>
  </si>
  <si>
    <t>S29-P0a</t>
    <phoneticPr fontId="14" type="noConversion"/>
  </si>
  <si>
    <t>[S30] 창녕 신규점 — 지자기 시험 탐사 현장야장</t>
    <phoneticPr fontId="14" type="noConversion"/>
  </si>
  <si>
    <t>구분 B · 원번호 DS-086 · 도엽 NI52-2-10 창녕 · 사전좌표 35.662586 / 128.298099 · 표고 179.0 m</t>
    <phoneticPr fontId="14" type="noConversion"/>
  </si>
  <si>
    <t>소재지: 경북 고령군 쌍림면 평지리 산 63</t>
    <phoneticPr fontId="14" type="noConversion"/>
  </si>
  <si>
    <t>S30-P0a</t>
    <phoneticPr fontId="14" type="noConversion"/>
  </si>
  <si>
    <t>[S31] 언양 신규점3 — 지자기 시험 탐사 현장야장</t>
    <phoneticPr fontId="14" type="noConversion"/>
  </si>
  <si>
    <t>구분 B · 원번호 DS-089 · 도엽 NI52-2-13 언양 · 사전좌표 35.742364 / 129.029824 · 표고 234.0 m</t>
    <phoneticPr fontId="14" type="noConversion"/>
  </si>
  <si>
    <t>소재지: 경북 경주시 산내면 외칠리 산 183</t>
    <phoneticPr fontId="14" type="noConversion"/>
  </si>
  <si>
    <t>S31-P0a</t>
    <phoneticPr fontId="14" type="noConversion"/>
  </si>
  <si>
    <t>[S32] 함양 신규점 — 지자기 시험 탐사 현장야장</t>
    <phoneticPr fontId="14" type="noConversion"/>
  </si>
  <si>
    <t>구분 B · 원번호 DS-096 · 도엽 NI52-1-15 함양 · 사전좌표 35.586243 / 127.574659 · 표고 478.0 m</t>
    <phoneticPr fontId="14" type="noConversion"/>
  </si>
  <si>
    <t>소재지: 전북특별자치도 장수군 번암면 지지리 산 55</t>
    <phoneticPr fontId="14" type="noConversion"/>
  </si>
  <si>
    <t>S32-P0a</t>
    <phoneticPr fontId="14" type="noConversion"/>
  </si>
  <si>
    <t>[S33] 문산 신규점 — 지자기 시험 탐사 현장야장</t>
    <phoneticPr fontId="14" type="noConversion"/>
  </si>
  <si>
    <t>구분 B · 원번호 DS-098 · 도엽 NJ52-7-04 문산 · 사전좌표 37.927676 / 126.870305 · 표고 83.0 m</t>
    <phoneticPr fontId="14" type="noConversion"/>
  </si>
  <si>
    <t>소재지: 경기 파주시 파평면 덕천리 산 40-3</t>
    <phoneticPr fontId="14" type="noConversion"/>
  </si>
  <si>
    <t>S33-P0a</t>
    <phoneticPr fontId="14" type="noConversion"/>
  </si>
  <si>
    <t>[S34] 부안 신규점 — 지자기 시험 탐사 현장야장</t>
    <phoneticPr fontId="14" type="noConversion"/>
  </si>
  <si>
    <t>구분 B · 원번호 DS-102 · 도엽 NI52-1-11 부안 · 사전좌표 35.541753 / 126.645582 · 표고 112.0 m</t>
    <phoneticPr fontId="14" type="noConversion"/>
  </si>
  <si>
    <t>소재지: 전북특별자치도 고창군 부안면 수앙리 산 79-8</t>
    <phoneticPr fontId="14" type="noConversion"/>
  </si>
  <si>
    <t>S34-P0a</t>
    <phoneticPr fontId="14" type="noConversion"/>
  </si>
  <si>
    <t>[S35] 상주 — 지자기 시험 탐사 현장야장</t>
    <phoneticPr fontId="14" type="noConversion"/>
  </si>
  <si>
    <t>구분 기존점 · 원번호 1-12-2 · 도엽 NJ52-14-16 상주 · 사전좌표 36.355288 / 128.110481 · 표고 92.568 m</t>
    <phoneticPr fontId="14" type="noConversion"/>
  </si>
  <si>
    <t>소재지: 경상북도 상주시 청리면 율리 436-2 밤깟마을(상주23)</t>
    <phoneticPr fontId="14" type="noConversion"/>
  </si>
  <si>
    <t>S35-P0a</t>
    <phoneticPr fontId="14" type="noConversion"/>
  </si>
  <si>
    <t>[S36] 미원 — 지자기 시험 탐사 현장야장</t>
    <phoneticPr fontId="14" type="noConversion"/>
  </si>
  <si>
    <t>구분 기존점 · 원번호 1-13-2 · 도엽 NJ52-13-14 미원 · 사전좌표 36.725028 / 127.586222 · 표고 97.952 m</t>
    <phoneticPr fontId="14" type="noConversion"/>
  </si>
  <si>
    <t>소재지: 충청북도 청주시 청원구 북이면 영하리 산13-1(미원409)</t>
    <phoneticPr fontId="14" type="noConversion"/>
  </si>
  <si>
    <t>S36-P0a</t>
    <phoneticPr fontId="14" type="noConversion"/>
  </si>
  <si>
    <t>[S37] 부안 — 지자기 시험 탐사 현장야장</t>
    <phoneticPr fontId="14" type="noConversion"/>
  </si>
  <si>
    <t>구분 기존점 · 원번호 1-17-2 · 도엽 NJ52-01-10 부안 · 사전좌표 35.587750 / 126.716139 · 표고 33.5 m   ⚠ 주변 태양광 위치</t>
    <phoneticPr fontId="14" type="noConversion"/>
  </si>
  <si>
    <t>소재지: 전라북도 부안군 줄포면 난산리 440-2 목중새마을(부안423)</t>
    <phoneticPr fontId="14" type="noConversion"/>
  </si>
  <si>
    <t>S37-P0a</t>
    <phoneticPr fontId="14" type="noConversion"/>
  </si>
  <si>
    <t>[S38] 강화 — 지자기 시험 탐사 현장야장</t>
    <phoneticPr fontId="14" type="noConversion"/>
  </si>
  <si>
    <t>구분 기존점 · 원번호 1-2-3 · 도엽 NJ52-09-09 강화 · 사전좌표 37.666124 / 126.478775 · 표고 100.524 m</t>
    <phoneticPr fontId="14" type="noConversion"/>
  </si>
  <si>
    <t>소재지: 인천광역시 강화군 길상면 길직리 산 148-6</t>
    <phoneticPr fontId="14" type="noConversion"/>
  </si>
  <si>
    <t>S38-P0a</t>
    <phoneticPr fontId="14" type="noConversion"/>
  </si>
  <si>
    <t>[S39] 언양 — 지자기 시험 탐사 현장야장</t>
    <phoneticPr fontId="14" type="noConversion"/>
  </si>
  <si>
    <t>구분 기존점 · 원번호 1-23-1 · 도엽 NI52-2-13 언양 · 사전좌표 35.676200 / 129.190872 · 표고 226.101 m   ⚠ 도로 접근성 나쁨</t>
    <phoneticPr fontId="14" type="noConversion"/>
  </si>
  <si>
    <t>소재지: 울산광역시 울주군 두서면 미호리 산3(삼언양417)</t>
    <phoneticPr fontId="14" type="noConversion"/>
  </si>
  <si>
    <t>S39-P0a</t>
    <phoneticPr fontId="14" type="noConversion"/>
  </si>
  <si>
    <t>[S40] 남지 — 지자기 시험 탐사 현장야장</t>
    <phoneticPr fontId="14" type="noConversion"/>
  </si>
  <si>
    <t>구분 기존점 · 원번호 1-24-3 · 도엽 NJ52-01-14 남지 · 사전좌표 35.436167 / 128.473778 · 표고 - m</t>
    <phoneticPr fontId="14" type="noConversion"/>
  </si>
  <si>
    <t>소재지: 창녕군 장마면 유리 1705-1 봉산지뚝</t>
    <phoneticPr fontId="14" type="noConversion"/>
  </si>
  <si>
    <t>S40-P0a</t>
    <phoneticPr fontId="14" type="noConversion"/>
  </si>
  <si>
    <t>[S41] 거제 — 지자기 시험 탐사 현장야장</t>
    <phoneticPr fontId="14" type="noConversion"/>
  </si>
  <si>
    <t>구분 기존점 · 원번호 1-25-2 · 도엽 NJ52-06-07 거제 · 사전좌표 34.870311 / 128.592861 · 표고 91.014 m</t>
    <phoneticPr fontId="14" type="noConversion"/>
  </si>
  <si>
    <t>소재지: 경상남도 거제시 거제면 옥산리 산83-6</t>
    <phoneticPr fontId="14" type="noConversion"/>
  </si>
  <si>
    <t>S41-P0a</t>
    <phoneticPr fontId="14" type="noConversion"/>
  </si>
  <si>
    <t>[S42] 조도 — 지자기 시험 탐사 현장야장</t>
    <phoneticPr fontId="14" type="noConversion"/>
  </si>
  <si>
    <t>구분 기존점 · 원번호 1-29-2 · 도엽 NJ52-05-21 조도 · 사전좌표 34.431917 / 126.223806 · 표고 - m   ⚠ 하천(제방)</t>
    <phoneticPr fontId="14" type="noConversion"/>
  </si>
  <si>
    <t>소재지: 진도군 임회면 삼막리 광전교인근</t>
    <phoneticPr fontId="14" type="noConversion"/>
  </si>
  <si>
    <t>S42-P0a</t>
    <phoneticPr fontId="14" type="noConversion"/>
  </si>
  <si>
    <t>[S43] 포천 — 지자기 시험 탐사 현장야장</t>
    <phoneticPr fontId="14" type="noConversion"/>
  </si>
  <si>
    <t>구분 기존점 · 원번호 1-3-3 · 도엽 NJ 52-09-5 포천 · 사전좌표 37.990903 / 127.134628 · 표고 423.872 m</t>
    <phoneticPr fontId="14" type="noConversion"/>
  </si>
  <si>
    <t>소재지: 경기도 연천군 청산면 대전리 산83</t>
    <phoneticPr fontId="14" type="noConversion"/>
  </si>
  <si>
    <t>S43-P0a</t>
    <phoneticPr fontId="14" type="noConversion"/>
  </si>
  <si>
    <t>[S44] 성산 — 지자기 시험 탐사 현장야장</t>
    <phoneticPr fontId="14" type="noConversion"/>
  </si>
  <si>
    <t>구분 기존점 · 원번호 1-30-2 · 도엽 NJ52-09-18 성산 · 사전좌표 33.524480 / 126.894162 · 표고 8.08 m</t>
    <phoneticPr fontId="14" type="noConversion"/>
  </si>
  <si>
    <t>소재지: 제주특별자치도 제주시 구좌읍 하도리425</t>
    <phoneticPr fontId="14" type="noConversion"/>
  </si>
  <si>
    <t>S44-P0a</t>
    <phoneticPr fontId="14" type="noConversion"/>
  </si>
  <si>
    <t>[S45] 여주 — 지자기 시험 탐사 현장야장</t>
    <phoneticPr fontId="14" type="noConversion"/>
  </si>
  <si>
    <t>구분 기존점 · 원번호 1-4-4 · 도엽 NJ52-09-21 여주 · 사전좌표 37.445381 / 127.573322 · 표고 177.03 m</t>
    <phoneticPr fontId="14" type="noConversion"/>
  </si>
  <si>
    <t>소재지: 경기도 양평군 개군면 내리 산12</t>
    <phoneticPr fontId="14" type="noConversion"/>
  </si>
  <si>
    <t>S45-P0a</t>
    <phoneticPr fontId="14" type="noConversion"/>
  </si>
  <si>
    <t>[S46] 화천 — 지자기 시험 탐사 현장야장</t>
    <phoneticPr fontId="14" type="noConversion"/>
  </si>
  <si>
    <t>구분 기존점 · 원번호 1-5-2 · 도엽 NJ52-05-28 화천 · 사전좌표 38.115667 / 127.686722 · 표고 155.0 m</t>
    <phoneticPr fontId="14" type="noConversion"/>
  </si>
  <si>
    <t>소재지: 화천군 화천읍 상리 산6</t>
    <phoneticPr fontId="14" type="noConversion"/>
  </si>
  <si>
    <t>S46-P0a</t>
    <phoneticPr fontId="14" type="noConversion"/>
  </si>
  <si>
    <t>[S47] 봉평 — 지자기 시험 탐사 현장야장</t>
    <phoneticPr fontId="14" type="noConversion"/>
  </si>
  <si>
    <t>구분 기존점 · 원번호 1-7-2 · 도엽 NJ52-10-10 봉평 · 사전좌표 37.612372 / 128.395802 · 표고 695.73 m   ⚠ 주변 송신탑 위치</t>
    <phoneticPr fontId="14" type="noConversion"/>
  </si>
  <si>
    <t>소재지: 평창군 봉평면 평촌2리 김병찬씨 뒷산</t>
    <phoneticPr fontId="14" type="noConversion"/>
  </si>
  <si>
    <t>S47-P0a</t>
    <phoneticPr fontId="14" type="noConversion"/>
  </si>
  <si>
    <t>[S48] 삼척 — 지자기 시험 탐사 현장야장</t>
    <phoneticPr fontId="14" type="noConversion"/>
  </si>
  <si>
    <t>구분 기존점 · 원번호 1-8-4 · 도엽 NJ52-10-20 삼척 · 사전좌표 37.384717 / 129.203226 · 표고 27.791 m</t>
    <phoneticPr fontId="14" type="noConversion"/>
  </si>
  <si>
    <t>소재지: 강원도 삼척시 근덕면 하맹방리 774-2, 초당저수지</t>
    <phoneticPr fontId="14" type="noConversion"/>
  </si>
  <si>
    <t>S48-P0a</t>
    <phoneticPr fontId="14" type="noConversion"/>
  </si>
  <si>
    <t>[S49] 제천 — 지자기 시험 탐사 현장야장</t>
    <phoneticPr fontId="14" type="noConversion"/>
  </si>
  <si>
    <t>구분 기존점 · 원번호 1-9-2 · 도엽 NJ52-10-23 제천 · 사전좌표 37.074639 / 128.211444 · 표고 - m</t>
    <phoneticPr fontId="14" type="noConversion"/>
  </si>
  <si>
    <t>소재지: 제천시 백운면 방학리 백마저수지뚝 가운데</t>
    <phoneticPr fontId="14" type="noConversion"/>
  </si>
  <si>
    <t>S49-P0a</t>
    <phoneticPr fontId="14" type="noConversion"/>
  </si>
  <si>
    <t>[S50] 함양 — 지자기 시험 탐사 현장야장</t>
    <phoneticPr fontId="14" type="noConversion"/>
  </si>
  <si>
    <t>구분 기존점 · 원번호 1-20-3 · 도엽 NJ52-02-17 함양 · 사전좌표 35.542509 / 127.622969 · 표고 415.62 m</t>
    <phoneticPr fontId="14" type="noConversion"/>
  </si>
  <si>
    <t>소재지: 경남 함양군 백전면 구산리 166 구산제(구산저수지)</t>
    <phoneticPr fontId="14" type="noConversion"/>
  </si>
  <si>
    <t>S50-P0a</t>
    <phoneticPr fontId="14" type="noConversion"/>
  </si>
  <si>
    <t>Kp 예보
(1/3단계)</t>
    <phoneticPr fontId="14" type="noConversion"/>
  </si>
  <si>
    <t>Kp 확정
(1/3단계 · 자동)</t>
    <phoneticPr fontId="14" type="noConversion"/>
  </si>
  <si>
    <r>
      <t>Kp·</t>
    </r>
    <r>
      <rPr>
        <sz val="10"/>
        <color theme="1"/>
        <rFont val="맑은 고딕"/>
        <family val="3"/>
        <charset val="129"/>
      </rPr>
      <t>예보는</t>
    </r>
    <r>
      <rPr>
        <sz val="10"/>
        <color theme="1"/>
        <rFont val="Aptos"/>
        <family val="2"/>
      </rPr>
      <t xml:space="preserve"> </t>
    </r>
    <r>
      <rPr>
        <sz val="10"/>
        <color theme="1"/>
        <rFont val="맑은 고딕"/>
        <family val="3"/>
        <charset val="129"/>
      </rPr>
      <t>기록용입니다</t>
    </r>
    <r>
      <rPr>
        <sz val="10"/>
        <color theme="1"/>
        <rFont val="Aptos"/>
        <family val="2"/>
      </rPr>
      <t xml:space="preserve">. </t>
    </r>
    <r>
      <rPr>
        <sz val="10"/>
        <color theme="1"/>
        <rFont val="맑은 고딕"/>
        <family val="3"/>
        <charset val="129"/>
      </rPr>
      <t>배제</t>
    </r>
    <r>
      <rPr>
        <sz val="10"/>
        <color theme="1"/>
        <rFont val="Aptos"/>
        <family val="2"/>
      </rPr>
      <t xml:space="preserve"> </t>
    </r>
    <r>
      <rPr>
        <sz val="10"/>
        <color theme="1"/>
        <rFont val="맑은 고딕"/>
        <family val="3"/>
        <charset val="129"/>
      </rPr>
      <t>기준은</t>
    </r>
    <r>
      <rPr>
        <sz val="10"/>
        <color theme="1"/>
        <rFont val="Aptos"/>
        <family val="2"/>
      </rPr>
      <t xml:space="preserve"> </t>
    </r>
    <r>
      <rPr>
        <sz val="10"/>
        <color theme="1"/>
        <rFont val="맑은 고딕"/>
        <family val="3"/>
        <charset val="129"/>
      </rPr>
      <t>1</t>
    </r>
    <r>
      <rPr>
        <sz val="10"/>
        <color theme="1"/>
        <rFont val="Aptos"/>
        <family val="3"/>
      </rPr>
      <t xml:space="preserve">~4 </t>
    </r>
    <r>
      <rPr>
        <sz val="10"/>
        <color theme="1"/>
        <rFont val="맑은 고딕"/>
        <family val="3"/>
        <charset val="129"/>
      </rPr>
      <t>가능, 5이상 불가능</t>
    </r>
    <phoneticPr fontId="14" type="noConversion"/>
  </si>
  <si>
    <t>예: 동 8 m 마지막 관측값 삭제</t>
  </si>
  <si>
    <t>5. 방위표지 (시준거리 추가 확보 경우)</t>
  </si>
  <si>
    <t>측정 방법</t>
  </si>
  <si>
    <t>시준거리</t>
  </si>
  <si>
    <t>전경은 방향이 드러나게 찍어 주세요(나침반 화면을 함께 담으면 좋습니다). 방향 사진은 반대쪽 지점에서 대상 방향을 바라보고 촬영합니다. 파일명 예시는 필요에 따라 확장자를 바꾸거나 덮어써 주세요.</t>
  </si>
  <si>
    <t>전경.jpg
(확장자 변경 가능)</t>
  </si>
  <si>
    <t>중심점.jpg
(확장자 변경 가능)</t>
  </si>
  <si>
    <t>표지설치.jpg
(확장자 변경 가능)</t>
  </si>
  <si>
    <t>[ 서쪽에서 동쪽을 보고 ]</t>
  </si>
  <si>
    <t>동.jpg
(확장자 변경 가능)</t>
  </si>
  <si>
    <t>[ 동쪽에서 서쪽을 보고 ]</t>
  </si>
  <si>
    <t>서.jpg
(확장자 변경 가능)</t>
  </si>
  <si>
    <t>[ 북쪽에서 남쪽을 보고 ]</t>
  </si>
  <si>
    <t>남.jpg
(확장자 변경 가능)</t>
  </si>
  <si>
    <t>[ 남쪽에서 북쪽을 보고 ]</t>
  </si>
  <si>
    <t>북.jpg
(확장자 변경 가능)</t>
  </si>
  <si>
    <t>방위표지_1</t>
  </si>
  <si>
    <t>[ 방위표지 시준거리 추가 확보할 때 ]</t>
  </si>
  <si>
    <t>방위표지_1.jpg
(확장자 변경 가능)</t>
  </si>
  <si>
    <t>방위표지_2</t>
  </si>
  <si>
    <t>방위표지_2.jpg
(확장자 변경 가능)</t>
  </si>
  <si>
    <t>철제 구조물, 차량, 휴대품 등 자기장 영향 물체 접근 최소화</t>
    <phoneticPr fontId="14" type="noConversion"/>
  </si>
  <si>
    <t>센서는 작업자 및 콘솔 등 자성체와 충분히 이격하여 측정</t>
    <phoneticPr fontId="14" type="noConversion"/>
  </si>
  <si>
    <t>센서 방향은 측정 전 과정에서 동일하게 유지</t>
    <phoneticPr fontId="14" type="noConversion"/>
  </si>
  <si>
    <t>센서는 항상 동일한 자세로 사용</t>
    <phoneticPr fontId="14" type="noConversion"/>
  </si>
  <si>
    <t>:Issued: 2026 Sep 18 0030 UTC</t>
  </si>
  <si>
    <t>The greatest expected 3 hr Kp for Sep 18-Sep 20 2026 is 3.67 (below NOAA</t>
  </si>
  <si>
    <t>NOAA Kp index breakdown Sep 18-Sep 20 2026</t>
  </si>
  <si>
    <t xml:space="preserve">             Sep 18       Sep 19       Sep 20</t>
  </si>
  <si>
    <t xml:space="preserve">00-03UT       3.67         2.67         2.33     </t>
  </si>
  <si>
    <t xml:space="preserve">03-06UT       2.00         2.00         2.00     </t>
  </si>
  <si>
    <t xml:space="preserve">06-09UT       2.00         2.33         2.00     </t>
  </si>
  <si>
    <t xml:space="preserve">09-12UT       2.67         2.33         2.00     </t>
  </si>
  <si>
    <t xml:space="preserve">12-15UT       2.67         2.33         2.00     </t>
  </si>
  <si>
    <t xml:space="preserve">15-18UT       2.67         2.33         2.00     </t>
  </si>
  <si>
    <t xml:space="preserve">18-21UT       2.67         2.33         2.00     </t>
  </si>
  <si>
    <t xml:space="preserve">21-00UT       3.00         2.67         2.33     </t>
  </si>
  <si>
    <t>Rationale: No G1 (Minor) or greater geomagnetic storms are expected.  No</t>
  </si>
  <si>
    <t>significant transient or recurrent solar wind features are forecast.</t>
  </si>
  <si>
    <t>Solar Radiation Storm Forecast for Sep 18-Sep 20 2026</t>
  </si>
  <si>
    <t xml:space="preserve">              Sep 18  Sep 19  Sep 20</t>
  </si>
  <si>
    <t>Radio Blackout Forecast for Sep 18-Sep 20 2026</t>
  </si>
  <si>
    <t xml:space="preserve">              Sep 18        Sep 19        Sep 20</t>
  </si>
  <si>
    <t>⑨ 구배 자동계산 — GSM-19T 파일 내용을 그대로 붙여 넣는 곳</t>
  </si>
  <si>
    <t>지점</t>
  </si>
  <si>
    <t>01_태백 신규점</t>
  </si>
  <si>
    <t>P0~1 m</t>
  </si>
  <si>
    <t>02_임계 신규점1</t>
  </si>
  <si>
    <t>1~2 m</t>
  </si>
  <si>
    <t>03_예산 신규점2</t>
  </si>
  <si>
    <t>2~3 m</t>
  </si>
  <si>
    <t>04_진안 신규점1</t>
  </si>
  <si>
    <t>3~4 m</t>
  </si>
  <si>
    <t>05_무풍 신규점1</t>
  </si>
  <si>
    <t>4~5 m</t>
  </si>
  <si>
    <t>06_길담 신규점</t>
  </si>
  <si>
    <t>5~6 m</t>
  </si>
  <si>
    <t>07_남해 신규점1</t>
  </si>
  <si>
    <t>6~7 m</t>
  </si>
  <si>
    <t>08_청일 신규점2</t>
  </si>
  <si>
    <t>7~8 m</t>
  </si>
  <si>
    <t>09_어론 신규점</t>
  </si>
  <si>
    <t>8~9 m</t>
  </si>
  <si>
    <t>10_예안 신규점1</t>
  </si>
  <si>
    <t>9~10 m</t>
  </si>
  <si>
    <t>11_소천 신규점4</t>
  </si>
  <si>
    <t>12_순창 신규점</t>
  </si>
  <si>
    <t>수직 — 삼각대 파일 블록을 시각순으로 봉 4 → 3 → 2 → 1</t>
  </si>
  <si>
    <t>13_순천 신규점</t>
  </si>
  <si>
    <t>높이</t>
  </si>
  <si>
    <t>평균 F(nT)</t>
  </si>
  <si>
    <t>읽은 시각</t>
  </si>
  <si>
    <t>14_청송 신규점1</t>
  </si>
  <si>
    <t>봉 4</t>
  </si>
  <si>
    <t>185 cm</t>
  </si>
  <si>
    <t>15_의성 신규점</t>
  </si>
  <si>
    <t>봉 3</t>
  </si>
  <si>
    <t>140 cm</t>
  </si>
  <si>
    <t>16_예천 신규점</t>
  </si>
  <si>
    <t>봉 2</t>
  </si>
  <si>
    <t>95 cm</t>
  </si>
  <si>
    <t>17_영양 신규점4</t>
  </si>
  <si>
    <t>봉 1</t>
  </si>
  <si>
    <t>50 cm</t>
  </si>
  <si>
    <t>18_통영 신규점</t>
  </si>
  <si>
    <t>높이는 카드 기본값(185·140·95·50 cm)입니다. 실제로 다르면 카드에서 고쳐 적어 주세요. 「중심점 1.0 m·1.5 m」처럼 따로 잰 파일은 여기 넣지 말고 카드 비고에 적습니다.</t>
  </si>
  <si>
    <t>19_오호 신규점</t>
  </si>
  <si>
    <t>붙여넣기 전 확인 — 카드에서 나올 값과 같습니다</t>
  </si>
  <si>
    <t>20_보령 신규점2</t>
  </si>
  <si>
    <t>잰 거리</t>
  </si>
  <si>
    <t>최대 구간구배</t>
  </si>
  <si>
    <t>읽음/제외</t>
  </si>
  <si>
    <t>확인</t>
  </si>
  <si>
    <t>21_담양 신규점2</t>
  </si>
  <si>
    <t>22_완도 신규점</t>
  </si>
  <si>
    <t>23_덕산 신규점1</t>
  </si>
  <si>
    <t>24_회천 신규점2</t>
  </si>
  <si>
    <t>25_관리 신규점3</t>
  </si>
  <si>
    <t>26_고남 신규점2</t>
  </si>
  <si>
    <t>· 거리 배정은 블록을 «시작 시각순»으로 줄 세워 P0(전) → 1 m → … → P0(후) 로 합니다. 파일 안 블록 순서가 뒤섞여 있어도(오호 서쪽이 그랬습니다) 시각으로 다시 세웁니다.
· 한 지점에서 뺀 읽음은 F=0.00, 품질 뒷자리 0, 그 지점 중앙값에서 ±5 nT 벗어난 값입니다. 뺀 개수는 「읽음/제외」에 나옵니다.
· 여기 값은 시간변화를 빼기 전 값이라 P0 전후차가 크면 그만큼 섞여 있다는 뜻입니다. 국내 기준은 아직 없으니 값이 크다고 현장에서 자리를 접지 마세요.</t>
  </si>
  <si>
    <t>27_전의 신규점</t>
  </si>
  <si>
    <t>28_이원 신규점</t>
  </si>
  <si>
    <t>29_가야 신규점1</t>
  </si>
  <si>
    <t>30_창녕 신규점</t>
  </si>
  <si>
    <t>31_언양 신규점3</t>
  </si>
  <si>
    <t>32_함양 신규점</t>
  </si>
  <si>
    <t>33_문산 신규점</t>
  </si>
  <si>
    <t>34_부안 신규점</t>
  </si>
  <si>
    <t>35_상주</t>
  </si>
  <si>
    <t>36_미원</t>
  </si>
  <si>
    <t>37_부안</t>
  </si>
  <si>
    <t>38_강화</t>
  </si>
  <si>
    <t>39_언양</t>
  </si>
  <si>
    <t>40_남지</t>
  </si>
  <si>
    <t>41_거제</t>
  </si>
  <si>
    <t>42_조도</t>
  </si>
  <si>
    <t>43_포천</t>
  </si>
  <si>
    <t>44_성산</t>
  </si>
  <si>
    <t>45_여주</t>
  </si>
  <si>
    <t>46_화천</t>
  </si>
  <si>
    <t>47_봉평</t>
  </si>
  <si>
    <t>48_삼척</t>
  </si>
  <si>
    <t>49_제천</t>
  </si>
  <si>
    <t>50_함양</t>
  </si>
  <si>
    <t>P0→끝
ΔF (nT)</t>
    <phoneticPr fontId="14" type="noConversion"/>
  </si>
  <si>
    <t>P0→끝
평균구배
(nT/m)</t>
    <phoneticPr fontId="14" type="noConversion"/>
  </si>
  <si>
    <t>⑩ 원문 보관 — 지점마다 다섯 칸. 여기에 붙여 넣는 것이 곧 저장입니다 (⑨ 시트가 고른 지점의 칸을 읽어 계산합니다)</t>
  </si>
  <si>
    <t>01_태백 신규점  —  아래 다섯 칸에 그 방향 txt 를 통째로 붙여 넣습니다</t>
  </si>
  <si>
    <t>동 원문</t>
  </si>
  <si>
    <t>서 원문</t>
  </si>
  <si>
    <t>남 원문</t>
  </si>
  <si>
    <t>북 원문</t>
  </si>
  <si>
    <t>수직(삼각대) 원문</t>
  </si>
  <si>
    <t>02_임계 신규점1  —  아래 다섯 칸에 그 방향 txt 를 통째로 붙여 넣습니다</t>
  </si>
  <si>
    <t>03_예산 신규점2  —  아래 다섯 칸에 그 방향 txt 를 통째로 붙여 넣습니다</t>
  </si>
  <si>
    <t>04_진안 신규점1  —  아래 다섯 칸에 그 방향 txt 를 통째로 붙여 넣습니다</t>
  </si>
  <si>
    <t>05_무풍 신규점1  —  아래 다섯 칸에 그 방향 txt 를 통째로 붙여 넣습니다</t>
  </si>
  <si>
    <t>06_길담 신규점  —  아래 다섯 칸에 그 방향 txt 를 통째로 붙여 넣습니다</t>
  </si>
  <si>
    <t>07_남해 신규점1  —  아래 다섯 칸에 그 방향 txt 를 통째로 붙여 넣습니다</t>
  </si>
  <si>
    <t>08_청일 신규점2  —  아래 다섯 칸에 그 방향 txt 를 통째로 붙여 넣습니다</t>
  </si>
  <si>
    <t>09_어론 신규점  —  아래 다섯 칸에 그 방향 txt 를 통째로 붙여 넣습니다</t>
  </si>
  <si>
    <t>10_예안 신규점1  —  아래 다섯 칸에 그 방향 txt 를 통째로 붙여 넣습니다</t>
  </si>
  <si>
    <t>11_소천 신규점4  —  아래 다섯 칸에 그 방향 txt 를 통째로 붙여 넣습니다</t>
  </si>
  <si>
    <t>12_순창 신규점  —  아래 다섯 칸에 그 방향 txt 를 통째로 붙여 넣습니다</t>
  </si>
  <si>
    <t>13_순천 신규점  —  아래 다섯 칸에 그 방향 txt 를 통째로 붙여 넣습니다</t>
  </si>
  <si>
    <t>14_청송 신규점1  —  아래 다섯 칸에 그 방향 txt 를 통째로 붙여 넣습니다</t>
  </si>
  <si>
    <t>15_의성 신규점  —  아래 다섯 칸에 그 방향 txt 를 통째로 붙여 넣습니다</t>
  </si>
  <si>
    <t>16_예천 신규점  —  아래 다섯 칸에 그 방향 txt 를 통째로 붙여 넣습니다</t>
  </si>
  <si>
    <t>17_영양 신규점4  —  아래 다섯 칸에 그 방향 txt 를 통째로 붙여 넣습니다</t>
  </si>
  <si>
    <t>18_통영 신규점  —  아래 다섯 칸에 그 방향 txt 를 통째로 붙여 넣습니다</t>
  </si>
  <si>
    <t>19_오호 신규점  —  아래 다섯 칸에 그 방향 txt 를 통째로 붙여 넣습니다</t>
  </si>
  <si>
    <t>20_보령 신규점2  —  아래 다섯 칸에 그 방향 txt 를 통째로 붙여 넣습니다</t>
  </si>
  <si>
    <t>21_담양 신규점2  —  아래 다섯 칸에 그 방향 txt 를 통째로 붙여 넣습니다</t>
  </si>
  <si>
    <t>22_완도 신규점  —  아래 다섯 칸에 그 방향 txt 를 통째로 붙여 넣습니다</t>
  </si>
  <si>
    <t>23_덕산 신규점1  —  아래 다섯 칸에 그 방향 txt 를 통째로 붙여 넣습니다</t>
  </si>
  <si>
    <t>24_회천 신규점2  —  아래 다섯 칸에 그 방향 txt 를 통째로 붙여 넣습니다</t>
  </si>
  <si>
    <t>25_관리 신규점3  —  아래 다섯 칸에 그 방향 txt 를 통째로 붙여 넣습니다</t>
  </si>
  <si>
    <t>26_고남 신규점2  —  아래 다섯 칸에 그 방향 txt 를 통째로 붙여 넣습니다</t>
  </si>
  <si>
    <t>27_전의 신규점  —  아래 다섯 칸에 그 방향 txt 를 통째로 붙여 넣습니다</t>
  </si>
  <si>
    <t>28_이원 신규점  —  아래 다섯 칸에 그 방향 txt 를 통째로 붙여 넣습니다</t>
  </si>
  <si>
    <t>29_가야 신규점1  —  아래 다섯 칸에 그 방향 txt 를 통째로 붙여 넣습니다</t>
  </si>
  <si>
    <t>30_창녕 신규점  —  아래 다섯 칸에 그 방향 txt 를 통째로 붙여 넣습니다</t>
  </si>
  <si>
    <t>31_언양 신규점3  —  아래 다섯 칸에 그 방향 txt 를 통째로 붙여 넣습니다</t>
  </si>
  <si>
    <t>32_함양 신규점  —  아래 다섯 칸에 그 방향 txt 를 통째로 붙여 넣습니다</t>
  </si>
  <si>
    <t>33_문산 신규점  —  아래 다섯 칸에 그 방향 txt 를 통째로 붙여 넣습니다</t>
  </si>
  <si>
    <t>34_부안 신규점  —  아래 다섯 칸에 그 방향 txt 를 통째로 붙여 넣습니다</t>
  </si>
  <si>
    <t>35_상주  —  아래 다섯 칸에 그 방향 txt 를 통째로 붙여 넣습니다</t>
  </si>
  <si>
    <t>36_미원  —  아래 다섯 칸에 그 방향 txt 를 통째로 붙여 넣습니다</t>
  </si>
  <si>
    <t>37_부안  —  아래 다섯 칸에 그 방향 txt 를 통째로 붙여 넣습니다</t>
  </si>
  <si>
    <t>38_강화  —  아래 다섯 칸에 그 방향 txt 를 통째로 붙여 넣습니다</t>
  </si>
  <si>
    <t>39_언양  —  아래 다섯 칸에 그 방향 txt 를 통째로 붙여 넣습니다</t>
  </si>
  <si>
    <t>40_남지  —  아래 다섯 칸에 그 방향 txt 를 통째로 붙여 넣습니다</t>
  </si>
  <si>
    <t>41_거제  —  아래 다섯 칸에 그 방향 txt 를 통째로 붙여 넣습니다</t>
  </si>
  <si>
    <t>42_조도  —  아래 다섯 칸에 그 방향 txt 를 통째로 붙여 넣습니다</t>
  </si>
  <si>
    <t>43_포천  —  아래 다섯 칸에 그 방향 txt 를 통째로 붙여 넣습니다</t>
  </si>
  <si>
    <t>44_성산  —  아래 다섯 칸에 그 방향 txt 를 통째로 붙여 넣습니다</t>
  </si>
  <si>
    <t>45_여주  —  아래 다섯 칸에 그 방향 txt 를 통째로 붙여 넣습니다</t>
  </si>
  <si>
    <t>46_화천  —  아래 다섯 칸에 그 방향 txt 를 통째로 붙여 넣습니다</t>
  </si>
  <si>
    <t>47_봉평  —  아래 다섯 칸에 그 방향 txt 를 통째로 붙여 넣습니다</t>
  </si>
  <si>
    <t>48_삼척  —  아래 다섯 칸에 그 방향 txt 를 통째로 붙여 넣습니다</t>
  </si>
  <si>
    <t>49_제천  —  아래 다섯 칸에 그 방향 txt 를 통째로 붙여 넣습니다</t>
  </si>
  <si>
    <t>50_함양  —  아래 다섯 칸에 그 방향 txt 를 통째로 붙여 넣습니다</t>
  </si>
  <si>
    <t>동 원문 (⑩ 보관에서 읽음)</t>
    <phoneticPr fontId="14" type="noConversion"/>
  </si>
  <si>
    <t>서 원문 (⑩ 보관에서 읽음)</t>
    <phoneticPr fontId="14" type="noConversion"/>
  </si>
  <si>
    <t>남 원문 (⑩ 보관에서 읽음)</t>
    <phoneticPr fontId="14" type="noConversion"/>
  </si>
  <si>
    <t>북 원문 (⑩ 보관에서 읽음)</t>
    <phoneticPr fontId="14" type="noConversion"/>
  </si>
  <si>
    <t>수직(삼각대) 원문 (⑩ 보관에서 읽음)</t>
    <phoneticPr fontId="14" type="noConversion"/>
  </si>
  <si>
    <t>① 오른쪽 위에서 **지점을 고르고**, 바로 아래 「원문 칸으로 가기」를 누르면 그 지점의 다섯 칸(동·서·남·북·수직)으로 갑니다. 거기에 그 방향 txt 를 «통째로» 붙여 넣으세요(메모장에서 Ctrl+A → Ctrl+C → 칸 하나만 고르고 Ctrl+V).   ② 붙여 넣는 자리가 곧 보관 자리라 **따로 저장할 필요가 없습니다** — 지점을 바꿨다가 돌아와도 원문이 그대로 있고 결과도 다시 나옵니다.   ③ 오른쪽 초록 표가 바로 채워지고, 고른 지점 카드에도 저절로 들어갑니다 — 블록을 시각순으로 줄 세워 P0(전)·1 m·…·P0(후) 로 배정하고, 0.00 읽음과 품질 뒷자리 0, 중앙값에서 ±5 nT 벗어난 값을 빼고 평균을 냅니다.   ④ 아래 A9:E708 은 보관 칸을 비춰 보는 곳이라 여기에 붙여 넣지 않습니다.</t>
    <phoneticPr fontId="14" type="noConversion"/>
  </si>
  <si>
    <t>방향</t>
    <phoneticPr fontId="14" type="noConversion"/>
  </si>
  <si>
    <t>잰 거리</t>
    <phoneticPr fontId="14" type="noConversion"/>
  </si>
  <si>
    <t>최대 구간
수평구배
(nT/m)</t>
    <phoneticPr fontId="14" type="noConversion"/>
  </si>
  <si>
    <t>발생구간</t>
    <phoneticPr fontId="14" type="noConversion"/>
  </si>
  <si>
    <t xml:space="preserve">/Gem Systems GSM-19T 4106808 v7.0 26 IX 2014 M t-e2l..v7o                         </t>
  </si>
  <si>
    <t>/ID 2666 file 01survey.b   21 IX 26</t>
  </si>
  <si>
    <t>/datum  57000.00</t>
  </si>
  <si>
    <t>/</t>
  </si>
  <si>
    <t xml:space="preserve">/time nT sq </t>
  </si>
  <si>
    <t xml:space="preserve">111632.0  51389.19 96 </t>
  </si>
  <si>
    <t xml:space="preserve">111637.0  51389.38 95 </t>
  </si>
  <si>
    <t xml:space="preserve">111642.0  51389.30 96 </t>
  </si>
  <si>
    <t xml:space="preserve">111647.0  51389.29 96 </t>
  </si>
  <si>
    <t xml:space="preserve">111652.0  51389.41 96 </t>
  </si>
  <si>
    <t xml:space="preserve">111657.0  51389.32 96 </t>
  </si>
  <si>
    <t xml:space="preserve">111702.0  51388.97 96 </t>
  </si>
  <si>
    <t xml:space="preserve">111707.0  51389.35 95 </t>
  </si>
  <si>
    <t xml:space="preserve">111712.0  51388.95 96 </t>
  </si>
  <si>
    <t xml:space="preserve">111717.0  51389.48 96 </t>
  </si>
  <si>
    <t xml:space="preserve">111722.0  51389.19 95 </t>
  </si>
  <si>
    <t xml:space="preserve">111727.0  51389.41 95 </t>
  </si>
  <si>
    <t xml:space="preserve">111732.0  51389.24 96 </t>
  </si>
  <si>
    <t xml:space="preserve">111737.0  51389.27 95 </t>
  </si>
  <si>
    <t xml:space="preserve">111742.0  51389.19 96 </t>
  </si>
  <si>
    <t xml:space="preserve">111747.0  51389.23 96 </t>
  </si>
  <si>
    <t xml:space="preserve">111752.0  51389.43 96 </t>
  </si>
  <si>
    <t xml:space="preserve">111757.0  51389.23 96 </t>
  </si>
  <si>
    <t xml:space="preserve">111802.0  51389.12 96 </t>
  </si>
  <si>
    <t xml:space="preserve">111807.0  51389.35 96 </t>
  </si>
  <si>
    <t xml:space="preserve">111812.0  51389.46 96 </t>
  </si>
  <si>
    <t xml:space="preserve">111817.0  51389.39 96 </t>
  </si>
  <si>
    <t xml:space="preserve">111822.0  51389.30 96 </t>
  </si>
  <si>
    <t xml:space="preserve">111827.0  51389.58 95 </t>
  </si>
  <si>
    <t xml:space="preserve">111832.0  51389.66 95 </t>
  </si>
  <si>
    <t xml:space="preserve">111837.0  51389.61 96 </t>
  </si>
  <si>
    <t xml:space="preserve">111842.0  51389.86 95 </t>
  </si>
  <si>
    <t xml:space="preserve">111847.0  51389.50 96 </t>
  </si>
  <si>
    <t xml:space="preserve">111852.0  51389.59 95 </t>
  </si>
  <si>
    <t xml:space="preserve">111857.0  51389.45 96 </t>
  </si>
  <si>
    <t xml:space="preserve">111902.0  51389.68 96 </t>
  </si>
  <si>
    <t xml:space="preserve">111907.0  51388.80 96 </t>
  </si>
  <si>
    <t>/ID 2666 file 02survey.b   21 IX 26</t>
  </si>
  <si>
    <t xml:space="preserve">111952.0  51361.54 99 </t>
  </si>
  <si>
    <t xml:space="preserve">111957.0  51363.87 99 </t>
  </si>
  <si>
    <t xml:space="preserve">112002.0  51362.77 99 </t>
  </si>
  <si>
    <t xml:space="preserve">112007.0  51362.75 99 </t>
  </si>
  <si>
    <t xml:space="preserve">112012.0  51362.64 99 </t>
  </si>
  <si>
    <t xml:space="preserve">112017.0  51362.64 99 </t>
  </si>
  <si>
    <t xml:space="preserve">112022.0  51362.68 99 </t>
  </si>
  <si>
    <t xml:space="preserve">112027.0  51362.65 99 </t>
  </si>
  <si>
    <t xml:space="preserve">112032.0  51362.68 99 </t>
  </si>
  <si>
    <t xml:space="preserve">112037.0  51362.69 99 </t>
  </si>
  <si>
    <t xml:space="preserve">112042.0  51362.65 99 </t>
  </si>
  <si>
    <t xml:space="preserve">112047.0  51362.69 99 </t>
  </si>
  <si>
    <t xml:space="preserve">112052.0  51362.60 99 </t>
  </si>
  <si>
    <t xml:space="preserve">112057.0  51362.63 99 </t>
  </si>
  <si>
    <t xml:space="preserve">112102.0  51362.60 99 </t>
  </si>
  <si>
    <t xml:space="preserve">112107.0  51362.51 99 </t>
  </si>
  <si>
    <t xml:space="preserve">112112.0  51362.67 99 </t>
  </si>
  <si>
    <t xml:space="preserve">112117.0  51362.58 99 </t>
  </si>
  <si>
    <t xml:space="preserve">112122.0  51362.57 99 </t>
  </si>
  <si>
    <t xml:space="preserve">112127.0  51362.60 99 </t>
  </si>
  <si>
    <t xml:space="preserve">112132.0  51362.58 98 </t>
  </si>
  <si>
    <t xml:space="preserve">112137.0  51362.54 99 </t>
  </si>
  <si>
    <t xml:space="preserve">112142.0  51362.54 99 </t>
  </si>
  <si>
    <t xml:space="preserve">112147.0  51362.70 99 </t>
  </si>
  <si>
    <t xml:space="preserve">112152.0  51362.51 99 </t>
  </si>
  <si>
    <t xml:space="preserve">112157.0  51362.59 99 </t>
  </si>
  <si>
    <t xml:space="preserve">112202.0  51362.55 99 </t>
  </si>
  <si>
    <t xml:space="preserve">112207.0  51362.64 99 </t>
  </si>
  <si>
    <t xml:space="preserve">112212.0  51362.43 99 </t>
  </si>
  <si>
    <t xml:space="preserve">112217.0  51362.61 99 </t>
  </si>
  <si>
    <t xml:space="preserve">112222.0  51362.97 99 </t>
  </si>
  <si>
    <t>/ID 2666 file 03survey.b   21 IX 26</t>
  </si>
  <si>
    <t xml:space="preserve">112312.0  51350.91 99 </t>
  </si>
  <si>
    <t xml:space="preserve">112317.0  51350.94 99 </t>
  </si>
  <si>
    <t xml:space="preserve">112322.0  51350.95 99 </t>
  </si>
  <si>
    <t xml:space="preserve">112327.0  51350.94 99 </t>
  </si>
  <si>
    <t xml:space="preserve">112332.0  51350.97 99 </t>
  </si>
  <si>
    <t xml:space="preserve">112337.0  51351.03 99 </t>
  </si>
  <si>
    <t xml:space="preserve">112342.0  51351.11 99 </t>
  </si>
  <si>
    <t xml:space="preserve">112347.0  51351.11 99 </t>
  </si>
  <si>
    <t xml:space="preserve">112352.0  51351.04 99 </t>
  </si>
  <si>
    <t xml:space="preserve">112357.0  51351.02 99 </t>
  </si>
  <si>
    <t xml:space="preserve">112402.0  51351.14 99 </t>
  </si>
  <si>
    <t xml:space="preserve">112407.0  51351.09 99 </t>
  </si>
  <si>
    <t xml:space="preserve">112412.0  51351.03 99 </t>
  </si>
  <si>
    <t xml:space="preserve">112417.0  51351.18 99 </t>
  </si>
  <si>
    <t xml:space="preserve">112422.0  51351.13 99 </t>
  </si>
  <si>
    <t xml:space="preserve">112427.0  51351.13 99 </t>
  </si>
  <si>
    <t xml:space="preserve">112432.0  51351.17 99 </t>
  </si>
  <si>
    <t xml:space="preserve">112437.0  51351.06 99 </t>
  </si>
  <si>
    <t xml:space="preserve">112442.0  51351.08 99 </t>
  </si>
  <si>
    <t xml:space="preserve">112447.0  51351.15 99 </t>
  </si>
  <si>
    <t xml:space="preserve">112452.0  51351.11 99 </t>
  </si>
  <si>
    <t xml:space="preserve">112457.0  51351.14 99 </t>
  </si>
  <si>
    <t xml:space="preserve">112502.0  51351.20 99 </t>
  </si>
  <si>
    <t xml:space="preserve">112507.0  51351.14 99 </t>
  </si>
  <si>
    <t xml:space="preserve">112512.0  51351.19 99 </t>
  </si>
  <si>
    <t xml:space="preserve">112517.0  51351.29 99 </t>
  </si>
  <si>
    <t xml:space="preserve">112522.0  51351.33 99 </t>
  </si>
  <si>
    <t xml:space="preserve">112527.0  51351.22 99 </t>
  </si>
  <si>
    <t xml:space="preserve">112532.0  51351.25 99 </t>
  </si>
  <si>
    <t xml:space="preserve">112537.0  51351.24 99 </t>
  </si>
  <si>
    <t xml:space="preserve">112542.0  51351.17 99 </t>
  </si>
  <si>
    <t xml:space="preserve">112547.0  51351.27 99 </t>
  </si>
  <si>
    <t xml:space="preserve">112552.0  51351.30 99 </t>
  </si>
  <si>
    <t xml:space="preserve">112557.0  51351.20 99 </t>
  </si>
  <si>
    <t xml:space="preserve">112602.0  51351.45 99 </t>
  </si>
  <si>
    <t>/ID 2666 file 04survey.b   21 IX 26</t>
  </si>
  <si>
    <t xml:space="preserve">112632.0  51334.48 99 </t>
  </si>
  <si>
    <t xml:space="preserve">112637.0  51334.51 99 </t>
  </si>
  <si>
    <t xml:space="preserve">112642.0  51334.51 99 </t>
  </si>
  <si>
    <t xml:space="preserve">112647.0  51334.49 99 </t>
  </si>
  <si>
    <t xml:space="preserve">112652.0  51334.41 99 </t>
  </si>
  <si>
    <t xml:space="preserve">112657.0  51334.48 99 </t>
  </si>
  <si>
    <t xml:space="preserve">112702.0  51334.45 99 </t>
  </si>
  <si>
    <t xml:space="preserve">112707.0  51334.54 99 </t>
  </si>
  <si>
    <t xml:space="preserve">112712.0  51334.45 99 </t>
  </si>
  <si>
    <t xml:space="preserve">112717.0  51334.44 99 </t>
  </si>
  <si>
    <t xml:space="preserve">112722.0  51334.57 99 </t>
  </si>
  <si>
    <t xml:space="preserve">112727.0  51334.67 99 </t>
  </si>
  <si>
    <t xml:space="preserve">112732.0  51334.67 98 </t>
  </si>
  <si>
    <t xml:space="preserve">112737.0  51334.69 99 </t>
  </si>
  <si>
    <t xml:space="preserve">112742.0  51334.49 99 </t>
  </si>
  <si>
    <t xml:space="preserve">112747.0  51334.48 99 </t>
  </si>
  <si>
    <t xml:space="preserve">112752.0  51334.57 99 </t>
  </si>
  <si>
    <t xml:space="preserve">112757.0  51334.50 99 </t>
  </si>
  <si>
    <t xml:space="preserve">112802.0  51334.47 99 </t>
  </si>
  <si>
    <t xml:space="preserve">112807.0  51334.65 99 </t>
  </si>
  <si>
    <t xml:space="preserve">112812.0  51334.58 99 </t>
  </si>
  <si>
    <t xml:space="preserve">112817.0  51334.45 99 </t>
  </si>
  <si>
    <t xml:space="preserve">112822.0  51334.59 99 </t>
  </si>
  <si>
    <t xml:space="preserve">112827.0  51334.61 99 </t>
  </si>
  <si>
    <t xml:space="preserve">112832.0  51334.78 99 </t>
  </si>
  <si>
    <t xml:space="preserve">112837.0  51334.68 99 </t>
  </si>
  <si>
    <t xml:space="preserve">112842.0  51334.64 99 </t>
  </si>
  <si>
    <t xml:space="preserve">112847.0  51334.67 99 </t>
  </si>
  <si>
    <t xml:space="preserve">112852.0  51334.61 99 </t>
  </si>
  <si>
    <t xml:space="preserve">112857.0  51334.64 99 </t>
  </si>
  <si>
    <t xml:space="preserve">112902.0  51334.15 98 </t>
  </si>
  <si>
    <t>/ID 2666 file 05survey.b   21 IX 26</t>
  </si>
  <si>
    <t xml:space="preserve">112937.0  51328.90 98 </t>
  </si>
  <si>
    <t xml:space="preserve">112942.0  51329.16 97 </t>
  </si>
  <si>
    <t xml:space="preserve">112947.0  51329.60 98 </t>
  </si>
  <si>
    <t xml:space="preserve">112952.0  51329.49 98 </t>
  </si>
  <si>
    <t xml:space="preserve">112957.0  51329.50 98 </t>
  </si>
  <si>
    <t xml:space="preserve">113002.0  51329.51 98 </t>
  </si>
  <si>
    <t xml:space="preserve">113007.0  51329.52 98 </t>
  </si>
  <si>
    <t xml:space="preserve">113012.0  51329.45 97 </t>
  </si>
  <si>
    <t xml:space="preserve">113017.0  51329.66 98 </t>
  </si>
  <si>
    <t xml:space="preserve">113022.0  51329.54 98 </t>
  </si>
  <si>
    <t xml:space="preserve">113027.0  51329.08 97 </t>
  </si>
  <si>
    <t xml:space="preserve">113032.0  51329.09 98 </t>
  </si>
  <si>
    <t xml:space="preserve">113037.0  51329.03 98 </t>
  </si>
  <si>
    <t xml:space="preserve">113042.0  51329.01 98 </t>
  </si>
  <si>
    <t xml:space="preserve">113047.0  51329.04 98 </t>
  </si>
  <si>
    <t xml:space="preserve">113052.0  51329.23 97 </t>
  </si>
  <si>
    <t xml:space="preserve">113057.0  51329.18 98 </t>
  </si>
  <si>
    <t xml:space="preserve">113102.0  51329.12 98 </t>
  </si>
  <si>
    <t xml:space="preserve">113107.0  51329.12 98 </t>
  </si>
  <si>
    <t xml:space="preserve">113112.0  51329.06 98 </t>
  </si>
  <si>
    <t xml:space="preserve">113117.0  51328.97 97 </t>
  </si>
  <si>
    <t xml:space="preserve">113122.0  51329.13 97 </t>
  </si>
  <si>
    <t xml:space="preserve">113127.0  51329.16 98 </t>
  </si>
  <si>
    <t xml:space="preserve">113132.0  51329.12 98 </t>
  </si>
  <si>
    <t xml:space="preserve">113137.0  51329.00 97 </t>
  </si>
  <si>
    <t xml:space="preserve">113142.0  51329.01 98 </t>
  </si>
  <si>
    <t xml:space="preserve">113147.0  51329.06 97 </t>
  </si>
  <si>
    <t xml:space="preserve">113152.0  51329.14 97 </t>
  </si>
  <si>
    <t xml:space="preserve">113157.0  51328.95 97 </t>
  </si>
  <si>
    <t xml:space="preserve">113202.0  51329.04 97 </t>
  </si>
  <si>
    <t xml:space="preserve">113207.0  51329.51 97 </t>
  </si>
  <si>
    <t xml:space="preserve">113212.0  51313.06 97 </t>
  </si>
  <si>
    <t xml:space="preserve">113217.0  51335.49 59 </t>
  </si>
  <si>
    <t xml:space="preserve">113222.0  51338.44 64 </t>
  </si>
  <si>
    <t>/ID 2666 file 06survey.b   21 IX 26</t>
  </si>
  <si>
    <t xml:space="preserve">113252.0  51329.31 53 </t>
  </si>
  <si>
    <t xml:space="preserve">113257.0  51329.78 54 </t>
  </si>
  <si>
    <t xml:space="preserve">113302.0  51328.93 53 </t>
  </si>
  <si>
    <t xml:space="preserve">113307.0  51328.82 53 </t>
  </si>
  <si>
    <t xml:space="preserve">113312.0  51328.50 43 </t>
  </si>
  <si>
    <t xml:space="preserve">113317.0  51328.38 33 </t>
  </si>
  <si>
    <t xml:space="preserve">113322.0  51329.70 53 </t>
  </si>
  <si>
    <t xml:space="preserve">113327.0  51329.44 33 </t>
  </si>
  <si>
    <t xml:space="preserve">113332.0  51329.45 43 </t>
  </si>
  <si>
    <t xml:space="preserve">113337.0  51330.22 43 </t>
  </si>
  <si>
    <t xml:space="preserve">113342.0  51328.96 33 </t>
  </si>
  <si>
    <t xml:space="preserve">113347.0  51328.08 43 </t>
  </si>
  <si>
    <t xml:space="preserve">113352.0  51332.82 63 </t>
  </si>
  <si>
    <t xml:space="preserve">113357.0  51334.23 43 </t>
  </si>
  <si>
    <t xml:space="preserve">113402.0  51338.64 33 </t>
  </si>
  <si>
    <t xml:space="preserve">113407.0  51393.92 33 </t>
  </si>
  <si>
    <t xml:space="preserve">113412.0  51310.80 63 </t>
  </si>
  <si>
    <t xml:space="preserve">113417.0  51332.17 33 </t>
  </si>
  <si>
    <t xml:space="preserve">113422.0  51335.11 53 </t>
  </si>
  <si>
    <t xml:space="preserve">113427.0  51338.00 53 </t>
  </si>
  <si>
    <t xml:space="preserve">113432.0  51350.24 53 </t>
  </si>
  <si>
    <t xml:space="preserve">113437.0  51340.88 63 </t>
  </si>
  <si>
    <t xml:space="preserve">113442.0  51330.64 53 </t>
  </si>
  <si>
    <t xml:space="preserve">113447.0  51328.27 53 </t>
  </si>
  <si>
    <t xml:space="preserve">113452.0  51328.85 43 </t>
  </si>
  <si>
    <t xml:space="preserve">113457.0  51330.04 53 </t>
  </si>
  <si>
    <t xml:space="preserve">113502.0  51330.03 53 </t>
  </si>
  <si>
    <t xml:space="preserve">113507.0  51329.66 53 </t>
  </si>
  <si>
    <t xml:space="preserve">113512.0  51330.04 43 </t>
  </si>
  <si>
    <t xml:space="preserve">113517.0  51330.82 43 </t>
  </si>
  <si>
    <t>/ID 2666 file 07survey.b   21 IX 26</t>
  </si>
  <si>
    <t xml:space="preserve">113547.0  51334.76 84 </t>
  </si>
  <si>
    <t xml:space="preserve">113552.0  51334.14 63 </t>
  </si>
  <si>
    <t xml:space="preserve">113557.0  51334.80 74 </t>
  </si>
  <si>
    <t xml:space="preserve">113602.0  51334.15 64 </t>
  </si>
  <si>
    <t xml:space="preserve">113607.0  51333.73 33 </t>
  </si>
  <si>
    <t xml:space="preserve">113612.0  51335.06 64 </t>
  </si>
  <si>
    <t xml:space="preserve">113617.0  51335.21 54 </t>
  </si>
  <si>
    <t xml:space="preserve">113622.0  51334.77 64 </t>
  </si>
  <si>
    <t xml:space="preserve">113627.0  51334.39 94 </t>
  </si>
  <si>
    <t xml:space="preserve">113632.0  51334.99 84 </t>
  </si>
  <si>
    <t xml:space="preserve">113637.0  51334.05 54 </t>
  </si>
  <si>
    <t xml:space="preserve">113642.0  51334.64 63 </t>
  </si>
  <si>
    <t xml:space="preserve">113647.0  51334.77 73 </t>
  </si>
  <si>
    <t xml:space="preserve">113652.0  51334.97 64 </t>
  </si>
  <si>
    <t xml:space="preserve">113657.0  51334.31 64 </t>
  </si>
  <si>
    <t xml:space="preserve">113702.0  51334.97 83 </t>
  </si>
  <si>
    <t xml:space="preserve">113707.0  51334.82 74 </t>
  </si>
  <si>
    <t xml:space="preserve">113712.0  51334.92 44 </t>
  </si>
  <si>
    <t xml:space="preserve">113717.0  51333.81 34 </t>
  </si>
  <si>
    <t xml:space="preserve">113722.0  51335.20 74 </t>
  </si>
  <si>
    <t xml:space="preserve">113727.0  51334.80 64 </t>
  </si>
  <si>
    <t xml:space="preserve">113732.0  51334.48 74 </t>
  </si>
  <si>
    <t xml:space="preserve">113737.0  51335.00 74 </t>
  </si>
  <si>
    <t xml:space="preserve">113742.0  51335.27 64 </t>
  </si>
  <si>
    <t xml:space="preserve">113747.0  51335.22 64 </t>
  </si>
  <si>
    <t xml:space="preserve">113752.0  51335.10 64 </t>
  </si>
  <si>
    <t xml:space="preserve">113757.0  51335.05 64 </t>
  </si>
  <si>
    <t xml:space="preserve">113802.0  51335.48 43 </t>
  </si>
  <si>
    <t xml:space="preserve">113807.0  51334.83 74 </t>
  </si>
  <si>
    <t xml:space="preserve">113812.0  51335.15 63 </t>
  </si>
  <si>
    <t xml:space="preserve">113817.0  51334.61 64 </t>
  </si>
  <si>
    <t>/ID 2666 file 09survey.b   21 IX 26</t>
  </si>
  <si>
    <t xml:space="preserve">114047.0  51384.00 97 </t>
  </si>
  <si>
    <t xml:space="preserve">114052.0  51384.22 97 </t>
  </si>
  <si>
    <t xml:space="preserve">114057.0  51384.13 97 </t>
  </si>
  <si>
    <t xml:space="preserve">114102.0  51384.22 97 </t>
  </si>
  <si>
    <t xml:space="preserve">114107.0  51384.29 97 </t>
  </si>
  <si>
    <t xml:space="preserve">114112.0  51384.36 97 </t>
  </si>
  <si>
    <t xml:space="preserve">114117.0  51384.40 97 </t>
  </si>
  <si>
    <t xml:space="preserve">114122.0  51384.38 97 </t>
  </si>
  <si>
    <t xml:space="preserve">114127.0  51384.64 97 </t>
  </si>
  <si>
    <t xml:space="preserve">114132.0  51384.45 97 </t>
  </si>
  <si>
    <t xml:space="preserve">114137.0  51384.26 96 </t>
  </si>
  <si>
    <t xml:space="preserve">114142.0  51384.61 97 </t>
  </si>
  <si>
    <t xml:space="preserve">114147.0  51384.45 97 </t>
  </si>
  <si>
    <t xml:space="preserve">114152.0  51384.69 97 </t>
  </si>
  <si>
    <t xml:space="preserve">114157.0  51384.41 97 </t>
  </si>
  <si>
    <t xml:space="preserve">114202.0  51384.43 96 </t>
  </si>
  <si>
    <t xml:space="preserve">114207.0  51384.52 97 </t>
  </si>
  <si>
    <t xml:space="preserve">114212.0  51384.34 97 </t>
  </si>
  <si>
    <t xml:space="preserve">114217.0  51384.22 97 </t>
  </si>
  <si>
    <t xml:space="preserve">114222.0  51384.14 97 </t>
  </si>
  <si>
    <t xml:space="preserve">114227.0  51384.36 96 </t>
  </si>
  <si>
    <t xml:space="preserve">114232.0  51384.33 97 </t>
  </si>
  <si>
    <t xml:space="preserve">114237.0  51384.31 97 </t>
  </si>
  <si>
    <t xml:space="preserve">114242.0  51384.25 97 </t>
  </si>
  <si>
    <t xml:space="preserve">114247.0  51384.05 97 </t>
  </si>
  <si>
    <t xml:space="preserve">114252.0  51384.22 97 </t>
  </si>
  <si>
    <t xml:space="preserve">114257.0  51384.38 97 </t>
  </si>
  <si>
    <t xml:space="preserve">114302.0  51384.23 97 </t>
  </si>
  <si>
    <t xml:space="preserve">114307.0  51384.28 97 </t>
  </si>
  <si>
    <t xml:space="preserve">114312.0  51384.51 97 </t>
  </si>
  <si>
    <t xml:space="preserve">114317.0  51384.38 97 </t>
  </si>
  <si>
    <t xml:space="preserve"> file 11survey.b   21 IX 26</t>
  </si>
  <si>
    <t xml:space="preserve">114727.0  51389.10 96 </t>
  </si>
  <si>
    <t xml:space="preserve">114732.0  51388.74 96 </t>
  </si>
  <si>
    <t xml:space="preserve">114737.0  51388.89 96 </t>
  </si>
  <si>
    <t xml:space="preserve">114742.0  51388.88 96 </t>
  </si>
  <si>
    <t xml:space="preserve">114747.0  51388.82 96 </t>
  </si>
  <si>
    <t xml:space="preserve">114752.0  51389.14 97 </t>
  </si>
  <si>
    <t xml:space="preserve">114757.0  51389.02 97 </t>
  </si>
  <si>
    <t xml:space="preserve">114802.0  51389.08 96 </t>
  </si>
  <si>
    <t xml:space="preserve">114807.0  51389.02 96 </t>
  </si>
  <si>
    <t xml:space="preserve">114812.0  51389.14 96 </t>
  </si>
  <si>
    <t xml:space="preserve">114817.0  51389.04 96 </t>
  </si>
  <si>
    <t xml:space="preserve">114822.0  51388.95 96 </t>
  </si>
  <si>
    <t xml:space="preserve">114827.0  51389.03 96 </t>
  </si>
  <si>
    <t xml:space="preserve">114832.0  51389.21 96 </t>
  </si>
  <si>
    <t xml:space="preserve">114837.0  51389.03 96 </t>
  </si>
  <si>
    <t xml:space="preserve">114842.0  51389.10 96 </t>
  </si>
  <si>
    <t xml:space="preserve">114847.0  51389.00 96 </t>
  </si>
  <si>
    <t xml:space="preserve">114852.0  51388.93 96 </t>
  </si>
  <si>
    <t xml:space="preserve">114857.0  51388.96 96 </t>
  </si>
  <si>
    <t xml:space="preserve">114902.0  51388.92 96 </t>
  </si>
  <si>
    <t xml:space="preserve">114907.0  51388.96 97 </t>
  </si>
  <si>
    <t xml:space="preserve">114912.0  51388.77 96 </t>
  </si>
  <si>
    <t xml:space="preserve">114917.0  51388.86 96 </t>
  </si>
  <si>
    <t xml:space="preserve">114922.0  51388.66 96 </t>
  </si>
  <si>
    <t xml:space="preserve">114927.0  51388.87 96 </t>
  </si>
  <si>
    <t xml:space="preserve">114932.0  51388.86 96 </t>
  </si>
  <si>
    <t xml:space="preserve">114937.0  51388.81 96 </t>
  </si>
  <si>
    <t xml:space="preserve">114942.0  51388.83 97 </t>
  </si>
  <si>
    <t xml:space="preserve">114947.0  51388.94 96 </t>
  </si>
  <si>
    <t xml:space="preserve">114952.0  51389.03 96 </t>
  </si>
  <si>
    <t>/ID 2666 file 10survey.b   21 IX 26</t>
  </si>
  <si>
    <t xml:space="preserve">114357.0  51409.89 54 </t>
  </si>
  <si>
    <t xml:space="preserve">114402.0  51409.65 54 </t>
  </si>
  <si>
    <t xml:space="preserve">114407.0  51408.10 44 </t>
  </si>
  <si>
    <t xml:space="preserve">114412.0  51408.94 34 </t>
  </si>
  <si>
    <t xml:space="preserve">114417.0  51409.33 84 </t>
  </si>
  <si>
    <t xml:space="preserve">114422.0  51409.43 54 </t>
  </si>
  <si>
    <t xml:space="preserve">114427.0  51409.41 84 </t>
  </si>
  <si>
    <t xml:space="preserve">114432.0  51409.24 74 </t>
  </si>
  <si>
    <t xml:space="preserve">114437.0  51408.58 64 </t>
  </si>
  <si>
    <t xml:space="preserve">114442.0  51408.86 53 </t>
  </si>
  <si>
    <t xml:space="preserve">114447.0  51409.35 64 </t>
  </si>
  <si>
    <t xml:space="preserve">114452.0  51409.47 74 </t>
  </si>
  <si>
    <t xml:space="preserve">114457.0  51408.77 64 </t>
  </si>
  <si>
    <t xml:space="preserve">114502.0  51409.28 63 </t>
  </si>
  <si>
    <t xml:space="preserve">114507.0  51408.33 43 </t>
  </si>
  <si>
    <t xml:space="preserve">114512.0  51408.63 64 </t>
  </si>
  <si>
    <t xml:space="preserve">114517.0  51409.49 64 </t>
  </si>
  <si>
    <t xml:space="preserve">114522.0  51408.87 64 </t>
  </si>
  <si>
    <t xml:space="preserve">114527.0  51409.45 93 </t>
  </si>
  <si>
    <t xml:space="preserve">114532.0  51409.93 44 </t>
  </si>
  <si>
    <t xml:space="preserve">114537.0  51408.93 84 </t>
  </si>
  <si>
    <t xml:space="preserve">114542.0  51409.01 54 </t>
  </si>
  <si>
    <t xml:space="preserve">114547.0  51409.37 94 </t>
  </si>
  <si>
    <t xml:space="preserve">114552.0  51409.42 74 </t>
  </si>
  <si>
    <t xml:space="preserve">114557.0  51408.72 54 </t>
  </si>
  <si>
    <t xml:space="preserve">114602.0  51409.84 64 </t>
  </si>
  <si>
    <t xml:space="preserve">114607.0  51409.55 54 </t>
  </si>
  <si>
    <t xml:space="preserve">114612.0  51408.71 64 </t>
  </si>
  <si>
    <t xml:space="preserve">114617.0  51410.39 54 </t>
  </si>
  <si>
    <t xml:space="preserve">114622.0  51409.00 64 </t>
  </si>
  <si>
    <t xml:space="preserve">114627.0  51408.41 44 </t>
  </si>
  <si>
    <t xml:space="preserve">114632.0  51408.54 84 </t>
  </si>
  <si>
    <t xml:space="preserve">114637.0  51409.07 64 </t>
  </si>
  <si>
    <t xml:space="preserve">114642.0  51409.09 63 </t>
  </si>
  <si>
    <t xml:space="preserve">114647.0  51409.10 43 </t>
  </si>
  <si>
    <t xml:space="preserve">114652.0  51410.13 64 </t>
  </si>
  <si>
    <t xml:space="preserve">114657.0  51410.46 64 </t>
  </si>
  <si>
    <t xml:space="preserve">114702.0  51471.92 56 </t>
  </si>
  <si>
    <t xml:space="preserve">114707.0  51402.54 55 </t>
  </si>
  <si>
    <t xml:space="preserve">114712.0  51385.00 84 </t>
  </si>
  <si>
    <t xml:space="preserve">114717.0  51388.73 96 </t>
  </si>
  <si>
    <t>/ID 2666 file 12survey.b   21 IX 26</t>
  </si>
  <si>
    <t xml:space="preserve">115037.0  51448.43 33 </t>
  </si>
  <si>
    <t xml:space="preserve">115042.0  51444.92 53 </t>
  </si>
  <si>
    <t xml:space="preserve">115047.0  51446.28 43 </t>
  </si>
  <si>
    <t xml:space="preserve">115052.0  51444.94 53 </t>
  </si>
  <si>
    <t xml:space="preserve">115057.0  51444.55 43 </t>
  </si>
  <si>
    <t xml:space="preserve">115102.0  51443.81 33 </t>
  </si>
  <si>
    <t xml:space="preserve">115107.0  51444.51 33 </t>
  </si>
  <si>
    <t xml:space="preserve">115112.0  51444.49 43 </t>
  </si>
  <si>
    <t xml:space="preserve">115117.0  51444.89 63 </t>
  </si>
  <si>
    <t xml:space="preserve">115122.0  51446.68 33 </t>
  </si>
  <si>
    <t xml:space="preserve">115127.0  51444.83 33 </t>
  </si>
  <si>
    <t xml:space="preserve">115132.0  51444.89 53 </t>
  </si>
  <si>
    <t xml:space="preserve">115137.0  51445.48 33 </t>
  </si>
  <si>
    <t xml:space="preserve">115142.0  51443.54 23 </t>
  </si>
  <si>
    <t xml:space="preserve">115147.0  51445.74 53 </t>
  </si>
  <si>
    <t xml:space="preserve">115152.0  51444.06 23 </t>
  </si>
  <si>
    <t xml:space="preserve">115157.0  51445.38 33 </t>
  </si>
  <si>
    <t xml:space="preserve">115202.0  51445.59 43 </t>
  </si>
  <si>
    <t xml:space="preserve">115207.0  51442.66 33 </t>
  </si>
  <si>
    <t xml:space="preserve">115212.0  51445.50 43 </t>
  </si>
  <si>
    <t xml:space="preserve">115217.0  51444.58 63 </t>
  </si>
  <si>
    <t xml:space="preserve">115222.0  51445.02 24 </t>
  </si>
  <si>
    <t xml:space="preserve">115227.0  51445.65 33 </t>
  </si>
  <si>
    <t xml:space="preserve">115232.0  51447.37 33 </t>
  </si>
  <si>
    <t xml:space="preserve">115237.0  51445.73 53 </t>
  </si>
  <si>
    <t xml:space="preserve">115242.0  51445.23 43 </t>
  </si>
  <si>
    <t xml:space="preserve">115247.0  51446.64 44 </t>
  </si>
  <si>
    <t xml:space="preserve">115252.0  51445.65 43 </t>
  </si>
  <si>
    <t xml:space="preserve">115257.0  51446.40 53 </t>
  </si>
  <si>
    <t xml:space="preserve">115302.0  51446.12 23 </t>
  </si>
  <si>
    <t xml:space="preserve">115307.0  51445.09 53 </t>
  </si>
  <si>
    <t>/ID 2666 file 13survey.b   21 IX 26</t>
  </si>
  <si>
    <t xml:space="preserve">115357.0  51533.28 99 </t>
  </si>
  <si>
    <t xml:space="preserve">115402.0  51533.39 99 </t>
  </si>
  <si>
    <t xml:space="preserve">115407.0  51533.50 99 </t>
  </si>
  <si>
    <t xml:space="preserve">115412.0  51533.31 99 </t>
  </si>
  <si>
    <t xml:space="preserve">115417.0  51533.44 98 </t>
  </si>
  <si>
    <t xml:space="preserve">115422.0  51533.38 98 </t>
  </si>
  <si>
    <t xml:space="preserve">115427.0  51533.39 99 </t>
  </si>
  <si>
    <t xml:space="preserve">115432.0  51533.48 98 </t>
  </si>
  <si>
    <t xml:space="preserve">115437.0  51533.55 98 </t>
  </si>
  <si>
    <t xml:space="preserve">115442.0  51533.36 99 </t>
  </si>
  <si>
    <t xml:space="preserve">115447.0  51533.49 99 </t>
  </si>
  <si>
    <t xml:space="preserve">115452.0  51533.48 98 </t>
  </si>
  <si>
    <t xml:space="preserve">115457.0  51533.46 98 </t>
  </si>
  <si>
    <t xml:space="preserve">115502.0  51533.60 98 </t>
  </si>
  <si>
    <t xml:space="preserve">115507.0  51533.61 99 </t>
  </si>
  <si>
    <t xml:space="preserve">115512.0  51533.56 99 </t>
  </si>
  <si>
    <t xml:space="preserve">115517.0  51533.57 99 </t>
  </si>
  <si>
    <t xml:space="preserve">115522.0  51533.46 98 </t>
  </si>
  <si>
    <t xml:space="preserve">115527.0  51533.65 99 </t>
  </si>
  <si>
    <t xml:space="preserve">115532.0  51525.41 98 </t>
  </si>
  <si>
    <t xml:space="preserve">115537.0  51533.39 98 </t>
  </si>
  <si>
    <t xml:space="preserve">115542.0  51533.74 99 </t>
  </si>
  <si>
    <t xml:space="preserve">115547.0  51533.74 99 </t>
  </si>
  <si>
    <t xml:space="preserve">115552.0  51533.88 98 </t>
  </si>
  <si>
    <t xml:space="preserve">115557.0  51533.94 99 </t>
  </si>
  <si>
    <t xml:space="preserve">115602.0  51533.82 99 </t>
  </si>
  <si>
    <t xml:space="preserve">115607.0  51533.81 99 </t>
  </si>
  <si>
    <t>/ID 2666 file 14survey.b   21 IX 26</t>
  </si>
  <si>
    <t xml:space="preserve">115637.0  51394.73 77 </t>
  </si>
  <si>
    <t xml:space="preserve">115642.0  51394.14 97 </t>
  </si>
  <si>
    <t xml:space="preserve">115647.0  51394.72 87 </t>
  </si>
  <si>
    <t xml:space="preserve">115652.0  51394.58 97 </t>
  </si>
  <si>
    <t xml:space="preserve">115657.0  51394.81 77 </t>
  </si>
  <si>
    <t xml:space="preserve">115702.0  51394.24 77 </t>
  </si>
  <si>
    <t xml:space="preserve">115707.0  51394.39 87 </t>
  </si>
  <si>
    <t xml:space="preserve">115712.0  51394.41 96 </t>
  </si>
  <si>
    <t xml:space="preserve">115717.0  51394.52 97 </t>
  </si>
  <si>
    <t xml:space="preserve">115722.0  51394.78 77 </t>
  </si>
  <si>
    <t xml:space="preserve">115727.0  51394.72 67 </t>
  </si>
  <si>
    <t xml:space="preserve">115732.0  51394.48 77 </t>
  </si>
  <si>
    <t xml:space="preserve">115737.0  51394.33 97 </t>
  </si>
  <si>
    <t xml:space="preserve">115742.0  51394.68 77 </t>
  </si>
  <si>
    <t xml:space="preserve">115747.0  51394.73 67 </t>
  </si>
  <si>
    <t xml:space="preserve">115752.0  51394.21 67 </t>
  </si>
  <si>
    <t xml:space="preserve">115757.0  51394.18 96 </t>
  </si>
  <si>
    <t xml:space="preserve">115802.0  51394.49 77 </t>
  </si>
  <si>
    <t xml:space="preserve">115807.0  51394.64 67 </t>
  </si>
  <si>
    <t xml:space="preserve">115812.0  51394.25 86 </t>
  </si>
  <si>
    <t xml:space="preserve">115817.0  51394.52 67 </t>
  </si>
  <si>
    <t xml:space="preserve">115822.0  51394.55 87 </t>
  </si>
  <si>
    <t xml:space="preserve">115827.0  51394.45 76 </t>
  </si>
  <si>
    <t xml:space="preserve">115832.0  51394.47 77 </t>
  </si>
  <si>
    <t xml:space="preserve">115837.0  51394.26 87 </t>
  </si>
  <si>
    <t xml:space="preserve">115842.0  51394.62 77 </t>
  </si>
  <si>
    <t>/ID 2666 file 15survey.b   21 IX 26</t>
  </si>
  <si>
    <t xml:space="preserve">115917.0  51199.57 46 </t>
  </si>
  <si>
    <t xml:space="preserve">115922.0  51199.28 46 </t>
  </si>
  <si>
    <t xml:space="preserve">115927.0  51200.26 56 </t>
  </si>
  <si>
    <t xml:space="preserve">115932.0  51200.04 46 </t>
  </si>
  <si>
    <t xml:space="preserve">115937.0  51198.56 57 </t>
  </si>
  <si>
    <t xml:space="preserve">115942.0  51199.48 46 </t>
  </si>
  <si>
    <t xml:space="preserve">115947.0  51198.82 56 </t>
  </si>
  <si>
    <t xml:space="preserve">115952.0  51198.91 56 </t>
  </si>
  <si>
    <t xml:space="preserve">115957.0  51199.03 47 </t>
  </si>
  <si>
    <t xml:space="preserve">120002.0  51199.33 56 </t>
  </si>
  <si>
    <t xml:space="preserve">120007.0  51199.95 46 </t>
  </si>
  <si>
    <t xml:space="preserve">120012.0  51198.42 56 </t>
  </si>
  <si>
    <t xml:space="preserve">120017.0  51198.56 56 </t>
  </si>
  <si>
    <t xml:space="preserve">120022.0  51198.94 56 </t>
  </si>
  <si>
    <t xml:space="preserve">120027.0  51198.61 55 </t>
  </si>
  <si>
    <t xml:space="preserve">120032.0  51198.68 46 </t>
  </si>
  <si>
    <t xml:space="preserve">120037.0  51199.74 57 </t>
  </si>
  <si>
    <t xml:space="preserve">120042.0  51198.90 56 </t>
  </si>
  <si>
    <t xml:space="preserve">120047.0  51198.74 45 </t>
  </si>
  <si>
    <t xml:space="preserve">120052.0  51200.44 46 </t>
  </si>
  <si>
    <t xml:space="preserve">120057.0  51199.30 46 </t>
  </si>
  <si>
    <t xml:space="preserve">120102.0  51199.08 46 </t>
  </si>
  <si>
    <t xml:space="preserve">120107.0  51198.85 56 </t>
  </si>
  <si>
    <t xml:space="preserve">120112.0  51199.55 46 </t>
  </si>
  <si>
    <t xml:space="preserve">120117.0  51200.77 57 </t>
  </si>
  <si>
    <t xml:space="preserve">120122.0  51199.10 46 </t>
  </si>
  <si>
    <t xml:space="preserve">120127.0  51198.81 56 </t>
  </si>
  <si>
    <t>/ID 2666 file 16survey.b   21 IX 26</t>
  </si>
  <si>
    <t xml:space="preserve">120157.0  51056.44 36 </t>
  </si>
  <si>
    <t xml:space="preserve">120202.0  51061.17 27 </t>
  </si>
  <si>
    <t xml:space="preserve">120207.0  51056.31 37 </t>
  </si>
  <si>
    <t xml:space="preserve">120212.0  51059.78 27 </t>
  </si>
  <si>
    <t xml:space="preserve">120217.0  51058.46 38 </t>
  </si>
  <si>
    <t xml:space="preserve">120222.0  51061.33 27 </t>
  </si>
  <si>
    <t xml:space="preserve">120227.0  51062.41 36 </t>
  </si>
  <si>
    <t xml:space="preserve">120232.0  51059.54 27 </t>
  </si>
  <si>
    <t xml:space="preserve">120237.0  51058.86 27 </t>
  </si>
  <si>
    <t xml:space="preserve">120242.0  51058.83 27 </t>
  </si>
  <si>
    <t xml:space="preserve">120247.0  51059.88 27 </t>
  </si>
  <si>
    <t xml:space="preserve">120252.0  51062.17 27 </t>
  </si>
  <si>
    <t xml:space="preserve">120257.0  51061.23 27 </t>
  </si>
  <si>
    <t xml:space="preserve">120302.0  51061.92 27 </t>
  </si>
  <si>
    <t xml:space="preserve">120307.0  51061.59 27 </t>
  </si>
  <si>
    <t xml:space="preserve">120312.0  51055.74 37 </t>
  </si>
  <si>
    <t xml:space="preserve">120317.0  51060.20 27 </t>
  </si>
  <si>
    <t xml:space="preserve">120322.0  51060.09 27 </t>
  </si>
  <si>
    <t xml:space="preserve">120327.0  51061.41 27 </t>
  </si>
  <si>
    <t xml:space="preserve">120332.0  51060.60 37 </t>
  </si>
  <si>
    <t xml:space="preserve">120337.0  51058.66 27 </t>
  </si>
  <si>
    <t xml:space="preserve">120342.0  51059.01 37 </t>
  </si>
  <si>
    <t xml:space="preserve">120347.0  51060.07 27 </t>
  </si>
  <si>
    <t xml:space="preserve">120352.0  51058.75 27 </t>
  </si>
  <si>
    <t xml:space="preserve">120357.0  51061.93 28 </t>
  </si>
  <si>
    <t xml:space="preserve">120402.0  51061.09 27 </t>
  </si>
  <si>
    <t xml:space="preserve">120407.0  51061.26 36 </t>
  </si>
  <si>
    <t>/ID 2666 file 17survey.b   21 IX 26</t>
  </si>
  <si>
    <t xml:space="preserve">120432.0  51078.98 16 </t>
  </si>
  <si>
    <t xml:space="preserve">120437.0  51080.60 26 </t>
  </si>
  <si>
    <t xml:space="preserve">120442.0  51080.06 26 </t>
  </si>
  <si>
    <t xml:space="preserve">120447.0  51075.26 16 </t>
  </si>
  <si>
    <t xml:space="preserve">120452.0  51075.47 26 </t>
  </si>
  <si>
    <t xml:space="preserve">120457.0  51078.72 26 </t>
  </si>
  <si>
    <t xml:space="preserve">120502.0  51076.73 26 </t>
  </si>
  <si>
    <t xml:space="preserve">120507.0  51071.97 26 </t>
  </si>
  <si>
    <t xml:space="preserve">120512.0  51076.34 26 </t>
  </si>
  <si>
    <t xml:space="preserve">120517.0  51082.52 16 </t>
  </si>
  <si>
    <t xml:space="preserve">120522.0  51072.67 26 </t>
  </si>
  <si>
    <t xml:space="preserve">120527.0  51078.60 25 </t>
  </si>
  <si>
    <t xml:space="preserve">120532.0  51079.11 17 </t>
  </si>
  <si>
    <t xml:space="preserve">120537.0  51079.35 16 </t>
  </si>
  <si>
    <t xml:space="preserve">120542.0  51076.54 26 </t>
  </si>
  <si>
    <t xml:space="preserve">120547.0  51072.19 25 </t>
  </si>
  <si>
    <t xml:space="preserve">120552.0  51078.98 16 </t>
  </si>
  <si>
    <t xml:space="preserve">120557.0  51078.46 16 </t>
  </si>
  <si>
    <t xml:space="preserve">120602.0  51081.30 26 </t>
  </si>
  <si>
    <t xml:space="preserve">120607.0  51067.19 26 </t>
  </si>
  <si>
    <t xml:space="preserve">120612.0  51079.15 26 </t>
  </si>
  <si>
    <t xml:space="preserve">120617.0  51076.92 16 </t>
  </si>
  <si>
    <t xml:space="preserve">120622.0  51076.65 15 </t>
  </si>
  <si>
    <t xml:space="preserve">120627.0  51076.95 26 </t>
  </si>
  <si>
    <t xml:space="preserve">120632.0  51077.67 16 </t>
  </si>
  <si>
    <t xml:space="preserve">120637.0  51072.99 16 </t>
  </si>
  <si>
    <t xml:space="preserve">120642.0  51077.72 16 </t>
  </si>
  <si>
    <t>/ID 2666 file 18survey.b   21 IX 26</t>
  </si>
  <si>
    <t xml:space="preserve">120722.0  51465.08 37 </t>
  </si>
  <si>
    <t xml:space="preserve">120727.0  51466.24 37 </t>
  </si>
  <si>
    <t xml:space="preserve">120732.0  51466.20 37 </t>
  </si>
  <si>
    <t xml:space="preserve">120737.0  51465.24 38 </t>
  </si>
  <si>
    <t xml:space="preserve">120742.0  51465.66 38 </t>
  </si>
  <si>
    <t xml:space="preserve">120747.0  51466.22 38 </t>
  </si>
  <si>
    <t xml:space="preserve">120752.0  51466.11 37 </t>
  </si>
  <si>
    <t xml:space="preserve">120757.0  51465.27 38 </t>
  </si>
  <si>
    <t xml:space="preserve">120802.0  51465.61 38 </t>
  </si>
  <si>
    <t xml:space="preserve">120807.0  51464.71 38 </t>
  </si>
  <si>
    <t xml:space="preserve">120812.0  51464.42 37 </t>
  </si>
  <si>
    <t xml:space="preserve">120817.0  51465.79 37 </t>
  </si>
  <si>
    <t xml:space="preserve">120822.0  51465.60 37 </t>
  </si>
  <si>
    <t xml:space="preserve">120827.0  51461.20 48 </t>
  </si>
  <si>
    <t xml:space="preserve">120832.0  51465.76 38 </t>
  </si>
  <si>
    <t xml:space="preserve">120837.0  51467.28 38 </t>
  </si>
  <si>
    <t xml:space="preserve">120842.0  51465.32 37 </t>
  </si>
  <si>
    <t xml:space="preserve">120847.0  51465.10 38 </t>
  </si>
  <si>
    <t xml:space="preserve">120852.0  51465.23 37 </t>
  </si>
  <si>
    <t xml:space="preserve">120857.0  51465.17 37 </t>
  </si>
  <si>
    <t xml:space="preserve">120902.0  51465.60 37 </t>
  </si>
  <si>
    <t xml:space="preserve">120907.0  51466.51 37 </t>
  </si>
  <si>
    <t xml:space="preserve">120912.0  51466.11 37 </t>
  </si>
  <si>
    <t xml:space="preserve">120917.0  51466.64 38 </t>
  </si>
  <si>
    <t xml:space="preserve">120922.0  51467.20 37 </t>
  </si>
  <si>
    <t xml:space="preserve">120927.0  51465.76 37 </t>
  </si>
  <si>
    <t xml:space="preserve">120932.0  51465.56 37 </t>
  </si>
  <si>
    <t>/ID 2666 file 19survey.b   21 IX 26</t>
  </si>
  <si>
    <t xml:space="preserve">121007.0  51714.83 47 </t>
  </si>
  <si>
    <t xml:space="preserve">121012.0  51714.43 48 </t>
  </si>
  <si>
    <t xml:space="preserve">121017.0  51714.72 47 </t>
  </si>
  <si>
    <t xml:space="preserve">121022.0  51714.89 57 </t>
  </si>
  <si>
    <t xml:space="preserve">121027.0  51714.79 48 </t>
  </si>
  <si>
    <t xml:space="preserve">121032.0  51714.16 58 </t>
  </si>
  <si>
    <t xml:space="preserve">121037.0  51714.37 48 </t>
  </si>
  <si>
    <t xml:space="preserve">121042.0  51714.07 58 </t>
  </si>
  <si>
    <t xml:space="preserve">121047.0  51714.54 48 </t>
  </si>
  <si>
    <t xml:space="preserve">121052.0  51714.86 57 </t>
  </si>
  <si>
    <t xml:space="preserve">121057.0  51713.56 47 </t>
  </si>
  <si>
    <t xml:space="preserve">121102.0  51714.34 57 </t>
  </si>
  <si>
    <t xml:space="preserve">121107.0  51714.49 58 </t>
  </si>
  <si>
    <t xml:space="preserve">121112.0  51715.09 58 </t>
  </si>
  <si>
    <t xml:space="preserve">121117.0  51715.28 58 </t>
  </si>
  <si>
    <t xml:space="preserve">121122.0  51714.49 47 </t>
  </si>
  <si>
    <t xml:space="preserve">121127.0  51715.20 58 </t>
  </si>
  <si>
    <t xml:space="preserve">121132.0  51715.08 58 </t>
  </si>
  <si>
    <t xml:space="preserve">121137.0  51714.29 57 </t>
  </si>
  <si>
    <t xml:space="preserve">121142.0  51714.85 58 </t>
  </si>
  <si>
    <t xml:space="preserve">121147.0  51714.40 58 </t>
  </si>
  <si>
    <t xml:space="preserve">121152.0  51714.11 47 </t>
  </si>
  <si>
    <t xml:space="preserve">121157.0  51714.83 58 </t>
  </si>
  <si>
    <t xml:space="preserve">121202.0  51714.86 58 </t>
  </si>
  <si>
    <t xml:space="preserve">121207.0  51715.35 58 </t>
  </si>
  <si>
    <t xml:space="preserve">121212.0  51713.88 47 </t>
  </si>
  <si>
    <t>/ID 2666 file 20survey.b   21 IX 26</t>
  </si>
  <si>
    <t xml:space="preserve">121237.0  52058.01 13 </t>
  </si>
  <si>
    <t xml:space="preserve">121242.0  52070.80 13 </t>
  </si>
  <si>
    <t xml:space="preserve">121247.0  52072.40 13 </t>
  </si>
  <si>
    <t xml:space="preserve">121252.0  52062.85 03 </t>
  </si>
  <si>
    <t xml:space="preserve">121257.0  52063.04 13 </t>
  </si>
  <si>
    <t xml:space="preserve">121302.0  52069.22 13 </t>
  </si>
  <si>
    <t xml:space="preserve">121307.0  52060.05 13 </t>
  </si>
  <si>
    <t xml:space="preserve">121312.0  52067.48 13 </t>
  </si>
  <si>
    <t xml:space="preserve">121317.0  52064.88 12 </t>
  </si>
  <si>
    <t xml:space="preserve">121322.0  52070.44 13 </t>
  </si>
  <si>
    <t xml:space="preserve">121327.0  52070.93 13 </t>
  </si>
  <si>
    <t xml:space="preserve">121332.0  52072.01 13 </t>
  </si>
  <si>
    <t xml:space="preserve">121337.0  52067.56 13 </t>
  </si>
  <si>
    <t xml:space="preserve">121342.0  52070.36 13 </t>
  </si>
  <si>
    <t xml:space="preserve">121347.0  52052.04 13 </t>
  </si>
  <si>
    <t xml:space="preserve">121352.0  52062.78 13 </t>
  </si>
  <si>
    <t xml:space="preserve">121357.0  52070.88 23 </t>
  </si>
  <si>
    <t xml:space="preserve">121402.0  52067.39 13 </t>
  </si>
  <si>
    <t xml:space="preserve">121407.0  52071.46 12 </t>
  </si>
  <si>
    <t xml:space="preserve">121412.0  52067.16 13 </t>
  </si>
  <si>
    <t xml:space="preserve">121417.0  52072.64 13 </t>
  </si>
  <si>
    <t xml:space="preserve">121422.0  52069.86 23 </t>
  </si>
  <si>
    <t xml:space="preserve">121427.0  52067.52 13 </t>
  </si>
  <si>
    <t xml:space="preserve">121432.0  52074.61 13 </t>
  </si>
  <si>
    <t xml:space="preserve">121437.0  52072.06 13 </t>
  </si>
  <si>
    <t xml:space="preserve">121442.0  52073.42 13 </t>
  </si>
  <si>
    <t xml:space="preserve">121447.0  52072.44 23 </t>
  </si>
  <si>
    <t xml:space="preserve">121452.0  52067.62 13 </t>
  </si>
  <si>
    <t xml:space="preserve">121457.0  52072.68 03 </t>
  </si>
  <si>
    <t xml:space="preserve">121502.0  52069.62 13 </t>
  </si>
  <si>
    <t>/ID 2666 file 21survey.b   21 IX 26</t>
  </si>
  <si>
    <t xml:space="preserve">121557.0  51388.36 97 </t>
  </si>
  <si>
    <t xml:space="preserve">121602.0  51388.47 97 </t>
  </si>
  <si>
    <t xml:space="preserve">121607.0  51388.48 98 </t>
  </si>
  <si>
    <t xml:space="preserve">121612.0  51388.46 98 </t>
  </si>
  <si>
    <t xml:space="preserve">121617.0  51388.51 98 </t>
  </si>
  <si>
    <t xml:space="preserve">121622.0  51388.47 97 </t>
  </si>
  <si>
    <t xml:space="preserve">121627.0  51388.71 98 </t>
  </si>
  <si>
    <t xml:space="preserve">121632.0  51388.45 98 </t>
  </si>
  <si>
    <t xml:space="preserve">121637.0  51388.36 98 </t>
  </si>
  <si>
    <t xml:space="preserve">121642.0  51388.64 98 </t>
  </si>
  <si>
    <t xml:space="preserve">121647.0  51388.59 98 </t>
  </si>
  <si>
    <t xml:space="preserve">121652.0  51388.55 97 </t>
  </si>
  <si>
    <t xml:space="preserve">121657.0  51388.53 97 </t>
  </si>
  <si>
    <t xml:space="preserve">121702.0  51388.52 97 </t>
  </si>
  <si>
    <t xml:space="preserve">121707.0  51388.55 97 </t>
  </si>
  <si>
    <t xml:space="preserve">121712.0  51388.60 97 </t>
  </si>
  <si>
    <t xml:space="preserve">121717.0  51388.61 98 </t>
  </si>
  <si>
    <t xml:space="preserve">121722.0  51388.59 98 </t>
  </si>
  <si>
    <t xml:space="preserve">121727.0  51388.62 97 </t>
  </si>
  <si>
    <t xml:space="preserve">121732.0  51388.71 98 </t>
  </si>
  <si>
    <t xml:space="preserve">121737.0  51388.61 97 </t>
  </si>
  <si>
    <t xml:space="preserve">121742.0  51388.68 98 </t>
  </si>
  <si>
    <t xml:space="preserve">121747.0  51388.53 97 </t>
  </si>
  <si>
    <t xml:space="preserve">121752.0  51388.55 98 </t>
  </si>
  <si>
    <t xml:space="preserve">121757.0  51388.60 97 </t>
  </si>
  <si>
    <t xml:space="preserve">121802.0  51388.70 97 </t>
  </si>
  <si>
    <t xml:space="preserve">121807.0  51388.86 97 </t>
  </si>
  <si>
    <t>/ID 2666</t>
  </si>
  <si>
    <t xml:space="preserve"> file 22survey.b   21 IX 26</t>
  </si>
  <si>
    <t xml:space="preserve">121822.0  51388.66 97 </t>
  </si>
  <si>
    <t xml:space="preserve">121827.0  51388.82 98 </t>
  </si>
  <si>
    <t xml:space="preserve">121832.0  51388.73 97 </t>
  </si>
  <si>
    <t xml:space="preserve">121837.0  51388.68 98 </t>
  </si>
  <si>
    <t xml:space="preserve">121842.0  51388.73 97 </t>
  </si>
  <si>
    <t xml:space="preserve">121847.0  51388.68 97 </t>
  </si>
  <si>
    <t xml:space="preserve">121852.0  51388.76 97 </t>
  </si>
  <si>
    <t xml:space="preserve">121857.0  51388.69 98 </t>
  </si>
  <si>
    <t xml:space="preserve">121902.0  51388.65 97 </t>
  </si>
  <si>
    <t xml:space="preserve">121907.0  51388.75 97 </t>
  </si>
  <si>
    <t xml:space="preserve">121912.0  51388.73 98 </t>
  </si>
  <si>
    <t xml:space="preserve">121917.0  51388.54 97 </t>
  </si>
  <si>
    <t xml:space="preserve">121922.0  51388.59 98 </t>
  </si>
  <si>
    <t xml:space="preserve">121927.0  51388.60 97 </t>
  </si>
  <si>
    <t xml:space="preserve">121932.0  51388.69 97 </t>
  </si>
  <si>
    <t xml:space="preserve">121937.0  51388.53 97 </t>
  </si>
  <si>
    <t xml:space="preserve">121942.0  51388.71 98 </t>
  </si>
  <si>
    <t xml:space="preserve">121947.0  51388.67 97 </t>
  </si>
  <si>
    <t xml:space="preserve">121952.0  51388.65 97 </t>
  </si>
  <si>
    <t xml:space="preserve">121957.0  51388.68 97 </t>
  </si>
  <si>
    <t xml:space="preserve">122002.0  51388.77 97 </t>
  </si>
  <si>
    <t xml:space="preserve">122007.0  51388.64 97 </t>
  </si>
  <si>
    <t xml:space="preserve">122012.0  51388.54 98 </t>
  </si>
  <si>
    <t xml:space="preserve">122017.0  51388.57 97 </t>
  </si>
  <si>
    <t xml:space="preserve">122022.0  51388.59 98 </t>
  </si>
  <si>
    <t xml:space="preserve">122027.0  51388.54 97 </t>
  </si>
  <si>
    <t>/ID 2666 file 23survey.b   21 IX 26</t>
  </si>
  <si>
    <t xml:space="preserve">122117.0  51367.96 95 </t>
  </si>
  <si>
    <t xml:space="preserve">122122.0  51368.29 94 </t>
  </si>
  <si>
    <t xml:space="preserve">122127.0  51368.29 95 </t>
  </si>
  <si>
    <t xml:space="preserve">122132.0  51368.08 94 </t>
  </si>
  <si>
    <t xml:space="preserve">122137.0  51368.47 95 </t>
  </si>
  <si>
    <t xml:space="preserve">122142.0  51368.14 95 </t>
  </si>
  <si>
    <t xml:space="preserve">122147.0  51368.89 94 </t>
  </si>
  <si>
    <t xml:space="preserve">122152.0  51368.52 84 </t>
  </si>
  <si>
    <t xml:space="preserve">122157.0  51368.67 95 </t>
  </si>
  <si>
    <t xml:space="preserve">122202.0  51368.43 95 </t>
  </si>
  <si>
    <t xml:space="preserve">122207.0  51368.56 95 </t>
  </si>
  <si>
    <t xml:space="preserve">122212.0  51368.43 84 </t>
  </si>
  <si>
    <t xml:space="preserve">122217.0  51368.40 95 </t>
  </si>
  <si>
    <t xml:space="preserve">122222.0  51368.08 94 </t>
  </si>
  <si>
    <t xml:space="preserve">122227.0  51368.74 94 </t>
  </si>
  <si>
    <t xml:space="preserve">122232.0  51368.61 95 </t>
  </si>
  <si>
    <t xml:space="preserve">122237.0  51368.62 94 </t>
  </si>
  <si>
    <t xml:space="preserve">122242.0  51368.33 94 </t>
  </si>
  <si>
    <t xml:space="preserve">122247.0  51368.47 74 </t>
  </si>
  <si>
    <t xml:space="preserve">122252.0  51368.65 94 </t>
  </si>
  <si>
    <t xml:space="preserve">122257.0  51368.90 65 </t>
  </si>
  <si>
    <t xml:space="preserve">122302.0  51368.78 94 </t>
  </si>
  <si>
    <t xml:space="preserve">122307.0  51368.95 74 </t>
  </si>
  <si>
    <t xml:space="preserve">122312.0  51369.00 94 </t>
  </si>
  <si>
    <t xml:space="preserve">122317.0  51369.02 94 </t>
  </si>
  <si>
    <t xml:space="preserve">122322.0  51368.86 95 </t>
  </si>
  <si>
    <t xml:space="preserve">122327.0  51369.19 95 </t>
  </si>
  <si>
    <t>/ID 2666 file 24survey.b   21 IX 26</t>
  </si>
  <si>
    <t xml:space="preserve">122412.0  51353.59 43 </t>
  </si>
  <si>
    <t xml:space="preserve">122417.0  51354.15 43 </t>
  </si>
  <si>
    <t xml:space="preserve">122422.0  51354.03 73 </t>
  </si>
  <si>
    <t xml:space="preserve">122427.0  51353.92 53 </t>
  </si>
  <si>
    <t xml:space="preserve">122432.0  51353.98 63 </t>
  </si>
  <si>
    <t xml:space="preserve">122437.0  51353.52 53 </t>
  </si>
  <si>
    <t xml:space="preserve">122442.0  51355.89 43 </t>
  </si>
  <si>
    <t xml:space="preserve">122447.0  51352.66 43 </t>
  </si>
  <si>
    <t xml:space="preserve">122452.0  51353.97 23 </t>
  </si>
  <si>
    <t xml:space="preserve">122457.0  51355.76 33 </t>
  </si>
  <si>
    <t xml:space="preserve">122502.0  51354.63 53 </t>
  </si>
  <si>
    <t xml:space="preserve">122507.0  51352.82 33 </t>
  </si>
  <si>
    <t xml:space="preserve">122512.0  51353.66 43 </t>
  </si>
  <si>
    <t xml:space="preserve">122517.0  51352.43 23 </t>
  </si>
  <si>
    <t xml:space="preserve">122522.0  51353.47 54 </t>
  </si>
  <si>
    <t xml:space="preserve">122527.0  51355.31 34 </t>
  </si>
  <si>
    <t xml:space="preserve">122532.0  51352.23 23 </t>
  </si>
  <si>
    <t xml:space="preserve">122537.0  51353.97 43 </t>
  </si>
  <si>
    <t xml:space="preserve">122542.0  51353.36 54 </t>
  </si>
  <si>
    <t xml:space="preserve">122547.0  51355.04 43 </t>
  </si>
  <si>
    <t xml:space="preserve">122552.0  51354.73 33 </t>
  </si>
  <si>
    <t xml:space="preserve">122557.0  51354.87 33 </t>
  </si>
  <si>
    <t xml:space="preserve">122602.0  51354.94 53 </t>
  </si>
  <si>
    <t xml:space="preserve">122607.0  51353.83 54 </t>
  </si>
  <si>
    <t xml:space="preserve">122612.0  51354.37 53 </t>
  </si>
  <si>
    <t xml:space="preserve">122617.0  51354.72 33 </t>
  </si>
  <si>
    <t xml:space="preserve">122622.0  51355.21 63 </t>
  </si>
  <si>
    <t>/ID 2666 file 25survey.b   21 IX 26</t>
  </si>
  <si>
    <t xml:space="preserve">122657.0  51341.22 73 </t>
  </si>
  <si>
    <t xml:space="preserve">122702.0  51341.50 93 </t>
  </si>
  <si>
    <t xml:space="preserve">122707.0  51341.93 94 </t>
  </si>
  <si>
    <t xml:space="preserve">122712.0  51342.25 34 </t>
  </si>
  <si>
    <t xml:space="preserve">122717.0  51340.98 53 </t>
  </si>
  <si>
    <t xml:space="preserve">122722.0  51342.07 74 </t>
  </si>
  <si>
    <t xml:space="preserve">122727.0  51342.18 64 </t>
  </si>
  <si>
    <t xml:space="preserve">122732.0  51341.61 64 </t>
  </si>
  <si>
    <t xml:space="preserve">122737.0  51341.77 63 </t>
  </si>
  <si>
    <t xml:space="preserve">122742.0  51341.58 83 </t>
  </si>
  <si>
    <t xml:space="preserve">122747.0  51341.68 54 </t>
  </si>
  <si>
    <t xml:space="preserve">122752.0  51341.65 43 </t>
  </si>
  <si>
    <t xml:space="preserve">122757.0  51341.09 53 </t>
  </si>
  <si>
    <t xml:space="preserve">122802.0  51341.77 53 </t>
  </si>
  <si>
    <t xml:space="preserve">122807.0  51341.44 43 </t>
  </si>
  <si>
    <t xml:space="preserve">122812.0  51341.88 63 </t>
  </si>
  <si>
    <t xml:space="preserve">122817.0  51342.39 63 </t>
  </si>
  <si>
    <t xml:space="preserve">122822.0  51342.37 54 </t>
  </si>
  <si>
    <t xml:space="preserve">122827.0  51341.83 53 </t>
  </si>
  <si>
    <t xml:space="preserve">122832.0  51342.27 74 </t>
  </si>
  <si>
    <t xml:space="preserve">122837.0  51340.96 43 </t>
  </si>
  <si>
    <t xml:space="preserve">122842.0  51342.21 63 </t>
  </si>
  <si>
    <t xml:space="preserve">122847.0  51342.75 63 </t>
  </si>
  <si>
    <t xml:space="preserve">122852.0  51342.53 73 </t>
  </si>
  <si>
    <t xml:space="preserve">122857.0  51341.54 63 </t>
  </si>
  <si>
    <t xml:space="preserve">122902.0  51342.61 43 </t>
  </si>
  <si>
    <t xml:space="preserve">122907.0  51342.69 54 </t>
  </si>
  <si>
    <t xml:space="preserve">122912.0  51342.87 83 </t>
  </si>
  <si>
    <t xml:space="preserve">122917.0  51342.34 53 </t>
  </si>
  <si>
    <t xml:space="preserve">122922.0  51342.09 74 </t>
  </si>
  <si>
    <t>/ID 2666 file 26survey.b   21 IX 26</t>
  </si>
  <si>
    <t xml:space="preserve">122957.0  51330.09 44 </t>
  </si>
  <si>
    <t xml:space="preserve">123002.0  51330.16 64 </t>
  </si>
  <si>
    <t xml:space="preserve">123007.0  51330.42 44 </t>
  </si>
  <si>
    <t xml:space="preserve">123012.0  51330.99 63 </t>
  </si>
  <si>
    <t xml:space="preserve">123017.0  51329.86 44 </t>
  </si>
  <si>
    <t xml:space="preserve">123022.0  51330.70 43 </t>
  </si>
  <si>
    <t xml:space="preserve">123027.0  51330.70 84 </t>
  </si>
  <si>
    <t xml:space="preserve">123032.0  51330.04 73 </t>
  </si>
  <si>
    <t xml:space="preserve">123037.0  51330.79 64 </t>
  </si>
  <si>
    <t xml:space="preserve">123042.0  51330.76 53 </t>
  </si>
  <si>
    <t xml:space="preserve">123047.0  51329.17 44 </t>
  </si>
  <si>
    <t xml:space="preserve">123052.0  51330.63 54 </t>
  </si>
  <si>
    <t xml:space="preserve">123057.0  51331.03 63 </t>
  </si>
  <si>
    <t xml:space="preserve">123102.0  51330.61 64 </t>
  </si>
  <si>
    <t xml:space="preserve">123107.0  51331.40 73 </t>
  </si>
  <si>
    <t xml:space="preserve">123112.0  51330.76 74 </t>
  </si>
  <si>
    <t xml:space="preserve">123117.0  51331.82 53 </t>
  </si>
  <si>
    <t xml:space="preserve">123122.0  51329.67 44 </t>
  </si>
  <si>
    <t xml:space="preserve">123127.0  51330.34 54 </t>
  </si>
  <si>
    <t xml:space="preserve">123132.0  51331.55 54 </t>
  </si>
  <si>
    <t xml:space="preserve">123137.0  51331.08 73 </t>
  </si>
  <si>
    <t xml:space="preserve">123142.0  51330.47 63 </t>
  </si>
  <si>
    <t xml:space="preserve">123147.0  51330.90 53 </t>
  </si>
  <si>
    <t xml:space="preserve">123152.0  51331.49 53 </t>
  </si>
  <si>
    <t xml:space="preserve">123157.0  51330.99 43 </t>
  </si>
  <si>
    <t xml:space="preserve">123202.0  51330.99 54 </t>
  </si>
  <si>
    <t xml:space="preserve">123207.0  51331.02 55 </t>
  </si>
  <si>
    <t>/ID 2666 file 27survey.b   21 IX 26</t>
  </si>
  <si>
    <t xml:space="preserve">123257.0  51397.75 53 </t>
  </si>
  <si>
    <t xml:space="preserve">123302.0  51397.86 43 </t>
  </si>
  <si>
    <t xml:space="preserve">123307.0  51397.74 64 </t>
  </si>
  <si>
    <t xml:space="preserve">123312.0  51398.23 54 </t>
  </si>
  <si>
    <t xml:space="preserve">123317.0  51398.35 34 </t>
  </si>
  <si>
    <t xml:space="preserve">123322.0  51398.35 53 </t>
  </si>
  <si>
    <t xml:space="preserve">123327.0  51398.24 63 </t>
  </si>
  <si>
    <t xml:space="preserve">123332.0  51398.17 34 </t>
  </si>
  <si>
    <t xml:space="preserve">123337.0  51398.02 73 </t>
  </si>
  <si>
    <t xml:space="preserve">123342.0  51397.26 43 </t>
  </si>
  <si>
    <t xml:space="preserve">123347.0  51397.84 43 </t>
  </si>
  <si>
    <t xml:space="preserve">123352.0  51398.03 74 </t>
  </si>
  <si>
    <t xml:space="preserve">123357.0  51397.88 54 </t>
  </si>
  <si>
    <t xml:space="preserve">123402.0  51397.89 34 </t>
  </si>
  <si>
    <t xml:space="preserve">123407.0  51396.78 43 </t>
  </si>
  <si>
    <t xml:space="preserve">123412.0  51396.28 33 </t>
  </si>
  <si>
    <t xml:space="preserve">123417.0  51398.41 64 </t>
  </si>
  <si>
    <t xml:space="preserve">123422.0  51398.02 54 </t>
  </si>
  <si>
    <t xml:space="preserve">123427.0  51398.15 34 </t>
  </si>
  <si>
    <t xml:space="preserve">123432.0  51397.60 63 </t>
  </si>
  <si>
    <t xml:space="preserve">123437.0  51398.85 33 </t>
  </si>
  <si>
    <t xml:space="preserve">123442.0  51398.31 53 </t>
  </si>
  <si>
    <t xml:space="preserve">123447.0  51397.80 73 </t>
  </si>
  <si>
    <t xml:space="preserve">123452.0  51398.19 63 </t>
  </si>
  <si>
    <t xml:space="preserve">123457.0  51397.03 43 </t>
  </si>
  <si>
    <t xml:space="preserve">123502.0  51397.86 54 </t>
  </si>
  <si>
    <t xml:space="preserve"> file 28survey.b   21 IX 26</t>
  </si>
  <si>
    <t xml:space="preserve">123522.0  51398.37 23 </t>
  </si>
  <si>
    <t xml:space="preserve">123527.0  51397.81 74 </t>
  </si>
  <si>
    <t xml:space="preserve">123532.0  51398.41 43 </t>
  </si>
  <si>
    <t xml:space="preserve">123537.0  51397.94 53 </t>
  </si>
  <si>
    <t xml:space="preserve">123542.0  51399.75 43 </t>
  </si>
  <si>
    <t xml:space="preserve">123547.0  51459.24 64 </t>
  </si>
  <si>
    <t xml:space="preserve">123552.0  51396.99 63 </t>
  </si>
  <si>
    <t xml:space="preserve">123557.0  51398.72 53 </t>
  </si>
  <si>
    <t xml:space="preserve">123602.0  51399.46 44 </t>
  </si>
  <si>
    <t xml:space="preserve">123607.0  51398.88 64 </t>
  </si>
  <si>
    <t xml:space="preserve">123612.0  51399.11 43 </t>
  </si>
  <si>
    <t xml:space="preserve">123617.0  51398.48 63 </t>
  </si>
  <si>
    <t xml:space="preserve">123622.0  51399.77 44 </t>
  </si>
  <si>
    <t xml:space="preserve">123627.0  51398.55 63 </t>
  </si>
  <si>
    <t xml:space="preserve">123632.0  51398.26 53 </t>
  </si>
  <si>
    <t xml:space="preserve">123637.0  51399.30 44 </t>
  </si>
  <si>
    <t xml:space="preserve">123642.0  51399.20 53 </t>
  </si>
  <si>
    <t xml:space="preserve">123647.0  51397.97 53 </t>
  </si>
  <si>
    <t xml:space="preserve">123652.0  51398.83 54 </t>
  </si>
  <si>
    <t xml:space="preserve">123657.0  51399.23 43 </t>
  </si>
  <si>
    <t xml:space="preserve">123702.0  51398.82 73 </t>
  </si>
  <si>
    <t xml:space="preserve">123707.0  51398.25 63 </t>
  </si>
  <si>
    <t xml:space="preserve">123712.0  51397.28 44 </t>
  </si>
  <si>
    <t xml:space="preserve">123717.0  51399.52 53 </t>
  </si>
  <si>
    <t xml:space="preserve">123722.0  51398.65 63 </t>
  </si>
  <si>
    <t xml:space="preserve">123727.0  51398.69 53 </t>
  </si>
  <si>
    <t xml:space="preserve">123732.0  51397.94 43 </t>
  </si>
  <si>
    <t xml:space="preserve">123737.0  51397.63 33 </t>
  </si>
  <si>
    <t xml:space="preserve">123742.0  51398.95 73 </t>
  </si>
  <si>
    <t xml:space="preserve">123747.0  51392.67 33 </t>
  </si>
  <si>
    <t>/ID 2666 file 29survey.b   21 IX 26</t>
  </si>
  <si>
    <t xml:space="preserve">123817.0  51454.66 98 </t>
  </si>
  <si>
    <t xml:space="preserve">123822.0  51454.96 98 </t>
  </si>
  <si>
    <t xml:space="preserve">123827.0  51454.86 98 </t>
  </si>
  <si>
    <t xml:space="preserve">123832.0  51454.85 98 </t>
  </si>
  <si>
    <t xml:space="preserve">123837.0  51454.85 98 </t>
  </si>
  <si>
    <t xml:space="preserve">123842.0  51454.85 98 </t>
  </si>
  <si>
    <t xml:space="preserve">123847.0  51454.91 99 </t>
  </si>
  <si>
    <t xml:space="preserve">123852.0  51455.01 98 </t>
  </si>
  <si>
    <t xml:space="preserve">123857.0  51455.06 98 </t>
  </si>
  <si>
    <t xml:space="preserve">123902.0  51455.04 98 </t>
  </si>
  <si>
    <t xml:space="preserve">123907.0  51455.07 98 </t>
  </si>
  <si>
    <t xml:space="preserve">123912.0  51455.18 98 </t>
  </si>
  <si>
    <t xml:space="preserve">123917.0  51455.18 98 </t>
  </si>
  <si>
    <t xml:space="preserve">123922.0  51455.23 99 </t>
  </si>
  <si>
    <t xml:space="preserve">123927.0  51455.20 98 </t>
  </si>
  <si>
    <t xml:space="preserve">123932.0  51455.09 98 </t>
  </si>
  <si>
    <t xml:space="preserve">123937.0  51455.26 98 </t>
  </si>
  <si>
    <t xml:space="preserve">123942.0  51455.26 98 </t>
  </si>
  <si>
    <t xml:space="preserve">123947.0  51455.25 98 </t>
  </si>
  <si>
    <t xml:space="preserve">123952.0  51455.28 98 </t>
  </si>
  <si>
    <t xml:space="preserve">123957.0  51455.23 99 </t>
  </si>
  <si>
    <t xml:space="preserve">124002.0  51455.30 98 </t>
  </si>
  <si>
    <t xml:space="preserve">124007.0  51455.29 98 </t>
  </si>
  <si>
    <t xml:space="preserve">124012.0  51455.40 98 </t>
  </si>
  <si>
    <t xml:space="preserve">124017.0  51455.39 99 </t>
  </si>
  <si>
    <t xml:space="preserve">124022.0  51455.48 99 </t>
  </si>
  <si>
    <t>/ID 2666 file 30survey.b   21 IX 26</t>
  </si>
  <si>
    <t xml:space="preserve">124102.0  51551.10 64 </t>
  </si>
  <si>
    <t xml:space="preserve">124107.0  51550.18 73 </t>
  </si>
  <si>
    <t xml:space="preserve">124112.0  51550.69 74 </t>
  </si>
  <si>
    <t xml:space="preserve">124117.0  51550.64 84 </t>
  </si>
  <si>
    <t xml:space="preserve">124122.0  51550.57 83 </t>
  </si>
  <si>
    <t xml:space="preserve">124127.0  51550.01 43 </t>
  </si>
  <si>
    <t xml:space="preserve">124132.0  51551.25 43 </t>
  </si>
  <si>
    <t xml:space="preserve">124137.0  51549.79 33 </t>
  </si>
  <si>
    <t xml:space="preserve">124142.0  51550.47 64 </t>
  </si>
  <si>
    <t xml:space="preserve">124147.0  51551.41 54 </t>
  </si>
  <si>
    <t xml:space="preserve">124152.0  51551.33 64 </t>
  </si>
  <si>
    <t xml:space="preserve">124157.0  51551.55 73 </t>
  </si>
  <si>
    <t xml:space="preserve">124202.0  51550.78 44 </t>
  </si>
  <si>
    <t xml:space="preserve">124207.0  51550.87 63 </t>
  </si>
  <si>
    <t xml:space="preserve">124212.0  51550.82 44 </t>
  </si>
  <si>
    <t xml:space="preserve">124217.0  51550.92 84 </t>
  </si>
  <si>
    <t xml:space="preserve">124222.0  51550.86 34 </t>
  </si>
  <si>
    <t xml:space="preserve">124227.0  51550.95 64 </t>
  </si>
  <si>
    <t xml:space="preserve">124232.0  51551.01 73 </t>
  </si>
  <si>
    <t xml:space="preserve">124237.0  51551.13 63 </t>
  </si>
  <si>
    <t xml:space="preserve">124242.0  51550.94 64 </t>
  </si>
  <si>
    <t xml:space="preserve">124247.0  51551.55 54 </t>
  </si>
  <si>
    <t xml:space="preserve">124252.0  51551.35 74 </t>
  </si>
  <si>
    <t xml:space="preserve">124257.0  51551.75 64 </t>
  </si>
  <si>
    <t xml:space="preserve">124302.0  51551.23 54 </t>
  </si>
  <si>
    <t xml:space="preserve">124307.0  51551.75 74 </t>
  </si>
  <si>
    <t xml:space="preserve">124312.0  51551.23 63 </t>
  </si>
  <si>
    <t>/ID 2666 file 31survey.b   21 IX 26</t>
  </si>
  <si>
    <t xml:space="preserve">124337.0  51679.15 97 </t>
  </si>
  <si>
    <t xml:space="preserve">124342.0  51679.06 87 </t>
  </si>
  <si>
    <t xml:space="preserve">124347.0  51679.07 97 </t>
  </si>
  <si>
    <t xml:space="preserve">124352.0  51679.24 97 </t>
  </si>
  <si>
    <t xml:space="preserve">124357.0  51679.16 97 </t>
  </si>
  <si>
    <t xml:space="preserve">124402.0  51679.23 97 </t>
  </si>
  <si>
    <t xml:space="preserve">124407.0  51679.34 97 </t>
  </si>
  <si>
    <t xml:space="preserve">124412.0  51679.52 97 </t>
  </si>
  <si>
    <t xml:space="preserve">124417.0  51679.68 87 </t>
  </si>
  <si>
    <t xml:space="preserve">124422.0  51678.57 97 </t>
  </si>
  <si>
    <t xml:space="preserve">124427.0  51678.83 97 </t>
  </si>
  <si>
    <t xml:space="preserve">124432.0  51679.08 77 </t>
  </si>
  <si>
    <t xml:space="preserve">124437.0  51679.05 97 </t>
  </si>
  <si>
    <t xml:space="preserve">124442.0  51678.94 97 </t>
  </si>
  <si>
    <t xml:space="preserve">124447.0  51679.02 98 </t>
  </si>
  <si>
    <t xml:space="preserve">124452.0  51679.29 87 </t>
  </si>
  <si>
    <t xml:space="preserve">124457.0  51679.25 97 </t>
  </si>
  <si>
    <t xml:space="preserve">124502.0  51678.97 97 </t>
  </si>
  <si>
    <t xml:space="preserve">124507.0  51679.24 97 </t>
  </si>
  <si>
    <t xml:space="preserve">124512.0  51679.27 97 </t>
  </si>
  <si>
    <t xml:space="preserve">124517.0  51679.38 77 </t>
  </si>
  <si>
    <t xml:space="preserve">124522.0  51679.49 97 </t>
  </si>
  <si>
    <t xml:space="preserve">124527.0  51679.38 87 </t>
  </si>
  <si>
    <t xml:space="preserve">124532.0  51679.29 87 </t>
  </si>
  <si>
    <t xml:space="preserve">124537.0  51679.34 97 </t>
  </si>
  <si>
    <t xml:space="preserve">124542.0  51679.18 88 </t>
  </si>
  <si>
    <t xml:space="preserve">124547.0  51678.82 97 </t>
  </si>
  <si>
    <t>/ID 2666 file 32survey.b   21 IX 26</t>
  </si>
  <si>
    <t xml:space="preserve">124622.0  51483.62 67 </t>
  </si>
  <si>
    <t xml:space="preserve">124627.0  51483.04 57 </t>
  </si>
  <si>
    <t xml:space="preserve">124632.0  51482.89 57 </t>
  </si>
  <si>
    <t xml:space="preserve">124637.0  51482.49 56 </t>
  </si>
  <si>
    <t xml:space="preserve">124642.0  51482.76 67 </t>
  </si>
  <si>
    <t xml:space="preserve">124647.0  51483.26 57 </t>
  </si>
  <si>
    <t xml:space="preserve">124652.0  51483.22 66 </t>
  </si>
  <si>
    <t xml:space="preserve">124657.0  51482.88 56 </t>
  </si>
  <si>
    <t xml:space="preserve">124702.0  51483.22 57 </t>
  </si>
  <si>
    <t xml:space="preserve">124707.0  51483.38 67 </t>
  </si>
  <si>
    <t xml:space="preserve">124712.0  51483.58 57 </t>
  </si>
  <si>
    <t xml:space="preserve">124717.0  51484.09 67 </t>
  </si>
  <si>
    <t xml:space="preserve">124722.0  51482.66 46 </t>
  </si>
  <si>
    <t xml:space="preserve">124727.0  51482.98 57 </t>
  </si>
  <si>
    <t xml:space="preserve">124732.0  51483.16 57 </t>
  </si>
  <si>
    <t xml:space="preserve">124737.0  51483.68 57 </t>
  </si>
  <si>
    <t xml:space="preserve">124742.0  51484.15 57 </t>
  </si>
  <si>
    <t xml:space="preserve">124747.0  51483.62 56 </t>
  </si>
  <si>
    <t xml:space="preserve">124752.0  51483.30 66 </t>
  </si>
  <si>
    <t xml:space="preserve">124757.0  51483.02 56 </t>
  </si>
  <si>
    <t xml:space="preserve">124802.0  51483.34 57 </t>
  </si>
  <si>
    <t xml:space="preserve">124807.0  51484.19 66 </t>
  </si>
  <si>
    <t xml:space="preserve">124812.0  51484.01 57 </t>
  </si>
  <si>
    <t xml:space="preserve">124817.0  51483.98 66 </t>
  </si>
  <si>
    <t xml:space="preserve">124822.0  51483.98 66 </t>
  </si>
  <si>
    <t xml:space="preserve">124827.0  51483.06 46 </t>
  </si>
  <si>
    <t>/ID 2666 file 33survey.b   21 IX 26</t>
  </si>
  <si>
    <t xml:space="preserve">124902.0  51352.63 23 </t>
  </si>
  <si>
    <t xml:space="preserve">124907.0  51356.07 13 </t>
  </si>
  <si>
    <t xml:space="preserve">124912.0  51356.12 13 </t>
  </si>
  <si>
    <t xml:space="preserve">124917.0  51346.71 13 </t>
  </si>
  <si>
    <t xml:space="preserve">124922.0  51353.76 32 </t>
  </si>
  <si>
    <t xml:space="preserve">124927.0  51354.23 32 </t>
  </si>
  <si>
    <t xml:space="preserve">124932.0  51351.83 33 </t>
  </si>
  <si>
    <t xml:space="preserve">124937.0  51351.67 23 </t>
  </si>
  <si>
    <t xml:space="preserve">124942.0  51355.70 23 </t>
  </si>
  <si>
    <t xml:space="preserve">124947.0  51352.33 13 </t>
  </si>
  <si>
    <t xml:space="preserve">124952.0  51351.37 23 </t>
  </si>
  <si>
    <t xml:space="preserve">124957.0  51354.01 34 </t>
  </si>
  <si>
    <t xml:space="preserve">125002.0  51353.52 43 </t>
  </si>
  <si>
    <t xml:space="preserve">125007.0  51354.61 23 </t>
  </si>
  <si>
    <t xml:space="preserve">125012.0  51352.03 13 </t>
  </si>
  <si>
    <t xml:space="preserve">125017.0  51354.83 23 </t>
  </si>
  <si>
    <t xml:space="preserve">125022.0  51353.69 33 </t>
  </si>
  <si>
    <t xml:space="preserve">125027.0  51349.92 13 </t>
  </si>
  <si>
    <t xml:space="preserve">125032.0  51354.22 23 </t>
  </si>
  <si>
    <t xml:space="preserve">125037.0  51354.90 33 </t>
  </si>
  <si>
    <t xml:space="preserve">125042.0  51354.83 33 </t>
  </si>
  <si>
    <t xml:space="preserve">125047.0  51355.16 33 </t>
  </si>
  <si>
    <t xml:space="preserve">125052.0  51355.42 13 </t>
  </si>
  <si>
    <t xml:space="preserve">125057.0  51356.02 12 </t>
  </si>
  <si>
    <t xml:space="preserve">125102.0  51356.58 43 </t>
  </si>
  <si>
    <t xml:space="preserve">125107.0  51348.95 13 </t>
  </si>
  <si>
    <t xml:space="preserve">125112.0  51358.35 23 </t>
  </si>
  <si>
    <t xml:space="preserve">125117.0  51355.79 23 </t>
  </si>
  <si>
    <t>/ID 2666 file 34survey.b   21 IX 26</t>
  </si>
  <si>
    <t xml:space="preserve">125152.0  51581.12 67 </t>
  </si>
  <si>
    <t xml:space="preserve">125157.0  51578.48 67 </t>
  </si>
  <si>
    <t xml:space="preserve">125202.0  51578.03 57 </t>
  </si>
  <si>
    <t xml:space="preserve">125207.0  51578.92 47 </t>
  </si>
  <si>
    <t xml:space="preserve">125212.0  51578.39 57 </t>
  </si>
  <si>
    <t xml:space="preserve">125217.0  51578.79 68 </t>
  </si>
  <si>
    <t xml:space="preserve">125222.0  51579.18 68 </t>
  </si>
  <si>
    <t xml:space="preserve">125227.0  51579.45 67 </t>
  </si>
  <si>
    <t xml:space="preserve">125232.0  51578.82 47 </t>
  </si>
  <si>
    <t xml:space="preserve">125237.0  51579.09 67 </t>
  </si>
  <si>
    <t xml:space="preserve">125242.0  51578.88 57 </t>
  </si>
  <si>
    <t xml:space="preserve">125247.0  51578.87 67 </t>
  </si>
  <si>
    <t xml:space="preserve">125252.0  51579.40 67 </t>
  </si>
  <si>
    <t xml:space="preserve">125257.0  51578.63 57 </t>
  </si>
  <si>
    <t xml:space="preserve">125302.0  51578.83 57 </t>
  </si>
  <si>
    <t xml:space="preserve">125307.0  51578.78 57 </t>
  </si>
  <si>
    <t xml:space="preserve">125312.0  51578.85 68 </t>
  </si>
  <si>
    <t xml:space="preserve">125317.0  51579.15 68 </t>
  </si>
  <si>
    <t xml:space="preserve">125322.0  51579.14 57 </t>
  </si>
  <si>
    <t xml:space="preserve">125327.0  51578.99 67 </t>
  </si>
  <si>
    <t xml:space="preserve">125332.0  51578.40 57 </t>
  </si>
  <si>
    <t xml:space="preserve">125337.0  51579.31 57 </t>
  </si>
  <si>
    <t xml:space="preserve">125342.0  51579.19 67 </t>
  </si>
  <si>
    <t xml:space="preserve">125347.0  51579.40 67 </t>
  </si>
  <si>
    <t xml:space="preserve">125352.0  51579.19 67 </t>
  </si>
  <si>
    <t xml:space="preserve">125357.0  51579.49 67 </t>
  </si>
  <si>
    <t xml:space="preserve">125402.0  51579.61 57 </t>
  </si>
  <si>
    <t xml:space="preserve">125407.0  51579.58 57 </t>
  </si>
  <si>
    <t>/ID 2666 file 35survey.b   21 IX 26</t>
  </si>
  <si>
    <t xml:space="preserve">125437.0  51416.32 36 </t>
  </si>
  <si>
    <t xml:space="preserve">125442.0  51414.99 36 </t>
  </si>
  <si>
    <t xml:space="preserve">125447.0  51414.02 36 </t>
  </si>
  <si>
    <t xml:space="preserve">125452.0  51413.89 37 </t>
  </si>
  <si>
    <t xml:space="preserve">125457.0  51417.22 37 </t>
  </si>
  <si>
    <t xml:space="preserve">125502.0  51414.87 36 </t>
  </si>
  <si>
    <t xml:space="preserve">125507.0  51415.58 37 </t>
  </si>
  <si>
    <t xml:space="preserve">125512.0  51417.23 37 </t>
  </si>
  <si>
    <t xml:space="preserve">125517.0  51414.54 37 </t>
  </si>
  <si>
    <t xml:space="preserve">125522.0  51415.70 37 </t>
  </si>
  <si>
    <t xml:space="preserve">125527.0  51416.24 36 </t>
  </si>
  <si>
    <t xml:space="preserve">125532.0  51415.37 37 </t>
  </si>
  <si>
    <t xml:space="preserve">125537.0  51415.74 37 </t>
  </si>
  <si>
    <t xml:space="preserve">125542.0  51416.27 37 </t>
  </si>
  <si>
    <t xml:space="preserve">125547.0  51416.67 37 </t>
  </si>
  <si>
    <t xml:space="preserve">125552.0  51415.14 37 </t>
  </si>
  <si>
    <t xml:space="preserve">125557.0  51416.31 37 </t>
  </si>
  <si>
    <t xml:space="preserve">125602.0  51416.98 36 </t>
  </si>
  <si>
    <t xml:space="preserve">125607.0  51414.99 37 </t>
  </si>
  <si>
    <t xml:space="preserve">125612.0  51415.71 37 </t>
  </si>
  <si>
    <t xml:space="preserve">125617.0  51415.95 36 </t>
  </si>
  <si>
    <t xml:space="preserve">125622.0  51416.43 37 </t>
  </si>
  <si>
    <t xml:space="preserve">125627.0  51416.53 37 </t>
  </si>
  <si>
    <t xml:space="preserve">125632.0  51415.37 37 </t>
  </si>
  <si>
    <t xml:space="preserve">125637.0  51417.50 36 </t>
  </si>
  <si>
    <t xml:space="preserve">125642.0  51417.94 37 </t>
  </si>
  <si>
    <t xml:space="preserve">125647.0  51416.52 37 </t>
  </si>
  <si>
    <t xml:space="preserve">125652.0  51416.08 36 </t>
  </si>
  <si>
    <t>/ID 2666 file 36survey.b   21 IX 26</t>
  </si>
  <si>
    <t xml:space="preserve">125722.0  50549.34 27 </t>
  </si>
  <si>
    <t xml:space="preserve">125727.0  50557.55 19 </t>
  </si>
  <si>
    <t xml:space="preserve">125732.0  50554.82 19 </t>
  </si>
  <si>
    <t xml:space="preserve">125737.0  50554.44 29 </t>
  </si>
  <si>
    <t xml:space="preserve">125742.0  50549.27 19 </t>
  </si>
  <si>
    <t xml:space="preserve">125747.0  50558.00 18 </t>
  </si>
  <si>
    <t xml:space="preserve">125752.0  50558.20 18 </t>
  </si>
  <si>
    <t xml:space="preserve">125757.0  50547.19 29 </t>
  </si>
  <si>
    <t xml:space="preserve">125802.0  50547.75 18 </t>
  </si>
  <si>
    <t xml:space="preserve">125807.0  50560.96 19 </t>
  </si>
  <si>
    <t xml:space="preserve">125812.0  50532.95 28 </t>
  </si>
  <si>
    <t xml:space="preserve">125817.0  50559.27 19 </t>
  </si>
  <si>
    <t xml:space="preserve">125822.0  50563.87 18 </t>
  </si>
  <si>
    <t xml:space="preserve">125827.0  50537.66 28 </t>
  </si>
  <si>
    <t xml:space="preserve">125832.0  50540.82 28 </t>
  </si>
  <si>
    <t xml:space="preserve">125837.0  50545.81 29 </t>
  </si>
  <si>
    <t xml:space="preserve">125842.0  50550.06 28 </t>
  </si>
  <si>
    <t xml:space="preserve">125847.0  50551.69 29 </t>
  </si>
  <si>
    <t xml:space="preserve">125852.0  50547.41 28 </t>
  </si>
  <si>
    <t xml:space="preserve">125857.0  50538.55 28 </t>
  </si>
  <si>
    <t xml:space="preserve">125902.0  50548.26 29 </t>
  </si>
  <si>
    <t xml:space="preserve">125907.0  50550.11 19 </t>
  </si>
  <si>
    <t xml:space="preserve">125912.0  50550.12 28 </t>
  </si>
  <si>
    <t xml:space="preserve">125917.0  50553.34 18 </t>
  </si>
  <si>
    <t xml:space="preserve">125922.0  50548.55 28 </t>
  </si>
  <si>
    <t xml:space="preserve">125927.0  50544.88 29 </t>
  </si>
  <si>
    <t xml:space="preserve">125932.0  50545.48 28 </t>
  </si>
  <si>
    <t>/ID 2666 file 37survey.b   21 IX 26</t>
  </si>
  <si>
    <t xml:space="preserve">130012.0  51398.05 98 </t>
  </si>
  <si>
    <t xml:space="preserve">130017.0  51397.68 98 </t>
  </si>
  <si>
    <t xml:space="preserve">130022.0  51398.10 98 </t>
  </si>
  <si>
    <t xml:space="preserve">130027.0  51397.57 98 </t>
  </si>
  <si>
    <t xml:space="preserve">130032.0  51397.69 98 </t>
  </si>
  <si>
    <t xml:space="preserve">130037.0  51397.82 98 </t>
  </si>
  <si>
    <t xml:space="preserve">130042.0  51397.75 98 </t>
  </si>
  <si>
    <t xml:space="preserve">130047.0  51397.98 98 </t>
  </si>
  <si>
    <t xml:space="preserve">130052.0  51397.86 98 </t>
  </si>
  <si>
    <t xml:space="preserve">130057.0  51397.92 97 </t>
  </si>
  <si>
    <t xml:space="preserve">130102.0  51398.00 98 </t>
  </si>
  <si>
    <t xml:space="preserve">130107.0  51398.02 98 </t>
  </si>
  <si>
    <t xml:space="preserve">130112.0  51397.83 98 </t>
  </si>
  <si>
    <t xml:space="preserve">130117.0  51398.03 98 </t>
  </si>
  <si>
    <t xml:space="preserve">130122.0  51397.94 98 </t>
  </si>
  <si>
    <t xml:space="preserve">130127.0  51397.98 97 </t>
  </si>
  <si>
    <t xml:space="preserve">130132.0  51397.93 98 </t>
  </si>
  <si>
    <t xml:space="preserve">130137.0  51398.05 98 </t>
  </si>
  <si>
    <t xml:space="preserve">130142.0  51398.04 97 </t>
  </si>
  <si>
    <t xml:space="preserve">130147.0  51398.04 97 </t>
  </si>
  <si>
    <t xml:space="preserve">130152.0  51398.03 97 </t>
  </si>
  <si>
    <t xml:space="preserve">130157.0  51398.06 97 </t>
  </si>
  <si>
    <t xml:space="preserve">130202.0  51398.09 97 </t>
  </si>
  <si>
    <t xml:space="preserve">130207.0  51398.09 98 </t>
  </si>
  <si>
    <t xml:space="preserve">130212.0  51398.04 98 </t>
  </si>
  <si>
    <t xml:space="preserve">130217.0  51398.05 98 </t>
  </si>
  <si>
    <t xml:space="preserve">130222.0  51398.67 97 </t>
  </si>
  <si>
    <t>/ID 2666 file 38survey.b   21 IX 26</t>
  </si>
  <si>
    <t xml:space="preserve">130352.0  51406.33 95 </t>
  </si>
  <si>
    <t xml:space="preserve">130357.0  51406.46 95 </t>
  </si>
  <si>
    <t xml:space="preserve">130402.0  51406.35 95 </t>
  </si>
  <si>
    <t xml:space="preserve">130407.0  51406.04 95 </t>
  </si>
  <si>
    <t xml:space="preserve">130412.0  51406.18 95 </t>
  </si>
  <si>
    <t xml:space="preserve">130417.0  51406.10 96 </t>
  </si>
  <si>
    <t xml:space="preserve">130422.0  51406.35 95 </t>
  </si>
  <si>
    <t xml:space="preserve">130427.0  51406.22 95 </t>
  </si>
  <si>
    <t xml:space="preserve">130432.0  51406.17 95 </t>
  </si>
  <si>
    <t xml:space="preserve">130437.0  51406.05 95 </t>
  </si>
  <si>
    <t xml:space="preserve">130442.0  51406.19 95 </t>
  </si>
  <si>
    <t xml:space="preserve">130447.0  51406.21 95 </t>
  </si>
  <si>
    <t xml:space="preserve">130452.0  51406.07 95 </t>
  </si>
  <si>
    <t xml:space="preserve">130457.0  51406.35 95 </t>
  </si>
  <si>
    <t xml:space="preserve">130502.0  51406.19 94 </t>
  </si>
  <si>
    <t xml:space="preserve">130507.0  51406.37 95 </t>
  </si>
  <si>
    <t xml:space="preserve">130512.0  51406.21 95 </t>
  </si>
  <si>
    <t xml:space="preserve">130517.0  51406.26 95 </t>
  </si>
  <si>
    <t xml:space="preserve">130522.0  51406.16 95 </t>
  </si>
  <si>
    <t xml:space="preserve">130527.0  51406.50 95 </t>
  </si>
  <si>
    <t xml:space="preserve">130532.0  51406.40 95 </t>
  </si>
  <si>
    <t xml:space="preserve">130537.0  51406.52 95 </t>
  </si>
  <si>
    <t xml:space="preserve">130542.0  51406.29 95 </t>
  </si>
  <si>
    <t xml:space="preserve">130547.0  51406.52 96 </t>
  </si>
  <si>
    <t xml:space="preserve">130552.0  51406.60 95 </t>
  </si>
  <si>
    <t xml:space="preserve">130557.0  51406.92 95 </t>
  </si>
  <si>
    <t xml:space="preserve">130602.0  51406.82 95 </t>
  </si>
  <si>
    <t>/ID 2666 file 39survey.b   21 IX 26</t>
  </si>
  <si>
    <t xml:space="preserve">130722.0  51400.07 73 </t>
  </si>
  <si>
    <t xml:space="preserve">130727.0  51399.59 33 </t>
  </si>
  <si>
    <t xml:space="preserve">130732.0  51399.56 54 </t>
  </si>
  <si>
    <t xml:space="preserve">130737.0  51399.01 64 </t>
  </si>
  <si>
    <t xml:space="preserve">130742.0  51399.80 53 </t>
  </si>
  <si>
    <t xml:space="preserve">130747.0  51400.39 74 </t>
  </si>
  <si>
    <t xml:space="preserve">130752.0  51399.41 73 </t>
  </si>
  <si>
    <t xml:space="preserve">130757.0  51399.88 43 </t>
  </si>
  <si>
    <t xml:space="preserve">130802.0  51399.90 73 </t>
  </si>
  <si>
    <t xml:space="preserve">130807.0  51400.04 63 </t>
  </si>
  <si>
    <t xml:space="preserve">130812.0  51399.65 83 </t>
  </si>
  <si>
    <t xml:space="preserve">130817.0  51399.54 54 </t>
  </si>
  <si>
    <t xml:space="preserve">130822.0  51399.51 33 </t>
  </si>
  <si>
    <t xml:space="preserve">130827.0  51398.90 73 </t>
  </si>
  <si>
    <t xml:space="preserve">130832.0  51399.28 63 </t>
  </si>
  <si>
    <t xml:space="preserve">130837.0  51397.73 34 </t>
  </si>
  <si>
    <t xml:space="preserve">130842.0  51400.21 53 </t>
  </si>
  <si>
    <t xml:space="preserve">130847.0  51399.42 73 </t>
  </si>
  <si>
    <t xml:space="preserve">130852.0  51399.21 73 </t>
  </si>
  <si>
    <t xml:space="preserve">130857.0  51398.90 43 </t>
  </si>
  <si>
    <t xml:space="preserve">130902.0  51399.41 53 </t>
  </si>
  <si>
    <t xml:space="preserve">130907.0  51399.98 53 </t>
  </si>
  <si>
    <t xml:space="preserve">130912.0  51400.29 64 </t>
  </si>
  <si>
    <t xml:space="preserve">130917.0  51399.95 64 </t>
  </si>
  <si>
    <t xml:space="preserve">130922.0  51400.76 73 </t>
  </si>
  <si>
    <t xml:space="preserve">130927.0  51399.72 74 </t>
  </si>
  <si>
    <t xml:space="preserve">130932.0  51399.59 44 </t>
  </si>
  <si>
    <t xml:space="preserve">130937.0  51399.21 33 </t>
  </si>
  <si>
    <t xml:space="preserve">130942.0  51405.71 64 </t>
  </si>
  <si>
    <t>/ID 2666 file 41survey.b   21 IX 26</t>
  </si>
  <si>
    <t xml:space="preserve">131422.0  51319.00 03 </t>
  </si>
  <si>
    <t xml:space="preserve">131427.0  00000.00 02 </t>
  </si>
  <si>
    <t xml:space="preserve">131432.0  00000.00 03 </t>
  </si>
  <si>
    <t xml:space="preserve">131437.0  00000.00 02 </t>
  </si>
  <si>
    <t xml:space="preserve">131442.0  00000.00 02 </t>
  </si>
  <si>
    <t xml:space="preserve">131447.0  00000.00 03 </t>
  </si>
  <si>
    <t xml:space="preserve">131452.0  51393.67 02 </t>
  </si>
  <si>
    <t xml:space="preserve">131457.0  51420.22 03 </t>
  </si>
  <si>
    <t xml:space="preserve">131502.0  00000.00 02 </t>
  </si>
  <si>
    <t xml:space="preserve">131507.0  00000.00 03 </t>
  </si>
  <si>
    <t xml:space="preserve">131512.0  00000.00 02 </t>
  </si>
  <si>
    <t xml:space="preserve">131517.0  00000.00 02 </t>
  </si>
  <si>
    <t xml:space="preserve">131522.0  51308.51 02 </t>
  </si>
  <si>
    <t xml:space="preserve">131527.0  00000.00 03 </t>
  </si>
  <si>
    <t xml:space="preserve">131532.0  51397.90 02 </t>
  </si>
  <si>
    <t xml:space="preserve">131537.0  00000.00 02 </t>
  </si>
  <si>
    <t xml:space="preserve">131542.0  00000.00 02 </t>
  </si>
  <si>
    <t xml:space="preserve">131547.0  00000.00 03 </t>
  </si>
  <si>
    <t xml:space="preserve">131552.0  00000.00 02 </t>
  </si>
  <si>
    <t xml:space="preserve">131557.0  00000.00 03 </t>
  </si>
  <si>
    <t xml:space="preserve">131602.0  51378.46 02 </t>
  </si>
  <si>
    <t xml:space="preserve">131607.0  00000.00 02 </t>
  </si>
  <si>
    <t xml:space="preserve">131612.0  00000.00 02 </t>
  </si>
  <si>
    <t xml:space="preserve">131617.0  00000.00 03 </t>
  </si>
  <si>
    <t xml:space="preserve">131622.0  00000.00 02 </t>
  </si>
  <si>
    <t xml:space="preserve">131627.0  51339.93 02 </t>
  </si>
  <si>
    <t xml:space="preserve">131632.0  00000.00 02 </t>
  </si>
  <si>
    <t xml:space="preserve">131637.0  51404.86 03 </t>
  </si>
  <si>
    <t xml:space="preserve">131642.0  51326.19 02 </t>
  </si>
  <si>
    <t xml:space="preserve">131647.0  51360.10 03 </t>
  </si>
  <si>
    <t xml:space="preserve">131652.0  00000.00 03 </t>
  </si>
  <si>
    <t xml:space="preserve">131657.0  00000.00 02 </t>
  </si>
  <si>
    <t xml:space="preserve">131702.0  00000.00 02 </t>
  </si>
  <si>
    <t xml:space="preserve">131707.0  00000.00 03 </t>
  </si>
  <si>
    <t xml:space="preserve">131712.0  51409.37 03 </t>
  </si>
  <si>
    <t xml:space="preserve">131717.0  48752.50 14 </t>
  </si>
  <si>
    <t xml:space="preserve">131722.0  00000.00 03 </t>
  </si>
  <si>
    <t xml:space="preserve">131727.0  51376.62 02 </t>
  </si>
  <si>
    <t xml:space="preserve">131732.0  00000.00 02 </t>
  </si>
  <si>
    <t xml:space="preserve">131737.0  51330.71 03 </t>
  </si>
  <si>
    <t xml:space="preserve">131742.0  51290.38 03 </t>
  </si>
  <si>
    <t xml:space="preserve">131747.0  51358.39 02 </t>
  </si>
  <si>
    <t>/ID 2666 file 42survey.b   21 IX 26</t>
  </si>
  <si>
    <t xml:space="preserve">131902.0  51442.49 04 </t>
  </si>
  <si>
    <t xml:space="preserve">131907.0  51495.67 04 </t>
  </si>
  <si>
    <t xml:space="preserve">131912.0  51452.98 04 </t>
  </si>
  <si>
    <t xml:space="preserve">131917.0  51430.20 04 </t>
  </si>
  <si>
    <t xml:space="preserve">131922.0  51442.57 04 </t>
  </si>
  <si>
    <t xml:space="preserve">131927.0  51444.60 04 </t>
  </si>
  <si>
    <t xml:space="preserve">131932.0  51500.74 04 </t>
  </si>
  <si>
    <t xml:space="preserve">131937.0  51458.15 04 </t>
  </si>
  <si>
    <t xml:space="preserve">131942.0  51460.42 04 </t>
  </si>
  <si>
    <t xml:space="preserve">131947.0  51456.94 03 </t>
  </si>
  <si>
    <t xml:space="preserve">131952.0  00000.00 04 </t>
  </si>
  <si>
    <t xml:space="preserve">131957.0  51454.72 04 </t>
  </si>
  <si>
    <t xml:space="preserve">132002.0  51472.13 04 </t>
  </si>
  <si>
    <t xml:space="preserve">132007.0  51441.18 03 </t>
  </si>
  <si>
    <t xml:space="preserve">132012.0  51460.97 04 </t>
  </si>
  <si>
    <t xml:space="preserve">132017.0  51456.24 03 </t>
  </si>
  <si>
    <t xml:space="preserve">132022.0  51434.84 03 </t>
  </si>
  <si>
    <t xml:space="preserve">132027.0  51472.58 04 </t>
  </si>
  <si>
    <t xml:space="preserve">132032.0  51471.97 04 </t>
  </si>
  <si>
    <t xml:space="preserve">132037.0  51424.40 04 </t>
  </si>
  <si>
    <t xml:space="preserve">132042.0  51489.31 04 </t>
  </si>
  <si>
    <t xml:space="preserve">132047.0  51452.81 03 </t>
  </si>
  <si>
    <t xml:space="preserve">132052.0  51414.65 03 </t>
  </si>
  <si>
    <t xml:space="preserve">132057.0  51453.55 04 </t>
  </si>
  <si>
    <t xml:space="preserve">132102.0  51448.56 04 </t>
  </si>
  <si>
    <t xml:space="preserve">132107.0  51468.56 04 </t>
  </si>
  <si>
    <t xml:space="preserve">132112.0  51455.61 03 </t>
  </si>
  <si>
    <t xml:space="preserve">132117.0  51481.64 03 </t>
  </si>
  <si>
    <t>:Issued: 2026 Sep 21 0317 UTC</t>
  </si>
  <si>
    <t>#                Issued 2026-09-21</t>
  </si>
  <si>
    <t>2026 Sep 21     105           5          2</t>
  </si>
  <si>
    <t>2026 Sep 22     105           5          2</t>
  </si>
  <si>
    <t>2026 Sep 23     100           5          2</t>
  </si>
  <si>
    <t>2026 Sep 24     100          20          4</t>
  </si>
  <si>
    <t>2026 Sep 26     105          12          3</t>
  </si>
  <si>
    <t>2026 Sep 27     100           8          3</t>
  </si>
  <si>
    <t>2026 Sep 28     105           5          2</t>
  </si>
  <si>
    <t>2026 Sep 29     110           5          2</t>
  </si>
  <si>
    <t>2026 Sep 30     115           5          2</t>
  </si>
  <si>
    <t>2026 Oct 01     115           5          2</t>
  </si>
  <si>
    <t>2026 Oct 03     105           5          2</t>
  </si>
  <si>
    <t>2026 Oct 06     115          12          4</t>
  </si>
  <si>
    <t>2026 Oct 09     105           5          2</t>
  </si>
  <si>
    <t>2026 Oct 10     110           5          2</t>
  </si>
  <si>
    <t>2026 Oct 11     100           9          3</t>
  </si>
  <si>
    <t>2026 Oct 12      97           8          3</t>
  </si>
  <si>
    <t>2026 Oct 13      96           8          3</t>
  </si>
  <si>
    <t>2026 Oct 14      95           8          3</t>
  </si>
  <si>
    <t>2026 Oct 15     100           5          2</t>
  </si>
  <si>
    <t>2026 Oct 16     105           5          2</t>
  </si>
  <si>
    <t>2026 Oct 17     100           5          2</t>
  </si>
  <si>
    <t>:Issued: 2026 Sep 21 1230 UTC</t>
  </si>
  <si>
    <t>The greatest observed 3 hr Kp over the past 24 hours was 2 (below NOAA</t>
  </si>
  <si>
    <t>The greatest expected 3 hr Kp for Sep 21-Sep 23 2026 is 2.00 (below NOAA</t>
  </si>
  <si>
    <t>NOAA Kp index breakdown Sep 21-Sep 23 2026</t>
  </si>
  <si>
    <t xml:space="preserve">             Sep 21       Sep 22       Sep 23</t>
  </si>
  <si>
    <t xml:space="preserve">00-03UT       1.67         1.67         1.67     </t>
  </si>
  <si>
    <t xml:space="preserve">03-06UT       1.00         2.00         2.00     </t>
  </si>
  <si>
    <t xml:space="preserve">06-09UT       1.67         1.67         1.67     </t>
  </si>
  <si>
    <t xml:space="preserve">09-12UT       1.67         1.33         1.33     </t>
  </si>
  <si>
    <t xml:space="preserve">12-15UT       1.33         0.67         0.67     </t>
  </si>
  <si>
    <t xml:space="preserve">15-18UT       1.33         0.67         0.67     </t>
  </si>
  <si>
    <t xml:space="preserve">18-21UT       1.33         1.67         1.67     </t>
  </si>
  <si>
    <t xml:space="preserve">21-00UT       1.33         1.67         1.67     </t>
  </si>
  <si>
    <t>Solar Radiation Storm Forecast for Sep 21-Sep 23 2026</t>
  </si>
  <si>
    <t xml:space="preserve">              Sep 21  Sep 22  Sep 23</t>
  </si>
  <si>
    <t>Radio Blackout Forecast for Sep 21-Sep 23 2026</t>
  </si>
  <si>
    <t xml:space="preserve">              Sep 21        Sep 22        Sep 23</t>
  </si>
  <si>
    <t xml:space="preserve">Rationale: No R1 (Minor) or greater radio blackouts are expected.  </t>
  </si>
  <si>
    <t>중심점(P0)에서 한 번 재고, 한 방향으로 거리를 옮겨 가며 잰 뒤 P0 로 돌아와 한 번 더 잽니다. 네 방향 모두 같습니다. 한 자리에서 여러 번 읽었다면 그 평균을 적어 주세요. 재지 않은 거리는 「-」로 두시면 계산에서 알아서 빠집니다. 자력계는 Base 모드로 두고 한 자리에서 자동 반복 판독을 받습니다. 측점을 옮길 때마다 기록을 끊어 새 블록이 생기게 하고, 거리는 블록 순서로만 남으니 순서를 건너뛰지 마세요. 시각은 HHMM 숫자 4자리로 입력합니다(1600→16:00, 0835→08:35).</t>
    <phoneticPr fontId="14" type="noConversion"/>
  </si>
  <si>
    <t>P0 후 − 전</t>
    <phoneticPr fontId="14" type="noConversion"/>
  </si>
  <si>
    <t>F 최대−최소</t>
    <phoneticPr fontId="14" type="noConversion"/>
  </si>
  <si>
    <t>P0 후 − 전
(nT)</t>
    <phoneticPr fontId="14" type="noConversion"/>
  </si>
  <si>
    <t>잰 구간 F
최대−최소
(nT)</t>
    <phoneticPr fontId="14" type="noConversion"/>
  </si>
  <si>
    <t>구간 구배는 바로 앞에 잰 측점과의 F 차이를 거리 차로 나눈 값이고, P0(전)을 0 m 로 봅니다. 「P0 후 − 전」은 중심점을 처음과 끝에 두 번 재서 생긴 차이입니다 — 자리가 달라져서가 아니라 재는 동안 자기장이 흔들린 정도이니, 이 값이 크면 다른 칸에도 그만큼 섞여 있습니다. 「F 최대−최소」도 구배가 아니라 그 방향에서 나온 값의 폭입니다. 거리로 나눈 것은 구간 구배뿐입니다. 「잰 거리」는 마지막으로 값을 적은 거리이고, 「P0→끝」 두 칸은 그 거리까지의 차이와 평균입니다. 모두 시간변화를 빼기 전 값입니다. 국내 기준은 아직 없으니 값이 커도 현장에서 자리를 접지 마시고 나온 대로 적어 주세요.</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</si>
</sst>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yyyy\-mm\-dd"/>
    <numFmt numFmtId="177" formatCode="0.0"/>
    <numFmt numFmtId="178" formatCode="0.000000"/>
    <numFmt numFmtId="179" formatCode="yyyy/mm/dd\ hh:mm"/>
    <numFmt numFmtId="180" formatCode="0&quot; cm&quot;"/>
    <numFmt numFmtId="181" formatCode="0.00&quot; m&quot;"/>
    <numFmt numFmtId="182" formatCode="\+0.000;\-0.000;0.000"/>
    <numFmt numFmtId="183" formatCode="\+0.00;\-0.00;0.00"/>
    <numFmt numFmtId="184" formatCode="00&quot;:&quot;00"/>
  </numFmts>
  <fonts count="37" x14ac:knownFonts="1">
    <font>
      <sz val="11"/>
      <color theme="1"/>
      <name val="맑은 고딕"/>
      <family val="2"/>
      <scheme val="minor"/>
    </font>
    <font>
      <b/>
      <sz val="14"/>
      <color rgb="FFFFFFFF"/>
      <name val="맑은 고딕"/>
      <family val="3"/>
      <charset val="129"/>
    </font>
    <font>
      <sz val="9"/>
      <color rgb="FFFFFFFF"/>
      <name val="맑은 고딕"/>
      <family val="3"/>
      <charset val="129"/>
    </font>
    <font>
      <sz val="8.5"/>
      <color rgb="FF555555"/>
      <name val="맑은 고딕"/>
      <family val="3"/>
      <charset val="129"/>
    </font>
    <font>
      <b/>
      <sz val="9.5"/>
      <name val="맑은 고딕"/>
      <family val="3"/>
      <charset val="129"/>
    </font>
    <font>
      <sz val="10"/>
      <name val="맑은 고딕"/>
      <family val="3"/>
      <charset val="129"/>
    </font>
    <font>
      <b/>
      <sz val="10"/>
      <color rgb="FF1F3864"/>
      <name val="맑은 고딕"/>
      <family val="3"/>
      <charset val="129"/>
    </font>
    <font>
      <b/>
      <sz val="8.5"/>
      <color rgb="FFB2182B"/>
      <name val="맑은 고딕"/>
      <family val="3"/>
      <charset val="129"/>
    </font>
    <font>
      <b/>
      <sz val="11"/>
      <color rgb="FFFFFFFF"/>
      <name val="맑은 고딕"/>
      <family val="3"/>
      <charset val="129"/>
    </font>
    <font>
      <b/>
      <sz val="9"/>
      <color rgb="FFFFFFFF"/>
      <name val="맑은 고딕"/>
      <family val="3"/>
      <charset val="129"/>
    </font>
    <font>
      <sz val="10"/>
      <color theme="1"/>
      <name val="Aptos"/>
      <family val="2"/>
    </font>
    <font>
      <b/>
      <sz val="15"/>
      <color rgb="FF16324F"/>
      <name val="Aptos"/>
      <family val="2"/>
    </font>
    <font>
      <sz val="10"/>
      <color rgb="FF44546A"/>
      <name val="Aptos"/>
      <family val="2"/>
    </font>
    <font>
      <b/>
      <sz val="10"/>
      <color rgb="FF16324F"/>
      <name val="Aptos"/>
      <family val="2"/>
    </font>
    <font>
      <sz val="8"/>
      <name val="맑은 고딕"/>
      <family val="3"/>
      <charset val="129"/>
      <scheme val="minor"/>
    </font>
    <font>
      <u/>
      <sz val="11"/>
      <color theme="10"/>
      <name val="맑은 고딕"/>
      <family val="2"/>
      <scheme val="minor"/>
    </font>
    <font>
      <b/>
      <sz val="10"/>
      <color rgb="FFFFFFFF"/>
      <name val="Aptos"/>
      <family val="2"/>
    </font>
    <font>
      <sz val="9"/>
      <color rgb="FF1F3864"/>
      <name val="맑은 고딕"/>
      <family val="3"/>
      <charset val="129"/>
    </font>
    <font>
      <b/>
      <sz val="10"/>
      <name val="맑은 고딕"/>
      <family val="3"/>
      <charset val="129"/>
    </font>
    <font>
      <sz val="8"/>
      <color rgb="FF7F7F7F"/>
      <name val="맑은 고딕"/>
      <family val="3"/>
      <charset val="129"/>
    </font>
    <font>
      <sz val="9"/>
      <color rgb="FF999999"/>
      <name val="맑은 고딕"/>
      <family val="3"/>
      <charset val="129"/>
    </font>
    <font>
      <b/>
      <sz val="10"/>
      <color rgb="FF000000"/>
      <name val="맑은 고딕"/>
      <family val="3"/>
      <charset val="129"/>
    </font>
    <font>
      <sz val="10"/>
      <color theme="1"/>
      <name val="맑은 고딕"/>
      <family val="3"/>
      <charset val="129"/>
    </font>
    <font>
      <sz val="10"/>
      <color theme="1"/>
      <name val="Aptos"/>
      <family val="3"/>
    </font>
    <font>
      <b/>
      <sz val="11"/>
      <color theme="1"/>
      <name val="맑은 고딕"/>
      <family val="3"/>
      <charset val="129"/>
      <scheme val="minor"/>
    </font>
    <font>
      <sz val="11"/>
      <color rgb="FF7F7F7F"/>
      <name val="맑은 고딕"/>
      <family val="2"/>
      <scheme val="minor"/>
    </font>
    <font>
      <b/>
      <sz val="12"/>
      <color rgb="FFFFFFFF"/>
      <name val="맑은 고딕"/>
      <family val="3"/>
      <charset val="129"/>
      <scheme val="minor"/>
    </font>
    <font>
      <sz val="8"/>
      <color rgb="FF7F7F7F"/>
      <name val="맑은 고딕"/>
      <family val="2"/>
      <scheme val="minor"/>
    </font>
    <font>
      <sz val="8"/>
      <color rgb="FF7F7F7F"/>
      <name val="맑은 고딕"/>
      <family val="3"/>
      <charset val="129"/>
      <scheme val="minor"/>
    </font>
    <font>
      <sz val="9"/>
      <color rgb="FF44546A"/>
      <name val="맑은 고딕"/>
      <family val="3"/>
      <charset val="129"/>
    </font>
    <font>
      <b/>
      <sz val="10"/>
      <color rgb="FFFFFFFF"/>
      <name val="맑은 고딕"/>
      <family val="3"/>
      <charset val="129"/>
    </font>
    <font>
      <b/>
      <sz val="11"/>
      <color rgb="FFFFFFFF"/>
      <name val="맑은 고딕"/>
      <family val="3"/>
      <charset val="129"/>
      <scheme val="minor"/>
    </font>
    <font>
      <b/>
      <sz val="10"/>
      <color rgb="FF44546A"/>
      <name val="맑은 고딕"/>
      <family val="3"/>
      <charset val="129"/>
    </font>
    <font>
      <b/>
      <sz val="10"/>
      <color theme="1"/>
      <name val="맑은 고딕"/>
      <family val="3"/>
      <charset val="129"/>
      <scheme val="minor"/>
    </font>
    <font>
      <b/>
      <sz val="9"/>
      <color rgb="FF44546A"/>
      <name val="맑은 고딕"/>
      <family val="3"/>
      <charset val="129"/>
    </font>
    <font>
      <b/>
      <sz val="9"/>
      <color theme="1"/>
      <name val="맑은 고딕"/>
      <family val="3"/>
      <charset val="129"/>
      <scheme val="minor"/>
    </font>
    <font>
      <b/>
      <sz val="11"/>
      <color rgb="FFC02020"/>
      <name val="맑은 고딕"/>
      <family val="3"/>
      <charset val="129"/>
      <scheme val="minor"/>
    </font>
  </fonts>
  <fills count="25">
    <fill>
      <patternFill patternType="none"/>
    </fill>
    <fill>
      <patternFill patternType="gray125"/>
    </fill>
    <fill>
      <patternFill patternType="solid">
        <fgColor rgb="FF1F3864"/>
      </patternFill>
    </fill>
    <fill>
      <patternFill patternType="solid">
        <fgColor rgb="FFF2F2F2"/>
      </patternFill>
    </fill>
    <fill>
      <patternFill patternType="solid">
        <fgColor rgb="FFFFF8E1"/>
      </patternFill>
    </fill>
    <fill>
      <patternFill patternType="solid">
        <fgColor rgb="FFE8F0E8"/>
      </patternFill>
    </fill>
    <fill>
      <patternFill patternType="solid">
        <fgColor rgb="FFFDE9E7"/>
      </patternFill>
    </fill>
    <fill>
      <patternFill patternType="solid">
        <fgColor rgb="FF4472C4"/>
      </patternFill>
    </fill>
    <fill>
      <patternFill patternType="solid">
        <fgColor rgb="FFDDEBF7"/>
      </patternFill>
    </fill>
    <fill>
      <patternFill patternType="solid">
        <fgColor rgb="FFFFFFFF"/>
      </patternFill>
    </fill>
    <fill>
      <patternFill patternType="solid">
        <fgColor rgb="FFEAF1F8"/>
        <bgColor indexed="64"/>
      </patternFill>
    </fill>
    <fill>
      <patternFill patternType="solid">
        <fgColor rgb="FFFFF2CC"/>
        <bgColor indexed="64"/>
      </patternFill>
    </fill>
    <fill>
      <patternFill patternType="solid">
        <fgColor rgb="FF16324F"/>
        <bgColor indexed="64"/>
      </patternFill>
    </fill>
    <fill>
      <patternFill patternType="solid">
        <fgColor rgb="FFE6E6E7"/>
        <bgColor indexed="64"/>
      </patternFill>
    </fill>
    <fill>
      <patternFill patternType="solid">
        <fgColor rgb="FFF2F2F2"/>
        <bgColor indexed="64"/>
      </patternFill>
    </fill>
    <fill>
      <patternFill patternType="solid">
        <fgColor rgb="FFFFF7DF"/>
        <bgColor indexed="64"/>
      </patternFill>
    </fill>
    <fill>
      <patternFill patternType="solid">
        <fgColor rgb="FF4472C4"/>
        <bgColor indexed="64"/>
      </patternFill>
    </fill>
    <fill>
      <patternFill patternType="solid">
        <fgColor rgb="FF16324F"/>
      </patternFill>
    </fill>
    <fill>
      <patternFill patternType="solid">
        <fgColor rgb="FFFFF2CC"/>
      </patternFill>
    </fill>
    <fill>
      <patternFill patternType="solid">
        <fgColor rgb="FFD9E2F3"/>
      </patternFill>
    </fill>
    <fill>
      <patternFill patternType="solid">
        <fgColor rgb="FFE2EFDA"/>
      </patternFill>
    </fill>
    <fill>
      <patternFill patternType="solid">
        <fgColor rgb="FF1A2F4F"/>
        <bgColor indexed="64"/>
      </patternFill>
    </fill>
    <fill>
      <patternFill patternType="solid">
        <fgColor rgb="FFB7D5E8"/>
        <bgColor indexed="64"/>
      </patternFill>
    </fill>
    <fill>
      <patternFill patternType="solid">
        <fgColor rgb="FF23446B"/>
        <bgColor indexed="64"/>
      </patternFill>
    </fill>
    <fill>
      <patternFill patternType="solid">
        <fgColor rgb="FFE8E8E8"/>
        <bgColor indexed="64"/>
      </patternFill>
    </fill>
  </fills>
  <borders count="9">
    <border>
      <left/>
      <right/>
      <top/>
      <bottom/>
      <diagonal/>
    </border>
    <border>
      <left style="thin">
        <color rgb="FFAAAAAA"/>
      </left>
      <right style="thin">
        <color rgb="FFAAAAAA"/>
      </right>
      <top style="thin">
        <color rgb="FFAAAAAA"/>
      </top>
      <bottom style="thin">
        <color rgb="FFAAAAAA"/>
      </bottom>
      <diagonal/>
    </border>
    <border>
      <left/>
      <right/>
      <top/>
      <bottom style="thin">
        <color rgb="FF1D4ED8"/>
      </bottom>
      <diagonal/>
    </border>
    <border>
      <left/>
      <right/>
      <top style="thin">
        <color rgb="FF1D4ED8"/>
      </top>
      <bottom/>
      <diagonal/>
    </border>
    <border>
      <left/>
      <right/>
      <top/>
      <bottom style="thin">
        <color rgb="FFA8B6C7"/>
      </bottom>
      <diagonal/>
    </border>
    <border>
      <left/>
      <right/>
      <top/>
      <bottom style="thin">
        <color rgb="FFD9E2F3"/>
      </bottom>
      <diagonal/>
    </border>
    <border>
      <left style="thin">
        <color rgb="FFAAAAAA"/>
      </left>
      <right style="thin">
        <color rgb="FFAAAAAA"/>
      </right>
      <top style="thin">
        <color rgb="FFAAAAAA"/>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s>
  <cellStyleXfs count="2">
    <xf numFmtId="0" fontId="0" fillId="0" borderId="0"/>
    <xf numFmtId="0" fontId="15" fillId="0" borderId="0" applyNumberFormat="0" applyFill="0" applyBorder="0" applyAlignment="0" applyProtection="0"/>
  </cellStyleXfs>
  <cellXfs count="113">
    <xf numFmtId="0" fontId="0" fillId="0" borderId="0" xfId="0"/>
    <xf numFmtId="0" fontId="9" fillId="2"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178" fontId="5" fillId="9" borderId="1" xfId="0" applyNumberFormat="1" applyFont="1" applyFill="1" applyBorder="1" applyAlignment="1">
      <alignment horizontal="center" vertical="center" wrapText="1"/>
    </xf>
    <xf numFmtId="0" fontId="5" fillId="9" borderId="1" xfId="0" applyFont="1" applyFill="1" applyBorder="1" applyAlignment="1">
      <alignment horizontal="left" vertical="center" wrapText="1"/>
    </xf>
    <xf numFmtId="176" fontId="5"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0" fillId="0" borderId="0" xfId="0" applyFont="1"/>
    <xf numFmtId="0" fontId="11" fillId="0" borderId="2" xfId="0" applyFont="1" applyBorder="1"/>
    <xf numFmtId="0" fontId="10" fillId="0" borderId="2" xfId="0" applyFont="1" applyBorder="1"/>
    <xf numFmtId="2" fontId="10" fillId="0" borderId="0" xfId="0" applyNumberFormat="1" applyFont="1"/>
    <xf numFmtId="0" fontId="16" fillId="12" borderId="4" xfId="0" applyFont="1" applyFill="1" applyBorder="1" applyAlignment="1">
      <alignment horizontal="center" vertical="center" wrapText="1"/>
    </xf>
    <xf numFmtId="179" fontId="10" fillId="0" borderId="0" xfId="0" applyNumberFormat="1" applyFont="1" applyAlignment="1">
      <alignment horizontal="center"/>
    </xf>
    <xf numFmtId="2" fontId="10" fillId="0" borderId="0" xfId="0" applyNumberFormat="1" applyFont="1" applyAlignment="1">
      <alignment horizontal="center"/>
    </xf>
    <xf numFmtId="14" fontId="10" fillId="0" borderId="0" xfId="0" applyNumberFormat="1" applyFont="1" applyAlignment="1">
      <alignment horizontal="center"/>
    </xf>
    <xf numFmtId="0" fontId="13" fillId="10" borderId="5" xfId="0" applyFont="1" applyFill="1" applyBorder="1" applyAlignment="1">
      <alignment horizontal="left" vertical="center"/>
    </xf>
    <xf numFmtId="179" fontId="10" fillId="11" borderId="5" xfId="0" applyNumberFormat="1" applyFont="1" applyFill="1" applyBorder="1" applyAlignment="1">
      <alignment horizontal="left" vertical="center"/>
    </xf>
    <xf numFmtId="0" fontId="10" fillId="0" borderId="5" xfId="0" applyFont="1" applyBorder="1"/>
    <xf numFmtId="0" fontId="10" fillId="0" borderId="5" xfId="0" applyFont="1" applyBorder="1" applyAlignment="1">
      <alignment horizontal="left"/>
    </xf>
    <xf numFmtId="179" fontId="10" fillId="0" borderId="5" xfId="0" applyNumberFormat="1" applyFont="1" applyBorder="1" applyAlignment="1">
      <alignment horizontal="left" vertical="center"/>
    </xf>
    <xf numFmtId="2" fontId="10" fillId="0" borderId="5" xfId="0" applyNumberFormat="1" applyFont="1" applyBorder="1" applyAlignment="1">
      <alignment horizontal="left" vertical="center"/>
    </xf>
    <xf numFmtId="0" fontId="15" fillId="0" borderId="5" xfId="1" applyBorder="1" applyAlignment="1">
      <alignment horizontal="left"/>
    </xf>
    <xf numFmtId="0" fontId="10" fillId="0" borderId="5" xfId="0" applyFont="1" applyBorder="1" applyAlignment="1">
      <alignment horizontal="left" vertical="center"/>
    </xf>
    <xf numFmtId="0" fontId="10" fillId="0" borderId="5" xfId="0" applyFont="1" applyBorder="1" applyAlignment="1">
      <alignment horizontal="left" vertical="center" wrapText="1"/>
    </xf>
    <xf numFmtId="0" fontId="10" fillId="0" borderId="5" xfId="0" applyFont="1" applyBorder="1" applyAlignment="1">
      <alignment horizontal="left" wrapText="1"/>
    </xf>
    <xf numFmtId="2" fontId="6" fillId="5" borderId="1" xfId="0" applyNumberFormat="1" applyFont="1" applyFill="1" applyBorder="1" applyAlignment="1">
      <alignment horizontal="center" vertical="center" wrapText="1"/>
    </xf>
    <xf numFmtId="4" fontId="18" fillId="8" borderId="1" xfId="0" applyNumberFormat="1" applyFont="1" applyFill="1" applyBorder="1" applyAlignment="1">
      <alignment horizontal="center" vertical="center" wrapText="1"/>
    </xf>
    <xf numFmtId="0" fontId="19" fillId="0" borderId="0" xfId="0" applyFont="1"/>
    <xf numFmtId="4" fontId="18" fillId="4" borderId="1" xfId="0" applyNumberFormat="1" applyFont="1" applyFill="1" applyBorder="1" applyAlignment="1">
      <alignment horizontal="center" vertical="center" wrapText="1"/>
    </xf>
    <xf numFmtId="180" fontId="5" fillId="4" borderId="1" xfId="0" applyNumberFormat="1" applyFont="1" applyFill="1" applyBorder="1" applyAlignment="1">
      <alignment horizontal="center" vertical="center" wrapText="1"/>
    </xf>
    <xf numFmtId="181" fontId="6" fillId="5" borderId="1" xfId="0" applyNumberFormat="1" applyFont="1" applyFill="1" applyBorder="1" applyAlignment="1">
      <alignment horizontal="center" vertical="center" wrapText="1"/>
    </xf>
    <xf numFmtId="182" fontId="6" fillId="5" borderId="1" xfId="0" applyNumberFormat="1" applyFont="1" applyFill="1" applyBorder="1" applyAlignment="1">
      <alignment horizontal="center" vertical="center" wrapText="1"/>
    </xf>
    <xf numFmtId="183" fontId="6" fillId="5" borderId="1" xfId="0" applyNumberFormat="1" applyFont="1" applyFill="1" applyBorder="1" applyAlignment="1">
      <alignment horizontal="center" vertical="center" wrapText="1"/>
    </xf>
    <xf numFmtId="0" fontId="20"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2" fontId="21" fillId="13" borderId="1" xfId="0" applyNumberFormat="1" applyFont="1" applyFill="1" applyBorder="1" applyAlignment="1">
      <alignment horizontal="center" vertical="center" wrapText="1"/>
    </xf>
    <xf numFmtId="0" fontId="4" fillId="8" borderId="6" xfId="0" applyFont="1" applyFill="1" applyBorder="1" applyAlignment="1">
      <alignment horizontal="center" vertical="center" wrapText="1"/>
    </xf>
    <xf numFmtId="4" fontId="18" fillId="8" borderId="6" xfId="0" applyNumberFormat="1" applyFont="1" applyFill="1" applyBorder="1" applyAlignment="1">
      <alignment horizontal="center" vertical="center" wrapText="1"/>
    </xf>
    <xf numFmtId="0" fontId="24" fillId="14" borderId="7" xfId="0" applyFont="1" applyFill="1" applyBorder="1" applyAlignment="1">
      <alignment horizontal="center" vertical="center"/>
    </xf>
    <xf numFmtId="184" fontId="5" fillId="8" borderId="1" xfId="0" applyNumberFormat="1" applyFont="1" applyFill="1" applyBorder="1" applyAlignment="1">
      <alignment horizontal="center" vertical="center" wrapText="1"/>
    </xf>
    <xf numFmtId="184" fontId="5" fillId="4" borderId="1" xfId="0" applyNumberFormat="1" applyFont="1" applyFill="1" applyBorder="1" applyAlignment="1">
      <alignment horizontal="center" vertical="center" wrapText="1"/>
    </xf>
    <xf numFmtId="184" fontId="5" fillId="8" borderId="6" xfId="0" applyNumberFormat="1" applyFont="1" applyFill="1" applyBorder="1" applyAlignment="1">
      <alignment horizontal="center" vertical="center" wrapText="1"/>
    </xf>
    <xf numFmtId="0" fontId="24" fillId="14" borderId="8" xfId="0" applyFont="1" applyFill="1" applyBorder="1" applyAlignment="1">
      <alignment horizontal="center" vertical="center"/>
    </xf>
    <xf numFmtId="0" fontId="0" fillId="14" borderId="7" xfId="0" applyFill="1" applyBorder="1" applyAlignment="1">
      <alignment horizontal="center" vertical="center"/>
    </xf>
    <xf numFmtId="0" fontId="0" fillId="15" borderId="7" xfId="0" applyFill="1" applyBorder="1" applyAlignment="1">
      <alignment horizontal="center" vertical="center"/>
    </xf>
    <xf numFmtId="0" fontId="25" fillId="15" borderId="7" xfId="0" applyFont="1" applyFill="1" applyBorder="1" applyAlignment="1">
      <alignment horizontal="center" vertical="center"/>
    </xf>
    <xf numFmtId="0" fontId="6" fillId="0" borderId="0" xfId="0" applyFont="1"/>
    <xf numFmtId="0" fontId="6" fillId="18" borderId="1" xfId="0" applyFont="1" applyFill="1" applyBorder="1" applyAlignment="1">
      <alignment horizontal="center" vertical="center" wrapText="1"/>
    </xf>
    <xf numFmtId="0" fontId="30" fillId="17" borderId="1" xfId="0" applyFont="1" applyFill="1" applyBorder="1" applyAlignment="1">
      <alignment horizontal="center" vertical="center" wrapText="1"/>
    </xf>
    <xf numFmtId="0" fontId="6" fillId="19" borderId="1" xfId="0" applyFont="1" applyFill="1" applyBorder="1" applyAlignment="1">
      <alignment horizontal="center" vertical="center" wrapText="1"/>
    </xf>
    <xf numFmtId="0" fontId="6" fillId="0" borderId="1" xfId="0" applyFont="1" applyBorder="1" applyAlignment="1">
      <alignment horizontal="center" vertical="center" wrapText="1"/>
    </xf>
    <xf numFmtId="184" fontId="6" fillId="20" borderId="1" xfId="0" applyNumberFormat="1" applyFont="1" applyFill="1" applyBorder="1" applyAlignment="1">
      <alignment horizontal="center" vertical="center" wrapText="1"/>
    </xf>
    <xf numFmtId="4" fontId="6" fillId="20" borderId="1" xfId="0" applyNumberFormat="1" applyFont="1" applyFill="1" applyBorder="1" applyAlignment="1">
      <alignment horizontal="center" vertical="center" wrapText="1"/>
    </xf>
    <xf numFmtId="0" fontId="5" fillId="0" borderId="1" xfId="0" applyFont="1" applyBorder="1" applyAlignment="1">
      <alignment horizontal="center" vertical="center" wrapText="1"/>
    </xf>
    <xf numFmtId="4" fontId="5" fillId="0" borderId="1" xfId="0" applyNumberFormat="1" applyFont="1" applyBorder="1" applyAlignment="1">
      <alignment horizontal="center" vertical="center" wrapText="1"/>
    </xf>
    <xf numFmtId="0" fontId="31" fillId="23" borderId="0" xfId="0" applyFont="1" applyFill="1" applyAlignment="1">
      <alignment horizontal="center"/>
    </xf>
    <xf numFmtId="0" fontId="15" fillId="0" borderId="0" xfId="1"/>
    <xf numFmtId="0" fontId="0" fillId="11" borderId="0" xfId="0" applyFill="1"/>
    <xf numFmtId="0" fontId="0" fillId="24" borderId="0" xfId="0" applyFill="1"/>
    <xf numFmtId="0" fontId="12" fillId="0" borderId="3" xfId="0" applyFont="1" applyBorder="1" applyAlignment="1">
      <alignment wrapText="1"/>
    </xf>
    <xf numFmtId="0" fontId="10" fillId="0" borderId="3" xfId="0" applyFont="1" applyBorder="1" applyAlignment="1">
      <alignment wrapText="1"/>
    </xf>
    <xf numFmtId="0" fontId="12" fillId="0" borderId="0" xfId="0" applyFont="1" applyAlignment="1">
      <alignment wrapText="1"/>
    </xf>
    <xf numFmtId="0" fontId="10" fillId="0" borderId="0" xfId="0" applyFont="1" applyAlignment="1">
      <alignment wrapText="1"/>
    </xf>
    <xf numFmtId="0" fontId="24" fillId="22" borderId="0" xfId="0" applyFont="1" applyFill="1"/>
    <xf numFmtId="0" fontId="0" fillId="0" borderId="0" xfId="0"/>
    <xf numFmtId="0" fontId="26" fillId="21" borderId="0" xfId="0" applyFont="1" applyFill="1"/>
    <xf numFmtId="0" fontId="1" fillId="17" borderId="0" xfId="0" applyFont="1" applyFill="1" applyAlignment="1">
      <alignment horizontal="left" vertical="center" wrapText="1"/>
    </xf>
    <xf numFmtId="0" fontId="32" fillId="0" borderId="0" xfId="0" applyFont="1" applyAlignment="1">
      <alignment horizontal="left" vertical="center" wrapText="1"/>
    </xf>
    <xf numFmtId="0" fontId="33" fillId="0" borderId="0" xfId="0" applyFont="1"/>
    <xf numFmtId="0" fontId="6" fillId="0" borderId="0" xfId="0" applyFont="1" applyAlignment="1">
      <alignment horizontal="left" vertical="center" wrapText="1"/>
    </xf>
    <xf numFmtId="0" fontId="6" fillId="19" borderId="0" xfId="0" applyFont="1" applyFill="1" applyAlignment="1">
      <alignment horizontal="left" vertical="center" wrapText="1"/>
    </xf>
    <xf numFmtId="0" fontId="6" fillId="19" borderId="1" xfId="0" applyFont="1" applyFill="1" applyBorder="1" applyAlignment="1">
      <alignment horizontal="center" vertical="center" wrapText="1"/>
    </xf>
    <xf numFmtId="0" fontId="0" fillId="0" borderId="1" xfId="0" applyBorder="1"/>
    <xf numFmtId="0" fontId="24" fillId="11" borderId="0" xfId="0" applyFont="1" applyFill="1"/>
    <xf numFmtId="0" fontId="36" fillId="0" borderId="0" xfId="0" applyFont="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34" fillId="0" borderId="0" xfId="0" applyFont="1" applyAlignment="1">
      <alignment horizontal="left" vertical="center" wrapText="1"/>
    </xf>
    <xf numFmtId="0" fontId="35" fillId="0" borderId="0" xfId="0" applyFont="1"/>
    <xf numFmtId="0" fontId="29" fillId="0" borderId="0" xfId="0" applyFont="1" applyAlignment="1">
      <alignment horizontal="left" vertical="center" wrapText="1"/>
    </xf>
    <xf numFmtId="0" fontId="3" fillId="0" borderId="0" xfId="0" applyFont="1" applyAlignment="1">
      <alignment horizontal="left" vertical="center" wrapText="1"/>
    </xf>
    <xf numFmtId="0" fontId="1" fillId="2" borderId="0" xfId="0" applyFont="1" applyFill="1" applyAlignment="1">
      <alignment horizontal="left" vertical="center" wrapText="1"/>
    </xf>
    <xf numFmtId="0" fontId="2" fillId="2" borderId="0" xfId="0" applyFont="1" applyFill="1" applyAlignment="1">
      <alignment horizontal="left" vertical="center" wrapText="1"/>
    </xf>
    <xf numFmtId="0" fontId="8" fillId="7" borderId="0" xfId="0" applyFont="1" applyFill="1" applyAlignment="1">
      <alignment horizontal="left" vertical="center" wrapText="1"/>
    </xf>
    <xf numFmtId="0" fontId="4" fillId="3" borderId="1" xfId="0" applyFont="1" applyFill="1" applyBorder="1" applyAlignment="1">
      <alignment horizontal="center" vertical="center" wrapText="1"/>
    </xf>
    <xf numFmtId="0" fontId="0" fillId="3" borderId="1" xfId="0" applyFill="1" applyBorder="1"/>
    <xf numFmtId="2" fontId="21" fillId="13" borderId="1" xfId="0" applyNumberFormat="1" applyFont="1" applyFill="1" applyBorder="1" applyAlignment="1">
      <alignment horizontal="center" vertical="center" wrapText="1"/>
    </xf>
    <xf numFmtId="0" fontId="0" fillId="13" borderId="1" xfId="0" applyFill="1" applyBorder="1"/>
    <xf numFmtId="0" fontId="5" fillId="4" borderId="1" xfId="0" applyFont="1" applyFill="1" applyBorder="1" applyAlignment="1">
      <alignment horizontal="center" vertical="center" wrapText="1"/>
    </xf>
    <xf numFmtId="0" fontId="0" fillId="4" borderId="1" xfId="0" applyFill="1" applyBorder="1"/>
    <xf numFmtId="0" fontId="17" fillId="5" borderId="1" xfId="0" applyFont="1" applyFill="1" applyBorder="1" applyAlignment="1">
      <alignment horizontal="left" vertical="center" wrapText="1"/>
    </xf>
    <xf numFmtId="0" fontId="0" fillId="5" borderId="1" xfId="0" applyFill="1" applyBorder="1"/>
    <xf numFmtId="0" fontId="3" fillId="0" borderId="0" xfId="0" applyFont="1" applyAlignment="1">
      <alignment horizontal="left" vertical="top" wrapText="1"/>
    </xf>
    <xf numFmtId="0" fontId="25" fillId="15" borderId="7" xfId="0" applyFont="1" applyFill="1" applyBorder="1" applyAlignment="1">
      <alignment horizontal="left" vertical="center"/>
    </xf>
    <xf numFmtId="0" fontId="7" fillId="6" borderId="0" xfId="0" applyFont="1" applyFill="1" applyAlignment="1">
      <alignment horizontal="left" vertical="top" wrapText="1"/>
    </xf>
    <xf numFmtId="0" fontId="6" fillId="5" borderId="1" xfId="0" applyFont="1" applyFill="1" applyBorder="1" applyAlignment="1">
      <alignment horizontal="center" vertical="center" wrapText="1"/>
    </xf>
    <xf numFmtId="178" fontId="5" fillId="4" borderId="1" xfId="0" applyNumberFormat="1" applyFont="1" applyFill="1" applyBorder="1" applyAlignment="1">
      <alignment horizontal="center" vertical="center" wrapText="1"/>
    </xf>
    <xf numFmtId="177" fontId="6" fillId="5" borderId="1" xfId="0" applyNumberFormat="1" applyFont="1" applyFill="1" applyBorder="1" applyAlignment="1">
      <alignment horizontal="center" vertical="center" wrapText="1"/>
    </xf>
    <xf numFmtId="0" fontId="26" fillId="16" borderId="0" xfId="0" applyFont="1" applyFill="1" applyAlignment="1">
      <alignment horizontal="left" vertical="center"/>
    </xf>
    <xf numFmtId="0" fontId="0" fillId="0" borderId="0" xfId="0" applyAlignment="1">
      <alignment vertical="center" wrapText="1"/>
    </xf>
    <xf numFmtId="0" fontId="24" fillId="14" borderId="7" xfId="0" applyFont="1" applyFill="1" applyBorder="1" applyAlignment="1">
      <alignment horizontal="center" vertical="center"/>
    </xf>
    <xf numFmtId="0" fontId="25" fillId="15" borderId="7" xfId="0" applyFont="1" applyFill="1" applyBorder="1" applyAlignment="1">
      <alignment horizontal="center" vertical="center" wrapText="1"/>
    </xf>
    <xf numFmtId="0" fontId="0" fillId="15" borderId="7" xfId="0" applyFill="1" applyBorder="1" applyAlignment="1">
      <alignment horizontal="center" vertical="center"/>
    </xf>
    <xf numFmtId="0" fontId="24" fillId="14" borderId="7" xfId="0" applyFont="1" applyFill="1" applyBorder="1" applyAlignment="1">
      <alignment horizontal="center"/>
    </xf>
    <xf numFmtId="0" fontId="27" fillId="15" borderId="8" xfId="0" applyFont="1" applyFill="1" applyBorder="1" applyAlignment="1">
      <alignment horizontal="center" vertical="center" wrapText="1"/>
    </xf>
    <xf numFmtId="0" fontId="28" fillId="15" borderId="8" xfId="0" applyFont="1" applyFill="1" applyBorder="1" applyAlignment="1">
      <alignment horizontal="center" vertical="center" wrapText="1"/>
    </xf>
    <xf numFmtId="0" fontId="5" fillId="4" borderId="1" xfId="0" applyFont="1" applyFill="1" applyBorder="1" applyAlignment="1">
      <alignment horizontal="left" vertical="top" wrapText="1"/>
    </xf>
    <xf numFmtId="0" fontId="27" fillId="15" borderId="7" xfId="0" applyFont="1" applyFill="1" applyBorder="1" applyAlignment="1">
      <alignment horizontal="center" vertical="center" wrapText="1"/>
    </xf>
    <xf numFmtId="0" fontId="28" fillId="15" borderId="7" xfId="0" applyFont="1" applyFill="1" applyBorder="1" applyAlignment="1">
      <alignment horizontal="center" vertical="center" wrapText="1"/>
    </xf>
  </cellXfs>
  <cellStyles count="2">
    <cellStyle name="표준" xfId="0" builtinId="0"/>
    <cellStyle name="하이퍼링크" xfId="1" builtinId="8"/>
  </cellStyles>
  <dxfs count="250">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
      <font>
        <b/>
        <i val="0"/>
        <color rgb="FFFFFFFF"/>
      </font>
      <fill>
        <patternFill>
          <bgColor rgb="FFC00000"/>
        </patternFill>
      </fill>
    </dxf>
    <dxf>
      <font>
        <b/>
        <i val="0"/>
        <color rgb="FFFFFFFF"/>
      </font>
      <fill>
        <patternFill>
          <bgColor rgb="FF4472C4"/>
        </patternFill>
      </fill>
    </dxf>
    <dxf>
      <font>
        <b/>
        <i val="0"/>
        <color rgb="FFFFFFFF"/>
      </font>
      <fill>
        <patternFill>
          <bgColor rgb="FFC00000"/>
        </patternFill>
      </fill>
    </dxf>
    <dxf>
      <font>
        <b/>
        <i val="0"/>
        <color rgb="FFFFFFFF"/>
      </font>
      <fill>
        <patternFill>
          <bgColor rgb="FF4472C4"/>
        </patternFill>
      </fill>
    </dxf>
    <dxf>
      <font>
        <b/>
        <sz val="10"/>
        <color rgb="FFC00000"/>
        <name val="맑은 고딕"/>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선택 날짜 </a:t>
            </a:r>
            <a:r>
              <a:rPr lang="en-US" altLang="ko-KR"/>
              <a:t>Kp </a:t>
            </a:r>
            <a:r>
              <a:rPr lang="ko-KR" altLang="en-US"/>
              <a:t>예보 </a:t>
            </a:r>
            <a:r>
              <a:rPr lang="en-US" altLang="ko-KR"/>
              <a:t>· 3</a:t>
            </a:r>
            <a:r>
              <a:rPr lang="ko-KR" altLang="en-US"/>
              <a:t>시간 간격 </a:t>
            </a:r>
            <a:r>
              <a:rPr lang="en-US" altLang="ko-KR"/>
              <a:t>(KST)</a:t>
            </a:r>
          </a:p>
        </c:rich>
      </c:tx>
      <c:overlay val="0"/>
    </c:title>
    <c:autoTitleDeleted val="0"/>
    <c:plotArea>
      <c:layout/>
      <c:barChart>
        <c:barDir val="col"/>
        <c:grouping val="clustered"/>
        <c:varyColors val="0"/>
        <c:ser>
          <c:idx val="0"/>
          <c:order val="0"/>
          <c:tx>
            <c:v>Kp</c:v>
          </c:tx>
          <c:spPr>
            <a:solidFill>
              <a:srgbClr val="1D4ED8"/>
            </a:solidFill>
            <a:ln>
              <a:solidFill>
                <a:srgbClr val="1D4ED8"/>
              </a:solidFill>
            </a:ln>
          </c:spPr>
          <c:invertIfNegative val="0"/>
          <c:cat>
            <c:strRef>
              <c:f>'⑧a Kp 예보'!$Y$2:$Y$9</c:f>
              <c:strCache>
                <c:ptCount val="8"/>
                <c:pt idx="0">
                  <c:v>00:00</c:v>
                </c:pt>
                <c:pt idx="1">
                  <c:v>03:00</c:v>
                </c:pt>
                <c:pt idx="2">
                  <c:v>06:00</c:v>
                </c:pt>
                <c:pt idx="3">
                  <c:v>09:00</c:v>
                </c:pt>
                <c:pt idx="4">
                  <c:v>12:00</c:v>
                </c:pt>
                <c:pt idx="5">
                  <c:v>15:00</c:v>
                </c:pt>
                <c:pt idx="6">
                  <c:v>18:00</c:v>
                </c:pt>
                <c:pt idx="7">
                  <c:v>21:00</c:v>
                </c:pt>
              </c:strCache>
            </c:strRef>
          </c:cat>
          <c:val>
            <c:numRef>
              <c:f>'⑧a Kp 예보'!$Z$2:$Z$9</c:f>
              <c:numCache>
                <c:formatCode>0.00</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2-E1BA-4C94-988F-5D046C09F775}"/>
            </c:ext>
          </c:extLst>
        </c:ser>
        <c:dLbls>
          <c:showLegendKey val="0"/>
          <c:showVal val="0"/>
          <c:showCatName val="0"/>
          <c:showSerName val="0"/>
          <c:showPercent val="0"/>
          <c:showBubbleSize val="0"/>
        </c:dLbls>
        <c:gapWidth val="60"/>
        <c:axId val="2008449439"/>
        <c:axId val="2008451359"/>
      </c:barChart>
      <c:catAx>
        <c:axId val="2008449439"/>
        <c:scaling>
          <c:orientation val="minMax"/>
        </c:scaling>
        <c:delete val="0"/>
        <c:axPos val="b"/>
        <c:title>
          <c:tx>
            <c:rich>
              <a:bodyPr/>
              <a:lstStyle/>
              <a:p>
                <a:pPr>
                  <a:defRPr/>
                </a:pPr>
                <a:r>
                  <a:rPr lang="ko-KR" altLang="en-US"/>
                  <a:t>시각 </a:t>
                </a:r>
                <a:r>
                  <a:rPr lang="en-US" altLang="ko-KR"/>
                  <a:t>(KST)</a:t>
                </a:r>
              </a:p>
            </c:rich>
          </c:tx>
          <c:overlay val="0"/>
        </c:title>
        <c:numFmt formatCode="General" sourceLinked="1"/>
        <c:majorTickMark val="out"/>
        <c:minorTickMark val="none"/>
        <c:tickLblPos val="nextTo"/>
        <c:crossAx val="2008451359"/>
        <c:crosses val="autoZero"/>
        <c:auto val="1"/>
        <c:lblAlgn val="ctr"/>
        <c:lblOffset val="100"/>
        <c:noMultiLvlLbl val="0"/>
      </c:catAx>
      <c:valAx>
        <c:axId val="2008451359"/>
        <c:scaling>
          <c:orientation val="minMax"/>
          <c:max val="9"/>
          <c:min val="0"/>
        </c:scaling>
        <c:delete val="0"/>
        <c:axPos val="l"/>
        <c:majorGridlines>
          <c:spPr>
            <a:ln>
              <a:solidFill>
                <a:srgbClr val="D9E2F3"/>
              </a:solidFill>
            </a:ln>
          </c:spPr>
        </c:majorGridlines>
        <c:title>
          <c:tx>
            <c:rich>
              <a:bodyPr/>
              <a:lstStyle/>
              <a:p>
                <a:pPr>
                  <a:defRPr/>
                </a:pPr>
                <a:r>
                  <a:rPr lang="en-US" altLang="ko-KR"/>
                  <a:t>Kp </a:t>
                </a:r>
                <a:r>
                  <a:rPr lang="ko-KR" altLang="en-US"/>
                  <a:t>지수</a:t>
                </a:r>
              </a:p>
            </c:rich>
          </c:tx>
          <c:overlay val="0"/>
        </c:title>
        <c:numFmt formatCode="0.00" sourceLinked="1"/>
        <c:majorTickMark val="out"/>
        <c:minorTickMark val="none"/>
        <c:tickLblPos val="nextTo"/>
        <c:crossAx val="2008449439"/>
        <c:crosses val="autoZero"/>
        <c:crossBetween val="between"/>
        <c:majorUnit val="1"/>
      </c:valAx>
      <c:spPr>
        <a:solidFill>
          <a:srgbClr val="FFFFFF"/>
        </a:solidFill>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9E2F3"/>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ko-KR" altLang="en-US"/>
              <a:t>선택 날짜 전후 </a:t>
            </a:r>
            <a:r>
              <a:rPr lang="en-US" altLang="ko-KR"/>
              <a:t>7</a:t>
            </a:r>
            <a:r>
              <a:rPr lang="ko-KR" altLang="en-US"/>
              <a:t>일 </a:t>
            </a:r>
            <a:r>
              <a:rPr lang="en-US" altLang="ko-KR"/>
              <a:t>· </a:t>
            </a:r>
            <a:r>
              <a:rPr lang="ko-KR" altLang="en-US"/>
              <a:t>일 최대 </a:t>
            </a:r>
            <a:r>
              <a:rPr lang="en-US" altLang="ko-KR"/>
              <a:t>Kp (UTC)</a:t>
            </a:r>
          </a:p>
        </c:rich>
      </c:tx>
      <c:overlay val="0"/>
    </c:title>
    <c:autoTitleDeleted val="0"/>
    <c:plotArea>
      <c:layout/>
      <c:barChart>
        <c:barDir val="col"/>
        <c:grouping val="clustered"/>
        <c:varyColors val="0"/>
        <c:ser>
          <c:idx val="0"/>
          <c:order val="0"/>
          <c:tx>
            <c:v>Kp</c:v>
          </c:tx>
          <c:spPr>
            <a:solidFill>
              <a:srgbClr val="E8531F"/>
            </a:solidFill>
            <a:ln>
              <a:solidFill>
                <a:srgbClr val="E8531F"/>
              </a:solidFill>
            </a:ln>
          </c:spPr>
          <c:invertIfNegative val="0"/>
          <c:cat>
            <c:strRef>
              <c:f>'⑧a Kp 예보'!$AB$2:$AB$8</c:f>
              <c:strCache>
                <c:ptCount val="7"/>
                <c:pt idx="0">
                  <c:v>9/21</c:v>
                </c:pt>
                <c:pt idx="1">
                  <c:v>9/22</c:v>
                </c:pt>
                <c:pt idx="2">
                  <c:v>9/23</c:v>
                </c:pt>
                <c:pt idx="3">
                  <c:v>9/24</c:v>
                </c:pt>
                <c:pt idx="4">
                  <c:v>9/25</c:v>
                </c:pt>
                <c:pt idx="5">
                  <c:v>9/26</c:v>
                </c:pt>
                <c:pt idx="6">
                  <c:v>9/27</c:v>
                </c:pt>
              </c:strCache>
            </c:strRef>
          </c:cat>
          <c:val>
            <c:numRef>
              <c:f>'⑧a Kp 예보'!$AC$2:$AC$8</c:f>
              <c:numCache>
                <c:formatCode>0.00</c:formatCode>
                <c:ptCount val="7"/>
                <c:pt idx="0">
                  <c:v>2</c:v>
                </c:pt>
                <c:pt idx="1">
                  <c:v>2</c:v>
                </c:pt>
                <c:pt idx="2">
                  <c:v>2</c:v>
                </c:pt>
                <c:pt idx="3">
                  <c:v>4</c:v>
                </c:pt>
                <c:pt idx="4">
                  <c:v>5</c:v>
                </c:pt>
                <c:pt idx="5">
                  <c:v>3</c:v>
                </c:pt>
                <c:pt idx="6">
                  <c:v>3</c:v>
                </c:pt>
              </c:numCache>
            </c:numRef>
          </c:val>
          <c:extLst>
            <c:ext xmlns:c16="http://schemas.microsoft.com/office/drawing/2014/chart" uri="{C3380CC4-5D6E-409C-BE32-E72D297353CC}">
              <c16:uniqueId val="{00000002-EEF9-4DB2-BCF0-9F539D76AFE2}"/>
            </c:ext>
          </c:extLst>
        </c:ser>
        <c:dLbls>
          <c:showLegendKey val="0"/>
          <c:showVal val="0"/>
          <c:showCatName val="0"/>
          <c:showSerName val="0"/>
          <c:showPercent val="0"/>
          <c:showBubbleSize val="0"/>
        </c:dLbls>
        <c:gapWidth val="60"/>
        <c:axId val="165028431"/>
        <c:axId val="165027951"/>
      </c:barChart>
      <c:catAx>
        <c:axId val="165028431"/>
        <c:scaling>
          <c:orientation val="minMax"/>
        </c:scaling>
        <c:delete val="0"/>
        <c:axPos val="b"/>
        <c:title>
          <c:tx>
            <c:rich>
              <a:bodyPr/>
              <a:lstStyle/>
              <a:p>
                <a:pPr>
                  <a:defRPr/>
                </a:pPr>
                <a:r>
                  <a:rPr lang="ko-KR" altLang="en-US"/>
                  <a:t>날짜 </a:t>
                </a:r>
                <a:r>
                  <a:rPr lang="en-US" altLang="ko-KR"/>
                  <a:t>(UTC)</a:t>
                </a:r>
              </a:p>
            </c:rich>
          </c:tx>
          <c:overlay val="0"/>
        </c:title>
        <c:numFmt formatCode="General" sourceLinked="1"/>
        <c:majorTickMark val="out"/>
        <c:minorTickMark val="none"/>
        <c:tickLblPos val="nextTo"/>
        <c:crossAx val="165027951"/>
        <c:crosses val="autoZero"/>
        <c:auto val="1"/>
        <c:lblAlgn val="ctr"/>
        <c:lblOffset val="100"/>
        <c:noMultiLvlLbl val="0"/>
      </c:catAx>
      <c:valAx>
        <c:axId val="165027951"/>
        <c:scaling>
          <c:orientation val="minMax"/>
          <c:max val="9"/>
          <c:min val="0"/>
        </c:scaling>
        <c:delete val="0"/>
        <c:axPos val="l"/>
        <c:majorGridlines>
          <c:spPr>
            <a:ln>
              <a:solidFill>
                <a:srgbClr val="D9E2F3"/>
              </a:solidFill>
            </a:ln>
          </c:spPr>
        </c:majorGridlines>
        <c:title>
          <c:tx>
            <c:rich>
              <a:bodyPr/>
              <a:lstStyle/>
              <a:p>
                <a:pPr>
                  <a:defRPr/>
                </a:pPr>
                <a:r>
                  <a:rPr lang="en-US" altLang="ko-KR"/>
                  <a:t>Kp </a:t>
                </a:r>
                <a:r>
                  <a:rPr lang="ko-KR" altLang="en-US"/>
                  <a:t>지수</a:t>
                </a:r>
              </a:p>
            </c:rich>
          </c:tx>
          <c:overlay val="0"/>
        </c:title>
        <c:numFmt formatCode="0.00" sourceLinked="1"/>
        <c:majorTickMark val="out"/>
        <c:minorTickMark val="none"/>
        <c:tickLblPos val="nextTo"/>
        <c:crossAx val="165028431"/>
        <c:crosses val="autoZero"/>
        <c:crossBetween val="between"/>
        <c:majorUnit val="1"/>
      </c:valAx>
      <c:spPr>
        <a:solidFill>
          <a:srgbClr val="FFFFFF"/>
        </a:solidFill>
      </c:spPr>
    </c:plotArea>
    <c:plotVisOnly val="0"/>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9E2F3"/>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967739</xdr:colOff>
      <xdr:row>2</xdr:row>
      <xdr:rowOff>0</xdr:rowOff>
    </xdr:from>
    <xdr:to>
      <xdr:col>18</xdr:col>
      <xdr:colOff>670559</xdr:colOff>
      <xdr:row>12</xdr:row>
      <xdr:rowOff>55880</xdr:rowOff>
    </xdr:to>
    <xdr:graphicFrame macro="">
      <xdr:nvGraphicFramePr>
        <xdr:cNvPr id="2" name="kp_3day_chart">
          <a:extLst>
            <a:ext uri="{FF2B5EF4-FFF2-40B4-BE49-F238E27FC236}">
              <a16:creationId xmlns:a16="http://schemas.microsoft.com/office/drawing/2014/main" id="{34CA5972-05A3-4DB4-28B0-1B4093744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967739</xdr:colOff>
      <xdr:row>19</xdr:row>
      <xdr:rowOff>0</xdr:rowOff>
    </xdr:from>
    <xdr:to>
      <xdr:col>18</xdr:col>
      <xdr:colOff>670559</xdr:colOff>
      <xdr:row>31</xdr:row>
      <xdr:rowOff>93980</xdr:rowOff>
    </xdr:to>
    <xdr:graphicFrame macro="">
      <xdr:nvGraphicFramePr>
        <xdr:cNvPr id="3" name="kp_27day_chart">
          <a:extLst>
            <a:ext uri="{FF2B5EF4-FFF2-40B4-BE49-F238E27FC236}">
              <a16:creationId xmlns:a16="http://schemas.microsoft.com/office/drawing/2014/main" id="{462F7DCF-8293-9CDE-E227-D8A866CE7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NOAA_27day_outlook" backgroundRefresh="0" refreshOnLoad="1" growShrinkType="overwriteClear" adjustColumnWidth="0" connectionId="2" xr16:uid="{2C61CECF-7717-4A7C-AEBE-522C4D88ECA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NOAA_3day_forecast" backgroundRefresh="0" refreshOnLoad="1" growShrinkType="overwriteClear" adjustColumnWidth="0" connectionId="1" xr16:uid="{558E67FE-205F-4B41-AE7A-583ABF7EFB4D}"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 xr16:uid="{6A06AC22-445B-4B6D-84F4-6347907944F7}"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03" xr16:uid="{A3DD9F83-4F4B-44B3-9810-1C1960EA0DE4}"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53" xr16:uid="{786B1C2E-5D0D-491C-BBA7-1AC2B839B207}"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8" xr16:uid="{740CC0DF-4A88-4115-9283-EDE7B464265E}"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8" xr16:uid="{4CA4B1D6-FEDA-4F36-A3B1-7BB378A9A90E}"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8" xr16:uid="{CA081BEB-30E8-46D4-87F4-CBE24D4362E1}"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04" xr16:uid="{5033B290-D3D0-4060-B1CD-8C780DA6F8FC}"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 xr16:uid="{B9278BEF-DAA0-473D-A260-BBDA0ACD06C4}"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54" xr16:uid="{028D35F0-7D8E-4B02-A041-962AFB9C8E23}"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5" xr16:uid="{A370609E-68F4-4216-8769-7425EE7E824F}"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5" xr16:uid="{07D90841-3656-4CF3-9A7A-C9C00A28CD10}"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5" xr16:uid="{5B09CA7E-1BA4-4C68-AA97-217EEBABFB54}"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6" xr16:uid="{C51ABD63-8467-435C-935C-D8D7C45AC70F}"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6" xr16:uid="{F3E14BE3-5119-4D19-AF36-4BE5150A5DAA}" autoFormatId="16" applyNumberFormats="0" applyBorderFormats="0" applyFontFormats="1" applyPatternFormats="1" applyAlignmentFormats="0" applyWidthHeightFormats="0"/>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6" xr16:uid="{6B11614A-A042-428F-B404-5870B5CA5C61}" autoFormatId="16" applyNumberFormats="0" applyBorderFormats="0" applyFontFormats="1" applyPatternFormats="1" applyAlignmentFormats="0" applyWidthHeightFormats="0"/>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7" xr16:uid="{A98301DE-8DB7-4D66-AD83-AFCE981EF573}" autoFormatId="16" applyNumberFormats="0" applyBorderFormats="0" applyFontFormats="1" applyPatternFormats="1" applyAlignmentFormats="0" applyWidthHeightFormats="0"/>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7" xr16:uid="{F1776BBA-B56C-4C36-A060-E03680FD83A4}" autoFormatId="16" applyNumberFormats="0" applyBorderFormats="0" applyFontFormats="1" applyPatternFormats="1" applyAlignmentFormats="0" applyWidthHeightFormats="0"/>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7" xr16:uid="{FC70D618-49C1-4A76-8AE5-1503BB35DE4D}" autoFormatId="16" applyNumberFormats="0" applyBorderFormats="0" applyFontFormats="1" applyPatternFormats="1" applyAlignmentFormats="0" applyWidthHeightFormats="0"/>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7" xr16:uid="{ECBAD2D9-48C6-4102-8E67-60FCB72DDC8C}" autoFormatId="16" applyNumberFormats="0" applyBorderFormats="0" applyFontFormats="1" applyPatternFormats="1" applyAlignmentFormats="0" applyWidthHeightFormats="0"/>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7" xr16:uid="{3453357E-696F-47AC-8F77-470CA9208BCF}" autoFormatId="16" applyNumberFormats="0" applyBorderFormats="0" applyFontFormats="1" applyPatternFormats="1" applyAlignmentFormats="0" applyWidthHeightFormats="0"/>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7" xr16:uid="{FF3E538A-975D-4A39-8FF0-8A2C120BD132}" autoFormatId="16" applyNumberFormats="0" applyBorderFormats="0" applyFontFormats="1" applyPatternFormats="1" applyAlignmentFormats="0" applyWidthHeightFormats="0"/>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9" xr16:uid="{0DB71C54-1C16-4EAD-AC0B-BD4D76171341}" autoFormatId="16" applyNumberFormats="0" applyBorderFormats="0" applyFontFormats="1" applyPatternFormats="1" applyAlignmentFormats="0" applyWidthHeightFormats="0"/>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9" xr16:uid="{94CE1097-5EF1-4D3A-AC2F-279D5F60D282}" autoFormatId="16" applyNumberFormats="0" applyBorderFormats="0" applyFontFormats="1" applyPatternFormats="1" applyAlignmentFormats="0" applyWidthHeightFormats="0"/>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9" xr16:uid="{62198A89-4009-4628-BDE3-3CB97CC50EF6}" autoFormatId="16" applyNumberFormats="0" applyBorderFormats="0" applyFontFormats="1" applyPatternFormats="1" applyAlignmentFormats="0" applyWidthHeightFormats="0"/>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50" xr16:uid="{7D0A40AB-9BA7-467F-AEE9-A7F9A0B600DB}" autoFormatId="16" applyNumberFormats="0" applyBorderFormats="0" applyFontFormats="1" applyPatternFormats="1" applyAlignmentFormats="0" applyWidthHeightFormats="0"/>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50" xr16:uid="{DA429711-CC54-44FA-8456-79F2DCB34296}" autoFormatId="16" applyNumberFormats="0" applyBorderFormats="0" applyFontFormats="1" applyPatternFormats="1" applyAlignmentFormats="0" applyWidthHeightFormats="0"/>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100" xr16:uid="{2DB94E8A-EF82-4E58-8F29-846B16D662F2}" autoFormatId="16" applyNumberFormats="0" applyBorderFormats="0" applyFontFormats="1" applyPatternFormats="1" applyAlignmentFormats="0" applyWidthHeightFormats="0"/>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51" xr16:uid="{B7CB9523-8591-46DA-8429-32C23850D4AD}" autoFormatId="16" applyNumberFormats="0" applyBorderFormats="0" applyFontFormats="1" applyPatternFormats="1" applyAlignmentFormats="0" applyWidthHeightFormats="0"/>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51" xr16:uid="{142AD703-63D8-45AB-AC29-8608A7D2EFAA}" autoFormatId="16" applyNumberFormats="0" applyBorderFormats="0" applyFontFormats="1" applyPatternFormats="1" applyAlignmentFormats="0" applyWidthHeightFormats="0"/>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101" xr16:uid="{BF9D5C5A-6E92-4EEF-965D-5DCB00260871}" autoFormatId="16" applyNumberFormats="0" applyBorderFormats="0" applyFontFormats="1" applyPatternFormats="1" applyAlignmentFormats="0" applyWidthHeightFormats="0"/>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52" xr16:uid="{9635788B-BDDD-44F7-A1D2-68646C6196F9}" autoFormatId="16" applyNumberFormats="0" applyBorderFormats="0" applyFontFormats="1" applyPatternFormats="1" applyAlignmentFormats="0" applyWidthHeightFormats="0"/>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52" xr16:uid="{840F7DC8-BEB9-48AD-AD0B-6F29C40005E3}" autoFormatId="16" applyNumberFormats="0" applyBorderFormats="0" applyFontFormats="1" applyPatternFormats="1" applyAlignmentFormats="0" applyWidthHeightFormats="0"/>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102" xr16:uid="{2BC2952C-5506-48E8-83E0-7C472F7BC2F5}" autoFormatId="16" applyNumberFormats="0" applyBorderFormats="0" applyFontFormats="1" applyPatternFormats="1" applyAlignmentFormats="0" applyWidthHeightFormats="0"/>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05" xr16:uid="{27DE1382-ADDE-4D1B-89E4-1B2E907D1421}" autoFormatId="16" applyNumberFormats="0" applyBorderFormats="0" applyFontFormats="1" applyPatternFormats="1" applyAlignmentFormats="0" applyWidthHeightFormats="0"/>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5" xr16:uid="{0C3CD646-4FEA-469A-B103-8837C8610679}" autoFormatId="16" applyNumberFormats="0" applyBorderFormats="0" applyFontFormats="1" applyPatternFormats="1" applyAlignmentFormats="0" applyWidthHeightFormats="0"/>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55" xr16:uid="{884A27A7-D4FD-4A4B-9AC1-6229DBD5ECB4}" autoFormatId="16" applyNumberFormats="0" applyBorderFormats="0" applyFontFormats="1" applyPatternFormats="1" applyAlignmentFormats="0" applyWidthHeightFormats="0"/>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06" xr16:uid="{385DCDFF-4455-431F-9F4E-A76540FFE938}" autoFormatId="16" applyNumberFormats="0" applyBorderFormats="0" applyFontFormats="1" applyPatternFormats="1" applyAlignmentFormats="0" applyWidthHeightFormats="0"/>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6" xr16:uid="{1A4BEAF2-0AEE-4DFA-8011-3A5D4C8D2BFD}" autoFormatId="16" applyNumberFormats="0" applyBorderFormats="0" applyFontFormats="1" applyPatternFormats="1" applyAlignmentFormats="0" applyWidthHeightFormats="0"/>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56" xr16:uid="{20E15157-3CD0-4282-907A-1EF89110BC3C}" autoFormatId="16" applyNumberFormats="0" applyBorderFormats="0" applyFontFormats="1" applyPatternFormats="1" applyAlignmentFormats="0" applyWidthHeightFormats="0"/>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07" xr16:uid="{FF735082-3C03-4885-A260-BDC550D346FE}" autoFormatId="16" applyNumberFormats="0" applyBorderFormats="0" applyFontFormats="1" applyPatternFormats="1" applyAlignmentFormats="0" applyWidthHeightFormats="0"/>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7" xr16:uid="{89FB2BB4-411C-4494-B19E-2FDA2C98ABB5}" autoFormatId="16" applyNumberFormats="0" applyBorderFormats="0" applyFontFormats="1" applyPatternFormats="1" applyAlignmentFormats="0" applyWidthHeightFormats="0"/>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57" xr16:uid="{AFC33571-2340-4F93-B284-BA87E0334DA1}" autoFormatId="16" applyNumberFormats="0" applyBorderFormats="0" applyFontFormats="1" applyPatternFormats="1" applyAlignmentFormats="0" applyWidthHeightFormats="0"/>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08" xr16:uid="{2C46A4FA-3B23-4EFD-A144-EF891B5D19C2}" autoFormatId="16" applyNumberFormats="0" applyBorderFormats="0" applyFontFormats="1" applyPatternFormats="1" applyAlignmentFormats="0" applyWidthHeightFormats="0"/>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8" xr16:uid="{E48C22AC-FA7F-499B-95A7-FB854DBA215B}" autoFormatId="16" applyNumberFormats="0" applyBorderFormats="0" applyFontFormats="1" applyPatternFormats="1" applyAlignmentFormats="0" applyWidthHeightFormats="0"/>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58" xr16:uid="{BF2B5290-D930-4807-A536-00A642CFCD8E}" autoFormatId="16" applyNumberFormats="0" applyBorderFormats="0" applyFontFormats="1" applyPatternFormats="1" applyAlignmentFormats="0" applyWidthHeightFormats="0"/>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09" xr16:uid="{3D49A7A6-CA13-482A-A8ED-6BF158A0F601}" autoFormatId="16" applyNumberFormats="0" applyBorderFormats="0" applyFontFormats="1" applyPatternFormats="1" applyAlignmentFormats="0" applyWidthHeightFormats="0"/>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9" xr16:uid="{0742677A-D3F3-4358-A3AF-37408C4CDFFC}" autoFormatId="16" applyNumberFormats="0" applyBorderFormats="0" applyFontFormats="1" applyPatternFormats="1" applyAlignmentFormats="0" applyWidthHeightFormats="0"/>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59" xr16:uid="{49859ABD-1BC7-41CE-959F-EC1C93ECA723}" autoFormatId="16" applyNumberFormats="0" applyBorderFormats="0" applyFontFormats="1" applyPatternFormats="1" applyAlignmentFormats="0" applyWidthHeightFormats="0"/>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0" xr16:uid="{AEF8D370-2381-4530-A293-E90D44A00DD3}" autoFormatId="16" applyNumberFormats="0" applyBorderFormats="0" applyFontFormats="1" applyPatternFormats="1" applyAlignmentFormats="0" applyWidthHeightFormats="0"/>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0" xr16:uid="{060E59E2-A638-4423-AAF5-0AFD290D28F6}" autoFormatId="16" applyNumberFormats="0" applyBorderFormats="0" applyFontFormats="1" applyPatternFormats="1" applyAlignmentFormats="0" applyWidthHeightFormats="0"/>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0" xr16:uid="{294BDE1A-A3F4-481D-B002-C046824C9FDC}" autoFormatId="16" applyNumberFormats="0" applyBorderFormats="0" applyFontFormats="1" applyPatternFormats="1" applyAlignmentFormats="0" applyWidthHeightFormats="0"/>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1" xr16:uid="{FB32E4A4-AAAE-41C2-A3CD-44BA07FB70F1}" autoFormatId="16" applyNumberFormats="0" applyBorderFormats="0" applyFontFormats="1" applyPatternFormats="1" applyAlignmentFormats="0" applyWidthHeightFormats="0"/>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1" xr16:uid="{FA3482E5-7157-4592-83CB-7C9815556693}" autoFormatId="16" applyNumberFormats="0" applyBorderFormats="0" applyFontFormats="1" applyPatternFormats="1" applyAlignmentFormats="0" applyWidthHeightFormats="0"/>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1" xr16:uid="{EFE24BD2-99B6-4080-A19D-08FAB556E137}" autoFormatId="16" applyNumberFormats="0" applyBorderFormats="0" applyFontFormats="1" applyPatternFormats="1" applyAlignmentFormats="0" applyWidthHeightFormats="0"/>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2" xr16:uid="{BF3EA148-D14C-46AF-A6DC-B9B5E22A2F38}" autoFormatId="16" applyNumberFormats="0" applyBorderFormats="0" applyFontFormats="1" applyPatternFormats="1" applyAlignmentFormats="0" applyWidthHeightFormats="0"/>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2" xr16:uid="{24F84139-E0C2-4B9E-A019-2ED6798F2D7F}" autoFormatId="16" applyNumberFormats="0" applyBorderFormats="0" applyFontFormats="1" applyPatternFormats="1" applyAlignmentFormats="0" applyWidthHeightFormats="0"/>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2" xr16:uid="{326AA806-866E-43E7-99B5-FF8BE7FBCE74}" autoFormatId="16" applyNumberFormats="0" applyBorderFormats="0" applyFontFormats="1" applyPatternFormats="1" applyAlignmentFormats="0" applyWidthHeightFormats="0"/>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3" xr16:uid="{C4EDAF59-C953-4503-AD26-33A9BE791040}" autoFormatId="16" applyNumberFormats="0" applyBorderFormats="0" applyFontFormats="1" applyPatternFormats="1" applyAlignmentFormats="0" applyWidthHeightFormats="0"/>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3" xr16:uid="{C3DB732A-E4AF-4989-B321-324C6FAAB744}" autoFormatId="16" applyNumberFormats="0" applyBorderFormats="0" applyFontFormats="1" applyPatternFormats="1" applyAlignmentFormats="0" applyWidthHeightFormats="0"/>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3" xr16:uid="{1A46146E-9B07-42F0-A69E-35501698257A}" autoFormatId="16" applyNumberFormats="0" applyBorderFormats="0" applyFontFormats="1" applyPatternFormats="1" applyAlignmentFormats="0" applyWidthHeightFormats="0"/>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4" xr16:uid="{A7D305E9-C13C-4D93-8664-F203740AD5A6}" autoFormatId="16" applyNumberFormats="0" applyBorderFormats="0" applyFontFormats="1" applyPatternFormats="1" applyAlignmentFormats="0" applyWidthHeightFormats="0"/>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4" xr16:uid="{341BE952-E748-4E3A-B782-D6871CAD54F9}" autoFormatId="16" applyNumberFormats="0" applyBorderFormats="0" applyFontFormats="1" applyPatternFormats="1" applyAlignmentFormats="0" applyWidthHeightFormats="0"/>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4" xr16:uid="{472257FB-9907-456D-9534-311C5DAC2BEB}" autoFormatId="16" applyNumberFormats="0" applyBorderFormats="0" applyFontFormats="1" applyPatternFormats="1" applyAlignmentFormats="0" applyWidthHeightFormats="0"/>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6" xr16:uid="{F7B63008-86CA-49FD-A1B5-D8753A5532F4}" autoFormatId="16" applyNumberFormats="0" applyBorderFormats="0" applyFontFormats="1" applyPatternFormats="1" applyAlignmentFormats="0" applyWidthHeightFormats="0"/>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6" xr16:uid="{FD7BF775-EE58-42C2-AAF2-032CE93C9325}" autoFormatId="16" applyNumberFormats="0" applyBorderFormats="0" applyFontFormats="1" applyPatternFormats="1" applyAlignmentFormats="0" applyWidthHeightFormats="0"/>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6" xr16:uid="{F9A6999E-4840-415C-89B6-9A8DD1F67321}" autoFormatId="16" applyNumberFormats="0" applyBorderFormats="0" applyFontFormats="1" applyPatternFormats="1" applyAlignmentFormats="0" applyWidthHeightFormats="0"/>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7" xr16:uid="{13FCDD44-BE3F-4582-A325-23B0B87F8297}" autoFormatId="16" applyNumberFormats="0" applyBorderFormats="0" applyFontFormats="1" applyPatternFormats="1" applyAlignmentFormats="0" applyWidthHeightFormats="0"/>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7" xr16:uid="{81D0BA0F-2FDD-4C92-80ED-71D1AA528D43}" autoFormatId="16" applyNumberFormats="0" applyBorderFormats="0" applyFontFormats="1" applyPatternFormats="1" applyAlignmentFormats="0" applyWidthHeightFormats="0"/>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7" xr16:uid="{2ACFB893-415F-4F56-A99F-A5422B8C9664}" autoFormatId="16" applyNumberFormats="0" applyBorderFormats="0" applyFontFormats="1" applyPatternFormats="1" applyAlignmentFormats="0" applyWidthHeightFormats="0"/>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8" xr16:uid="{1C27C0BB-F435-414C-89AB-C72382318625}" autoFormatId="16" applyNumberFormats="0" applyBorderFormats="0" applyFontFormats="1" applyPatternFormats="1" applyAlignmentFormats="0" applyWidthHeightFormats="0"/>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8" xr16:uid="{3E864D97-A4D5-400E-9EE1-E17D211FCC0E}" autoFormatId="16" applyNumberFormats="0" applyBorderFormats="0" applyFontFormats="1" applyPatternFormats="1" applyAlignmentFormats="0" applyWidthHeightFormats="0"/>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8" xr16:uid="{01DA5E93-0175-4ADD-91E2-16D530A5A2DA}" autoFormatId="16" applyNumberFormats="0" applyBorderFormats="0" applyFontFormats="1" applyPatternFormats="1" applyAlignmentFormats="0" applyWidthHeightFormats="0"/>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19" xr16:uid="{36AE1601-DB6C-49D7-BBAA-B426A771DD8B}" autoFormatId="16" applyNumberFormats="0" applyBorderFormats="0" applyFontFormats="1" applyPatternFormats="1" applyAlignmentFormats="0" applyWidthHeightFormats="0"/>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19" xr16:uid="{16356A7E-2DFC-4D05-87AC-61BE4DB01DAD}" autoFormatId="16" applyNumberFormats="0" applyBorderFormats="0" applyFontFormats="1" applyPatternFormats="1" applyAlignmentFormats="0" applyWidthHeightFormats="0"/>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69" xr16:uid="{C113F990-909E-492E-885B-A0A0F650FF47}" autoFormatId="16" applyNumberFormats="0" applyBorderFormats="0" applyFontFormats="1" applyPatternFormats="1" applyAlignmentFormats="0" applyWidthHeightFormats="0"/>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0" xr16:uid="{AF014432-FB5A-4E41-A5E4-307DD0A8D736}" autoFormatId="16" applyNumberFormats="0" applyBorderFormats="0" applyFontFormats="1" applyPatternFormats="1" applyAlignmentFormats="0" applyWidthHeightFormats="0"/>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0" xr16:uid="{9E87726E-D26A-4BD6-B116-D04B2A08AC0F}" autoFormatId="16" applyNumberFormats="0" applyBorderFormats="0" applyFontFormats="1" applyPatternFormats="1" applyAlignmentFormats="0" applyWidthHeightFormats="0"/>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0" xr16:uid="{595A899D-5363-40CD-975A-826033CD6E0A}" autoFormatId="16" applyNumberFormats="0" applyBorderFormats="0" applyFontFormats="1" applyPatternFormats="1" applyAlignmentFormats="0" applyWidthHeightFormats="0"/>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1" xr16:uid="{9BDC6D47-FC94-453F-B09D-A153186DC1C4}" autoFormatId="16" applyNumberFormats="0" applyBorderFormats="0" applyFontFormats="1" applyPatternFormats="1" applyAlignmentFormats="0" applyWidthHeightFormats="0"/>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1" xr16:uid="{E51B96CD-1436-401D-8E9C-09C57E8C4D26}" autoFormatId="16" applyNumberFormats="0" applyBorderFormats="0" applyFontFormats="1" applyPatternFormats="1" applyAlignmentFormats="0" applyWidthHeightFormats="0"/>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1" xr16:uid="{BEED0895-DD7E-4BC1-9602-2B8822AFCA75}" autoFormatId="16" applyNumberFormats="0" applyBorderFormats="0" applyFontFormats="1" applyPatternFormats="1" applyAlignmentFormats="0" applyWidthHeightFormats="0"/>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2" xr16:uid="{DBE8447B-F005-46DD-B314-F862B3EC8A15}" autoFormatId="16" applyNumberFormats="0" applyBorderFormats="0" applyFontFormats="1" applyPatternFormats="1" applyAlignmentFormats="0" applyWidthHeightFormats="0"/>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2" xr16:uid="{67D0E7B2-8164-408C-B299-374D8D459536}" autoFormatId="16" applyNumberFormats="0" applyBorderFormats="0" applyFontFormats="1" applyPatternFormats="1" applyAlignmentFormats="0" applyWidthHeightFormats="0"/>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2" xr16:uid="{E1A22AE0-E63C-47C8-8654-28B1864C7C2E}" autoFormatId="16" applyNumberFormats="0" applyBorderFormats="0" applyFontFormats="1" applyPatternFormats="1" applyAlignmentFormats="0" applyWidthHeightFormats="0"/>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3" xr16:uid="{583DD394-9F4C-4232-A720-4C2BF4DC10DA}" autoFormatId="16" applyNumberFormats="0" applyBorderFormats="0" applyFontFormats="1" applyPatternFormats="1" applyAlignmentFormats="0" applyWidthHeightFormats="0"/>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3" xr16:uid="{E4EA4CF9-57B5-41FC-978A-93B09980F1B9}" autoFormatId="16" applyNumberFormats="0" applyBorderFormats="0" applyFontFormats="1" applyPatternFormats="1" applyAlignmentFormats="0" applyWidthHeightFormats="0"/>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3" xr16:uid="{A66BACCF-FB9F-47F6-9A5D-BAC838EA59DA}" autoFormatId="16" applyNumberFormats="0" applyBorderFormats="0" applyFontFormats="1" applyPatternFormats="1" applyAlignmentFormats="0" applyWidthHeightFormats="0"/>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4" xr16:uid="{CC03C065-EA67-414C-A07A-47960B5BCF7E}" autoFormatId="16" applyNumberFormats="0" applyBorderFormats="0" applyFontFormats="1" applyPatternFormats="1" applyAlignmentFormats="0" applyWidthHeightFormats="0"/>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4" xr16:uid="{6F1F9182-010D-4058-BF6D-4D6C8E304632}" autoFormatId="16" applyNumberFormats="0" applyBorderFormats="0" applyFontFormats="1" applyPatternFormats="1" applyAlignmentFormats="0" applyWidthHeightFormats="0"/>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4" xr16:uid="{4BA31221-0A2F-4BE2-B54B-146163E1467D}" autoFormatId="16" applyNumberFormats="0" applyBorderFormats="0" applyFontFormats="1" applyPatternFormats="1" applyAlignmentFormats="0" applyWidthHeightFormats="0"/>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5" xr16:uid="{8BABF948-171A-415F-824C-5345707D13AC}" autoFormatId="16" applyNumberFormats="0" applyBorderFormats="0" applyFontFormats="1" applyPatternFormats="1" applyAlignmentFormats="0" applyWidthHeightFormats="0"/>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5" xr16:uid="{E54C2387-E9DE-4461-BB6F-1F408318E30B}" autoFormatId="16" applyNumberFormats="0" applyBorderFormats="0" applyFontFormats="1" applyPatternFormats="1" applyAlignmentFormats="0" applyWidthHeightFormats="0"/>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5" xr16:uid="{D33FD8F7-5BBB-47FD-973F-E036BED4A2DE}" autoFormatId="16" applyNumberFormats="0" applyBorderFormats="0" applyFontFormats="1" applyPatternFormats="1" applyAlignmentFormats="0" applyWidthHeightFormats="0"/>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7" xr16:uid="{FCC70219-4EC8-4178-9442-03E571A77101}" autoFormatId="16" applyNumberFormats="0" applyBorderFormats="0" applyFontFormats="1" applyPatternFormats="1" applyAlignmentFormats="0" applyWidthHeightFormats="0"/>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7" xr16:uid="{79D9154D-E9F7-47DE-9B16-60DE6E5AA793}" autoFormatId="16" applyNumberFormats="0" applyBorderFormats="0" applyFontFormats="1" applyPatternFormats="1" applyAlignmentFormats="0" applyWidthHeightFormats="0"/>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7" xr16:uid="{9A1AD1CA-C50B-4300-A0B2-2718C1B8AD4B}" autoFormatId="16" applyNumberFormats="0" applyBorderFormats="0" applyFontFormats="1" applyPatternFormats="1" applyAlignmentFormats="0" applyWidthHeightFormats="0"/>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8" xr16:uid="{750E5E9A-C131-4155-ABFC-6ECE1CE2E42C}" autoFormatId="16" applyNumberFormats="0" applyBorderFormats="0" applyFontFormats="1" applyPatternFormats="1" applyAlignmentFormats="0" applyWidthHeightFormats="0"/>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8" xr16:uid="{4721F8B1-0045-4DB4-9F93-886989AE350C}" autoFormatId="16" applyNumberFormats="0" applyBorderFormats="0" applyFontFormats="1" applyPatternFormats="1" applyAlignmentFormats="0" applyWidthHeightFormats="0"/>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8" xr16:uid="{C3A8C9CF-CDF1-457C-81BE-F35EEDD95661}" autoFormatId="16" applyNumberFormats="0" applyBorderFormats="0" applyFontFormats="1" applyPatternFormats="1" applyAlignmentFormats="0" applyWidthHeightFormats="0"/>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29" xr16:uid="{C52A3A24-308F-4B43-813B-9FBC6E6414DC}" autoFormatId="16" applyNumberFormats="0" applyBorderFormats="0" applyFontFormats="1" applyPatternFormats="1" applyAlignmentFormats="0" applyWidthHeightFormats="0"/>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29" xr16:uid="{D29C3907-467C-4998-974B-1C82DABE179A}" autoFormatId="16" applyNumberFormats="0" applyBorderFormats="0" applyFontFormats="1" applyPatternFormats="1" applyAlignmentFormats="0" applyWidthHeightFormats="0"/>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79" xr16:uid="{C28B7123-B21D-49B2-AD9E-679F52E88135}" autoFormatId="16" applyNumberFormats="0" applyBorderFormats="0" applyFontFormats="1" applyPatternFormats="1" applyAlignmentFormats="0" applyWidthHeightFormats="0"/>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0" xr16:uid="{6704DD7B-9441-4E3A-A408-6B6611F730D9}" autoFormatId="16" applyNumberFormats="0" applyBorderFormats="0" applyFontFormats="1" applyPatternFormats="1" applyAlignmentFormats="0" applyWidthHeightFormats="0"/>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0" xr16:uid="{E9576526-652E-4468-A6FB-A009F7CDDFF4}" autoFormatId="16" applyNumberFormats="0" applyBorderFormats="0" applyFontFormats="1" applyPatternFormats="1" applyAlignmentFormats="0" applyWidthHeightFormats="0"/>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0" xr16:uid="{06818D55-3D42-4078-81EC-53B994F88771}" autoFormatId="16" applyNumberFormats="0" applyBorderFormats="0" applyFontFormats="1" applyPatternFormats="1" applyAlignmentFormats="0" applyWidthHeightFormats="0"/>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1" xr16:uid="{D96E4E39-D4B2-46FA-B91B-C2D2A4B33040}" autoFormatId="16" applyNumberFormats="0" applyBorderFormats="0" applyFontFormats="1" applyPatternFormats="1" applyAlignmentFormats="0" applyWidthHeightFormats="0"/>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1" xr16:uid="{B7717014-0292-4823-8188-A5287A4D2C44}" autoFormatId="16" applyNumberFormats="0" applyBorderFormats="0" applyFontFormats="1" applyPatternFormats="1" applyAlignmentFormats="0" applyWidthHeightFormats="0"/>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1" xr16:uid="{057297F6-D708-4EA6-BAB1-4DBA53FCA970}" autoFormatId="16" applyNumberFormats="0" applyBorderFormats="0" applyFontFormats="1" applyPatternFormats="1" applyAlignmentFormats="0" applyWidthHeightFormats="0"/>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2" xr16:uid="{84E234E8-E3E3-4632-A7EE-0E0547DABB69}" autoFormatId="16" applyNumberFormats="0" applyBorderFormats="0" applyFontFormats="1" applyPatternFormats="1" applyAlignmentFormats="0" applyWidthHeightFormats="0"/>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2" xr16:uid="{29B0AA43-9EED-44B7-A228-D29ED4110F8C}" autoFormatId="16" applyNumberFormats="0" applyBorderFormats="0" applyFontFormats="1" applyPatternFormats="1" applyAlignmentFormats="0" applyWidthHeightFormats="0"/>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2" xr16:uid="{3042B447-DE94-498E-BDD5-97F6D9D98AA4}" autoFormatId="16" applyNumberFormats="0" applyBorderFormats="0" applyFontFormats="1" applyPatternFormats="1" applyAlignmentFormats="0" applyWidthHeightFormats="0"/>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3" xr16:uid="{8882218A-A76F-4C7E-8D57-613E4C188114}" autoFormatId="16" applyNumberFormats="0" applyBorderFormats="0" applyFontFormats="1" applyPatternFormats="1" applyAlignmentFormats="0" applyWidthHeightFormats="0"/>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3" xr16:uid="{C867DDBB-2FB2-40B5-9092-3A53745C0514}" autoFormatId="16" applyNumberFormats="0" applyBorderFormats="0" applyFontFormats="1" applyPatternFormats="1" applyAlignmentFormats="0" applyWidthHeightFormats="0"/>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3" xr16:uid="{1BD9427B-C7FF-480E-802B-BAD73C6274DD}" autoFormatId="16" applyNumberFormats="0" applyBorderFormats="0" applyFontFormats="1" applyPatternFormats="1" applyAlignmentFormats="0" applyWidthHeightFormats="0"/>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4" xr16:uid="{D74DD5B8-69C6-4CB5-B4E0-0AB2A3336E71}" autoFormatId="16" applyNumberFormats="0" applyBorderFormats="0" applyFontFormats="1" applyPatternFormats="1" applyAlignmentFormats="0" applyWidthHeightFormats="0"/>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4" xr16:uid="{08C397B5-E482-4036-8004-1D7CF3698374}" autoFormatId="16" applyNumberFormats="0" applyBorderFormats="0" applyFontFormats="1" applyPatternFormats="1" applyAlignmentFormats="0" applyWidthHeightFormats="0"/>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4" xr16:uid="{5683C36B-6AC5-425B-A86F-AFBDB268846C}" autoFormatId="16" applyNumberFormats="0" applyBorderFormats="0" applyFontFormats="1" applyPatternFormats="1" applyAlignmentFormats="0" applyWidthHeightFormats="0"/>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5" xr16:uid="{8DF0F331-76D8-487A-BB00-D21DA99F3A61}" autoFormatId="16" applyNumberFormats="0" applyBorderFormats="0" applyFontFormats="1" applyPatternFormats="1" applyAlignmentFormats="0" applyWidthHeightFormats="0"/>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5" xr16:uid="{6696671C-1544-4637-B375-2F363C894A6F}" autoFormatId="16" applyNumberFormats="0" applyBorderFormats="0" applyFontFormats="1" applyPatternFormats="1" applyAlignmentFormats="0" applyWidthHeightFormats="0"/>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5" xr16:uid="{3E491D5A-89AF-40D4-BCE7-5C76F3D7D205}" autoFormatId="16" applyNumberFormats="0" applyBorderFormats="0" applyFontFormats="1" applyPatternFormats="1" applyAlignmentFormats="0" applyWidthHeightFormats="0"/>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6" xr16:uid="{F82F58DE-FF56-4DF4-965D-3C30403EF0DD}" autoFormatId="16" applyNumberFormats="0" applyBorderFormats="0" applyFontFormats="1" applyPatternFormats="1" applyAlignmentFormats="0" applyWidthHeightFormats="0"/>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6" xr16:uid="{4295E4A7-4D82-4A57-97C8-80780636B652}" autoFormatId="16" applyNumberFormats="0" applyBorderFormats="0" applyFontFormats="1" applyPatternFormats="1" applyAlignmentFormats="0" applyWidthHeightFormats="0"/>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6" xr16:uid="{299B6AF0-7971-4E1F-9248-444463614C9F}" autoFormatId="16" applyNumberFormats="0" applyBorderFormats="0" applyFontFormats="1" applyPatternFormats="1" applyAlignmentFormats="0" applyWidthHeightFormats="0"/>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8" xr16:uid="{467AB553-1C63-4378-931C-1BD0B01EF953}" autoFormatId="16" applyNumberFormats="0" applyBorderFormats="0" applyFontFormats="1" applyPatternFormats="1" applyAlignmentFormats="0" applyWidthHeightFormats="0"/>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8" xr16:uid="{18325284-0ADE-4F4C-9FE7-053C4B6C59F8}" autoFormatId="16" applyNumberFormats="0" applyBorderFormats="0" applyFontFormats="1" applyPatternFormats="1" applyAlignmentFormats="0" applyWidthHeightFormats="0"/>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8" xr16:uid="{FB69D55B-CABD-46C4-BD6F-165ED7C7B410}" autoFormatId="16" applyNumberFormats="0" applyBorderFormats="0" applyFontFormats="1" applyPatternFormats="1" applyAlignmentFormats="0" applyWidthHeightFormats="0"/>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39" xr16:uid="{F7EA9B54-2656-4089-A608-E0F24FA5F5A0}" autoFormatId="16" applyNumberFormats="0" applyBorderFormats="0" applyFontFormats="1" applyPatternFormats="1" applyAlignmentFormats="0" applyWidthHeightFormats="0"/>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39" xr16:uid="{43B113C6-F71E-4C74-AED4-FF06FB686FA8}" autoFormatId="16" applyNumberFormats="0" applyBorderFormats="0" applyFontFormats="1" applyPatternFormats="1" applyAlignmentFormats="0" applyWidthHeightFormats="0"/>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89" xr16:uid="{2E9BAEC7-01C7-471B-8467-A6BCEE6CB612}" autoFormatId="16" applyNumberFormats="0" applyBorderFormats="0" applyFontFormats="1" applyPatternFormats="1" applyAlignmentFormats="0" applyWidthHeightFormats="0"/>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0" xr16:uid="{EEFF1F26-AE3C-4ADE-89CA-EEDA1CF207FD}" autoFormatId="16" applyNumberFormats="0" applyBorderFormats="0" applyFontFormats="1" applyPatternFormats="1" applyAlignmentFormats="0" applyWidthHeightFormats="0"/>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0" xr16:uid="{8EB6CFC9-4A1E-4B36-B1DE-8F2C671FF503}" autoFormatId="16" applyNumberFormats="0" applyBorderFormats="0" applyFontFormats="1" applyPatternFormats="1" applyAlignmentFormats="0" applyWidthHeightFormats="0"/>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0" xr16:uid="{E1F50501-FAD0-49EC-A077-66B5D3A1EB2B}" autoFormatId="16" applyNumberFormats="0" applyBorderFormats="0" applyFontFormats="1" applyPatternFormats="1" applyAlignmentFormats="0" applyWidthHeightFormats="0"/>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1" xr16:uid="{8A0C724F-7A9D-4CDC-93BF-66AB3D86E5A2}" autoFormatId="16" applyNumberFormats="0" applyBorderFormats="0" applyFontFormats="1" applyPatternFormats="1" applyAlignmentFormats="0" applyWidthHeightFormats="0"/>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1" xr16:uid="{E3817328-E9BF-4D42-A5D5-7BFCF94AB5CB}" autoFormatId="16" applyNumberFormats="0" applyBorderFormats="0" applyFontFormats="1" applyPatternFormats="1" applyAlignmentFormats="0" applyWidthHeightFormats="0"/>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1" xr16:uid="{1D83FC9E-EC08-4FA8-8526-2A4342F4D3F4}" autoFormatId="16" applyNumberFormats="0" applyBorderFormats="0" applyFontFormats="1" applyPatternFormats="1" applyAlignmentFormats="0" applyWidthHeightFormats="0"/>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2" xr16:uid="{A47BC045-2579-4684-B3EC-88961F49BEB7}" autoFormatId="16" applyNumberFormats="0" applyBorderFormats="0" applyFontFormats="1" applyPatternFormats="1" applyAlignmentFormats="0" applyWidthHeightFormats="0"/>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2" xr16:uid="{27620908-D64C-466F-8FFF-9CF39D669182}" autoFormatId="16" applyNumberFormats="0" applyBorderFormats="0" applyFontFormats="1" applyPatternFormats="1" applyAlignmentFormats="0" applyWidthHeightFormats="0"/>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2" xr16:uid="{4B79BD89-A1DC-4698-BCF6-67AF473326C9}" autoFormatId="16" applyNumberFormats="0" applyBorderFormats="0" applyFontFormats="1" applyPatternFormats="1" applyAlignmentFormats="0" applyWidthHeightFormats="0"/>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3" xr16:uid="{86BEB964-4087-48EB-9165-A73F88F2BC7F}" autoFormatId="16" applyNumberFormats="0" applyBorderFormats="0" applyFontFormats="1" applyPatternFormats="1" applyAlignmentFormats="0" applyWidthHeightFormats="0"/>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3" xr16:uid="{B35245A2-88B6-40C9-BED4-5FBFDEC30446}" autoFormatId="16" applyNumberFormats="0" applyBorderFormats="0" applyFontFormats="1" applyPatternFormats="1" applyAlignmentFormats="0" applyWidthHeightFormats="0"/>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3" xr16:uid="{D2527CDE-B358-42A2-A4C3-D2F0B2C5899C}" autoFormatId="16" applyNumberFormats="0" applyBorderFormats="0" applyFontFormats="1" applyPatternFormats="1" applyAlignmentFormats="0" applyWidthHeightFormats="0"/>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4" xr16:uid="{35170374-09C1-418C-AF6D-D32CD4D0F4F2}" autoFormatId="16" applyNumberFormats="0" applyBorderFormats="0" applyFontFormats="1" applyPatternFormats="1" applyAlignmentFormats="0" applyWidthHeightFormats="0"/>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4" xr16:uid="{72298C13-B705-4B83-BFD8-C4EF2DF9C2BF}" autoFormatId="16" applyNumberFormats="0" applyBorderFormats="0" applyFontFormats="1" applyPatternFormats="1" applyAlignmentFormats="0" applyWidthHeightFormats="0"/>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4" xr16:uid="{09B73BF4-8A6D-477B-906B-BD764516EFA5}" autoFormatId="16" applyNumberFormats="0" applyBorderFormats="0" applyFontFormats="1" applyPatternFormats="1" applyAlignmentFormats="0" applyWidthHeightFormats="0"/>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5" xr16:uid="{FF96AD51-742E-4474-AC65-165D36412020}" autoFormatId="16" applyNumberFormats="0" applyBorderFormats="0" applyFontFormats="1" applyPatternFormats="1" applyAlignmentFormats="0" applyWidthHeightFormats="0"/>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5" xr16:uid="{585EB2D2-C11E-456E-9EC9-88108AABB756}" autoFormatId="16" applyNumberFormats="0" applyBorderFormats="0" applyFontFormats="1" applyPatternFormats="1" applyAlignmentFormats="0" applyWidthHeightFormats="0"/>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5" xr16:uid="{DCE9694E-96CA-47EE-B2AE-6A03ADD52742}" autoFormatId="16" applyNumberFormats="0" applyBorderFormats="0" applyFontFormats="1" applyPatternFormats="1" applyAlignmentFormats="0" applyWidthHeightFormats="0"/>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KpFix_01" backgroundRefresh="0" growShrinkType="overwriteClear" adjustColumnWidth="0" connectionId="146" xr16:uid="{A840E370-03AA-4E49-BBD5-53FE777208FC}" autoFormatId="16" applyNumberFormats="0" applyBorderFormats="0" applyFontFormats="1" applyPatternFormats="1" applyAlignmentFormats="0" applyWidthHeightFormats="0"/>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KpPre3_01" backgroundRefresh="0" growShrinkType="overwriteClear" adjustColumnWidth="0" connectionId="46" xr16:uid="{A4E37AF3-0F86-4D01-8FC0-6644DDD5532D}" autoFormatId="16" applyNumberFormats="0" applyBorderFormats="0" applyFontFormats="1" applyPatternFormats="1" applyAlignmentFormats="0" applyWidthHeightFormats="0"/>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KpPre27_01" backgroundRefresh="0" growShrinkType="overwriteClear" adjustColumnWidth="0" connectionId="96" xr16:uid="{553D43AE-B960-4A04-AD30-56C77EB8E58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ervices.swpc.noaa.gov/text/27-day-outlook.txt" TargetMode="External"/><Relationship Id="rId1" Type="http://schemas.openxmlformats.org/officeDocument/2006/relationships/hyperlink" Target="https://services.swpc.noaa.gov/text/3-day-forecast.txt" TargetMode="External"/><Relationship Id="rId6" Type="http://schemas.openxmlformats.org/officeDocument/2006/relationships/queryTable" Target="../queryTables/queryTable2.xml"/><Relationship Id="rId5" Type="http://schemas.openxmlformats.org/officeDocument/2006/relationships/queryTable" Target="../queryTables/query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4.xml"/><Relationship Id="rId2" Type="http://schemas.openxmlformats.org/officeDocument/2006/relationships/queryTable" Target="../queryTables/queryTable3.xml"/><Relationship Id="rId1" Type="http://schemas.openxmlformats.org/officeDocument/2006/relationships/printerSettings" Target="../printerSettings/printerSettings2.bin"/><Relationship Id="rId4" Type="http://schemas.openxmlformats.org/officeDocument/2006/relationships/queryTable" Target="../queryTables/queryTable5.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printerSettings" Target="../printerSettings/printerSettings3.bin"/><Relationship Id="rId4" Type="http://schemas.openxmlformats.org/officeDocument/2006/relationships/queryTable" Target="../queryTables/queryTable8.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10.xml"/><Relationship Id="rId2" Type="http://schemas.openxmlformats.org/officeDocument/2006/relationships/queryTable" Target="../queryTables/queryTable9.xml"/><Relationship Id="rId1" Type="http://schemas.openxmlformats.org/officeDocument/2006/relationships/printerSettings" Target="../printerSettings/printerSettings4.bin"/><Relationship Id="rId4" Type="http://schemas.openxmlformats.org/officeDocument/2006/relationships/queryTable" Target="../queryTables/queryTable11.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printerSettings" Target="../printerSettings/printerSettings5.bin"/><Relationship Id="rId4" Type="http://schemas.openxmlformats.org/officeDocument/2006/relationships/queryTable" Target="../queryTables/queryTable1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6.xml"/><Relationship Id="rId2" Type="http://schemas.openxmlformats.org/officeDocument/2006/relationships/queryTable" Target="../queryTables/queryTable15.xml"/><Relationship Id="rId1" Type="http://schemas.openxmlformats.org/officeDocument/2006/relationships/printerSettings" Target="../printerSettings/printerSettings6.bin"/><Relationship Id="rId4" Type="http://schemas.openxmlformats.org/officeDocument/2006/relationships/queryTable" Target="../queryTables/queryTable17.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9.xml"/><Relationship Id="rId2" Type="http://schemas.openxmlformats.org/officeDocument/2006/relationships/queryTable" Target="../queryTables/queryTable18.xml"/><Relationship Id="rId1" Type="http://schemas.openxmlformats.org/officeDocument/2006/relationships/printerSettings" Target="../printerSettings/printerSettings7.bin"/><Relationship Id="rId4" Type="http://schemas.openxmlformats.org/officeDocument/2006/relationships/queryTable" Target="../queryTables/queryTable20.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22.xml"/><Relationship Id="rId2" Type="http://schemas.openxmlformats.org/officeDocument/2006/relationships/queryTable" Target="../queryTables/queryTable21.xml"/><Relationship Id="rId1" Type="http://schemas.openxmlformats.org/officeDocument/2006/relationships/printerSettings" Target="../printerSettings/printerSettings8.bin"/><Relationship Id="rId4" Type="http://schemas.openxmlformats.org/officeDocument/2006/relationships/queryTable" Target="../queryTables/queryTable23.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printerSettings" Target="../printerSettings/printerSettings9.bin"/><Relationship Id="rId4" Type="http://schemas.openxmlformats.org/officeDocument/2006/relationships/queryTable" Target="../queryTables/queryTable26.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8.xml"/><Relationship Id="rId2" Type="http://schemas.openxmlformats.org/officeDocument/2006/relationships/queryTable" Target="../queryTables/queryTable27.xml"/><Relationship Id="rId1" Type="http://schemas.openxmlformats.org/officeDocument/2006/relationships/printerSettings" Target="../printerSettings/printerSettings10.bin"/><Relationship Id="rId4" Type="http://schemas.openxmlformats.org/officeDocument/2006/relationships/queryTable" Target="../queryTables/queryTable29.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printerSettings" Target="../printerSettings/printerSettings11.bin"/><Relationship Id="rId4" Type="http://schemas.openxmlformats.org/officeDocument/2006/relationships/queryTable" Target="../queryTables/queryTable32.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printerSettings" Target="../printerSettings/printerSettings12.bin"/><Relationship Id="rId4" Type="http://schemas.openxmlformats.org/officeDocument/2006/relationships/queryTable" Target="../queryTables/queryTable35.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printerSettings" Target="../printerSettings/printerSettings13.bin"/><Relationship Id="rId4" Type="http://schemas.openxmlformats.org/officeDocument/2006/relationships/queryTable" Target="../queryTables/queryTable38.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40.xml"/><Relationship Id="rId2" Type="http://schemas.openxmlformats.org/officeDocument/2006/relationships/queryTable" Target="../queryTables/queryTable39.xml"/><Relationship Id="rId1" Type="http://schemas.openxmlformats.org/officeDocument/2006/relationships/printerSettings" Target="../printerSettings/printerSettings14.bin"/><Relationship Id="rId4" Type="http://schemas.openxmlformats.org/officeDocument/2006/relationships/queryTable" Target="../queryTables/queryTable41.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printerSettings" Target="../printerSettings/printerSettings15.bin"/><Relationship Id="rId4" Type="http://schemas.openxmlformats.org/officeDocument/2006/relationships/queryTable" Target="../queryTables/queryTable4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printerSettings" Target="../printerSettings/printerSettings16.bin"/><Relationship Id="rId4" Type="http://schemas.openxmlformats.org/officeDocument/2006/relationships/queryTable" Target="../queryTables/queryTable47.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printerSettings" Target="../printerSettings/printerSettings17.bin"/><Relationship Id="rId4" Type="http://schemas.openxmlformats.org/officeDocument/2006/relationships/queryTable" Target="../queryTables/queryTable50.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52.xml"/><Relationship Id="rId2" Type="http://schemas.openxmlformats.org/officeDocument/2006/relationships/queryTable" Target="../queryTables/queryTable51.xml"/><Relationship Id="rId1" Type="http://schemas.openxmlformats.org/officeDocument/2006/relationships/printerSettings" Target="../printerSettings/printerSettings18.bin"/><Relationship Id="rId4" Type="http://schemas.openxmlformats.org/officeDocument/2006/relationships/queryTable" Target="../queryTables/queryTable53.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printerSettings" Target="../printerSettings/printerSettings19.bin"/><Relationship Id="rId4" Type="http://schemas.openxmlformats.org/officeDocument/2006/relationships/queryTable" Target="../queryTables/queryTable56.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printerSettings" Target="../printerSettings/printerSettings20.bin"/><Relationship Id="rId4" Type="http://schemas.openxmlformats.org/officeDocument/2006/relationships/queryTable" Target="../queryTables/queryTable5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printerSettings" Target="../printerSettings/printerSettings21.bin"/><Relationship Id="rId4" Type="http://schemas.openxmlformats.org/officeDocument/2006/relationships/queryTable" Target="../queryTables/queryTable62.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4.xml"/><Relationship Id="rId2" Type="http://schemas.openxmlformats.org/officeDocument/2006/relationships/queryTable" Target="../queryTables/queryTable63.xml"/><Relationship Id="rId1" Type="http://schemas.openxmlformats.org/officeDocument/2006/relationships/printerSettings" Target="../printerSettings/printerSettings22.bin"/><Relationship Id="rId4" Type="http://schemas.openxmlformats.org/officeDocument/2006/relationships/queryTable" Target="../queryTables/queryTable65.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printerSettings" Target="../printerSettings/printerSettings23.bin"/><Relationship Id="rId4" Type="http://schemas.openxmlformats.org/officeDocument/2006/relationships/queryTable" Target="../queryTables/queryTable68.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printerSettings" Target="../printerSettings/printerSettings24.bin"/><Relationship Id="rId4" Type="http://schemas.openxmlformats.org/officeDocument/2006/relationships/queryTable" Target="../queryTables/queryTable71.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printerSettings" Target="../printerSettings/printerSettings25.bin"/><Relationship Id="rId4" Type="http://schemas.openxmlformats.org/officeDocument/2006/relationships/queryTable" Target="../queryTables/queryTable7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6.xml"/><Relationship Id="rId2" Type="http://schemas.openxmlformats.org/officeDocument/2006/relationships/queryTable" Target="../queryTables/queryTable75.xml"/><Relationship Id="rId1" Type="http://schemas.openxmlformats.org/officeDocument/2006/relationships/printerSettings" Target="../printerSettings/printerSettings26.bin"/><Relationship Id="rId4" Type="http://schemas.openxmlformats.org/officeDocument/2006/relationships/queryTable" Target="../queryTables/queryTable77.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printerSettings" Target="../printerSettings/printerSettings27.bin"/><Relationship Id="rId4" Type="http://schemas.openxmlformats.org/officeDocument/2006/relationships/queryTable" Target="../queryTables/queryTable80.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printerSettings" Target="../printerSettings/printerSettings28.bin"/><Relationship Id="rId4" Type="http://schemas.openxmlformats.org/officeDocument/2006/relationships/queryTable" Target="../queryTables/queryTable83.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printerSettings" Target="../printerSettings/printerSettings29.bin"/><Relationship Id="rId4" Type="http://schemas.openxmlformats.org/officeDocument/2006/relationships/queryTable" Target="../queryTables/queryTable86.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printerSettings" Target="../printerSettings/printerSettings30.bin"/><Relationship Id="rId4" Type="http://schemas.openxmlformats.org/officeDocument/2006/relationships/queryTable" Target="../queryTables/queryTable89.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queryTable" Target="../queryTables/queryTable90.xml"/><Relationship Id="rId1" Type="http://schemas.openxmlformats.org/officeDocument/2006/relationships/printerSettings" Target="../printerSettings/printerSettings31.bin"/><Relationship Id="rId4" Type="http://schemas.openxmlformats.org/officeDocument/2006/relationships/queryTable" Target="../queryTables/queryTable9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4.xml"/><Relationship Id="rId2" Type="http://schemas.openxmlformats.org/officeDocument/2006/relationships/queryTable" Target="../queryTables/queryTable93.xml"/><Relationship Id="rId1" Type="http://schemas.openxmlformats.org/officeDocument/2006/relationships/printerSettings" Target="../printerSettings/printerSettings32.bin"/><Relationship Id="rId4" Type="http://schemas.openxmlformats.org/officeDocument/2006/relationships/queryTable" Target="../queryTables/queryTable95.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printerSettings" Target="../printerSettings/printerSettings33.bin"/><Relationship Id="rId4" Type="http://schemas.openxmlformats.org/officeDocument/2006/relationships/queryTable" Target="../queryTables/queryTable98.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queryTable" Target="../queryTables/queryTable99.xml"/><Relationship Id="rId1" Type="http://schemas.openxmlformats.org/officeDocument/2006/relationships/printerSettings" Target="../printerSettings/printerSettings34.bin"/><Relationship Id="rId4" Type="http://schemas.openxmlformats.org/officeDocument/2006/relationships/queryTable" Target="../queryTables/queryTable101.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3.xml"/><Relationship Id="rId2" Type="http://schemas.openxmlformats.org/officeDocument/2006/relationships/queryTable" Target="../queryTables/queryTable102.xml"/><Relationship Id="rId1" Type="http://schemas.openxmlformats.org/officeDocument/2006/relationships/printerSettings" Target="../printerSettings/printerSettings35.bin"/><Relationship Id="rId4" Type="http://schemas.openxmlformats.org/officeDocument/2006/relationships/queryTable" Target="../queryTables/queryTable10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printerSettings" Target="../printerSettings/printerSettings36.bin"/><Relationship Id="rId4" Type="http://schemas.openxmlformats.org/officeDocument/2006/relationships/queryTable" Target="../queryTables/queryTable10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09.xml"/><Relationship Id="rId2" Type="http://schemas.openxmlformats.org/officeDocument/2006/relationships/queryTable" Target="../queryTables/queryTable108.xml"/><Relationship Id="rId1" Type="http://schemas.openxmlformats.org/officeDocument/2006/relationships/printerSettings" Target="../printerSettings/printerSettings37.bin"/><Relationship Id="rId4" Type="http://schemas.openxmlformats.org/officeDocument/2006/relationships/queryTable" Target="../queryTables/queryTable110.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printerSettings" Target="../printerSettings/printerSettings38.bin"/><Relationship Id="rId4" Type="http://schemas.openxmlformats.org/officeDocument/2006/relationships/queryTable" Target="../queryTables/queryTable113.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printerSettings" Target="../printerSettings/printerSettings39.bin"/><Relationship Id="rId4" Type="http://schemas.openxmlformats.org/officeDocument/2006/relationships/queryTable" Target="../queryTables/queryTable116.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printerSettings" Target="../printerSettings/printerSettings40.bin"/><Relationship Id="rId4" Type="http://schemas.openxmlformats.org/officeDocument/2006/relationships/queryTable" Target="../queryTables/queryTable119.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21.xml"/><Relationship Id="rId2" Type="http://schemas.openxmlformats.org/officeDocument/2006/relationships/queryTable" Target="../queryTables/queryTable120.xml"/><Relationship Id="rId1" Type="http://schemas.openxmlformats.org/officeDocument/2006/relationships/printerSettings" Target="../printerSettings/printerSettings41.bin"/><Relationship Id="rId4" Type="http://schemas.openxmlformats.org/officeDocument/2006/relationships/queryTable" Target="../queryTables/queryTable122.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24.xml"/><Relationship Id="rId2" Type="http://schemas.openxmlformats.org/officeDocument/2006/relationships/queryTable" Target="../queryTables/queryTable123.xml"/><Relationship Id="rId1" Type="http://schemas.openxmlformats.org/officeDocument/2006/relationships/printerSettings" Target="../printerSettings/printerSettings42.bin"/><Relationship Id="rId4" Type="http://schemas.openxmlformats.org/officeDocument/2006/relationships/queryTable" Target="../queryTables/queryTable125.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27.xml"/><Relationship Id="rId2" Type="http://schemas.openxmlformats.org/officeDocument/2006/relationships/queryTable" Target="../queryTables/queryTable126.xml"/><Relationship Id="rId1" Type="http://schemas.openxmlformats.org/officeDocument/2006/relationships/printerSettings" Target="../printerSettings/printerSettings43.bin"/><Relationship Id="rId4" Type="http://schemas.openxmlformats.org/officeDocument/2006/relationships/queryTable" Target="../queryTables/queryTable128.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printerSettings" Target="../printerSettings/printerSettings44.bin"/><Relationship Id="rId4" Type="http://schemas.openxmlformats.org/officeDocument/2006/relationships/queryTable" Target="../queryTables/queryTable131.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33.xml"/><Relationship Id="rId2" Type="http://schemas.openxmlformats.org/officeDocument/2006/relationships/queryTable" Target="../queryTables/queryTable132.xml"/><Relationship Id="rId1" Type="http://schemas.openxmlformats.org/officeDocument/2006/relationships/printerSettings" Target="../printerSettings/printerSettings45.bin"/><Relationship Id="rId4" Type="http://schemas.openxmlformats.org/officeDocument/2006/relationships/queryTable" Target="../queryTables/queryTable134.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printerSettings" Target="../printerSettings/printerSettings46.bin"/><Relationship Id="rId4" Type="http://schemas.openxmlformats.org/officeDocument/2006/relationships/queryTable" Target="../queryTables/queryTable137.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39.xml"/><Relationship Id="rId2" Type="http://schemas.openxmlformats.org/officeDocument/2006/relationships/queryTable" Target="../queryTables/queryTable138.xml"/><Relationship Id="rId1" Type="http://schemas.openxmlformats.org/officeDocument/2006/relationships/printerSettings" Target="../printerSettings/printerSettings47.bin"/><Relationship Id="rId4" Type="http://schemas.openxmlformats.org/officeDocument/2006/relationships/queryTable" Target="../queryTables/queryTable140.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printerSettings" Target="../printerSettings/printerSettings48.bin"/><Relationship Id="rId4" Type="http://schemas.openxmlformats.org/officeDocument/2006/relationships/queryTable" Target="../queryTables/queryTable143.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printerSettings" Target="../printerSettings/printerSettings49.bin"/><Relationship Id="rId4" Type="http://schemas.openxmlformats.org/officeDocument/2006/relationships/queryTable" Target="../queryTables/queryTable146.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printerSettings" Target="../printerSettings/printerSettings50.bin"/><Relationship Id="rId4" Type="http://schemas.openxmlformats.org/officeDocument/2006/relationships/queryTable" Target="../queryTables/queryTable14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printerSettings" Target="../printerSettings/printerSettings51.bin"/><Relationship Id="rId4" Type="http://schemas.openxmlformats.org/officeDocument/2006/relationships/queryTable" Target="../queryTables/queryTable15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FBB80-C15D-4B1B-B948-E06F6424C9D5}">
  <sheetPr>
    <tabColor rgb="FF1D4ED8"/>
  </sheetPr>
  <dimension ref="A1:AC53"/>
  <sheetViews>
    <sheetView showGridLines="0" zoomScale="70" zoomScaleNormal="70" workbookViewId="0">
      <selection activeCell="A2" sqref="A2:S2"/>
    </sheetView>
  </sheetViews>
  <sheetFormatPr defaultRowHeight="13.8" x14ac:dyDescent="0.3"/>
  <cols>
    <col min="1" max="1" width="23.69921875" style="11" customWidth="1"/>
    <col min="2" max="2" width="31.69921875" style="11" customWidth="1"/>
    <col min="3" max="3" width="19.69921875" style="11" customWidth="1"/>
    <col min="4" max="4" width="22.69921875" style="11" customWidth="1"/>
    <col min="5" max="5" width="32.69921875" style="11" customWidth="1"/>
    <col min="6" max="7" width="3.69921875" style="11" customWidth="1"/>
    <col min="8" max="8" width="16.69921875" style="11" customWidth="1"/>
    <col min="9" max="9" width="14.69921875" style="11" customWidth="1"/>
    <col min="10" max="11" width="12.69921875" style="11" customWidth="1"/>
    <col min="12" max="20" width="8.796875" style="11"/>
    <col min="21" max="29" width="0" style="11" hidden="1" customWidth="1"/>
    <col min="30" max="16384" width="8.796875" style="11"/>
  </cols>
  <sheetData>
    <row r="1" spans="1:29" ht="19.8" x14ac:dyDescent="0.4">
      <c r="A1" s="12" t="s">
        <v>185</v>
      </c>
      <c r="B1" s="13"/>
      <c r="C1" s="13"/>
      <c r="D1" s="13"/>
      <c r="E1" s="13"/>
      <c r="F1" s="13"/>
      <c r="G1" s="13"/>
      <c r="H1" s="13"/>
      <c r="I1" s="13"/>
      <c r="J1" s="13"/>
      <c r="K1" s="13"/>
      <c r="L1" s="13"/>
      <c r="M1" s="13"/>
      <c r="N1" s="13"/>
      <c r="O1" s="13"/>
      <c r="P1" s="13"/>
      <c r="Q1" s="13"/>
      <c r="R1" s="13"/>
      <c r="S1" s="13"/>
      <c r="U1" s="11" t="s">
        <v>215</v>
      </c>
      <c r="W1" s="11" t="s">
        <v>216</v>
      </c>
      <c r="Y1" s="11" t="s">
        <v>217</v>
      </c>
      <c r="Z1" s="11" t="s">
        <v>218</v>
      </c>
      <c r="AB1" s="11" t="s">
        <v>219</v>
      </c>
      <c r="AC1" s="11" t="s">
        <v>211</v>
      </c>
    </row>
    <row r="2" spans="1:29" ht="33" customHeight="1" x14ac:dyDescent="0.3">
      <c r="A2" s="63" t="s">
        <v>186</v>
      </c>
      <c r="B2" s="64"/>
      <c r="C2" s="64"/>
      <c r="D2" s="64"/>
      <c r="E2" s="64"/>
      <c r="F2" s="64"/>
      <c r="G2" s="64"/>
      <c r="H2" s="64"/>
      <c r="I2" s="64"/>
      <c r="J2" s="64"/>
      <c r="K2" s="64"/>
      <c r="L2" s="64"/>
      <c r="M2" s="64"/>
      <c r="N2" s="64"/>
      <c r="O2" s="64"/>
      <c r="P2" s="64"/>
      <c r="Q2" s="64"/>
      <c r="R2" s="64"/>
      <c r="S2" s="64"/>
      <c r="U2" s="11" t="s">
        <v>220</v>
      </c>
      <c r="W2" s="11" t="s">
        <v>240</v>
      </c>
      <c r="Y2" s="11" t="str">
        <f>IF($B$4="","",TEXT(INT($B$4)+(ROW()-2)*3/24,"hh:mm"))</f>
        <v>00:00</v>
      </c>
      <c r="Z2" s="14" t="e">
        <f>IF($B$4="",NA(),IF(AND(INT($B$4)+(ROW()-2)*3/24-9/24&gt;=$A$12,INT($B$4)+(ROW()-2)*3/24-9/24&lt;$B$35),INDEX($E$12:$E$35,MATCH(INT($B$4)+(ROW()-2)*3/24-9/24,$A$12:$A$35,1)),NA()))</f>
        <v>#N/A</v>
      </c>
      <c r="AB2" s="11" t="str">
        <f>IF($B$4="","",TEXT(MAX($H$12,MIN(INT($B$4-9/24)-3,$H$38-6))+ROW()-2,"m/d"))</f>
        <v>9/21</v>
      </c>
      <c r="AC2" s="14">
        <f>IF($B$4="",NA(),IFERROR(INDEX($I$12:$I$38,MATCH(MAX($H$12,MIN(INT($B$4-9/24)-3,$H$38-6))+ROW()-2,$H$12:$H$38,0)),NA()))</f>
        <v>2</v>
      </c>
    </row>
    <row r="3" spans="1:29" x14ac:dyDescent="0.3">
      <c r="U3" s="11" t="s">
        <v>1976</v>
      </c>
      <c r="W3" s="11" t="s">
        <v>1953</v>
      </c>
      <c r="Y3" s="11" t="str">
        <f t="shared" ref="Y3:Y9" si="0">IF($B$4="","",TEXT(INT($B$4)+(ROW()-2)*3/24,"hh:mm"))</f>
        <v>03:00</v>
      </c>
      <c r="Z3" s="14" t="e">
        <f t="shared" ref="Z3:Z9" si="1">IF($B$4="",NA(),IF(AND(INT($B$4)+(ROW()-2)*3/24-9/24&gt;=$A$12,INT($B$4)+(ROW()-2)*3/24-9/24&lt;$B$35),INDEX($E$12:$E$35,MATCH(INT($B$4)+(ROW()-2)*3/24-9/24,$A$12:$A$35,1)),NA()))</f>
        <v>#N/A</v>
      </c>
      <c r="AB3" s="11" t="str">
        <f t="shared" ref="AB3:AB8" si="2">IF($B$4="","",TEXT(MAX($H$12,MIN(INT($B$4-9/24)-3,$H$38-6))+ROW()-2,"m/d"))</f>
        <v>9/22</v>
      </c>
      <c r="AC3" s="14">
        <f t="shared" ref="AC3:AC8" si="3">IF($B$4="",NA(),IFERROR(INDEX($I$12:$I$38,MATCH(MAX($H$12,MIN(INT($B$4-9/24)-3,$H$38-6))+ROW()-2,$H$12:$H$38,0)),NA()))</f>
        <v>2</v>
      </c>
    </row>
    <row r="4" spans="1:29" ht="22.95" customHeight="1" x14ac:dyDescent="0.3">
      <c r="A4" s="19" t="s">
        <v>187</v>
      </c>
      <c r="B4" s="20">
        <v>46279.547222222223</v>
      </c>
      <c r="C4" s="21"/>
      <c r="D4" s="19" t="s">
        <v>193</v>
      </c>
      <c r="E4" s="22" t="str">
        <f>IF($U$3="","미수신",MID($U$3,9,24))</f>
        <v xml:space="preserve"> 2026 Sep 21 1230 UTC</v>
      </c>
      <c r="U4" s="11" t="s">
        <v>221</v>
      </c>
      <c r="W4" s="11" t="s">
        <v>242</v>
      </c>
      <c r="Y4" s="11" t="str">
        <f t="shared" si="0"/>
        <v>06:00</v>
      </c>
      <c r="Z4" s="14" t="e">
        <f t="shared" si="1"/>
        <v>#N/A</v>
      </c>
      <c r="AB4" s="11" t="str">
        <f t="shared" si="2"/>
        <v>9/23</v>
      </c>
      <c r="AC4" s="14">
        <f t="shared" si="3"/>
        <v>2</v>
      </c>
    </row>
    <row r="5" spans="1:29" ht="22.95" customHeight="1" x14ac:dyDescent="0.3">
      <c r="A5" s="19" t="s">
        <v>188</v>
      </c>
      <c r="B5" s="23">
        <f>IF(B4="","",B4-9/24)</f>
        <v>46279.172222222223</v>
      </c>
      <c r="C5" s="21"/>
      <c r="D5" s="19" t="s">
        <v>194</v>
      </c>
      <c r="E5" s="22" t="str">
        <f>IF($W$3="","미수신",MID($W$3,9,24))</f>
        <v xml:space="preserve"> 2026 Sep 21 0317 UTC</v>
      </c>
      <c r="U5" s="11" t="s">
        <v>222</v>
      </c>
      <c r="W5" s="11" t="s">
        <v>243</v>
      </c>
      <c r="Y5" s="11" t="str">
        <f t="shared" si="0"/>
        <v>09:00</v>
      </c>
      <c r="Z5" s="14" t="e">
        <f t="shared" si="1"/>
        <v>#N/A</v>
      </c>
      <c r="AB5" s="11" t="str">
        <f t="shared" si="2"/>
        <v>9/24</v>
      </c>
      <c r="AC5" s="14">
        <f t="shared" si="3"/>
        <v>4</v>
      </c>
    </row>
    <row r="6" spans="1:29" ht="22.95" customHeight="1" x14ac:dyDescent="0.3">
      <c r="A6" s="19" t="s">
        <v>189</v>
      </c>
      <c r="B6" s="24" t="str">
        <f>IF(B4="","",IF(AND(B5&gt;=$A$12,B5&lt;$B$35),INDEX($E$12:$E$35,MATCH(B5,$A$12:$A$35,1)),"범위 밖"))</f>
        <v>범위 밖</v>
      </c>
      <c r="C6" s="21"/>
      <c r="D6" s="19" t="s">
        <v>195</v>
      </c>
      <c r="E6" s="22" t="s">
        <v>200</v>
      </c>
      <c r="U6" s="11" t="s">
        <v>223</v>
      </c>
      <c r="W6" s="11" t="s">
        <v>244</v>
      </c>
      <c r="Y6" s="11" t="str">
        <f t="shared" si="0"/>
        <v>12:00</v>
      </c>
      <c r="Z6" s="14" t="e">
        <f t="shared" si="1"/>
        <v>#N/A</v>
      </c>
      <c r="AB6" s="11" t="str">
        <f t="shared" si="2"/>
        <v>9/25</v>
      </c>
      <c r="AC6" s="14">
        <f t="shared" si="3"/>
        <v>5</v>
      </c>
    </row>
    <row r="7" spans="1:29" ht="22.95" customHeight="1" x14ac:dyDescent="0.4">
      <c r="A7" s="19" t="s">
        <v>190</v>
      </c>
      <c r="B7" s="24" t="str">
        <f>IF(B4="","",IFERROR(INDEX($I$12:$I$38,MATCH(INT(B5),$H$12:$H$38,0)),"범위 밖"))</f>
        <v>범위 밖</v>
      </c>
      <c r="C7" s="21"/>
      <c r="D7" s="19" t="s">
        <v>196</v>
      </c>
      <c r="E7" s="25" t="s">
        <v>201</v>
      </c>
      <c r="W7" s="11" t="s">
        <v>222</v>
      </c>
      <c r="Y7" s="11" t="str">
        <f t="shared" si="0"/>
        <v>15:00</v>
      </c>
      <c r="Z7" s="14" t="e">
        <f t="shared" si="1"/>
        <v>#N/A</v>
      </c>
      <c r="AB7" s="11" t="str">
        <f t="shared" si="2"/>
        <v>9/26</v>
      </c>
      <c r="AC7" s="14">
        <f t="shared" si="3"/>
        <v>3</v>
      </c>
    </row>
    <row r="8" spans="1:29" ht="22.95" customHeight="1" x14ac:dyDescent="0.4">
      <c r="A8" s="19" t="s">
        <v>191</v>
      </c>
      <c r="B8" s="26" t="str">
        <f>IF(B4="","",IF(ISNUMBER(B6),"3일 예보",IF(ISNUMBER(B7),"27일 예보","예보범위 밖")))</f>
        <v>예보범위 밖</v>
      </c>
      <c r="C8" s="21"/>
      <c r="D8" s="19" t="s">
        <v>197</v>
      </c>
      <c r="E8" s="25" t="s">
        <v>202</v>
      </c>
      <c r="U8" s="11" t="s">
        <v>1977</v>
      </c>
      <c r="W8" s="11" t="s">
        <v>245</v>
      </c>
      <c r="Y8" s="11" t="str">
        <f t="shared" si="0"/>
        <v>18:00</v>
      </c>
      <c r="Z8" s="14" t="e">
        <f t="shared" si="1"/>
        <v>#N/A</v>
      </c>
      <c r="AB8" s="11" t="str">
        <f t="shared" si="2"/>
        <v>9/27</v>
      </c>
      <c r="AC8" s="14">
        <f t="shared" si="3"/>
        <v>3</v>
      </c>
    </row>
    <row r="9" spans="1:29" ht="37.049999999999997" customHeight="1" x14ac:dyDescent="0.3">
      <c r="A9" s="19" t="s">
        <v>192</v>
      </c>
      <c r="B9" s="27" t="s">
        <v>551</v>
      </c>
      <c r="C9" s="21"/>
      <c r="D9" s="19" t="s">
        <v>198</v>
      </c>
      <c r="E9" s="28" t="s">
        <v>203</v>
      </c>
      <c r="U9" s="11" t="s">
        <v>224</v>
      </c>
      <c r="W9" s="11" t="s">
        <v>1954</v>
      </c>
      <c r="Y9" s="11" t="str">
        <f t="shared" si="0"/>
        <v>21:00</v>
      </c>
      <c r="Z9" s="14" t="e">
        <f t="shared" si="1"/>
        <v>#N/A</v>
      </c>
    </row>
    <row r="10" spans="1:29" ht="37.049999999999997" customHeight="1" x14ac:dyDescent="0.3">
      <c r="A10" s="21"/>
      <c r="B10" s="21"/>
      <c r="C10" s="21"/>
      <c r="D10" s="19" t="s">
        <v>199</v>
      </c>
      <c r="E10" s="28" t="s">
        <v>204</v>
      </c>
      <c r="U10" s="11" t="s">
        <v>1978</v>
      </c>
      <c r="W10" s="11" t="s">
        <v>222</v>
      </c>
    </row>
    <row r="11" spans="1:29" ht="19.95" customHeight="1" x14ac:dyDescent="0.3">
      <c r="A11" s="15" t="s">
        <v>205</v>
      </c>
      <c r="B11" s="15" t="s">
        <v>206</v>
      </c>
      <c r="C11" s="15" t="s">
        <v>207</v>
      </c>
      <c r="D11" s="15" t="s">
        <v>208</v>
      </c>
      <c r="E11" s="15" t="s">
        <v>209</v>
      </c>
      <c r="H11" s="15" t="s">
        <v>210</v>
      </c>
      <c r="I11" s="15" t="s">
        <v>211</v>
      </c>
      <c r="J11" s="15" t="s">
        <v>212</v>
      </c>
      <c r="K11" s="15" t="s">
        <v>213</v>
      </c>
      <c r="U11" s="11" t="s">
        <v>224</v>
      </c>
      <c r="W11" s="11" t="s">
        <v>247</v>
      </c>
    </row>
    <row r="12" spans="1:29" ht="19.95" customHeight="1" x14ac:dyDescent="0.3">
      <c r="A12" s="16">
        <f>IF($U$3="","",DATE(VALUE(MID($U$3,10,4)),MATCH(MID($U$3,15,3),{"Jan","Feb","Mar","Apr","May","Jun","Jul","Aug","Sep","Oct","Nov","Dec"},0),VALUE(MID($U$3,19,2)))+INT((ROW()-12)/8)+MOD(ROW()-12,8)*3/24)</f>
        <v>46286</v>
      </c>
      <c r="B12" s="16">
        <f>IF(A12="","",A12+3/24)</f>
        <v>46286.125</v>
      </c>
      <c r="C12" s="16">
        <f>IF(A12="","",A12+9/24)</f>
        <v>46286.375</v>
      </c>
      <c r="D12" s="16">
        <f>IF(B12="","",B12+9/24)</f>
        <v>46286.5</v>
      </c>
      <c r="E12" s="17">
        <f>IFERROR(VALUE(MID(INDEX($U$2:$U$70,MATCH(CHOOSE(MOD(ROW()-12,8)+1,"00-03UT*","03-06UT*","06-09UT*","09-12UT*","12-15UT*","15-18UT*","18-21UT*","21-00UT*"),$U$2:$U$70,0)),15+13*INT((ROW()-12)/8),4)),"")</f>
        <v>1.67</v>
      </c>
      <c r="H12" s="18">
        <f>IF($W13="","",DATE(VALUE(LEFT($W13,4)),MATCH(MID($W13,6,3),{"Jan","Feb","Mar","Apr","May","Jun","Jul","Aug","Sep","Oct","Nov","Dec"},0),VALUE(MID($W13,10,2))))</f>
        <v>46286</v>
      </c>
      <c r="I12" s="17">
        <f>IFERROR(VALUE(MID($W13,42,2)),"")</f>
        <v>2</v>
      </c>
      <c r="J12" s="17">
        <f>IFERROR(VALUE(MID($W13,30,3)),"")</f>
        <v>5</v>
      </c>
      <c r="K12" s="17">
        <f>IFERROR(VALUE(MID($W13,17,3)),"")</f>
        <v>105</v>
      </c>
      <c r="W12" s="11" t="s">
        <v>248</v>
      </c>
    </row>
    <row r="13" spans="1:29" ht="19.95" customHeight="1" x14ac:dyDescent="0.3">
      <c r="A13" s="16">
        <f>IF($U$3="","",DATE(VALUE(MID($U$3,10,4)),MATCH(MID($U$3,15,3),{"Jan","Feb","Mar","Apr","May","Jun","Jul","Aug","Sep","Oct","Nov","Dec"},0),VALUE(MID($U$3,19,2)))+INT((ROW()-12)/8)+MOD(ROW()-12,8)*3/24)</f>
        <v>46286.125</v>
      </c>
      <c r="B13" s="16">
        <f t="shared" ref="B13:B35" si="4">IF(A13="","",A13+3/24)</f>
        <v>46286.25</v>
      </c>
      <c r="C13" s="16">
        <f t="shared" ref="C13:C35" si="5">IF(A13="","",A13+9/24)</f>
        <v>46286.5</v>
      </c>
      <c r="D13" s="16">
        <f t="shared" ref="D13:D35" si="6">IF(B13="","",B13+9/24)</f>
        <v>46286.625</v>
      </c>
      <c r="E13" s="17">
        <f t="shared" ref="E13:E35" si="7">IFERROR(VALUE(MID(INDEX($U$2:$U$70,MATCH(CHOOSE(MOD(ROW()-12,8)+1,"00-03UT*","03-06UT*","06-09UT*","09-12UT*","12-15UT*","15-18UT*","18-21UT*","21-00UT*"),$U$2:$U$70,0)),15+13*INT((ROW()-12)/8),4)),"")</f>
        <v>1</v>
      </c>
      <c r="H13" s="18">
        <f>IF($W14="","",DATE(VALUE(LEFT($W14,4)),MATCH(MID($W14,6,3),{"Jan","Feb","Mar","Apr","May","Jun","Jul","Aug","Sep","Oct","Nov","Dec"},0),VALUE(MID($W14,10,2))))</f>
        <v>46287</v>
      </c>
      <c r="I13" s="17">
        <f t="shared" ref="I13:I38" si="8">IFERROR(VALUE(MID($W14,42,2)),"")</f>
        <v>2</v>
      </c>
      <c r="J13" s="17">
        <f t="shared" ref="J13:J38" si="9">IFERROR(VALUE(MID($W14,30,3)),"")</f>
        <v>5</v>
      </c>
      <c r="K13" s="17">
        <f t="shared" ref="K13:K38" si="10">IFERROR(VALUE(MID($W14,17,3)),"")</f>
        <v>105</v>
      </c>
      <c r="U13" s="11" t="s">
        <v>1979</v>
      </c>
      <c r="W13" s="11" t="s">
        <v>1955</v>
      </c>
    </row>
    <row r="14" spans="1:29" ht="19.95" customHeight="1" x14ac:dyDescent="0.3">
      <c r="A14" s="16">
        <f>IF($U$3="","",DATE(VALUE(MID($U$3,10,4)),MATCH(MID($U$3,15,3),{"Jan","Feb","Mar","Apr","May","Jun","Jul","Aug","Sep","Oct","Nov","Dec"},0),VALUE(MID($U$3,19,2)))+INT((ROW()-12)/8)+MOD(ROW()-12,8)*3/24)</f>
        <v>46286.25</v>
      </c>
      <c r="B14" s="16">
        <f t="shared" si="4"/>
        <v>46286.375</v>
      </c>
      <c r="C14" s="16">
        <f t="shared" si="5"/>
        <v>46286.625</v>
      </c>
      <c r="D14" s="16">
        <f t="shared" si="6"/>
        <v>46286.75</v>
      </c>
      <c r="E14" s="17">
        <f t="shared" si="7"/>
        <v>1.67</v>
      </c>
      <c r="H14" s="18">
        <f>IF($W15="","",DATE(VALUE(LEFT($W15,4)),MATCH(MID($W15,6,3),{"Jan","Feb","Mar","Apr","May","Jun","Jul","Aug","Sep","Oct","Nov","Dec"},0),VALUE(MID($W15,10,2))))</f>
        <v>46288</v>
      </c>
      <c r="I14" s="17">
        <f t="shared" si="8"/>
        <v>2</v>
      </c>
      <c r="J14" s="17">
        <f t="shared" si="9"/>
        <v>5</v>
      </c>
      <c r="K14" s="17">
        <f t="shared" si="10"/>
        <v>100</v>
      </c>
      <c r="W14" s="11" t="s">
        <v>1956</v>
      </c>
    </row>
    <row r="15" spans="1:29" ht="19.95" customHeight="1" x14ac:dyDescent="0.3">
      <c r="A15" s="16">
        <f>IF($U$3="","",DATE(VALUE(MID($U$3,10,4)),MATCH(MID($U$3,15,3),{"Jan","Feb","Mar","Apr","May","Jun","Jul","Aug","Sep","Oct","Nov","Dec"},0),VALUE(MID($U$3,19,2)))+INT((ROW()-12)/8)+MOD(ROW()-12,8)*3/24)</f>
        <v>46286.375</v>
      </c>
      <c r="B15" s="16">
        <f t="shared" si="4"/>
        <v>46286.5</v>
      </c>
      <c r="C15" s="16">
        <f t="shared" si="5"/>
        <v>46286.75</v>
      </c>
      <c r="D15" s="16">
        <f t="shared" si="6"/>
        <v>46286.875</v>
      </c>
      <c r="E15" s="17">
        <f t="shared" si="7"/>
        <v>1.67</v>
      </c>
      <c r="H15" s="18">
        <f>IF($W16="","",DATE(VALUE(LEFT($W16,4)),MATCH(MID($W16,6,3),{"Jan","Feb","Mar","Apr","May","Jun","Jul","Aug","Sep","Oct","Nov","Dec"},0),VALUE(MID($W16,10,2))))</f>
        <v>46289</v>
      </c>
      <c r="I15" s="17">
        <f t="shared" si="8"/>
        <v>4</v>
      </c>
      <c r="J15" s="17">
        <f t="shared" si="9"/>
        <v>20</v>
      </c>
      <c r="K15" s="17">
        <f t="shared" si="10"/>
        <v>100</v>
      </c>
      <c r="U15" s="11" t="s">
        <v>1980</v>
      </c>
      <c r="W15" s="11" t="s">
        <v>1957</v>
      </c>
    </row>
    <row r="16" spans="1:29" ht="19.95" customHeight="1" x14ac:dyDescent="0.3">
      <c r="A16" s="16">
        <f>IF($U$3="","",DATE(VALUE(MID($U$3,10,4)),MATCH(MID($U$3,15,3),{"Jan","Feb","Mar","Apr","May","Jun","Jul","Aug","Sep","Oct","Nov","Dec"},0),VALUE(MID($U$3,19,2)))+INT((ROW()-12)/8)+MOD(ROW()-12,8)*3/24)</f>
        <v>46286.5</v>
      </c>
      <c r="B16" s="16">
        <f t="shared" si="4"/>
        <v>46286.625</v>
      </c>
      <c r="C16" s="16">
        <f t="shared" si="5"/>
        <v>46286.875</v>
      </c>
      <c r="D16" s="16">
        <f t="shared" si="6"/>
        <v>46287</v>
      </c>
      <c r="E16" s="17">
        <f t="shared" si="7"/>
        <v>1.33</v>
      </c>
      <c r="H16" s="18">
        <f>IF($W17="","",DATE(VALUE(LEFT($W17,4)),MATCH(MID($W17,6,3),{"Jan","Feb","Mar","Apr","May","Jun","Jul","Aug","Sep","Oct","Nov","Dec"},0),VALUE(MID($W17,10,2))))</f>
        <v>46290</v>
      </c>
      <c r="I16" s="17">
        <f t="shared" si="8"/>
        <v>5</v>
      </c>
      <c r="J16" s="17">
        <f t="shared" si="9"/>
        <v>18</v>
      </c>
      <c r="K16" s="17">
        <f t="shared" si="10"/>
        <v>105</v>
      </c>
      <c r="U16" s="11" t="s">
        <v>1981</v>
      </c>
      <c r="W16" s="11" t="s">
        <v>1958</v>
      </c>
    </row>
    <row r="17" spans="1:23" ht="19.95" customHeight="1" x14ac:dyDescent="0.3">
      <c r="A17" s="16">
        <f>IF($U$3="","",DATE(VALUE(MID($U$3,10,4)),MATCH(MID($U$3,15,3),{"Jan","Feb","Mar","Apr","May","Jun","Jul","Aug","Sep","Oct","Nov","Dec"},0),VALUE(MID($U$3,19,2)))+INT((ROW()-12)/8)+MOD(ROW()-12,8)*3/24)</f>
        <v>46286.625</v>
      </c>
      <c r="B17" s="16">
        <f t="shared" si="4"/>
        <v>46286.75</v>
      </c>
      <c r="C17" s="16">
        <f t="shared" si="5"/>
        <v>46287</v>
      </c>
      <c r="D17" s="16">
        <f t="shared" si="6"/>
        <v>46287.125</v>
      </c>
      <c r="E17" s="17">
        <f t="shared" si="7"/>
        <v>1.33</v>
      </c>
      <c r="H17" s="18">
        <f>IF($W18="","",DATE(VALUE(LEFT($W18,4)),MATCH(MID($W18,6,3),{"Jan","Feb","Mar","Apr","May","Jun","Jul","Aug","Sep","Oct","Nov","Dec"},0),VALUE(MID($W18,10,2))))</f>
        <v>46291</v>
      </c>
      <c r="I17" s="17">
        <f t="shared" si="8"/>
        <v>3</v>
      </c>
      <c r="J17" s="17">
        <f t="shared" si="9"/>
        <v>12</v>
      </c>
      <c r="K17" s="17">
        <f t="shared" si="10"/>
        <v>105</v>
      </c>
      <c r="U17" s="11" t="s">
        <v>1982</v>
      </c>
      <c r="W17" s="11" t="s">
        <v>260</v>
      </c>
    </row>
    <row r="18" spans="1:23" ht="19.95" customHeight="1" x14ac:dyDescent="0.3">
      <c r="A18" s="16">
        <f>IF($U$3="","",DATE(VALUE(MID($U$3,10,4)),MATCH(MID($U$3,15,3),{"Jan","Feb","Mar","Apr","May","Jun","Jul","Aug","Sep","Oct","Nov","Dec"},0),VALUE(MID($U$3,19,2)))+INT((ROW()-12)/8)+MOD(ROW()-12,8)*3/24)</f>
        <v>46286.75</v>
      </c>
      <c r="B18" s="16">
        <f t="shared" si="4"/>
        <v>46286.875</v>
      </c>
      <c r="C18" s="16">
        <f t="shared" si="5"/>
        <v>46287.125</v>
      </c>
      <c r="D18" s="16">
        <f t="shared" si="6"/>
        <v>46287.25</v>
      </c>
      <c r="E18" s="17">
        <f t="shared" si="7"/>
        <v>1.33</v>
      </c>
      <c r="H18" s="18">
        <f>IF($W19="","",DATE(VALUE(LEFT($W19,4)),MATCH(MID($W19,6,3),{"Jan","Feb","Mar","Apr","May","Jun","Jul","Aug","Sep","Oct","Nov","Dec"},0),VALUE(MID($W19,10,2))))</f>
        <v>46292</v>
      </c>
      <c r="I18" s="17">
        <f t="shared" si="8"/>
        <v>3</v>
      </c>
      <c r="J18" s="17">
        <f t="shared" si="9"/>
        <v>8</v>
      </c>
      <c r="K18" s="17">
        <f t="shared" si="10"/>
        <v>100</v>
      </c>
      <c r="U18" s="11" t="s">
        <v>1983</v>
      </c>
      <c r="W18" s="11" t="s">
        <v>1959</v>
      </c>
    </row>
    <row r="19" spans="1:23" ht="19.95" customHeight="1" x14ac:dyDescent="0.3">
      <c r="A19" s="16">
        <f>IF($U$3="","",DATE(VALUE(MID($U$3,10,4)),MATCH(MID($U$3,15,3),{"Jan","Feb","Mar","Apr","May","Jun","Jul","Aug","Sep","Oct","Nov","Dec"},0),VALUE(MID($U$3,19,2)))+INT((ROW()-12)/8)+MOD(ROW()-12,8)*3/24)</f>
        <v>46286.875</v>
      </c>
      <c r="B19" s="16">
        <f t="shared" si="4"/>
        <v>46287</v>
      </c>
      <c r="C19" s="16">
        <f t="shared" si="5"/>
        <v>46287.25</v>
      </c>
      <c r="D19" s="16">
        <f t="shared" si="6"/>
        <v>46287.375</v>
      </c>
      <c r="E19" s="17">
        <f t="shared" si="7"/>
        <v>1.33</v>
      </c>
      <c r="H19" s="18">
        <f>IF($W20="","",DATE(VALUE(LEFT($W20,4)),MATCH(MID($W20,6,3),{"Jan","Feb","Mar","Apr","May","Jun","Jul","Aug","Sep","Oct","Nov","Dec"},0),VALUE(MID($W20,10,2))))</f>
        <v>46293</v>
      </c>
      <c r="I19" s="17">
        <f t="shared" si="8"/>
        <v>2</v>
      </c>
      <c r="J19" s="17">
        <f t="shared" si="9"/>
        <v>5</v>
      </c>
      <c r="K19" s="17">
        <f t="shared" si="10"/>
        <v>105</v>
      </c>
      <c r="U19" s="11" t="s">
        <v>1984</v>
      </c>
      <c r="W19" s="11" t="s">
        <v>1960</v>
      </c>
    </row>
    <row r="20" spans="1:23" ht="19.95" customHeight="1" x14ac:dyDescent="0.3">
      <c r="A20" s="16">
        <f>IF($U$3="","",DATE(VALUE(MID($U$3,10,4)),MATCH(MID($U$3,15,3),{"Jan","Feb","Mar","Apr","May","Jun","Jul","Aug","Sep","Oct","Nov","Dec"},0),VALUE(MID($U$3,19,2)))+INT((ROW()-12)/8)+MOD(ROW()-12,8)*3/24)</f>
        <v>46287</v>
      </c>
      <c r="B20" s="16">
        <f t="shared" si="4"/>
        <v>46287.125</v>
      </c>
      <c r="C20" s="16">
        <f t="shared" si="5"/>
        <v>46287.375</v>
      </c>
      <c r="D20" s="16">
        <f t="shared" si="6"/>
        <v>46287.5</v>
      </c>
      <c r="E20" s="17">
        <f t="shared" si="7"/>
        <v>1.67</v>
      </c>
      <c r="H20" s="18">
        <f>IF($W21="","",DATE(VALUE(LEFT($W21,4)),MATCH(MID($W21,6,3),{"Jan","Feb","Mar","Apr","May","Jun","Jul","Aug","Sep","Oct","Nov","Dec"},0),VALUE(MID($W21,10,2))))</f>
        <v>46294</v>
      </c>
      <c r="I20" s="17">
        <f t="shared" si="8"/>
        <v>2</v>
      </c>
      <c r="J20" s="17">
        <f t="shared" si="9"/>
        <v>5</v>
      </c>
      <c r="K20" s="17">
        <f t="shared" si="10"/>
        <v>110</v>
      </c>
      <c r="U20" s="11" t="s">
        <v>1985</v>
      </c>
      <c r="W20" s="11" t="s">
        <v>1961</v>
      </c>
    </row>
    <row r="21" spans="1:23" ht="19.95" customHeight="1" x14ac:dyDescent="0.3">
      <c r="A21" s="16">
        <f>IF($U$3="","",DATE(VALUE(MID($U$3,10,4)),MATCH(MID($U$3,15,3),{"Jan","Feb","Mar","Apr","May","Jun","Jul","Aug","Sep","Oct","Nov","Dec"},0),VALUE(MID($U$3,19,2)))+INT((ROW()-12)/8)+MOD(ROW()-12,8)*3/24)</f>
        <v>46287.125</v>
      </c>
      <c r="B21" s="16">
        <f t="shared" si="4"/>
        <v>46287.25</v>
      </c>
      <c r="C21" s="16">
        <f t="shared" si="5"/>
        <v>46287.5</v>
      </c>
      <c r="D21" s="16">
        <f t="shared" si="6"/>
        <v>46287.625</v>
      </c>
      <c r="E21" s="17">
        <f t="shared" si="7"/>
        <v>2</v>
      </c>
      <c r="H21" s="18">
        <f>IF($W22="","",DATE(VALUE(LEFT($W22,4)),MATCH(MID($W22,6,3),{"Jan","Feb","Mar","Apr","May","Jun","Jul","Aug","Sep","Oct","Nov","Dec"},0),VALUE(MID($W22,10,2))))</f>
        <v>46295</v>
      </c>
      <c r="I21" s="17">
        <f t="shared" si="8"/>
        <v>2</v>
      </c>
      <c r="J21" s="17">
        <f t="shared" si="9"/>
        <v>5</v>
      </c>
      <c r="K21" s="17">
        <f t="shared" si="10"/>
        <v>115</v>
      </c>
      <c r="U21" s="11" t="s">
        <v>1986</v>
      </c>
      <c r="W21" s="11" t="s">
        <v>1962</v>
      </c>
    </row>
    <row r="22" spans="1:23" ht="19.95" customHeight="1" x14ac:dyDescent="0.3">
      <c r="A22" s="16">
        <f>IF($U$3="","",DATE(VALUE(MID($U$3,10,4)),MATCH(MID($U$3,15,3),{"Jan","Feb","Mar","Apr","May","Jun","Jul","Aug","Sep","Oct","Nov","Dec"},0),VALUE(MID($U$3,19,2)))+INT((ROW()-12)/8)+MOD(ROW()-12,8)*3/24)</f>
        <v>46287.25</v>
      </c>
      <c r="B22" s="16">
        <f t="shared" si="4"/>
        <v>46287.375</v>
      </c>
      <c r="C22" s="16">
        <f t="shared" si="5"/>
        <v>46287.625</v>
      </c>
      <c r="D22" s="16">
        <f t="shared" si="6"/>
        <v>46287.75</v>
      </c>
      <c r="E22" s="17">
        <f t="shared" si="7"/>
        <v>1.67</v>
      </c>
      <c r="H22" s="18">
        <f>IF($W23="","",DATE(VALUE(LEFT($W23,4)),MATCH(MID($W23,6,3),{"Jan","Feb","Mar","Apr","May","Jun","Jul","Aug","Sep","Oct","Nov","Dec"},0),VALUE(MID($W23,10,2))))</f>
        <v>46296</v>
      </c>
      <c r="I22" s="17">
        <f t="shared" si="8"/>
        <v>2</v>
      </c>
      <c r="J22" s="17">
        <f t="shared" si="9"/>
        <v>5</v>
      </c>
      <c r="K22" s="17">
        <f t="shared" si="10"/>
        <v>115</v>
      </c>
      <c r="U22" s="11" t="s">
        <v>1987</v>
      </c>
      <c r="W22" s="11" t="s">
        <v>1963</v>
      </c>
    </row>
    <row r="23" spans="1:23" ht="19.95" customHeight="1" x14ac:dyDescent="0.3">
      <c r="A23" s="16">
        <f>IF($U$3="","",DATE(VALUE(MID($U$3,10,4)),MATCH(MID($U$3,15,3),{"Jan","Feb","Mar","Apr","May","Jun","Jul","Aug","Sep","Oct","Nov","Dec"},0),VALUE(MID($U$3,19,2)))+INT((ROW()-12)/8)+MOD(ROW()-12,8)*3/24)</f>
        <v>46287.375</v>
      </c>
      <c r="B23" s="16">
        <f t="shared" si="4"/>
        <v>46287.5</v>
      </c>
      <c r="C23" s="16">
        <f t="shared" si="5"/>
        <v>46287.75</v>
      </c>
      <c r="D23" s="16">
        <f t="shared" si="6"/>
        <v>46287.875</v>
      </c>
      <c r="E23" s="17">
        <f t="shared" si="7"/>
        <v>1.33</v>
      </c>
      <c r="H23" s="18">
        <f>IF($W24="","",DATE(VALUE(LEFT($W24,4)),MATCH(MID($W24,6,3),{"Jan","Feb","Mar","Apr","May","Jun","Jul","Aug","Sep","Oct","Nov","Dec"},0),VALUE(MID($W24,10,2))))</f>
        <v>46297</v>
      </c>
      <c r="I23" s="17">
        <f t="shared" si="8"/>
        <v>2</v>
      </c>
      <c r="J23" s="17">
        <f t="shared" si="9"/>
        <v>5</v>
      </c>
      <c r="K23" s="17">
        <f t="shared" si="10"/>
        <v>110</v>
      </c>
      <c r="U23" s="11" t="s">
        <v>1988</v>
      </c>
      <c r="W23" s="11" t="s">
        <v>1964</v>
      </c>
    </row>
    <row r="24" spans="1:23" ht="19.95" customHeight="1" x14ac:dyDescent="0.3">
      <c r="A24" s="16">
        <f>IF($U$3="","",DATE(VALUE(MID($U$3,10,4)),MATCH(MID($U$3,15,3),{"Jan","Feb","Mar","Apr","May","Jun","Jul","Aug","Sep","Oct","Nov","Dec"},0),VALUE(MID($U$3,19,2)))+INT((ROW()-12)/8)+MOD(ROW()-12,8)*3/24)</f>
        <v>46287.5</v>
      </c>
      <c r="B24" s="16">
        <f t="shared" si="4"/>
        <v>46287.625</v>
      </c>
      <c r="C24" s="16">
        <f t="shared" si="5"/>
        <v>46287.875</v>
      </c>
      <c r="D24" s="16">
        <f t="shared" si="6"/>
        <v>46288</v>
      </c>
      <c r="E24" s="17">
        <f t="shared" si="7"/>
        <v>0.67</v>
      </c>
      <c r="H24" s="18">
        <f>IF($W25="","",DATE(VALUE(LEFT($W25,4)),MATCH(MID($W25,6,3),{"Jan","Feb","Mar","Apr","May","Jun","Jul","Aug","Sep","Oct","Nov","Dec"},0),VALUE(MID($W25,10,2))))</f>
        <v>46298</v>
      </c>
      <c r="I24" s="17">
        <f t="shared" si="8"/>
        <v>2</v>
      </c>
      <c r="J24" s="17">
        <f t="shared" si="9"/>
        <v>5</v>
      </c>
      <c r="K24" s="17">
        <f t="shared" si="10"/>
        <v>105</v>
      </c>
      <c r="W24" s="11" t="s">
        <v>267</v>
      </c>
    </row>
    <row r="25" spans="1:23" ht="19.95" customHeight="1" x14ac:dyDescent="0.3">
      <c r="A25" s="16">
        <f>IF($U$3="","",DATE(VALUE(MID($U$3,10,4)),MATCH(MID($U$3,15,3),{"Jan","Feb","Mar","Apr","May","Jun","Jul","Aug","Sep","Oct","Nov","Dec"},0),VALUE(MID($U$3,19,2)))+INT((ROW()-12)/8)+MOD(ROW()-12,8)*3/24)</f>
        <v>46287.625</v>
      </c>
      <c r="B25" s="16">
        <f t="shared" si="4"/>
        <v>46287.75</v>
      </c>
      <c r="C25" s="16">
        <f t="shared" si="5"/>
        <v>46288</v>
      </c>
      <c r="D25" s="16">
        <f t="shared" si="6"/>
        <v>46288.125</v>
      </c>
      <c r="E25" s="17">
        <f t="shared" si="7"/>
        <v>0.67</v>
      </c>
      <c r="H25" s="18">
        <f>IF($W26="","",DATE(VALUE(LEFT($W26,4)),MATCH(MID($W26,6,3),{"Jan","Feb","Mar","Apr","May","Jun","Jul","Aug","Sep","Oct","Nov","Dec"},0),VALUE(MID($W26,10,2))))</f>
        <v>46299</v>
      </c>
      <c r="I25" s="17">
        <f t="shared" si="8"/>
        <v>3</v>
      </c>
      <c r="J25" s="17">
        <f t="shared" si="9"/>
        <v>12</v>
      </c>
      <c r="K25" s="17">
        <f t="shared" si="10"/>
        <v>110</v>
      </c>
      <c r="U25" s="11" t="s">
        <v>589</v>
      </c>
      <c r="W25" s="11" t="s">
        <v>1965</v>
      </c>
    </row>
    <row r="26" spans="1:23" ht="19.95" customHeight="1" x14ac:dyDescent="0.3">
      <c r="A26" s="16">
        <f>IF($U$3="","",DATE(VALUE(MID($U$3,10,4)),MATCH(MID($U$3,15,3),{"Jan","Feb","Mar","Apr","May","Jun","Jul","Aug","Sep","Oct","Nov","Dec"},0),VALUE(MID($U$3,19,2)))+INT((ROW()-12)/8)+MOD(ROW()-12,8)*3/24)</f>
        <v>46287.75</v>
      </c>
      <c r="B26" s="16">
        <f t="shared" si="4"/>
        <v>46287.875</v>
      </c>
      <c r="C26" s="16">
        <f t="shared" si="5"/>
        <v>46288.125</v>
      </c>
      <c r="D26" s="16">
        <f t="shared" si="6"/>
        <v>46288.25</v>
      </c>
      <c r="E26" s="17">
        <f t="shared" si="7"/>
        <v>1.67</v>
      </c>
      <c r="H26" s="18">
        <f>IF($W27="","",DATE(VALUE(LEFT($W27,4)),MATCH(MID($W27,6,3),{"Jan","Feb","Mar","Apr","May","Jun","Jul","Aug","Sep","Oct","Nov","Dec"},0),VALUE(MID($W27,10,2))))</f>
        <v>46300</v>
      </c>
      <c r="I26" s="17">
        <f t="shared" si="8"/>
        <v>4</v>
      </c>
      <c r="J26" s="17">
        <f t="shared" si="9"/>
        <v>15</v>
      </c>
      <c r="K26" s="17">
        <f t="shared" si="10"/>
        <v>110</v>
      </c>
      <c r="U26" s="11" t="s">
        <v>590</v>
      </c>
      <c r="W26" s="11" t="s">
        <v>269</v>
      </c>
    </row>
    <row r="27" spans="1:23" ht="19.95" customHeight="1" x14ac:dyDescent="0.3">
      <c r="A27" s="16">
        <f>IF($U$3="","",DATE(VALUE(MID($U$3,10,4)),MATCH(MID($U$3,15,3),{"Jan","Feb","Mar","Apr","May","Jun","Jul","Aug","Sep","Oct","Nov","Dec"},0),VALUE(MID($U$3,19,2)))+INT((ROW()-12)/8)+MOD(ROW()-12,8)*3/24)</f>
        <v>46287.875</v>
      </c>
      <c r="B27" s="16">
        <f t="shared" si="4"/>
        <v>46288</v>
      </c>
      <c r="C27" s="16">
        <f t="shared" si="5"/>
        <v>46288.25</v>
      </c>
      <c r="D27" s="16">
        <f t="shared" si="6"/>
        <v>46288.375</v>
      </c>
      <c r="E27" s="17">
        <f t="shared" si="7"/>
        <v>1.67</v>
      </c>
      <c r="H27" s="18">
        <f>IF($W28="","",DATE(VALUE(LEFT($W28,4)),MATCH(MID($W28,6,3),{"Jan","Feb","Mar","Apr","May","Jun","Jul","Aug","Sep","Oct","Nov","Dec"},0),VALUE(MID($W28,10,2))))</f>
        <v>46301</v>
      </c>
      <c r="I27" s="17">
        <f t="shared" si="8"/>
        <v>4</v>
      </c>
      <c r="J27" s="17">
        <f t="shared" si="9"/>
        <v>12</v>
      </c>
      <c r="K27" s="17">
        <f t="shared" si="10"/>
        <v>115</v>
      </c>
      <c r="W27" s="11" t="s">
        <v>270</v>
      </c>
    </row>
    <row r="28" spans="1:23" ht="19.95" customHeight="1" x14ac:dyDescent="0.3">
      <c r="A28" s="16">
        <f>IF($U$3="","",DATE(VALUE(MID($U$3,10,4)),MATCH(MID($U$3,15,3),{"Jan","Feb","Mar","Apr","May","Jun","Jul","Aug","Sep","Oct","Nov","Dec"},0),VALUE(MID($U$3,19,2)))+INT((ROW()-12)/8)+MOD(ROW()-12,8)*3/24)</f>
        <v>46288</v>
      </c>
      <c r="B28" s="16">
        <f t="shared" si="4"/>
        <v>46288.125</v>
      </c>
      <c r="C28" s="16">
        <f t="shared" si="5"/>
        <v>46288.375</v>
      </c>
      <c r="D28" s="16">
        <f t="shared" si="6"/>
        <v>46288.5</v>
      </c>
      <c r="E28" s="17">
        <f t="shared" si="7"/>
        <v>1.67</v>
      </c>
      <c r="H28" s="18">
        <f>IF($W29="","",DATE(VALUE(LEFT($W29,4)),MATCH(MID($W29,6,3),{"Jan","Feb","Mar","Apr","May","Jun","Jul","Aug","Sep","Oct","Nov","Dec"},0),VALUE(MID($W29,10,2))))</f>
        <v>46302</v>
      </c>
      <c r="I28" s="17">
        <f t="shared" si="8"/>
        <v>3</v>
      </c>
      <c r="J28" s="17">
        <f t="shared" si="9"/>
        <v>10</v>
      </c>
      <c r="K28" s="17">
        <f t="shared" si="10"/>
        <v>115</v>
      </c>
      <c r="U28" s="11" t="s">
        <v>226</v>
      </c>
      <c r="W28" s="11" t="s">
        <v>1966</v>
      </c>
    </row>
    <row r="29" spans="1:23" ht="19.95" customHeight="1" x14ac:dyDescent="0.3">
      <c r="A29" s="16">
        <f>IF($U$3="","",DATE(VALUE(MID($U$3,10,4)),MATCH(MID($U$3,15,3),{"Jan","Feb","Mar","Apr","May","Jun","Jul","Aug","Sep","Oct","Nov","Dec"},0),VALUE(MID($U$3,19,2)))+INT((ROW()-12)/8)+MOD(ROW()-12,8)*3/24)</f>
        <v>46288.125</v>
      </c>
      <c r="B29" s="16">
        <f t="shared" si="4"/>
        <v>46288.25</v>
      </c>
      <c r="C29" s="16">
        <f t="shared" si="5"/>
        <v>46288.5</v>
      </c>
      <c r="D29" s="16">
        <f t="shared" si="6"/>
        <v>46288.625</v>
      </c>
      <c r="E29" s="17">
        <f t="shared" si="7"/>
        <v>2</v>
      </c>
      <c r="H29" s="18">
        <f>IF($W30="","",DATE(VALUE(LEFT($W30,4)),MATCH(MID($W30,6,3),{"Jan","Feb","Mar","Apr","May","Jun","Jul","Aug","Sep","Oct","Nov","Dec"},0),VALUE(MID($W30,10,2))))</f>
        <v>46303</v>
      </c>
      <c r="I29" s="17">
        <f t="shared" si="8"/>
        <v>3</v>
      </c>
      <c r="J29" s="17">
        <f t="shared" si="9"/>
        <v>8</v>
      </c>
      <c r="K29" s="17">
        <f t="shared" si="10"/>
        <v>110</v>
      </c>
      <c r="W29" s="11" t="s">
        <v>272</v>
      </c>
    </row>
    <row r="30" spans="1:23" ht="19.95" customHeight="1" x14ac:dyDescent="0.3">
      <c r="A30" s="16">
        <f>IF($U$3="","",DATE(VALUE(MID($U$3,10,4)),MATCH(MID($U$3,15,3),{"Jan","Feb","Mar","Apr","May","Jun","Jul","Aug","Sep","Oct","Nov","Dec"},0),VALUE(MID($U$3,19,2)))+INT((ROW()-12)/8)+MOD(ROW()-12,8)*3/24)</f>
        <v>46288.25</v>
      </c>
      <c r="B30" s="16">
        <f t="shared" si="4"/>
        <v>46288.375</v>
      </c>
      <c r="C30" s="16">
        <f t="shared" si="5"/>
        <v>46288.625</v>
      </c>
      <c r="D30" s="16">
        <f t="shared" si="6"/>
        <v>46288.75</v>
      </c>
      <c r="E30" s="17">
        <f t="shared" si="7"/>
        <v>1.67</v>
      </c>
      <c r="H30" s="18">
        <f>IF($W31="","",DATE(VALUE(LEFT($W31,4)),MATCH(MID($W31,6,3),{"Jan","Feb","Mar","Apr","May","Jun","Jul","Aug","Sep","Oct","Nov","Dec"},0),VALUE(MID($W31,10,2))))</f>
        <v>46304</v>
      </c>
      <c r="I30" s="17">
        <f t="shared" si="8"/>
        <v>2</v>
      </c>
      <c r="J30" s="17">
        <f t="shared" si="9"/>
        <v>5</v>
      </c>
      <c r="K30" s="17">
        <f t="shared" si="10"/>
        <v>105</v>
      </c>
      <c r="U30" s="11" t="s">
        <v>227</v>
      </c>
      <c r="W30" s="11" t="s">
        <v>273</v>
      </c>
    </row>
    <row r="31" spans="1:23" ht="19.95" customHeight="1" x14ac:dyDescent="0.3">
      <c r="A31" s="16">
        <f>IF($U$3="","",DATE(VALUE(MID($U$3,10,4)),MATCH(MID($U$3,15,3),{"Jan","Feb","Mar","Apr","May","Jun","Jul","Aug","Sep","Oct","Nov","Dec"},0),VALUE(MID($U$3,19,2)))+INT((ROW()-12)/8)+MOD(ROW()-12,8)*3/24)</f>
        <v>46288.375</v>
      </c>
      <c r="B31" s="16">
        <f t="shared" si="4"/>
        <v>46288.5</v>
      </c>
      <c r="C31" s="16">
        <f t="shared" si="5"/>
        <v>46288.75</v>
      </c>
      <c r="D31" s="16">
        <f t="shared" si="6"/>
        <v>46288.875</v>
      </c>
      <c r="E31" s="17">
        <f t="shared" si="7"/>
        <v>1.33</v>
      </c>
      <c r="H31" s="18">
        <f>IF($W32="","",DATE(VALUE(LEFT($W32,4)),MATCH(MID($W32,6,3),{"Jan","Feb","Mar","Apr","May","Jun","Jul","Aug","Sep","Oct","Nov","Dec"},0),VALUE(MID($W32,10,2))))</f>
        <v>46305</v>
      </c>
      <c r="I31" s="17">
        <f t="shared" si="8"/>
        <v>2</v>
      </c>
      <c r="J31" s="17">
        <f t="shared" si="9"/>
        <v>5</v>
      </c>
      <c r="K31" s="17">
        <f t="shared" si="10"/>
        <v>110</v>
      </c>
      <c r="U31" s="11" t="s">
        <v>228</v>
      </c>
      <c r="W31" s="11" t="s">
        <v>1967</v>
      </c>
    </row>
    <row r="32" spans="1:23" ht="19.95" customHeight="1" x14ac:dyDescent="0.3">
      <c r="A32" s="16">
        <f>IF($U$3="","",DATE(VALUE(MID($U$3,10,4)),MATCH(MID($U$3,15,3),{"Jan","Feb","Mar","Apr","May","Jun","Jul","Aug","Sep","Oct","Nov","Dec"},0),VALUE(MID($U$3,19,2)))+INT((ROW()-12)/8)+MOD(ROW()-12,8)*3/24)</f>
        <v>46288.5</v>
      </c>
      <c r="B32" s="16">
        <f t="shared" si="4"/>
        <v>46288.625</v>
      </c>
      <c r="C32" s="16">
        <f t="shared" si="5"/>
        <v>46288.875</v>
      </c>
      <c r="D32" s="16">
        <f t="shared" si="6"/>
        <v>46289</v>
      </c>
      <c r="E32" s="17">
        <f t="shared" si="7"/>
        <v>0.67</v>
      </c>
      <c r="H32" s="18">
        <f>IF($W33="","",DATE(VALUE(LEFT($W33,4)),MATCH(MID($W33,6,3),{"Jan","Feb","Mar","Apr","May","Jun","Jul","Aug","Sep","Oct","Nov","Dec"},0),VALUE(MID($W33,10,2))))</f>
        <v>46306</v>
      </c>
      <c r="I32" s="17">
        <f t="shared" si="8"/>
        <v>3</v>
      </c>
      <c r="J32" s="17">
        <f t="shared" si="9"/>
        <v>9</v>
      </c>
      <c r="K32" s="17">
        <f t="shared" si="10"/>
        <v>100</v>
      </c>
      <c r="W32" s="11" t="s">
        <v>1968</v>
      </c>
    </row>
    <row r="33" spans="1:23" ht="19.95" customHeight="1" x14ac:dyDescent="0.3">
      <c r="A33" s="16">
        <f>IF($U$3="","",DATE(VALUE(MID($U$3,10,4)),MATCH(MID($U$3,15,3),{"Jan","Feb","Mar","Apr","May","Jun","Jul","Aug","Sep","Oct","Nov","Dec"},0),VALUE(MID($U$3,19,2)))+INT((ROW()-12)/8)+MOD(ROW()-12,8)*3/24)</f>
        <v>46288.625</v>
      </c>
      <c r="B33" s="16">
        <f t="shared" si="4"/>
        <v>46288.75</v>
      </c>
      <c r="C33" s="16">
        <f t="shared" si="5"/>
        <v>46289</v>
      </c>
      <c r="D33" s="16">
        <f t="shared" si="6"/>
        <v>46289.125</v>
      </c>
      <c r="E33" s="17">
        <f t="shared" si="7"/>
        <v>0.67</v>
      </c>
      <c r="H33" s="18">
        <f>IF($W34="","",DATE(VALUE(LEFT($W34,4)),MATCH(MID($W34,6,3),{"Jan","Feb","Mar","Apr","May","Jun","Jul","Aug","Sep","Oct","Nov","Dec"},0),VALUE(MID($W34,10,2))))</f>
        <v>46307</v>
      </c>
      <c r="I33" s="17">
        <f t="shared" si="8"/>
        <v>3</v>
      </c>
      <c r="J33" s="17">
        <f t="shared" si="9"/>
        <v>8</v>
      </c>
      <c r="K33" s="17">
        <f t="shared" si="10"/>
        <v>97</v>
      </c>
      <c r="U33" s="11" t="s">
        <v>1989</v>
      </c>
      <c r="W33" s="11" t="s">
        <v>1969</v>
      </c>
    </row>
    <row r="34" spans="1:23" ht="19.95" customHeight="1" x14ac:dyDescent="0.3">
      <c r="A34" s="16">
        <f>IF($U$3="","",DATE(VALUE(MID($U$3,10,4)),MATCH(MID($U$3,15,3),{"Jan","Feb","Mar","Apr","May","Jun","Jul","Aug","Sep","Oct","Nov","Dec"},0),VALUE(MID($U$3,19,2)))+INT((ROW()-12)/8)+MOD(ROW()-12,8)*3/24)</f>
        <v>46288.75</v>
      </c>
      <c r="B34" s="16">
        <f t="shared" si="4"/>
        <v>46288.875</v>
      </c>
      <c r="C34" s="16">
        <f t="shared" si="5"/>
        <v>46289.125</v>
      </c>
      <c r="D34" s="16">
        <f t="shared" si="6"/>
        <v>46289.25</v>
      </c>
      <c r="E34" s="17">
        <f t="shared" si="7"/>
        <v>1.67</v>
      </c>
      <c r="H34" s="18">
        <f>IF($W35="","",DATE(VALUE(LEFT($W35,4)),MATCH(MID($W35,6,3),{"Jan","Feb","Mar","Apr","May","Jun","Jul","Aug","Sep","Oct","Nov","Dec"},0),VALUE(MID($W35,10,2))))</f>
        <v>46308</v>
      </c>
      <c r="I34" s="17">
        <f t="shared" si="8"/>
        <v>3</v>
      </c>
      <c r="J34" s="17">
        <f t="shared" si="9"/>
        <v>8</v>
      </c>
      <c r="K34" s="17">
        <f t="shared" si="10"/>
        <v>96</v>
      </c>
      <c r="W34" s="11" t="s">
        <v>1970</v>
      </c>
    </row>
    <row r="35" spans="1:23" ht="19.95" customHeight="1" x14ac:dyDescent="0.3">
      <c r="A35" s="16">
        <f>IF($U$3="","",DATE(VALUE(MID($U$3,10,4)),MATCH(MID($U$3,15,3),{"Jan","Feb","Mar","Apr","May","Jun","Jul","Aug","Sep","Oct","Nov","Dec"},0),VALUE(MID($U$3,19,2)))+INT((ROW()-12)/8)+MOD(ROW()-12,8)*3/24)</f>
        <v>46288.875</v>
      </c>
      <c r="B35" s="16">
        <f t="shared" si="4"/>
        <v>46289</v>
      </c>
      <c r="C35" s="16">
        <f t="shared" si="5"/>
        <v>46289.25</v>
      </c>
      <c r="D35" s="16">
        <f t="shared" si="6"/>
        <v>46289.375</v>
      </c>
      <c r="E35" s="17">
        <f t="shared" si="7"/>
        <v>1.67</v>
      </c>
      <c r="H35" s="18">
        <f>IF($W36="","",DATE(VALUE(LEFT($W36,4)),MATCH(MID($W36,6,3),{"Jan","Feb","Mar","Apr","May","Jun","Jul","Aug","Sep","Oct","Nov","Dec"},0),VALUE(MID($W36,10,2))))</f>
        <v>46309</v>
      </c>
      <c r="I35" s="17">
        <f t="shared" si="8"/>
        <v>3</v>
      </c>
      <c r="J35" s="17">
        <f t="shared" si="9"/>
        <v>8</v>
      </c>
      <c r="K35" s="17">
        <f t="shared" si="10"/>
        <v>95</v>
      </c>
      <c r="U35" s="11" t="s">
        <v>1990</v>
      </c>
      <c r="W35" s="11" t="s">
        <v>1971</v>
      </c>
    </row>
    <row r="36" spans="1:23" ht="19.95" customHeight="1" x14ac:dyDescent="0.3">
      <c r="H36" s="18">
        <f>IF($W37="","",DATE(VALUE(LEFT($W37,4)),MATCH(MID($W37,6,3),{"Jan","Feb","Mar","Apr","May","Jun","Jul","Aug","Sep","Oct","Nov","Dec"},0),VALUE(MID($W37,10,2))))</f>
        <v>46310</v>
      </c>
      <c r="I36" s="17">
        <f t="shared" si="8"/>
        <v>2</v>
      </c>
      <c r="J36" s="17">
        <f t="shared" si="9"/>
        <v>5</v>
      </c>
      <c r="K36" s="17">
        <f t="shared" si="10"/>
        <v>100</v>
      </c>
      <c r="U36" s="11" t="s">
        <v>229</v>
      </c>
      <c r="W36" s="11" t="s">
        <v>1972</v>
      </c>
    </row>
    <row r="37" spans="1:23" ht="19.95" customHeight="1" x14ac:dyDescent="0.3">
      <c r="H37" s="18">
        <f>IF($W38="","",DATE(VALUE(LEFT($W38,4)),MATCH(MID($W38,6,3),{"Jan","Feb","Mar","Apr","May","Jun","Jul","Aug","Sep","Oct","Nov","Dec"},0),VALUE(MID($W38,10,2))))</f>
        <v>46311</v>
      </c>
      <c r="I37" s="17">
        <f t="shared" si="8"/>
        <v>2</v>
      </c>
      <c r="J37" s="17">
        <f t="shared" si="9"/>
        <v>5</v>
      </c>
      <c r="K37" s="17">
        <f t="shared" si="10"/>
        <v>105</v>
      </c>
      <c r="L37" s="65" t="s">
        <v>214</v>
      </c>
      <c r="M37" s="66"/>
      <c r="N37" s="66"/>
      <c r="O37" s="66"/>
      <c r="P37" s="66"/>
      <c r="Q37" s="66"/>
      <c r="R37" s="66"/>
      <c r="S37" s="66"/>
      <c r="W37" s="11" t="s">
        <v>1973</v>
      </c>
    </row>
    <row r="38" spans="1:23" ht="19.95" customHeight="1" x14ac:dyDescent="0.3">
      <c r="H38" s="18">
        <f>IF($W39="","",DATE(VALUE(LEFT($W39,4)),MATCH(MID($W39,6,3),{"Jan","Feb","Mar","Apr","May","Jun","Jul","Aug","Sep","Oct","Nov","Dec"},0),VALUE(MID($W39,10,2))))</f>
        <v>46312</v>
      </c>
      <c r="I38" s="17">
        <f t="shared" si="8"/>
        <v>2</v>
      </c>
      <c r="J38" s="17">
        <f t="shared" si="9"/>
        <v>5</v>
      </c>
      <c r="K38" s="17">
        <f t="shared" si="10"/>
        <v>100</v>
      </c>
      <c r="L38" s="66"/>
      <c r="M38" s="66"/>
      <c r="N38" s="66"/>
      <c r="O38" s="66"/>
      <c r="P38" s="66"/>
      <c r="Q38" s="66"/>
      <c r="R38" s="66"/>
      <c r="S38" s="66"/>
      <c r="U38" s="11" t="s">
        <v>230</v>
      </c>
      <c r="W38" s="11" t="s">
        <v>1974</v>
      </c>
    </row>
    <row r="39" spans="1:23" x14ac:dyDescent="0.3">
      <c r="U39" s="11" t="s">
        <v>231</v>
      </c>
      <c r="W39" s="11" t="s">
        <v>1975</v>
      </c>
    </row>
    <row r="40" spans="1:23" x14ac:dyDescent="0.3">
      <c r="U40" s="11" t="s">
        <v>232</v>
      </c>
    </row>
    <row r="41" spans="1:23" x14ac:dyDescent="0.3">
      <c r="W41" s="11" t="s">
        <v>239</v>
      </c>
    </row>
    <row r="42" spans="1:23" x14ac:dyDescent="0.3">
      <c r="U42" s="11" t="s">
        <v>233</v>
      </c>
    </row>
    <row r="44" spans="1:23" x14ac:dyDescent="0.3">
      <c r="U44" s="11" t="s">
        <v>234</v>
      </c>
    </row>
    <row r="46" spans="1:23" x14ac:dyDescent="0.3">
      <c r="U46" s="11" t="s">
        <v>1991</v>
      </c>
    </row>
    <row r="48" spans="1:23" x14ac:dyDescent="0.3">
      <c r="U48" s="11" t="s">
        <v>1992</v>
      </c>
    </row>
    <row r="49" spans="21:21" x14ac:dyDescent="0.3">
      <c r="U49" s="11" t="s">
        <v>235</v>
      </c>
    </row>
    <row r="50" spans="21:21" x14ac:dyDescent="0.3">
      <c r="U50" s="11" t="s">
        <v>236</v>
      </c>
    </row>
    <row r="52" spans="21:21" x14ac:dyDescent="0.3">
      <c r="U52" s="11" t="s">
        <v>1993</v>
      </c>
    </row>
    <row r="53" spans="21:21" x14ac:dyDescent="0.3">
      <c r="U53" s="11" t="s">
        <v>239</v>
      </c>
    </row>
  </sheetData>
  <mergeCells count="2">
    <mergeCell ref="A2:S2"/>
    <mergeCell ref="L37:S38"/>
  </mergeCells>
  <phoneticPr fontId="14" type="noConversion"/>
  <dataValidations count="1">
    <dataValidation type="date" allowBlank="1" showInputMessage="1" showErrorMessage="1" promptTitle="한국시간 입력" prompt="예: 2026-10-14 13:24" sqref="B4" xr:uid="{B10233A1-A693-436C-B9CB-A5A31C7D1526}">
      <formula1>43831</formula1>
      <formula2>73415</formula2>
    </dataValidation>
  </dataValidations>
  <hyperlinks>
    <hyperlink ref="E7" r:id="rId1" xr:uid="{D711750B-D8F4-4347-95E0-4DE505F7DA1E}"/>
    <hyperlink ref="E8" r:id="rId2" xr:uid="{5031DABD-EC8F-4CD3-BD79-C3CDCEAA5C3B}"/>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3907C-A301-4D1E-A466-431FAA7B1528}">
  <sheetPr>
    <tabColor rgb="FF8CB4D8"/>
  </sheetPr>
  <dimension ref="A1:F34453"/>
  <sheetViews>
    <sheetView workbookViewId="0">
      <selection sqref="A1:F1"/>
    </sheetView>
  </sheetViews>
  <sheetFormatPr defaultRowHeight="17.399999999999999" x14ac:dyDescent="0.4"/>
  <cols>
    <col min="1" max="5" width="38.69921875" customWidth="1"/>
    <col min="6" max="6" width="22.69921875" customWidth="1"/>
  </cols>
  <sheetData>
    <row r="1" spans="1:6" ht="24" customHeight="1" x14ac:dyDescent="0.45">
      <c r="A1" s="69" t="s">
        <v>678</v>
      </c>
      <c r="B1" s="68"/>
      <c r="C1" s="68"/>
      <c r="D1" s="68"/>
      <c r="E1" s="68"/>
      <c r="F1" s="68"/>
    </row>
    <row r="2" spans="1:6" ht="21" customHeight="1" x14ac:dyDescent="0.4">
      <c r="A2" s="67" t="s">
        <v>679</v>
      </c>
      <c r="B2" s="68"/>
      <c r="C2" s="68"/>
      <c r="D2" s="68"/>
      <c r="E2" s="68"/>
      <c r="F2" s="68"/>
    </row>
    <row r="3" spans="1:6" x14ac:dyDescent="0.4">
      <c r="A3" s="59" t="s">
        <v>680</v>
      </c>
      <c r="B3" s="59" t="s">
        <v>681</v>
      </c>
      <c r="C3" s="59" t="s">
        <v>682</v>
      </c>
      <c r="D3" s="59" t="s">
        <v>683</v>
      </c>
      <c r="E3" s="59" t="s">
        <v>684</v>
      </c>
      <c r="F3" s="60" t="str">
        <f>HYPERLINK("#'⑨ 구배 자동계산'!A1","◂ ⑨ 계산 시트로")</f>
        <v>◂ ⑨ 계산 시트로</v>
      </c>
    </row>
    <row r="4" spans="1:6" x14ac:dyDescent="0.4">
      <c r="A4" s="61"/>
      <c r="B4" s="61"/>
      <c r="C4" s="61"/>
      <c r="D4" s="61"/>
      <c r="E4" s="61"/>
    </row>
    <row r="5" spans="1:6" x14ac:dyDescent="0.4">
      <c r="A5" s="61"/>
      <c r="B5" s="61"/>
      <c r="C5" s="61"/>
      <c r="D5" s="61"/>
      <c r="E5" s="61"/>
    </row>
    <row r="6" spans="1:6" x14ac:dyDescent="0.4">
      <c r="A6" s="61"/>
      <c r="B6" s="61"/>
      <c r="C6" s="61"/>
      <c r="D6" s="61"/>
      <c r="E6" s="61"/>
    </row>
    <row r="705" spans="1:6" ht="21" customHeight="1" x14ac:dyDescent="0.4">
      <c r="A705" s="67" t="s">
        <v>685</v>
      </c>
      <c r="B705" s="68"/>
      <c r="C705" s="68"/>
      <c r="D705" s="68"/>
      <c r="E705" s="68"/>
      <c r="F705" s="68"/>
    </row>
    <row r="706" spans="1:6" x14ac:dyDescent="0.4">
      <c r="A706" s="59" t="s">
        <v>680</v>
      </c>
      <c r="B706" s="59" t="s">
        <v>681</v>
      </c>
      <c r="C706" s="59" t="s">
        <v>682</v>
      </c>
      <c r="D706" s="59" t="s">
        <v>683</v>
      </c>
      <c r="E706" s="59" t="s">
        <v>684</v>
      </c>
      <c r="F706" s="60" t="str">
        <f>HYPERLINK("#'⑨ 구배 자동계산'!A1","◂ ⑨ 계산 시트로")</f>
        <v>◂ ⑨ 계산 시트로</v>
      </c>
    </row>
    <row r="707" spans="1:6" x14ac:dyDescent="0.4">
      <c r="A707" s="61"/>
      <c r="B707" s="61"/>
      <c r="C707" s="61"/>
      <c r="D707" s="61"/>
      <c r="E707" s="61"/>
    </row>
    <row r="708" spans="1:6" x14ac:dyDescent="0.4">
      <c r="A708" s="61"/>
      <c r="B708" s="61"/>
      <c r="C708" s="61"/>
      <c r="D708" s="61"/>
      <c r="E708" s="61"/>
    </row>
    <row r="709" spans="1:6" x14ac:dyDescent="0.4">
      <c r="A709" s="61"/>
      <c r="B709" s="61"/>
      <c r="C709" s="61"/>
      <c r="D709" s="61"/>
      <c r="E709" s="61"/>
    </row>
    <row r="1408" spans="1:6" ht="21" customHeight="1" x14ac:dyDescent="0.4">
      <c r="A1408" s="67" t="s">
        <v>686</v>
      </c>
      <c r="B1408" s="68"/>
      <c r="C1408" s="68"/>
      <c r="D1408" s="68"/>
      <c r="E1408" s="68"/>
      <c r="F1408" s="68"/>
    </row>
    <row r="1409" spans="1:6" x14ac:dyDescent="0.4">
      <c r="A1409" s="59" t="s">
        <v>680</v>
      </c>
      <c r="B1409" s="59" t="s">
        <v>681</v>
      </c>
      <c r="C1409" s="59" t="s">
        <v>682</v>
      </c>
      <c r="D1409" s="59" t="s">
        <v>683</v>
      </c>
      <c r="E1409" s="59" t="s">
        <v>684</v>
      </c>
      <c r="F1409" s="60" t="str">
        <f>HYPERLINK("#'⑨ 구배 자동계산'!A1","◂ ⑨ 계산 시트로")</f>
        <v>◂ ⑨ 계산 시트로</v>
      </c>
    </row>
    <row r="1410" spans="1:6" x14ac:dyDescent="0.4">
      <c r="A1410" s="61"/>
      <c r="B1410" s="61"/>
      <c r="C1410" s="61"/>
      <c r="D1410" s="61"/>
      <c r="E1410" s="61"/>
    </row>
    <row r="1411" spans="1:6" x14ac:dyDescent="0.4">
      <c r="A1411" s="61"/>
      <c r="B1411" s="61"/>
      <c r="C1411" s="61"/>
      <c r="D1411" s="61"/>
      <c r="E1411" s="61"/>
    </row>
    <row r="1412" spans="1:6" x14ac:dyDescent="0.4">
      <c r="A1412" s="61"/>
      <c r="B1412" s="61"/>
      <c r="C1412" s="61"/>
      <c r="D1412" s="61"/>
      <c r="E1412" s="61"/>
    </row>
    <row r="2111" spans="1:6" ht="21" customHeight="1" x14ac:dyDescent="0.4">
      <c r="A2111" s="67" t="s">
        <v>687</v>
      </c>
      <c r="B2111" s="68"/>
      <c r="C2111" s="68"/>
      <c r="D2111" s="68"/>
      <c r="E2111" s="68"/>
      <c r="F2111" s="68"/>
    </row>
    <row r="2112" spans="1:6" x14ac:dyDescent="0.4">
      <c r="A2112" s="59" t="s">
        <v>680</v>
      </c>
      <c r="B2112" s="59" t="s">
        <v>681</v>
      </c>
      <c r="C2112" s="59" t="s">
        <v>682</v>
      </c>
      <c r="D2112" s="59" t="s">
        <v>683</v>
      </c>
      <c r="E2112" s="59" t="s">
        <v>684</v>
      </c>
      <c r="F2112" s="60" t="str">
        <f>HYPERLINK("#'⑨ 구배 자동계산'!A1","◂ ⑨ 계산 시트로")</f>
        <v>◂ ⑨ 계산 시트로</v>
      </c>
    </row>
    <row r="2113" spans="1:5" x14ac:dyDescent="0.4">
      <c r="A2113" s="61"/>
      <c r="B2113" s="61"/>
      <c r="C2113" s="61"/>
      <c r="D2113" s="61"/>
      <c r="E2113" s="61"/>
    </row>
    <row r="2114" spans="1:5" x14ac:dyDescent="0.4">
      <c r="A2114" s="61"/>
      <c r="B2114" s="61"/>
      <c r="C2114" s="61"/>
      <c r="D2114" s="61"/>
      <c r="E2114" s="61"/>
    </row>
    <row r="2115" spans="1:5" x14ac:dyDescent="0.4">
      <c r="A2115" s="61"/>
      <c r="B2115" s="61"/>
      <c r="C2115" s="61"/>
      <c r="D2115" s="61"/>
      <c r="E2115" s="61"/>
    </row>
    <row r="2814" spans="1:6" ht="21" customHeight="1" x14ac:dyDescent="0.4">
      <c r="A2814" s="67" t="s">
        <v>688</v>
      </c>
      <c r="B2814" s="68"/>
      <c r="C2814" s="68"/>
      <c r="D2814" s="68"/>
      <c r="E2814" s="68"/>
      <c r="F2814" s="68"/>
    </row>
    <row r="2815" spans="1:6" x14ac:dyDescent="0.4">
      <c r="A2815" s="59" t="s">
        <v>680</v>
      </c>
      <c r="B2815" s="59" t="s">
        <v>681</v>
      </c>
      <c r="C2815" s="59" t="s">
        <v>682</v>
      </c>
      <c r="D2815" s="59" t="s">
        <v>683</v>
      </c>
      <c r="E2815" s="59" t="s">
        <v>684</v>
      </c>
      <c r="F2815" s="60" t="str">
        <f>HYPERLINK("#'⑨ 구배 자동계산'!A1","◂ ⑨ 계산 시트로")</f>
        <v>◂ ⑨ 계산 시트로</v>
      </c>
    </row>
    <row r="2816" spans="1:6" x14ac:dyDescent="0.4">
      <c r="A2816" s="61"/>
      <c r="B2816" s="61"/>
      <c r="C2816" s="61"/>
      <c r="D2816" s="61"/>
      <c r="E2816" s="61"/>
    </row>
    <row r="2817" spans="1:5" x14ac:dyDescent="0.4">
      <c r="A2817" s="61"/>
      <c r="B2817" s="61"/>
      <c r="C2817" s="61"/>
      <c r="D2817" s="61"/>
      <c r="E2817" s="61"/>
    </row>
    <row r="2818" spans="1:5" x14ac:dyDescent="0.4">
      <c r="A2818" s="61"/>
      <c r="B2818" s="61"/>
      <c r="C2818" s="61"/>
      <c r="D2818" s="61"/>
      <c r="E2818" s="61"/>
    </row>
    <row r="3517" spans="1:6" ht="21" customHeight="1" x14ac:dyDescent="0.4">
      <c r="A3517" s="67" t="s">
        <v>689</v>
      </c>
      <c r="B3517" s="68"/>
      <c r="C3517" s="68"/>
      <c r="D3517" s="68"/>
      <c r="E3517" s="68"/>
      <c r="F3517" s="68"/>
    </row>
    <row r="3518" spans="1:6" x14ac:dyDescent="0.4">
      <c r="A3518" s="59" t="s">
        <v>680</v>
      </c>
      <c r="B3518" s="59" t="s">
        <v>681</v>
      </c>
      <c r="C3518" s="59" t="s">
        <v>682</v>
      </c>
      <c r="D3518" s="59" t="s">
        <v>683</v>
      </c>
      <c r="E3518" s="59" t="s">
        <v>684</v>
      </c>
      <c r="F3518" s="60" t="str">
        <f>HYPERLINK("#'⑨ 구배 자동계산'!A1","◂ ⑨ 계산 시트로")</f>
        <v>◂ ⑨ 계산 시트로</v>
      </c>
    </row>
    <row r="3519" spans="1:6" x14ac:dyDescent="0.4">
      <c r="A3519" s="61"/>
      <c r="B3519" s="61"/>
      <c r="C3519" s="61"/>
      <c r="D3519" s="61"/>
      <c r="E3519" s="61"/>
    </row>
    <row r="3520" spans="1:6" x14ac:dyDescent="0.4">
      <c r="A3520" s="61"/>
      <c r="B3520" s="61"/>
      <c r="C3520" s="61"/>
      <c r="D3520" s="61"/>
      <c r="E3520" s="61"/>
    </row>
    <row r="3521" spans="1:5" x14ac:dyDescent="0.4">
      <c r="A3521" s="61"/>
      <c r="B3521" s="61"/>
      <c r="C3521" s="61"/>
      <c r="D3521" s="61"/>
      <c r="E3521" s="61"/>
    </row>
    <row r="4220" spans="1:6" ht="21" customHeight="1" x14ac:dyDescent="0.4">
      <c r="A4220" s="67" t="s">
        <v>690</v>
      </c>
      <c r="B4220" s="68"/>
      <c r="C4220" s="68"/>
      <c r="D4220" s="68"/>
      <c r="E4220" s="68"/>
      <c r="F4220" s="68"/>
    </row>
    <row r="4221" spans="1:6" x14ac:dyDescent="0.4">
      <c r="A4221" s="59" t="s">
        <v>680</v>
      </c>
      <c r="B4221" s="59" t="s">
        <v>681</v>
      </c>
      <c r="C4221" s="59" t="s">
        <v>682</v>
      </c>
      <c r="D4221" s="59" t="s">
        <v>683</v>
      </c>
      <c r="E4221" s="59" t="s">
        <v>684</v>
      </c>
      <c r="F4221" s="60" t="str">
        <f>HYPERLINK("#'⑨ 구배 자동계산'!A1","◂ ⑨ 계산 시트로")</f>
        <v>◂ ⑨ 계산 시트로</v>
      </c>
    </row>
    <row r="4222" spans="1:6" x14ac:dyDescent="0.4">
      <c r="A4222" s="61"/>
      <c r="B4222" s="61"/>
      <c r="C4222" s="61"/>
      <c r="D4222" s="61"/>
      <c r="E4222" s="61"/>
    </row>
    <row r="4223" spans="1:6" x14ac:dyDescent="0.4">
      <c r="A4223" s="61"/>
      <c r="B4223" s="61"/>
      <c r="C4223" s="61"/>
      <c r="D4223" s="61"/>
      <c r="E4223" s="61"/>
    </row>
    <row r="4224" spans="1:6" x14ac:dyDescent="0.4">
      <c r="A4224" s="61"/>
      <c r="B4224" s="61"/>
      <c r="C4224" s="61"/>
      <c r="D4224" s="61"/>
      <c r="E4224" s="61"/>
    </row>
    <row r="4923" spans="1:6" ht="21" customHeight="1" x14ac:dyDescent="0.4">
      <c r="A4923" s="67" t="s">
        <v>691</v>
      </c>
      <c r="B4923" s="68"/>
      <c r="C4923" s="68"/>
      <c r="D4923" s="68"/>
      <c r="E4923" s="68"/>
      <c r="F4923" s="68"/>
    </row>
    <row r="4924" spans="1:6" x14ac:dyDescent="0.4">
      <c r="A4924" s="59" t="s">
        <v>680</v>
      </c>
      <c r="B4924" s="59" t="s">
        <v>681</v>
      </c>
      <c r="C4924" s="59" t="s">
        <v>682</v>
      </c>
      <c r="D4924" s="59" t="s">
        <v>683</v>
      </c>
      <c r="E4924" s="59" t="s">
        <v>684</v>
      </c>
      <c r="F4924" s="60" t="str">
        <f>HYPERLINK("#'⑨ 구배 자동계산'!A1","◂ ⑨ 계산 시트로")</f>
        <v>◂ ⑨ 계산 시트로</v>
      </c>
    </row>
    <row r="4925" spans="1:6" x14ac:dyDescent="0.4">
      <c r="A4925" s="61"/>
      <c r="B4925" s="61"/>
      <c r="C4925" s="61"/>
      <c r="D4925" s="61"/>
      <c r="E4925" s="61"/>
    </row>
    <row r="4926" spans="1:6" x14ac:dyDescent="0.4">
      <c r="A4926" s="61"/>
      <c r="B4926" s="61"/>
      <c r="C4926" s="61"/>
      <c r="D4926" s="61"/>
      <c r="E4926" s="61"/>
    </row>
    <row r="4927" spans="1:6" x14ac:dyDescent="0.4">
      <c r="A4927" s="61"/>
      <c r="B4927" s="61"/>
      <c r="C4927" s="61"/>
      <c r="D4927" s="61"/>
      <c r="E4927" s="61"/>
    </row>
    <row r="5626" spans="1:6" ht="21" customHeight="1" x14ac:dyDescent="0.4">
      <c r="A5626" s="67" t="s">
        <v>692</v>
      </c>
      <c r="B5626" s="68"/>
      <c r="C5626" s="68"/>
      <c r="D5626" s="68"/>
      <c r="E5626" s="68"/>
      <c r="F5626" s="68"/>
    </row>
    <row r="5627" spans="1:6" x14ac:dyDescent="0.4">
      <c r="A5627" s="59" t="s">
        <v>680</v>
      </c>
      <c r="B5627" s="59" t="s">
        <v>681</v>
      </c>
      <c r="C5627" s="59" t="s">
        <v>682</v>
      </c>
      <c r="D5627" s="59" t="s">
        <v>683</v>
      </c>
      <c r="E5627" s="59" t="s">
        <v>684</v>
      </c>
      <c r="F5627" s="60" t="str">
        <f>HYPERLINK("#'⑨ 구배 자동계산'!A1","◂ ⑨ 계산 시트로")</f>
        <v>◂ ⑨ 계산 시트로</v>
      </c>
    </row>
    <row r="5628" spans="1:6" x14ac:dyDescent="0.4">
      <c r="A5628" s="61"/>
      <c r="B5628" s="61"/>
      <c r="C5628" s="61"/>
      <c r="D5628" s="61"/>
      <c r="E5628" s="61"/>
    </row>
    <row r="5629" spans="1:6" x14ac:dyDescent="0.4">
      <c r="A5629" s="61"/>
      <c r="B5629" s="61"/>
      <c r="C5629" s="61"/>
      <c r="D5629" s="61"/>
      <c r="E5629" s="61"/>
    </row>
    <row r="5630" spans="1:6" x14ac:dyDescent="0.4">
      <c r="A5630" s="61"/>
      <c r="B5630" s="61"/>
      <c r="C5630" s="61"/>
      <c r="D5630" s="61"/>
      <c r="E5630" s="61"/>
    </row>
    <row r="6329" spans="1:6" ht="21" customHeight="1" x14ac:dyDescent="0.4">
      <c r="A6329" s="67" t="s">
        <v>693</v>
      </c>
      <c r="B6329" s="68"/>
      <c r="C6329" s="68"/>
      <c r="D6329" s="68"/>
      <c r="E6329" s="68"/>
      <c r="F6329" s="68"/>
    </row>
    <row r="6330" spans="1:6" x14ac:dyDescent="0.4">
      <c r="A6330" s="59" t="s">
        <v>680</v>
      </c>
      <c r="B6330" s="59" t="s">
        <v>681</v>
      </c>
      <c r="C6330" s="59" t="s">
        <v>682</v>
      </c>
      <c r="D6330" s="59" t="s">
        <v>683</v>
      </c>
      <c r="E6330" s="59" t="s">
        <v>684</v>
      </c>
      <c r="F6330" s="60" t="str">
        <f>HYPERLINK("#'⑨ 구배 자동계산'!A1","◂ ⑨ 계산 시트로")</f>
        <v>◂ ⑨ 계산 시트로</v>
      </c>
    </row>
    <row r="6331" spans="1:6" x14ac:dyDescent="0.4">
      <c r="A6331" s="61"/>
      <c r="B6331" s="61"/>
      <c r="C6331" s="61"/>
      <c r="D6331" s="61"/>
      <c r="E6331" s="61"/>
    </row>
    <row r="6332" spans="1:6" x14ac:dyDescent="0.4">
      <c r="A6332" s="61"/>
      <c r="B6332" s="61"/>
      <c r="C6332" s="61"/>
      <c r="D6332" s="61"/>
      <c r="E6332" s="61"/>
    </row>
    <row r="6333" spans="1:6" x14ac:dyDescent="0.4">
      <c r="A6333" s="61"/>
      <c r="B6333" s="61"/>
      <c r="C6333" s="61"/>
      <c r="D6333" s="61"/>
      <c r="E6333" s="61"/>
    </row>
    <row r="7032" spans="1:6" ht="21" customHeight="1" x14ac:dyDescent="0.4">
      <c r="A7032" s="67" t="s">
        <v>694</v>
      </c>
      <c r="B7032" s="68"/>
      <c r="C7032" s="68"/>
      <c r="D7032" s="68"/>
      <c r="E7032" s="68"/>
      <c r="F7032" s="68"/>
    </row>
    <row r="7033" spans="1:6" x14ac:dyDescent="0.4">
      <c r="A7033" s="59" t="s">
        <v>680</v>
      </c>
      <c r="B7033" s="59" t="s">
        <v>681</v>
      </c>
      <c r="C7033" s="59" t="s">
        <v>682</v>
      </c>
      <c r="D7033" s="59" t="s">
        <v>683</v>
      </c>
      <c r="E7033" s="59" t="s">
        <v>684</v>
      </c>
      <c r="F7033" s="60" t="str">
        <f>HYPERLINK("#'⑨ 구배 자동계산'!A1","◂ ⑨ 계산 시트로")</f>
        <v>◂ ⑨ 계산 시트로</v>
      </c>
    </row>
    <row r="7034" spans="1:6" x14ac:dyDescent="0.4">
      <c r="A7034" s="61"/>
      <c r="B7034" s="61"/>
      <c r="C7034" s="61"/>
      <c r="D7034" s="61"/>
      <c r="E7034" s="61"/>
    </row>
    <row r="7035" spans="1:6" x14ac:dyDescent="0.4">
      <c r="A7035" s="61"/>
      <c r="B7035" s="61"/>
      <c r="C7035" s="61"/>
      <c r="D7035" s="61"/>
      <c r="E7035" s="61"/>
    </row>
    <row r="7036" spans="1:6" x14ac:dyDescent="0.4">
      <c r="A7036" s="61"/>
      <c r="B7036" s="61"/>
      <c r="C7036" s="61"/>
      <c r="D7036" s="61"/>
      <c r="E7036" s="61"/>
    </row>
    <row r="7735" spans="1:6" ht="21" customHeight="1" x14ac:dyDescent="0.4">
      <c r="A7735" s="67" t="s">
        <v>695</v>
      </c>
      <c r="B7735" s="68"/>
      <c r="C7735" s="68"/>
      <c r="D7735" s="68"/>
      <c r="E7735" s="68"/>
      <c r="F7735" s="68"/>
    </row>
    <row r="7736" spans="1:6" x14ac:dyDescent="0.4">
      <c r="A7736" s="59" t="s">
        <v>680</v>
      </c>
      <c r="B7736" s="59" t="s">
        <v>681</v>
      </c>
      <c r="C7736" s="59" t="s">
        <v>682</v>
      </c>
      <c r="D7736" s="59" t="s">
        <v>683</v>
      </c>
      <c r="E7736" s="59" t="s">
        <v>684</v>
      </c>
      <c r="F7736" s="60" t="str">
        <f>HYPERLINK("#'⑨ 구배 자동계산'!A1","◂ ⑨ 계산 시트로")</f>
        <v>◂ ⑨ 계산 시트로</v>
      </c>
    </row>
    <row r="7737" spans="1:6" x14ac:dyDescent="0.4">
      <c r="A7737" s="61"/>
      <c r="B7737" s="61"/>
      <c r="C7737" s="61"/>
      <c r="D7737" s="61"/>
      <c r="E7737" s="61"/>
    </row>
    <row r="7738" spans="1:6" x14ac:dyDescent="0.4">
      <c r="A7738" s="61"/>
      <c r="B7738" s="61"/>
      <c r="C7738" s="61"/>
      <c r="D7738" s="61"/>
      <c r="E7738" s="61"/>
    </row>
    <row r="7739" spans="1:6" x14ac:dyDescent="0.4">
      <c r="A7739" s="61"/>
      <c r="B7739" s="61"/>
      <c r="C7739" s="61"/>
      <c r="D7739" s="61"/>
      <c r="E7739" s="61"/>
    </row>
    <row r="8438" spans="1:6" ht="21" customHeight="1" x14ac:dyDescent="0.4">
      <c r="A8438" s="67" t="s">
        <v>696</v>
      </c>
      <c r="B8438" s="68"/>
      <c r="C8438" s="68"/>
      <c r="D8438" s="68"/>
      <c r="E8438" s="68"/>
      <c r="F8438" s="68"/>
    </row>
    <row r="8439" spans="1:6" x14ac:dyDescent="0.4">
      <c r="A8439" s="59" t="s">
        <v>680</v>
      </c>
      <c r="B8439" s="59" t="s">
        <v>681</v>
      </c>
      <c r="C8439" s="59" t="s">
        <v>682</v>
      </c>
      <c r="D8439" s="59" t="s">
        <v>683</v>
      </c>
      <c r="E8439" s="59" t="s">
        <v>684</v>
      </c>
      <c r="F8439" s="60" t="str">
        <f>HYPERLINK("#'⑨ 구배 자동계산'!A1","◂ ⑨ 계산 시트로")</f>
        <v>◂ ⑨ 계산 시트로</v>
      </c>
    </row>
    <row r="8440" spans="1:6" x14ac:dyDescent="0.4">
      <c r="A8440" s="61"/>
      <c r="B8440" s="61"/>
      <c r="C8440" s="61"/>
      <c r="D8440" s="61"/>
      <c r="E8440" s="61"/>
    </row>
    <row r="8441" spans="1:6" x14ac:dyDescent="0.4">
      <c r="A8441" s="61"/>
      <c r="B8441" s="61"/>
      <c r="C8441" s="61"/>
      <c r="D8441" s="61"/>
      <c r="E8441" s="61"/>
    </row>
    <row r="8442" spans="1:6" x14ac:dyDescent="0.4">
      <c r="A8442" s="61"/>
      <c r="B8442" s="61"/>
      <c r="C8442" s="61"/>
      <c r="D8442" s="61"/>
      <c r="E8442" s="61"/>
    </row>
    <row r="9141" spans="1:6" ht="21" customHeight="1" x14ac:dyDescent="0.4">
      <c r="A9141" s="67" t="s">
        <v>697</v>
      </c>
      <c r="B9141" s="68"/>
      <c r="C9141" s="68"/>
      <c r="D9141" s="68"/>
      <c r="E9141" s="68"/>
      <c r="F9141" s="68"/>
    </row>
    <row r="9142" spans="1:6" x14ac:dyDescent="0.4">
      <c r="A9142" s="59" t="s">
        <v>680</v>
      </c>
      <c r="B9142" s="59" t="s">
        <v>681</v>
      </c>
      <c r="C9142" s="59" t="s">
        <v>682</v>
      </c>
      <c r="D9142" s="59" t="s">
        <v>683</v>
      </c>
      <c r="E9142" s="59" t="s">
        <v>684</v>
      </c>
      <c r="F9142" s="60" t="str">
        <f>HYPERLINK("#'⑨ 구배 자동계산'!A1","◂ ⑨ 계산 시트로")</f>
        <v>◂ ⑨ 계산 시트로</v>
      </c>
    </row>
    <row r="9143" spans="1:6" x14ac:dyDescent="0.4">
      <c r="A9143" s="61"/>
      <c r="B9143" s="61"/>
      <c r="C9143" s="61"/>
      <c r="D9143" s="61"/>
      <c r="E9143" s="61"/>
    </row>
    <row r="9144" spans="1:6" x14ac:dyDescent="0.4">
      <c r="A9144" s="61"/>
      <c r="B9144" s="61"/>
      <c r="C9144" s="61"/>
      <c r="D9144" s="61"/>
      <c r="E9144" s="61"/>
    </row>
    <row r="9145" spans="1:6" x14ac:dyDescent="0.4">
      <c r="A9145" s="61"/>
      <c r="B9145" s="61"/>
      <c r="C9145" s="61"/>
      <c r="D9145" s="61"/>
      <c r="E9145" s="61"/>
    </row>
    <row r="9844" spans="1:6" ht="21" customHeight="1" x14ac:dyDescent="0.4">
      <c r="A9844" s="67" t="s">
        <v>698</v>
      </c>
      <c r="B9844" s="68"/>
      <c r="C9844" s="68"/>
      <c r="D9844" s="68"/>
      <c r="E9844" s="68"/>
      <c r="F9844" s="68"/>
    </row>
    <row r="9845" spans="1:6" x14ac:dyDescent="0.4">
      <c r="A9845" s="59" t="s">
        <v>680</v>
      </c>
      <c r="B9845" s="59" t="s">
        <v>681</v>
      </c>
      <c r="C9845" s="59" t="s">
        <v>682</v>
      </c>
      <c r="D9845" s="59" t="s">
        <v>683</v>
      </c>
      <c r="E9845" s="59" t="s">
        <v>684</v>
      </c>
      <c r="F9845" s="60" t="str">
        <f>HYPERLINK("#'⑨ 구배 자동계산'!A1","◂ ⑨ 계산 시트로")</f>
        <v>◂ ⑨ 계산 시트로</v>
      </c>
    </row>
    <row r="9846" spans="1:6" x14ac:dyDescent="0.4">
      <c r="A9846" s="61"/>
      <c r="B9846" s="61"/>
      <c r="C9846" s="61"/>
      <c r="D9846" s="61"/>
      <c r="E9846" s="61"/>
    </row>
    <row r="9847" spans="1:6" x14ac:dyDescent="0.4">
      <c r="A9847" s="61"/>
      <c r="B9847" s="61"/>
      <c r="C9847" s="61"/>
      <c r="D9847" s="61"/>
      <c r="E9847" s="61"/>
    </row>
    <row r="9848" spans="1:6" x14ac:dyDescent="0.4">
      <c r="A9848" s="61"/>
      <c r="B9848" s="61"/>
      <c r="C9848" s="61"/>
      <c r="D9848" s="61"/>
      <c r="E9848" s="61"/>
    </row>
    <row r="10547" spans="1:6" ht="21" customHeight="1" x14ac:dyDescent="0.4">
      <c r="A10547" s="67" t="s">
        <v>699</v>
      </c>
      <c r="B10547" s="68"/>
      <c r="C10547" s="68"/>
      <c r="D10547" s="68"/>
      <c r="E10547" s="68"/>
      <c r="F10547" s="68"/>
    </row>
    <row r="10548" spans="1:6" x14ac:dyDescent="0.4">
      <c r="A10548" s="59" t="s">
        <v>680</v>
      </c>
      <c r="B10548" s="59" t="s">
        <v>681</v>
      </c>
      <c r="C10548" s="59" t="s">
        <v>682</v>
      </c>
      <c r="D10548" s="59" t="s">
        <v>683</v>
      </c>
      <c r="E10548" s="59" t="s">
        <v>684</v>
      </c>
      <c r="F10548" s="60" t="str">
        <f>HYPERLINK("#'⑨ 구배 자동계산'!A1","◂ ⑨ 계산 시트로")</f>
        <v>◂ ⑨ 계산 시트로</v>
      </c>
    </row>
    <row r="10549" spans="1:6" x14ac:dyDescent="0.4">
      <c r="A10549" s="61"/>
      <c r="B10549" s="61"/>
      <c r="C10549" s="61"/>
      <c r="D10549" s="61"/>
      <c r="E10549" s="61"/>
    </row>
    <row r="10550" spans="1:6" x14ac:dyDescent="0.4">
      <c r="A10550" s="61"/>
      <c r="B10550" s="61"/>
      <c r="C10550" s="61"/>
      <c r="D10550" s="61"/>
      <c r="E10550" s="61"/>
    </row>
    <row r="10551" spans="1:6" x14ac:dyDescent="0.4">
      <c r="A10551" s="61"/>
      <c r="B10551" s="61"/>
      <c r="C10551" s="61"/>
      <c r="D10551" s="61"/>
      <c r="E10551" s="61"/>
    </row>
    <row r="11250" spans="1:6" ht="21" customHeight="1" x14ac:dyDescent="0.4">
      <c r="A11250" s="67" t="s">
        <v>700</v>
      </c>
      <c r="B11250" s="68"/>
      <c r="C11250" s="68"/>
      <c r="D11250" s="68"/>
      <c r="E11250" s="68"/>
      <c r="F11250" s="68"/>
    </row>
    <row r="11251" spans="1:6" x14ac:dyDescent="0.4">
      <c r="A11251" s="59" t="s">
        <v>680</v>
      </c>
      <c r="B11251" s="59" t="s">
        <v>681</v>
      </c>
      <c r="C11251" s="59" t="s">
        <v>682</v>
      </c>
      <c r="D11251" s="59" t="s">
        <v>683</v>
      </c>
      <c r="E11251" s="59" t="s">
        <v>684</v>
      </c>
      <c r="F11251" s="60" t="str">
        <f>HYPERLINK("#'⑨ 구배 자동계산'!A1","◂ ⑨ 계산 시트로")</f>
        <v>◂ ⑨ 계산 시트로</v>
      </c>
    </row>
    <row r="11252" spans="1:6" x14ac:dyDescent="0.4">
      <c r="A11252" s="61"/>
      <c r="B11252" s="61"/>
      <c r="C11252" s="61"/>
      <c r="D11252" s="61"/>
      <c r="E11252" s="61"/>
    </row>
    <row r="11253" spans="1:6" x14ac:dyDescent="0.4">
      <c r="A11253" s="61"/>
      <c r="B11253" s="61"/>
      <c r="C11253" s="61"/>
      <c r="D11253" s="61"/>
      <c r="E11253" s="61"/>
    </row>
    <row r="11254" spans="1:6" x14ac:dyDescent="0.4">
      <c r="A11254" s="61"/>
      <c r="B11254" s="61"/>
      <c r="C11254" s="61"/>
      <c r="D11254" s="61"/>
      <c r="E11254" s="61"/>
    </row>
    <row r="11953" spans="1:6" ht="21" customHeight="1" x14ac:dyDescent="0.4">
      <c r="A11953" s="67" t="s">
        <v>701</v>
      </c>
      <c r="B11953" s="68"/>
      <c r="C11953" s="68"/>
      <c r="D11953" s="68"/>
      <c r="E11953" s="68"/>
      <c r="F11953" s="68"/>
    </row>
    <row r="11954" spans="1:6" x14ac:dyDescent="0.4">
      <c r="A11954" s="59" t="s">
        <v>680</v>
      </c>
      <c r="B11954" s="59" t="s">
        <v>681</v>
      </c>
      <c r="C11954" s="59" t="s">
        <v>682</v>
      </c>
      <c r="D11954" s="59" t="s">
        <v>683</v>
      </c>
      <c r="E11954" s="59" t="s">
        <v>684</v>
      </c>
      <c r="F11954" s="60" t="str">
        <f>HYPERLINK("#'⑨ 구배 자동계산'!A1","◂ ⑨ 계산 시트로")</f>
        <v>◂ ⑨ 계산 시트로</v>
      </c>
    </row>
    <row r="11955" spans="1:6" x14ac:dyDescent="0.4">
      <c r="A11955" s="61"/>
      <c r="B11955" s="61"/>
      <c r="C11955" s="61"/>
      <c r="D11955" s="61"/>
      <c r="E11955" s="61"/>
    </row>
    <row r="11956" spans="1:6" x14ac:dyDescent="0.4">
      <c r="A11956" s="61"/>
      <c r="B11956" s="61"/>
      <c r="C11956" s="61"/>
      <c r="D11956" s="61"/>
      <c r="E11956" s="61"/>
    </row>
    <row r="11957" spans="1:6" x14ac:dyDescent="0.4">
      <c r="A11957" s="61"/>
      <c r="B11957" s="61"/>
      <c r="C11957" s="61"/>
      <c r="D11957" s="61"/>
      <c r="E11957" s="61"/>
    </row>
    <row r="12656" spans="1:6" ht="21" customHeight="1" x14ac:dyDescent="0.4">
      <c r="A12656" s="67" t="s">
        <v>702</v>
      </c>
      <c r="B12656" s="68"/>
      <c r="C12656" s="68"/>
      <c r="D12656" s="68"/>
      <c r="E12656" s="68"/>
      <c r="F12656" s="68"/>
    </row>
    <row r="12657" spans="1:6" x14ac:dyDescent="0.4">
      <c r="A12657" s="59" t="s">
        <v>680</v>
      </c>
      <c r="B12657" s="59" t="s">
        <v>681</v>
      </c>
      <c r="C12657" s="59" t="s">
        <v>682</v>
      </c>
      <c r="D12657" s="59" t="s">
        <v>683</v>
      </c>
      <c r="E12657" s="59" t="s">
        <v>684</v>
      </c>
      <c r="F12657" s="60" t="str">
        <f>HYPERLINK("#'⑨ 구배 자동계산'!A1","◂ ⑨ 계산 시트로")</f>
        <v>◂ ⑨ 계산 시트로</v>
      </c>
    </row>
    <row r="12658" spans="1:6" x14ac:dyDescent="0.4">
      <c r="A12658" s="61"/>
      <c r="B12658" s="61" t="s">
        <v>1011</v>
      </c>
      <c r="C12658" s="61" t="s">
        <v>1370</v>
      </c>
      <c r="D12658" s="61" t="s">
        <v>1539</v>
      </c>
      <c r="E12658" s="61"/>
    </row>
    <row r="12659" spans="1:6" x14ac:dyDescent="0.4">
      <c r="A12659" s="61"/>
      <c r="B12659" s="61" t="s">
        <v>746</v>
      </c>
      <c r="C12659" s="61" t="s">
        <v>746</v>
      </c>
      <c r="D12659" s="61" t="s">
        <v>746</v>
      </c>
      <c r="E12659" s="61"/>
    </row>
    <row r="12660" spans="1:6" x14ac:dyDescent="0.4">
      <c r="A12660" s="61" t="s">
        <v>744</v>
      </c>
      <c r="B12660" s="61" t="s">
        <v>747</v>
      </c>
      <c r="C12660" s="61" t="s">
        <v>747</v>
      </c>
      <c r="D12660" s="61" t="s">
        <v>747</v>
      </c>
      <c r="E12660" s="61" t="s">
        <v>744</v>
      </c>
    </row>
    <row r="12661" spans="1:6" x14ac:dyDescent="0.4">
      <c r="A12661" t="s">
        <v>745</v>
      </c>
      <c r="E12661" t="s">
        <v>1823</v>
      </c>
    </row>
    <row r="12662" spans="1:6" x14ac:dyDescent="0.4">
      <c r="A12662" t="s">
        <v>746</v>
      </c>
      <c r="B12662" t="s">
        <v>748</v>
      </c>
      <c r="C12662" t="s">
        <v>748</v>
      </c>
      <c r="D12662" t="s">
        <v>748</v>
      </c>
      <c r="E12662" t="s">
        <v>746</v>
      </c>
    </row>
    <row r="12663" spans="1:6" x14ac:dyDescent="0.4">
      <c r="A12663" t="s">
        <v>747</v>
      </c>
      <c r="B12663" t="s">
        <v>1012</v>
      </c>
      <c r="C12663" t="s">
        <v>1371</v>
      </c>
      <c r="D12663" t="s">
        <v>1540</v>
      </c>
      <c r="E12663" t="s">
        <v>747</v>
      </c>
    </row>
    <row r="12664" spans="1:6" x14ac:dyDescent="0.4">
      <c r="B12664" t="s">
        <v>1013</v>
      </c>
      <c r="C12664" t="s">
        <v>1372</v>
      </c>
      <c r="D12664" t="s">
        <v>1541</v>
      </c>
    </row>
    <row r="12665" spans="1:6" x14ac:dyDescent="0.4">
      <c r="A12665" t="s">
        <v>748</v>
      </c>
      <c r="B12665" t="s">
        <v>1014</v>
      </c>
      <c r="C12665" t="s">
        <v>1373</v>
      </c>
      <c r="D12665" t="s">
        <v>1542</v>
      </c>
      <c r="E12665" t="s">
        <v>748</v>
      </c>
    </row>
    <row r="12666" spans="1:6" x14ac:dyDescent="0.4">
      <c r="A12666" t="s">
        <v>749</v>
      </c>
      <c r="B12666" t="s">
        <v>1015</v>
      </c>
      <c r="C12666" t="s">
        <v>1374</v>
      </c>
      <c r="D12666" t="s">
        <v>1543</v>
      </c>
      <c r="E12666" t="s">
        <v>1824</v>
      </c>
    </row>
    <row r="12667" spans="1:6" x14ac:dyDescent="0.4">
      <c r="A12667" t="s">
        <v>750</v>
      </c>
      <c r="B12667" t="s">
        <v>1016</v>
      </c>
      <c r="C12667" t="s">
        <v>1375</v>
      </c>
      <c r="D12667" t="s">
        <v>1544</v>
      </c>
      <c r="E12667" t="s">
        <v>1825</v>
      </c>
    </row>
    <row r="12668" spans="1:6" x14ac:dyDescent="0.4">
      <c r="A12668" t="s">
        <v>751</v>
      </c>
      <c r="B12668" t="s">
        <v>1017</v>
      </c>
      <c r="C12668" t="s">
        <v>1376</v>
      </c>
      <c r="D12668" t="s">
        <v>1545</v>
      </c>
      <c r="E12668" t="s">
        <v>1826</v>
      </c>
    </row>
    <row r="12669" spans="1:6" x14ac:dyDescent="0.4">
      <c r="A12669" t="s">
        <v>752</v>
      </c>
      <c r="B12669" t="s">
        <v>1018</v>
      </c>
      <c r="C12669" t="s">
        <v>1377</v>
      </c>
      <c r="D12669" t="s">
        <v>1546</v>
      </c>
      <c r="E12669" t="s">
        <v>1827</v>
      </c>
    </row>
    <row r="12670" spans="1:6" x14ac:dyDescent="0.4">
      <c r="A12670" t="s">
        <v>753</v>
      </c>
      <c r="B12670" t="s">
        <v>1019</v>
      </c>
      <c r="C12670" t="s">
        <v>1378</v>
      </c>
      <c r="D12670" t="s">
        <v>1547</v>
      </c>
      <c r="E12670" t="s">
        <v>1828</v>
      </c>
    </row>
    <row r="12671" spans="1:6" x14ac:dyDescent="0.4">
      <c r="A12671" t="s">
        <v>754</v>
      </c>
      <c r="B12671" t="s">
        <v>1020</v>
      </c>
      <c r="C12671" t="s">
        <v>1379</v>
      </c>
      <c r="D12671" t="s">
        <v>1548</v>
      </c>
      <c r="E12671" t="s">
        <v>1829</v>
      </c>
    </row>
    <row r="12672" spans="1:6" x14ac:dyDescent="0.4">
      <c r="A12672" t="s">
        <v>755</v>
      </c>
      <c r="B12672" t="s">
        <v>1021</v>
      </c>
      <c r="C12672" t="s">
        <v>1380</v>
      </c>
      <c r="D12672" t="s">
        <v>1549</v>
      </c>
      <c r="E12672" t="s">
        <v>1830</v>
      </c>
    </row>
    <row r="12673" spans="1:5" x14ac:dyDescent="0.4">
      <c r="A12673" t="s">
        <v>756</v>
      </c>
      <c r="B12673" t="s">
        <v>1022</v>
      </c>
      <c r="C12673" t="s">
        <v>1381</v>
      </c>
      <c r="D12673" t="s">
        <v>1550</v>
      </c>
      <c r="E12673" t="s">
        <v>1831</v>
      </c>
    </row>
    <row r="12674" spans="1:5" x14ac:dyDescent="0.4">
      <c r="A12674" t="s">
        <v>757</v>
      </c>
      <c r="B12674" t="s">
        <v>1023</v>
      </c>
      <c r="C12674" t="s">
        <v>1382</v>
      </c>
      <c r="D12674" t="s">
        <v>1551</v>
      </c>
      <c r="E12674" t="s">
        <v>1832</v>
      </c>
    </row>
    <row r="12675" spans="1:5" x14ac:dyDescent="0.4">
      <c r="A12675" t="s">
        <v>758</v>
      </c>
      <c r="B12675" t="s">
        <v>1024</v>
      </c>
      <c r="C12675" t="s">
        <v>1383</v>
      </c>
      <c r="D12675" t="s">
        <v>1552</v>
      </c>
      <c r="E12675" t="s">
        <v>1833</v>
      </c>
    </row>
    <row r="12676" spans="1:5" x14ac:dyDescent="0.4">
      <c r="A12676" t="s">
        <v>759</v>
      </c>
      <c r="B12676" t="s">
        <v>1025</v>
      </c>
      <c r="C12676" t="s">
        <v>1384</v>
      </c>
      <c r="D12676" t="s">
        <v>1553</v>
      </c>
      <c r="E12676" t="s">
        <v>1834</v>
      </c>
    </row>
    <row r="12677" spans="1:5" x14ac:dyDescent="0.4">
      <c r="A12677" t="s">
        <v>760</v>
      </c>
      <c r="B12677" t="s">
        <v>1026</v>
      </c>
      <c r="C12677" t="s">
        <v>1385</v>
      </c>
      <c r="D12677" t="s">
        <v>1554</v>
      </c>
      <c r="E12677" t="s">
        <v>1835</v>
      </c>
    </row>
    <row r="12678" spans="1:5" x14ac:dyDescent="0.4">
      <c r="A12678" t="s">
        <v>761</v>
      </c>
      <c r="B12678" t="s">
        <v>1027</v>
      </c>
      <c r="C12678" t="s">
        <v>1386</v>
      </c>
      <c r="D12678" t="s">
        <v>1555</v>
      </c>
      <c r="E12678" t="s">
        <v>1836</v>
      </c>
    </row>
    <row r="12679" spans="1:5" x14ac:dyDescent="0.4">
      <c r="A12679" t="s">
        <v>762</v>
      </c>
      <c r="B12679" t="s">
        <v>1028</v>
      </c>
      <c r="C12679" t="s">
        <v>1387</v>
      </c>
      <c r="D12679" t="s">
        <v>1556</v>
      </c>
      <c r="E12679" t="s">
        <v>1837</v>
      </c>
    </row>
    <row r="12680" spans="1:5" x14ac:dyDescent="0.4">
      <c r="A12680" t="s">
        <v>763</v>
      </c>
      <c r="B12680" t="s">
        <v>1029</v>
      </c>
      <c r="C12680" t="s">
        <v>1388</v>
      </c>
      <c r="D12680" t="s">
        <v>1557</v>
      </c>
      <c r="E12680" t="s">
        <v>1838</v>
      </c>
    </row>
    <row r="12681" spans="1:5" x14ac:dyDescent="0.4">
      <c r="A12681" t="s">
        <v>764</v>
      </c>
      <c r="B12681" t="s">
        <v>1030</v>
      </c>
      <c r="C12681" t="s">
        <v>1389</v>
      </c>
      <c r="D12681" t="s">
        <v>1558</v>
      </c>
      <c r="E12681" t="s">
        <v>1839</v>
      </c>
    </row>
    <row r="12682" spans="1:5" x14ac:dyDescent="0.4">
      <c r="A12682" t="s">
        <v>765</v>
      </c>
      <c r="B12682" t="s">
        <v>1031</v>
      </c>
      <c r="C12682" t="s">
        <v>1390</v>
      </c>
      <c r="D12682" t="s">
        <v>1559</v>
      </c>
      <c r="E12682" t="s">
        <v>1840</v>
      </c>
    </row>
    <row r="12683" spans="1:5" x14ac:dyDescent="0.4">
      <c r="A12683" t="s">
        <v>766</v>
      </c>
      <c r="B12683" t="s">
        <v>1032</v>
      </c>
      <c r="C12683" t="s">
        <v>1391</v>
      </c>
      <c r="D12683" t="s">
        <v>1560</v>
      </c>
      <c r="E12683" t="s">
        <v>1841</v>
      </c>
    </row>
    <row r="12684" spans="1:5" x14ac:dyDescent="0.4">
      <c r="A12684" t="s">
        <v>767</v>
      </c>
      <c r="B12684" t="s">
        <v>1033</v>
      </c>
      <c r="C12684" t="s">
        <v>1392</v>
      </c>
      <c r="D12684" t="s">
        <v>1561</v>
      </c>
      <c r="E12684" t="s">
        <v>1842</v>
      </c>
    </row>
    <row r="12685" spans="1:5" x14ac:dyDescent="0.4">
      <c r="A12685" t="s">
        <v>768</v>
      </c>
      <c r="B12685" t="s">
        <v>1034</v>
      </c>
      <c r="C12685" t="s">
        <v>1393</v>
      </c>
      <c r="D12685" t="s">
        <v>1562</v>
      </c>
      <c r="E12685" t="s">
        <v>1843</v>
      </c>
    </row>
    <row r="12686" spans="1:5" x14ac:dyDescent="0.4">
      <c r="A12686" t="s">
        <v>769</v>
      </c>
      <c r="B12686" t="s">
        <v>1035</v>
      </c>
      <c r="C12686" t="s">
        <v>1394</v>
      </c>
      <c r="D12686" t="s">
        <v>1563</v>
      </c>
      <c r="E12686" t="s">
        <v>1844</v>
      </c>
    </row>
    <row r="12687" spans="1:5" x14ac:dyDescent="0.4">
      <c r="A12687" t="s">
        <v>770</v>
      </c>
      <c r="B12687" t="s">
        <v>1036</v>
      </c>
      <c r="C12687" t="s">
        <v>1395</v>
      </c>
      <c r="D12687" t="s">
        <v>1564</v>
      </c>
      <c r="E12687" t="s">
        <v>1845</v>
      </c>
    </row>
    <row r="12688" spans="1:5" x14ac:dyDescent="0.4">
      <c r="A12688" t="s">
        <v>771</v>
      </c>
      <c r="B12688" t="s">
        <v>1037</v>
      </c>
      <c r="C12688" t="s">
        <v>1396</v>
      </c>
      <c r="D12688" t="s">
        <v>1565</v>
      </c>
      <c r="E12688" t="s">
        <v>1846</v>
      </c>
    </row>
    <row r="12689" spans="1:5" x14ac:dyDescent="0.4">
      <c r="A12689" t="s">
        <v>772</v>
      </c>
      <c r="B12689" t="s">
        <v>1038</v>
      </c>
      <c r="D12689" t="s">
        <v>1566</v>
      </c>
      <c r="E12689" t="s">
        <v>1847</v>
      </c>
    </row>
    <row r="12690" spans="1:5" x14ac:dyDescent="0.4">
      <c r="A12690" t="s">
        <v>773</v>
      </c>
      <c r="B12690" t="s">
        <v>1039</v>
      </c>
      <c r="D12690" t="s">
        <v>1567</v>
      </c>
      <c r="E12690" t="s">
        <v>1848</v>
      </c>
    </row>
    <row r="12691" spans="1:5" x14ac:dyDescent="0.4">
      <c r="A12691" t="s">
        <v>774</v>
      </c>
      <c r="B12691" t="s">
        <v>1040</v>
      </c>
      <c r="C12691" t="s">
        <v>744</v>
      </c>
      <c r="D12691" t="s">
        <v>1568</v>
      </c>
      <c r="E12691" t="s">
        <v>1849</v>
      </c>
    </row>
    <row r="12692" spans="1:5" x14ac:dyDescent="0.4">
      <c r="A12692" t="s">
        <v>775</v>
      </c>
      <c r="B12692" t="s">
        <v>1041</v>
      </c>
      <c r="C12692" t="s">
        <v>1397</v>
      </c>
      <c r="D12692" t="s">
        <v>1569</v>
      </c>
      <c r="E12692" t="s">
        <v>1850</v>
      </c>
    </row>
    <row r="12693" spans="1:5" x14ac:dyDescent="0.4">
      <c r="A12693" t="s">
        <v>776</v>
      </c>
      <c r="C12693" t="s">
        <v>746</v>
      </c>
    </row>
    <row r="12694" spans="1:5" x14ac:dyDescent="0.4">
      <c r="A12694" t="s">
        <v>777</v>
      </c>
      <c r="C12694" t="s">
        <v>747</v>
      </c>
    </row>
    <row r="12695" spans="1:5" x14ac:dyDescent="0.4">
      <c r="A12695" t="s">
        <v>778</v>
      </c>
      <c r="B12695" t="s">
        <v>744</v>
      </c>
      <c r="D12695" t="s">
        <v>744</v>
      </c>
      <c r="E12695" t="s">
        <v>744</v>
      </c>
    </row>
    <row r="12696" spans="1:5" x14ac:dyDescent="0.4">
      <c r="A12696" t="s">
        <v>779</v>
      </c>
      <c r="B12696" t="s">
        <v>1042</v>
      </c>
      <c r="C12696" t="s">
        <v>748</v>
      </c>
      <c r="D12696" t="s">
        <v>1570</v>
      </c>
      <c r="E12696" t="s">
        <v>1851</v>
      </c>
    </row>
    <row r="12697" spans="1:5" x14ac:dyDescent="0.4">
      <c r="A12697" t="s">
        <v>780</v>
      </c>
      <c r="B12697" t="s">
        <v>746</v>
      </c>
      <c r="C12697" t="s">
        <v>1398</v>
      </c>
      <c r="D12697" t="s">
        <v>746</v>
      </c>
      <c r="E12697" t="s">
        <v>746</v>
      </c>
    </row>
    <row r="12698" spans="1:5" x14ac:dyDescent="0.4">
      <c r="B12698" t="s">
        <v>747</v>
      </c>
      <c r="C12698" t="s">
        <v>1399</v>
      </c>
      <c r="D12698" t="s">
        <v>747</v>
      </c>
      <c r="E12698" t="s">
        <v>747</v>
      </c>
    </row>
    <row r="12699" spans="1:5" x14ac:dyDescent="0.4">
      <c r="C12699" t="s">
        <v>1400</v>
      </c>
    </row>
    <row r="12700" spans="1:5" x14ac:dyDescent="0.4">
      <c r="A12700" t="s">
        <v>744</v>
      </c>
      <c r="B12700" t="s">
        <v>748</v>
      </c>
      <c r="C12700" t="s">
        <v>1401</v>
      </c>
      <c r="D12700" t="s">
        <v>748</v>
      </c>
      <c r="E12700" t="s">
        <v>748</v>
      </c>
    </row>
    <row r="12701" spans="1:5" x14ac:dyDescent="0.4">
      <c r="A12701" t="s">
        <v>781</v>
      </c>
      <c r="B12701" t="s">
        <v>1043</v>
      </c>
      <c r="C12701" t="s">
        <v>1402</v>
      </c>
      <c r="D12701" t="s">
        <v>1571</v>
      </c>
      <c r="E12701" t="s">
        <v>1852</v>
      </c>
    </row>
    <row r="12702" spans="1:5" x14ac:dyDescent="0.4">
      <c r="A12702" t="s">
        <v>746</v>
      </c>
      <c r="B12702" t="s">
        <v>1044</v>
      </c>
      <c r="C12702" t="s">
        <v>1403</v>
      </c>
      <c r="D12702" t="s">
        <v>1572</v>
      </c>
      <c r="E12702" t="s">
        <v>1853</v>
      </c>
    </row>
    <row r="12703" spans="1:5" x14ac:dyDescent="0.4">
      <c r="A12703" t="s">
        <v>747</v>
      </c>
      <c r="B12703" t="s">
        <v>1045</v>
      </c>
      <c r="C12703" t="s">
        <v>1404</v>
      </c>
      <c r="D12703" t="s">
        <v>1573</v>
      </c>
      <c r="E12703" t="s">
        <v>1854</v>
      </c>
    </row>
    <row r="12704" spans="1:5" x14ac:dyDescent="0.4">
      <c r="B12704" t="s">
        <v>1046</v>
      </c>
      <c r="C12704" t="s">
        <v>1405</v>
      </c>
      <c r="D12704" t="s">
        <v>1574</v>
      </c>
      <c r="E12704" t="s">
        <v>1855</v>
      </c>
    </row>
    <row r="12705" spans="1:5" x14ac:dyDescent="0.4">
      <c r="A12705" t="s">
        <v>748</v>
      </c>
      <c r="B12705" t="s">
        <v>1047</v>
      </c>
      <c r="C12705" t="s">
        <v>1406</v>
      </c>
      <c r="D12705" t="s">
        <v>1575</v>
      </c>
      <c r="E12705" t="s">
        <v>1856</v>
      </c>
    </row>
    <row r="12706" spans="1:5" x14ac:dyDescent="0.4">
      <c r="A12706" t="s">
        <v>782</v>
      </c>
      <c r="B12706" t="s">
        <v>1048</v>
      </c>
      <c r="C12706" t="s">
        <v>1407</v>
      </c>
      <c r="D12706" t="s">
        <v>1576</v>
      </c>
      <c r="E12706" t="s">
        <v>1857</v>
      </c>
    </row>
    <row r="12707" spans="1:5" x14ac:dyDescent="0.4">
      <c r="A12707" t="s">
        <v>783</v>
      </c>
      <c r="B12707" t="s">
        <v>1049</v>
      </c>
      <c r="C12707" t="s">
        <v>1408</v>
      </c>
      <c r="D12707" t="s">
        <v>1577</v>
      </c>
      <c r="E12707" t="s">
        <v>1858</v>
      </c>
    </row>
    <row r="12708" spans="1:5" x14ac:dyDescent="0.4">
      <c r="A12708" t="s">
        <v>784</v>
      </c>
      <c r="B12708" t="s">
        <v>1050</v>
      </c>
      <c r="C12708" t="s">
        <v>1409</v>
      </c>
      <c r="D12708" t="s">
        <v>1578</v>
      </c>
      <c r="E12708" t="s">
        <v>1859</v>
      </c>
    </row>
    <row r="12709" spans="1:5" x14ac:dyDescent="0.4">
      <c r="A12709" t="s">
        <v>785</v>
      </c>
      <c r="B12709" t="s">
        <v>1051</v>
      </c>
      <c r="C12709" t="s">
        <v>1410</v>
      </c>
      <c r="D12709" t="s">
        <v>1579</v>
      </c>
      <c r="E12709" t="s">
        <v>1860</v>
      </c>
    </row>
    <row r="12710" spans="1:5" x14ac:dyDescent="0.4">
      <c r="A12710" t="s">
        <v>786</v>
      </c>
      <c r="B12710" t="s">
        <v>1052</v>
      </c>
      <c r="C12710" t="s">
        <v>1411</v>
      </c>
      <c r="D12710" t="s">
        <v>1580</v>
      </c>
      <c r="E12710" t="s">
        <v>1861</v>
      </c>
    </row>
    <row r="12711" spans="1:5" x14ac:dyDescent="0.4">
      <c r="A12711" t="s">
        <v>787</v>
      </c>
      <c r="B12711" t="s">
        <v>1053</v>
      </c>
      <c r="C12711" t="s">
        <v>1412</v>
      </c>
      <c r="D12711" t="s">
        <v>1581</v>
      </c>
      <c r="E12711" t="s">
        <v>1862</v>
      </c>
    </row>
    <row r="12712" spans="1:5" x14ac:dyDescent="0.4">
      <c r="A12712" t="s">
        <v>788</v>
      </c>
      <c r="B12712" t="s">
        <v>1054</v>
      </c>
      <c r="C12712" t="s">
        <v>1413</v>
      </c>
      <c r="D12712" t="s">
        <v>1582</v>
      </c>
      <c r="E12712" t="s">
        <v>1863</v>
      </c>
    </row>
    <row r="12713" spans="1:5" x14ac:dyDescent="0.4">
      <c r="A12713" t="s">
        <v>789</v>
      </c>
      <c r="B12713" t="s">
        <v>1055</v>
      </c>
      <c r="C12713" t="s">
        <v>1414</v>
      </c>
      <c r="D12713" t="s">
        <v>1583</v>
      </c>
      <c r="E12713" t="s">
        <v>1864</v>
      </c>
    </row>
    <row r="12714" spans="1:5" x14ac:dyDescent="0.4">
      <c r="A12714" t="s">
        <v>790</v>
      </c>
      <c r="B12714" t="s">
        <v>1056</v>
      </c>
      <c r="C12714" t="s">
        <v>1415</v>
      </c>
      <c r="D12714" t="s">
        <v>1584</v>
      </c>
      <c r="E12714" t="s">
        <v>1865</v>
      </c>
    </row>
    <row r="12715" spans="1:5" x14ac:dyDescent="0.4">
      <c r="A12715" t="s">
        <v>791</v>
      </c>
      <c r="B12715" t="s">
        <v>1057</v>
      </c>
      <c r="C12715" t="s">
        <v>1416</v>
      </c>
      <c r="D12715" t="s">
        <v>1585</v>
      </c>
      <c r="E12715" t="s">
        <v>1866</v>
      </c>
    </row>
    <row r="12716" spans="1:5" x14ac:dyDescent="0.4">
      <c r="A12716" t="s">
        <v>792</v>
      </c>
      <c r="B12716" t="s">
        <v>1058</v>
      </c>
      <c r="C12716" t="s">
        <v>1417</v>
      </c>
      <c r="D12716" t="s">
        <v>1586</v>
      </c>
      <c r="E12716" t="s">
        <v>1867</v>
      </c>
    </row>
    <row r="12717" spans="1:5" x14ac:dyDescent="0.4">
      <c r="A12717" t="s">
        <v>793</v>
      </c>
      <c r="B12717" t="s">
        <v>1059</v>
      </c>
      <c r="C12717" t="s">
        <v>1418</v>
      </c>
      <c r="D12717" t="s">
        <v>1587</v>
      </c>
      <c r="E12717" t="s">
        <v>1868</v>
      </c>
    </row>
    <row r="12718" spans="1:5" x14ac:dyDescent="0.4">
      <c r="A12718" t="s">
        <v>794</v>
      </c>
      <c r="B12718" t="s">
        <v>1060</v>
      </c>
      <c r="C12718" t="s">
        <v>1419</v>
      </c>
      <c r="D12718" t="s">
        <v>1588</v>
      </c>
      <c r="E12718" t="s">
        <v>1869</v>
      </c>
    </row>
    <row r="12719" spans="1:5" x14ac:dyDescent="0.4">
      <c r="A12719" t="s">
        <v>795</v>
      </c>
      <c r="B12719" t="s">
        <v>1061</v>
      </c>
      <c r="C12719" t="s">
        <v>1420</v>
      </c>
      <c r="D12719" t="s">
        <v>1589</v>
      </c>
      <c r="E12719" t="s">
        <v>1870</v>
      </c>
    </row>
    <row r="12720" spans="1:5" x14ac:dyDescent="0.4">
      <c r="A12720" t="s">
        <v>796</v>
      </c>
      <c r="B12720" t="s">
        <v>1062</v>
      </c>
      <c r="C12720" t="s">
        <v>1421</v>
      </c>
      <c r="D12720" t="s">
        <v>1590</v>
      </c>
      <c r="E12720" t="s">
        <v>1871</v>
      </c>
    </row>
    <row r="12721" spans="1:5" x14ac:dyDescent="0.4">
      <c r="A12721" t="s">
        <v>797</v>
      </c>
      <c r="B12721" t="s">
        <v>1063</v>
      </c>
      <c r="C12721" t="s">
        <v>1422</v>
      </c>
      <c r="D12721" t="s">
        <v>1591</v>
      </c>
      <c r="E12721" t="s">
        <v>1872</v>
      </c>
    </row>
    <row r="12722" spans="1:5" x14ac:dyDescent="0.4">
      <c r="A12722" t="s">
        <v>798</v>
      </c>
      <c r="B12722" t="s">
        <v>1064</v>
      </c>
      <c r="C12722" t="s">
        <v>1423</v>
      </c>
      <c r="D12722" t="s">
        <v>1592</v>
      </c>
      <c r="E12722" t="s">
        <v>1873</v>
      </c>
    </row>
    <row r="12723" spans="1:5" x14ac:dyDescent="0.4">
      <c r="A12723" t="s">
        <v>799</v>
      </c>
      <c r="B12723" t="s">
        <v>1065</v>
      </c>
      <c r="C12723" t="s">
        <v>1424</v>
      </c>
      <c r="D12723" t="s">
        <v>1593</v>
      </c>
      <c r="E12723" t="s">
        <v>1874</v>
      </c>
    </row>
    <row r="12724" spans="1:5" x14ac:dyDescent="0.4">
      <c r="A12724" t="s">
        <v>800</v>
      </c>
      <c r="B12724" t="s">
        <v>1066</v>
      </c>
      <c r="D12724" t="s">
        <v>1594</v>
      </c>
      <c r="E12724" t="s">
        <v>1875</v>
      </c>
    </row>
    <row r="12725" spans="1:5" x14ac:dyDescent="0.4">
      <c r="A12725" t="s">
        <v>801</v>
      </c>
      <c r="B12725" t="s">
        <v>1067</v>
      </c>
      <c r="D12725" t="s">
        <v>1595</v>
      </c>
      <c r="E12725" t="s">
        <v>1876</v>
      </c>
    </row>
    <row r="12726" spans="1:5" x14ac:dyDescent="0.4">
      <c r="A12726" t="s">
        <v>802</v>
      </c>
      <c r="B12726" t="s">
        <v>1068</v>
      </c>
      <c r="C12726" t="s">
        <v>744</v>
      </c>
      <c r="D12726" t="s">
        <v>1596</v>
      </c>
      <c r="E12726" t="s">
        <v>1877</v>
      </c>
    </row>
    <row r="12727" spans="1:5" x14ac:dyDescent="0.4">
      <c r="A12727" t="s">
        <v>803</v>
      </c>
      <c r="B12727" t="s">
        <v>1069</v>
      </c>
      <c r="C12727" t="s">
        <v>1425</v>
      </c>
      <c r="E12727" t="s">
        <v>1878</v>
      </c>
    </row>
    <row r="12728" spans="1:5" x14ac:dyDescent="0.4">
      <c r="A12728" t="s">
        <v>804</v>
      </c>
      <c r="B12728" t="s">
        <v>1070</v>
      </c>
      <c r="C12728" t="s">
        <v>746</v>
      </c>
      <c r="E12728" t="s">
        <v>1879</v>
      </c>
    </row>
    <row r="12729" spans="1:5" x14ac:dyDescent="0.4">
      <c r="A12729" t="s">
        <v>805</v>
      </c>
      <c r="B12729" t="s">
        <v>1071</v>
      </c>
      <c r="C12729" t="s">
        <v>747</v>
      </c>
      <c r="D12729" t="s">
        <v>744</v>
      </c>
      <c r="E12729" t="s">
        <v>1880</v>
      </c>
    </row>
    <row r="12730" spans="1:5" x14ac:dyDescent="0.4">
      <c r="A12730" t="s">
        <v>806</v>
      </c>
      <c r="B12730" t="s">
        <v>1072</v>
      </c>
      <c r="D12730" t="s">
        <v>1597</v>
      </c>
    </row>
    <row r="12731" spans="1:5" x14ac:dyDescent="0.4">
      <c r="A12731" t="s">
        <v>807</v>
      </c>
      <c r="B12731" t="s">
        <v>1073</v>
      </c>
      <c r="C12731" t="s">
        <v>748</v>
      </c>
      <c r="D12731" t="s">
        <v>746</v>
      </c>
    </row>
    <row r="12732" spans="1:5" x14ac:dyDescent="0.4">
      <c r="A12732" t="s">
        <v>808</v>
      </c>
      <c r="B12732" t="s">
        <v>1074</v>
      </c>
      <c r="C12732" t="s">
        <v>1426</v>
      </c>
      <c r="D12732" t="s">
        <v>747</v>
      </c>
      <c r="E12732" t="s">
        <v>744</v>
      </c>
    </row>
    <row r="12733" spans="1:5" x14ac:dyDescent="0.4">
      <c r="A12733" t="s">
        <v>809</v>
      </c>
      <c r="B12733" t="s">
        <v>1075</v>
      </c>
      <c r="C12733" t="s">
        <v>1427</v>
      </c>
      <c r="E12733" t="s">
        <v>1881</v>
      </c>
    </row>
    <row r="12734" spans="1:5" x14ac:dyDescent="0.4">
      <c r="A12734" t="s">
        <v>810</v>
      </c>
      <c r="B12734" t="s">
        <v>1076</v>
      </c>
      <c r="C12734" t="s">
        <v>1428</v>
      </c>
      <c r="D12734" t="s">
        <v>748</v>
      </c>
      <c r="E12734" t="s">
        <v>746</v>
      </c>
    </row>
    <row r="12735" spans="1:5" x14ac:dyDescent="0.4">
      <c r="A12735" t="s">
        <v>811</v>
      </c>
      <c r="B12735" t="s">
        <v>1077</v>
      </c>
      <c r="C12735" t="s">
        <v>1429</v>
      </c>
      <c r="D12735" t="s">
        <v>1598</v>
      </c>
      <c r="E12735" t="s">
        <v>747</v>
      </c>
    </row>
    <row r="12736" spans="1:5" x14ac:dyDescent="0.4">
      <c r="A12736" t="s">
        <v>812</v>
      </c>
      <c r="B12736" t="s">
        <v>1078</v>
      </c>
      <c r="C12736" t="s">
        <v>1430</v>
      </c>
      <c r="D12736" t="s">
        <v>1599</v>
      </c>
    </row>
    <row r="12737" spans="1:5" x14ac:dyDescent="0.4">
      <c r="B12737" t="s">
        <v>1079</v>
      </c>
      <c r="C12737" t="s">
        <v>1431</v>
      </c>
      <c r="D12737" t="s">
        <v>1600</v>
      </c>
      <c r="E12737" t="s">
        <v>748</v>
      </c>
    </row>
    <row r="12738" spans="1:5" x14ac:dyDescent="0.4">
      <c r="B12738" t="s">
        <v>1080</v>
      </c>
      <c r="C12738" t="s">
        <v>1432</v>
      </c>
      <c r="D12738" t="s">
        <v>1601</v>
      </c>
      <c r="E12738" t="s">
        <v>1882</v>
      </c>
    </row>
    <row r="12739" spans="1:5" x14ac:dyDescent="0.4">
      <c r="B12739" t="s">
        <v>1081</v>
      </c>
      <c r="C12739" t="s">
        <v>1433</v>
      </c>
      <c r="D12739" t="s">
        <v>1602</v>
      </c>
      <c r="E12739" t="s">
        <v>1883</v>
      </c>
    </row>
    <row r="12740" spans="1:5" x14ac:dyDescent="0.4">
      <c r="A12740" t="s">
        <v>744</v>
      </c>
      <c r="B12740" t="s">
        <v>1082</v>
      </c>
      <c r="C12740" t="s">
        <v>1434</v>
      </c>
      <c r="D12740" t="s">
        <v>1603</v>
      </c>
      <c r="E12740" t="s">
        <v>1884</v>
      </c>
    </row>
    <row r="12741" spans="1:5" x14ac:dyDescent="0.4">
      <c r="A12741" t="s">
        <v>813</v>
      </c>
      <c r="B12741" t="s">
        <v>1083</v>
      </c>
      <c r="C12741" t="s">
        <v>1435</v>
      </c>
      <c r="D12741" t="s">
        <v>1604</v>
      </c>
      <c r="E12741" t="s">
        <v>1885</v>
      </c>
    </row>
    <row r="12742" spans="1:5" x14ac:dyDescent="0.4">
      <c r="A12742" t="s">
        <v>746</v>
      </c>
      <c r="C12742" t="s">
        <v>1436</v>
      </c>
      <c r="D12742" t="s">
        <v>1605</v>
      </c>
      <c r="E12742" t="s">
        <v>1886</v>
      </c>
    </row>
    <row r="12743" spans="1:5" x14ac:dyDescent="0.4">
      <c r="A12743" t="s">
        <v>747</v>
      </c>
      <c r="C12743" t="s">
        <v>1437</v>
      </c>
      <c r="D12743" t="s">
        <v>1606</v>
      </c>
      <c r="E12743" t="s">
        <v>1887</v>
      </c>
    </row>
    <row r="12744" spans="1:5" x14ac:dyDescent="0.4">
      <c r="B12744" t="s">
        <v>744</v>
      </c>
      <c r="C12744" t="s">
        <v>1438</v>
      </c>
      <c r="D12744" t="s">
        <v>1607</v>
      </c>
      <c r="E12744" t="s">
        <v>1888</v>
      </c>
    </row>
    <row r="12745" spans="1:5" x14ac:dyDescent="0.4">
      <c r="A12745" t="s">
        <v>748</v>
      </c>
      <c r="B12745" t="s">
        <v>1084</v>
      </c>
      <c r="C12745" t="s">
        <v>1439</v>
      </c>
      <c r="D12745" t="s">
        <v>1608</v>
      </c>
      <c r="E12745" t="s">
        <v>1889</v>
      </c>
    </row>
    <row r="12746" spans="1:5" x14ac:dyDescent="0.4">
      <c r="A12746" t="s">
        <v>814</v>
      </c>
      <c r="B12746" t="s">
        <v>746</v>
      </c>
      <c r="C12746" t="s">
        <v>1440</v>
      </c>
      <c r="D12746" t="s">
        <v>1609</v>
      </c>
      <c r="E12746" t="s">
        <v>1890</v>
      </c>
    </row>
    <row r="12747" spans="1:5" x14ac:dyDescent="0.4">
      <c r="A12747" t="s">
        <v>815</v>
      </c>
      <c r="B12747" t="s">
        <v>747</v>
      </c>
      <c r="C12747" t="s">
        <v>1441</v>
      </c>
      <c r="D12747" t="s">
        <v>1610</v>
      </c>
      <c r="E12747" t="s">
        <v>1891</v>
      </c>
    </row>
    <row r="12748" spans="1:5" x14ac:dyDescent="0.4">
      <c r="A12748" t="s">
        <v>816</v>
      </c>
      <c r="C12748" t="s">
        <v>1442</v>
      </c>
      <c r="D12748" t="s">
        <v>1611</v>
      </c>
      <c r="E12748" t="s">
        <v>1892</v>
      </c>
    </row>
    <row r="12749" spans="1:5" x14ac:dyDescent="0.4">
      <c r="A12749" t="s">
        <v>817</v>
      </c>
      <c r="B12749" t="s">
        <v>748</v>
      </c>
      <c r="C12749" t="s">
        <v>1443</v>
      </c>
      <c r="D12749" t="s">
        <v>1612</v>
      </c>
      <c r="E12749" t="s">
        <v>1893</v>
      </c>
    </row>
    <row r="12750" spans="1:5" x14ac:dyDescent="0.4">
      <c r="A12750" t="s">
        <v>818</v>
      </c>
      <c r="B12750" t="s">
        <v>1085</v>
      </c>
      <c r="C12750" t="s">
        <v>1444</v>
      </c>
      <c r="D12750" t="s">
        <v>1613</v>
      </c>
      <c r="E12750" t="s">
        <v>1894</v>
      </c>
    </row>
    <row r="12751" spans="1:5" x14ac:dyDescent="0.4">
      <c r="A12751" t="s">
        <v>819</v>
      </c>
      <c r="B12751" t="s">
        <v>1086</v>
      </c>
      <c r="C12751" t="s">
        <v>1445</v>
      </c>
      <c r="D12751" t="s">
        <v>1614</v>
      </c>
      <c r="E12751" t="s">
        <v>1895</v>
      </c>
    </row>
    <row r="12752" spans="1:5" x14ac:dyDescent="0.4">
      <c r="A12752" t="s">
        <v>820</v>
      </c>
      <c r="B12752" t="s">
        <v>1087</v>
      </c>
      <c r="C12752" t="s">
        <v>1446</v>
      </c>
      <c r="D12752" t="s">
        <v>1615</v>
      </c>
      <c r="E12752" t="s">
        <v>1896</v>
      </c>
    </row>
    <row r="12753" spans="1:5" x14ac:dyDescent="0.4">
      <c r="A12753" t="s">
        <v>821</v>
      </c>
      <c r="B12753" t="s">
        <v>1088</v>
      </c>
      <c r="C12753" t="s">
        <v>1447</v>
      </c>
      <c r="D12753" t="s">
        <v>1616</v>
      </c>
      <c r="E12753" t="s">
        <v>1897</v>
      </c>
    </row>
    <row r="12754" spans="1:5" x14ac:dyDescent="0.4">
      <c r="A12754" t="s">
        <v>822</v>
      </c>
      <c r="B12754" t="s">
        <v>1089</v>
      </c>
      <c r="C12754" t="s">
        <v>1448</v>
      </c>
      <c r="D12754" t="s">
        <v>1617</v>
      </c>
      <c r="E12754" t="s">
        <v>1898</v>
      </c>
    </row>
    <row r="12755" spans="1:5" x14ac:dyDescent="0.4">
      <c r="A12755" t="s">
        <v>823</v>
      </c>
      <c r="B12755" t="s">
        <v>1090</v>
      </c>
      <c r="C12755" t="s">
        <v>1449</v>
      </c>
      <c r="D12755" t="s">
        <v>1618</v>
      </c>
      <c r="E12755" t="s">
        <v>1899</v>
      </c>
    </row>
    <row r="12756" spans="1:5" x14ac:dyDescent="0.4">
      <c r="A12756" t="s">
        <v>824</v>
      </c>
      <c r="B12756" t="s">
        <v>1091</v>
      </c>
      <c r="C12756" t="s">
        <v>1450</v>
      </c>
      <c r="D12756" t="s">
        <v>1619</v>
      </c>
      <c r="E12756" t="s">
        <v>1900</v>
      </c>
    </row>
    <row r="12757" spans="1:5" x14ac:dyDescent="0.4">
      <c r="A12757" t="s">
        <v>825</v>
      </c>
      <c r="B12757" t="s">
        <v>1092</v>
      </c>
      <c r="C12757" t="s">
        <v>1451</v>
      </c>
      <c r="D12757" t="s">
        <v>1620</v>
      </c>
      <c r="E12757" t="s">
        <v>1901</v>
      </c>
    </row>
    <row r="12758" spans="1:5" x14ac:dyDescent="0.4">
      <c r="A12758" t="s">
        <v>826</v>
      </c>
      <c r="B12758" t="s">
        <v>1093</v>
      </c>
      <c r="C12758" t="s">
        <v>1452</v>
      </c>
      <c r="D12758" t="s">
        <v>1621</v>
      </c>
      <c r="E12758" t="s">
        <v>1902</v>
      </c>
    </row>
    <row r="12759" spans="1:5" x14ac:dyDescent="0.4">
      <c r="A12759" t="s">
        <v>827</v>
      </c>
      <c r="B12759" t="s">
        <v>1094</v>
      </c>
      <c r="D12759" t="s">
        <v>1622</v>
      </c>
      <c r="E12759" t="s">
        <v>1903</v>
      </c>
    </row>
    <row r="12760" spans="1:5" x14ac:dyDescent="0.4">
      <c r="A12760" t="s">
        <v>828</v>
      </c>
      <c r="B12760" t="s">
        <v>1095</v>
      </c>
      <c r="D12760" t="s">
        <v>1623</v>
      </c>
      <c r="E12760" t="s">
        <v>1904</v>
      </c>
    </row>
    <row r="12761" spans="1:5" x14ac:dyDescent="0.4">
      <c r="A12761" t="s">
        <v>829</v>
      </c>
      <c r="B12761" t="s">
        <v>1096</v>
      </c>
      <c r="C12761" t="s">
        <v>744</v>
      </c>
      <c r="D12761" t="s">
        <v>1624</v>
      </c>
      <c r="E12761" t="s">
        <v>1905</v>
      </c>
    </row>
    <row r="12762" spans="1:5" x14ac:dyDescent="0.4">
      <c r="A12762" t="s">
        <v>830</v>
      </c>
      <c r="B12762" t="s">
        <v>1097</v>
      </c>
      <c r="C12762" t="s">
        <v>1453</v>
      </c>
      <c r="E12762" t="s">
        <v>1906</v>
      </c>
    </row>
    <row r="12763" spans="1:5" x14ac:dyDescent="0.4">
      <c r="A12763" t="s">
        <v>831</v>
      </c>
      <c r="B12763" t="s">
        <v>1098</v>
      </c>
      <c r="C12763" t="s">
        <v>746</v>
      </c>
      <c r="E12763" t="s">
        <v>1907</v>
      </c>
    </row>
    <row r="12764" spans="1:5" x14ac:dyDescent="0.4">
      <c r="A12764" t="s">
        <v>832</v>
      </c>
      <c r="B12764" t="s">
        <v>1099</v>
      </c>
      <c r="C12764" t="s">
        <v>747</v>
      </c>
      <c r="D12764" t="s">
        <v>744</v>
      </c>
      <c r="E12764" t="s">
        <v>1908</v>
      </c>
    </row>
    <row r="12765" spans="1:5" x14ac:dyDescent="0.4">
      <c r="A12765" t="s">
        <v>833</v>
      </c>
      <c r="B12765" t="s">
        <v>1100</v>
      </c>
      <c r="D12765" t="s">
        <v>1625</v>
      </c>
      <c r="E12765" t="s">
        <v>1909</v>
      </c>
    </row>
    <row r="12766" spans="1:5" x14ac:dyDescent="0.4">
      <c r="A12766" t="s">
        <v>834</v>
      </c>
      <c r="B12766" t="s">
        <v>1101</v>
      </c>
      <c r="C12766" t="s">
        <v>748</v>
      </c>
      <c r="D12766" t="s">
        <v>746</v>
      </c>
      <c r="E12766" t="s">
        <v>1910</v>
      </c>
    </row>
    <row r="12767" spans="1:5" x14ac:dyDescent="0.4">
      <c r="A12767" t="s">
        <v>835</v>
      </c>
      <c r="B12767" t="s">
        <v>1102</v>
      </c>
      <c r="C12767" t="s">
        <v>1454</v>
      </c>
      <c r="D12767" t="s">
        <v>747</v>
      </c>
      <c r="E12767" t="s">
        <v>1911</v>
      </c>
    </row>
    <row r="12768" spans="1:5" x14ac:dyDescent="0.4">
      <c r="A12768" t="s">
        <v>836</v>
      </c>
      <c r="B12768" t="s">
        <v>1103</v>
      </c>
      <c r="C12768" t="s">
        <v>1455</v>
      </c>
      <c r="E12768" t="s">
        <v>1912</v>
      </c>
    </row>
    <row r="12769" spans="1:5" x14ac:dyDescent="0.4">
      <c r="A12769" t="s">
        <v>837</v>
      </c>
      <c r="B12769" t="s">
        <v>1104</v>
      </c>
      <c r="C12769" t="s">
        <v>1456</v>
      </c>
      <c r="D12769" t="s">
        <v>748</v>
      </c>
      <c r="E12769" t="s">
        <v>1913</v>
      </c>
    </row>
    <row r="12770" spans="1:5" x14ac:dyDescent="0.4">
      <c r="A12770" t="s">
        <v>838</v>
      </c>
      <c r="B12770" t="s">
        <v>1105</v>
      </c>
      <c r="C12770" t="s">
        <v>1457</v>
      </c>
      <c r="D12770" t="s">
        <v>1626</v>
      </c>
      <c r="E12770" t="s">
        <v>1914</v>
      </c>
    </row>
    <row r="12771" spans="1:5" x14ac:dyDescent="0.4">
      <c r="A12771" t="s">
        <v>839</v>
      </c>
      <c r="B12771" t="s">
        <v>1106</v>
      </c>
      <c r="C12771" t="s">
        <v>1458</v>
      </c>
      <c r="D12771" t="s">
        <v>1627</v>
      </c>
      <c r="E12771" t="s">
        <v>1915</v>
      </c>
    </row>
    <row r="12772" spans="1:5" x14ac:dyDescent="0.4">
      <c r="A12772" t="s">
        <v>840</v>
      </c>
      <c r="B12772" t="s">
        <v>1107</v>
      </c>
      <c r="C12772" t="s">
        <v>1459</v>
      </c>
      <c r="D12772" t="s">
        <v>1628</v>
      </c>
      <c r="E12772" t="s">
        <v>1916</v>
      </c>
    </row>
    <row r="12773" spans="1:5" x14ac:dyDescent="0.4">
      <c r="A12773" t="s">
        <v>841</v>
      </c>
      <c r="B12773" t="s">
        <v>1108</v>
      </c>
      <c r="C12773" t="s">
        <v>1460</v>
      </c>
      <c r="D12773" t="s">
        <v>1629</v>
      </c>
      <c r="E12773" t="s">
        <v>1917</v>
      </c>
    </row>
    <row r="12774" spans="1:5" x14ac:dyDescent="0.4">
      <c r="A12774" t="s">
        <v>842</v>
      </c>
      <c r="B12774" t="s">
        <v>1109</v>
      </c>
      <c r="C12774" t="s">
        <v>1461</v>
      </c>
      <c r="D12774" t="s">
        <v>1630</v>
      </c>
      <c r="E12774" t="s">
        <v>1918</v>
      </c>
    </row>
    <row r="12775" spans="1:5" x14ac:dyDescent="0.4">
      <c r="A12775" t="s">
        <v>843</v>
      </c>
      <c r="B12775" t="s">
        <v>1110</v>
      </c>
      <c r="C12775" t="s">
        <v>1462</v>
      </c>
      <c r="D12775" t="s">
        <v>1631</v>
      </c>
      <c r="E12775" t="s">
        <v>1919</v>
      </c>
    </row>
    <row r="12776" spans="1:5" x14ac:dyDescent="0.4">
      <c r="A12776" t="s">
        <v>844</v>
      </c>
      <c r="B12776" t="s">
        <v>1111</v>
      </c>
      <c r="C12776" t="s">
        <v>1463</v>
      </c>
      <c r="D12776" t="s">
        <v>1632</v>
      </c>
      <c r="E12776" t="s">
        <v>1920</v>
      </c>
    </row>
    <row r="12777" spans="1:5" x14ac:dyDescent="0.4">
      <c r="A12777" t="s">
        <v>845</v>
      </c>
      <c r="B12777" t="s">
        <v>1112</v>
      </c>
      <c r="C12777" t="s">
        <v>1464</v>
      </c>
      <c r="D12777" t="s">
        <v>1633</v>
      </c>
      <c r="E12777" t="s">
        <v>1921</v>
      </c>
    </row>
    <row r="12778" spans="1:5" x14ac:dyDescent="0.4">
      <c r="A12778" t="s">
        <v>846</v>
      </c>
      <c r="B12778" t="s">
        <v>1113</v>
      </c>
      <c r="C12778" t="s">
        <v>1465</v>
      </c>
      <c r="D12778" t="s">
        <v>1634</v>
      </c>
      <c r="E12778" t="s">
        <v>1922</v>
      </c>
    </row>
    <row r="12779" spans="1:5" x14ac:dyDescent="0.4">
      <c r="A12779" t="s">
        <v>847</v>
      </c>
      <c r="B12779" t="s">
        <v>1114</v>
      </c>
      <c r="C12779" t="s">
        <v>1466</v>
      </c>
      <c r="D12779" t="s">
        <v>1635</v>
      </c>
      <c r="E12779" t="s">
        <v>1923</v>
      </c>
    </row>
    <row r="12780" spans="1:5" x14ac:dyDescent="0.4">
      <c r="A12780" t="s">
        <v>848</v>
      </c>
      <c r="B12780" t="s">
        <v>1115</v>
      </c>
      <c r="C12780" t="s">
        <v>1467</v>
      </c>
      <c r="D12780" t="s">
        <v>1636</v>
      </c>
    </row>
    <row r="12781" spans="1:5" x14ac:dyDescent="0.4">
      <c r="C12781" t="s">
        <v>1468</v>
      </c>
      <c r="D12781" t="s">
        <v>1637</v>
      </c>
    </row>
    <row r="12782" spans="1:5" x14ac:dyDescent="0.4">
      <c r="C12782" t="s">
        <v>1469</v>
      </c>
      <c r="D12782" t="s">
        <v>1638</v>
      </c>
      <c r="E12782" t="s">
        <v>744</v>
      </c>
    </row>
    <row r="12783" spans="1:5" x14ac:dyDescent="0.4">
      <c r="A12783" t="s">
        <v>744</v>
      </c>
      <c r="B12783" t="s">
        <v>744</v>
      </c>
      <c r="C12783" t="s">
        <v>1470</v>
      </c>
      <c r="D12783" t="s">
        <v>1639</v>
      </c>
      <c r="E12783" t="s">
        <v>1924</v>
      </c>
    </row>
    <row r="12784" spans="1:5" x14ac:dyDescent="0.4">
      <c r="A12784" t="s">
        <v>849</v>
      </c>
      <c r="B12784" t="s">
        <v>1116</v>
      </c>
      <c r="C12784" t="s">
        <v>1471</v>
      </c>
      <c r="D12784" t="s">
        <v>1640</v>
      </c>
      <c r="E12784" t="s">
        <v>746</v>
      </c>
    </row>
    <row r="12785" spans="1:5" x14ac:dyDescent="0.4">
      <c r="A12785" t="s">
        <v>746</v>
      </c>
      <c r="B12785" t="s">
        <v>746</v>
      </c>
      <c r="C12785" t="s">
        <v>1472</v>
      </c>
      <c r="D12785" t="s">
        <v>1641</v>
      </c>
      <c r="E12785" t="s">
        <v>747</v>
      </c>
    </row>
    <row r="12786" spans="1:5" x14ac:dyDescent="0.4">
      <c r="A12786" t="s">
        <v>747</v>
      </c>
      <c r="B12786" t="s">
        <v>747</v>
      </c>
      <c r="C12786" t="s">
        <v>1473</v>
      </c>
      <c r="D12786" t="s">
        <v>1642</v>
      </c>
    </row>
    <row r="12787" spans="1:5" x14ac:dyDescent="0.4">
      <c r="C12787" t="s">
        <v>1474</v>
      </c>
      <c r="D12787" t="s">
        <v>1643</v>
      </c>
      <c r="E12787" t="s">
        <v>748</v>
      </c>
    </row>
    <row r="12788" spans="1:5" x14ac:dyDescent="0.4">
      <c r="A12788" t="s">
        <v>748</v>
      </c>
      <c r="B12788" t="s">
        <v>748</v>
      </c>
      <c r="C12788" t="s">
        <v>1475</v>
      </c>
      <c r="D12788" t="s">
        <v>1644</v>
      </c>
      <c r="E12788" t="s">
        <v>1925</v>
      </c>
    </row>
    <row r="12789" spans="1:5" x14ac:dyDescent="0.4">
      <c r="A12789" t="s">
        <v>850</v>
      </c>
      <c r="B12789" t="s">
        <v>1117</v>
      </c>
      <c r="C12789" t="s">
        <v>1476</v>
      </c>
      <c r="D12789" t="s">
        <v>1645</v>
      </c>
      <c r="E12789" t="s">
        <v>1926</v>
      </c>
    </row>
    <row r="12790" spans="1:5" x14ac:dyDescent="0.4">
      <c r="A12790" t="s">
        <v>851</v>
      </c>
      <c r="B12790" t="s">
        <v>1118</v>
      </c>
      <c r="C12790" t="s">
        <v>1477</v>
      </c>
      <c r="D12790" t="s">
        <v>1646</v>
      </c>
      <c r="E12790" t="s">
        <v>1927</v>
      </c>
    </row>
    <row r="12791" spans="1:5" x14ac:dyDescent="0.4">
      <c r="A12791" t="s">
        <v>852</v>
      </c>
      <c r="B12791" t="s">
        <v>1119</v>
      </c>
      <c r="C12791" t="s">
        <v>1478</v>
      </c>
      <c r="D12791" t="s">
        <v>1647</v>
      </c>
      <c r="E12791" t="s">
        <v>1928</v>
      </c>
    </row>
    <row r="12792" spans="1:5" x14ac:dyDescent="0.4">
      <c r="A12792" t="s">
        <v>853</v>
      </c>
      <c r="B12792" t="s">
        <v>1120</v>
      </c>
      <c r="C12792" t="s">
        <v>1479</v>
      </c>
      <c r="D12792" t="s">
        <v>1648</v>
      </c>
      <c r="E12792" t="s">
        <v>1929</v>
      </c>
    </row>
    <row r="12793" spans="1:5" x14ac:dyDescent="0.4">
      <c r="A12793" t="s">
        <v>854</v>
      </c>
      <c r="B12793" t="s">
        <v>1121</v>
      </c>
      <c r="C12793" t="s">
        <v>1480</v>
      </c>
      <c r="D12793" t="s">
        <v>1649</v>
      </c>
      <c r="E12793" t="s">
        <v>1930</v>
      </c>
    </row>
    <row r="12794" spans="1:5" x14ac:dyDescent="0.4">
      <c r="A12794" t="s">
        <v>855</v>
      </c>
      <c r="B12794" t="s">
        <v>1122</v>
      </c>
      <c r="C12794" t="s">
        <v>1481</v>
      </c>
      <c r="D12794" t="s">
        <v>1650</v>
      </c>
      <c r="E12794" t="s">
        <v>1931</v>
      </c>
    </row>
    <row r="12795" spans="1:5" x14ac:dyDescent="0.4">
      <c r="A12795" t="s">
        <v>856</v>
      </c>
      <c r="B12795" t="s">
        <v>1123</v>
      </c>
      <c r="C12795" t="s">
        <v>1482</v>
      </c>
      <c r="D12795" t="s">
        <v>1651</v>
      </c>
      <c r="E12795" t="s">
        <v>1932</v>
      </c>
    </row>
    <row r="12796" spans="1:5" x14ac:dyDescent="0.4">
      <c r="A12796" t="s">
        <v>857</v>
      </c>
      <c r="B12796" t="s">
        <v>1124</v>
      </c>
      <c r="C12796" t="s">
        <v>1483</v>
      </c>
      <c r="D12796" t="s">
        <v>1652</v>
      </c>
      <c r="E12796" t="s">
        <v>1933</v>
      </c>
    </row>
    <row r="12797" spans="1:5" x14ac:dyDescent="0.4">
      <c r="A12797" t="s">
        <v>858</v>
      </c>
      <c r="B12797" t="s">
        <v>1125</v>
      </c>
      <c r="E12797" t="s">
        <v>1934</v>
      </c>
    </row>
    <row r="12798" spans="1:5" x14ac:dyDescent="0.4">
      <c r="A12798" t="s">
        <v>859</v>
      </c>
      <c r="B12798" t="s">
        <v>1126</v>
      </c>
      <c r="E12798" t="s">
        <v>1935</v>
      </c>
    </row>
    <row r="12799" spans="1:5" x14ac:dyDescent="0.4">
      <c r="A12799" t="s">
        <v>860</v>
      </c>
      <c r="B12799" t="s">
        <v>1127</v>
      </c>
      <c r="C12799" t="s">
        <v>744</v>
      </c>
      <c r="D12799" t="s">
        <v>744</v>
      </c>
      <c r="E12799" t="s">
        <v>1936</v>
      </c>
    </row>
    <row r="12800" spans="1:5" x14ac:dyDescent="0.4">
      <c r="A12800" t="s">
        <v>861</v>
      </c>
      <c r="B12800" t="s">
        <v>1128</v>
      </c>
      <c r="C12800" t="s">
        <v>1484</v>
      </c>
      <c r="D12800" t="s">
        <v>1653</v>
      </c>
      <c r="E12800" t="s">
        <v>1937</v>
      </c>
    </row>
    <row r="12801" spans="1:5" x14ac:dyDescent="0.4">
      <c r="A12801" t="s">
        <v>862</v>
      </c>
      <c r="B12801" t="s">
        <v>1129</v>
      </c>
      <c r="C12801" t="s">
        <v>746</v>
      </c>
      <c r="D12801" t="s">
        <v>746</v>
      </c>
      <c r="E12801" t="s">
        <v>1938</v>
      </c>
    </row>
    <row r="12802" spans="1:5" x14ac:dyDescent="0.4">
      <c r="A12802" t="s">
        <v>863</v>
      </c>
      <c r="B12802" t="s">
        <v>1130</v>
      </c>
      <c r="C12802" t="s">
        <v>747</v>
      </c>
      <c r="D12802" t="s">
        <v>747</v>
      </c>
      <c r="E12802" t="s">
        <v>1939</v>
      </c>
    </row>
    <row r="12803" spans="1:5" x14ac:dyDescent="0.4">
      <c r="A12803" t="s">
        <v>864</v>
      </c>
      <c r="B12803" t="s">
        <v>1131</v>
      </c>
      <c r="E12803" t="s">
        <v>1940</v>
      </c>
    </row>
    <row r="12804" spans="1:5" x14ac:dyDescent="0.4">
      <c r="A12804" t="s">
        <v>865</v>
      </c>
      <c r="B12804" t="s">
        <v>1132</v>
      </c>
      <c r="C12804" t="s">
        <v>748</v>
      </c>
      <c r="D12804" t="s">
        <v>748</v>
      </c>
      <c r="E12804" t="s">
        <v>1941</v>
      </c>
    </row>
    <row r="12805" spans="1:5" x14ac:dyDescent="0.4">
      <c r="A12805" t="s">
        <v>866</v>
      </c>
      <c r="B12805" t="s">
        <v>1133</v>
      </c>
      <c r="C12805" t="s">
        <v>1485</v>
      </c>
      <c r="D12805" t="s">
        <v>1654</v>
      </c>
      <c r="E12805" t="s">
        <v>1942</v>
      </c>
    </row>
    <row r="12806" spans="1:5" x14ac:dyDescent="0.4">
      <c r="A12806" t="s">
        <v>867</v>
      </c>
      <c r="B12806" t="s">
        <v>1134</v>
      </c>
      <c r="C12806" t="s">
        <v>1486</v>
      </c>
      <c r="D12806" t="s">
        <v>1655</v>
      </c>
      <c r="E12806" t="s">
        <v>1943</v>
      </c>
    </row>
    <row r="12807" spans="1:5" x14ac:dyDescent="0.4">
      <c r="A12807" t="s">
        <v>868</v>
      </c>
      <c r="B12807" t="s">
        <v>1135</v>
      </c>
      <c r="C12807" t="s">
        <v>1487</v>
      </c>
      <c r="D12807" t="s">
        <v>1656</v>
      </c>
      <c r="E12807" t="s">
        <v>1944</v>
      </c>
    </row>
    <row r="12808" spans="1:5" x14ac:dyDescent="0.4">
      <c r="A12808" t="s">
        <v>869</v>
      </c>
      <c r="B12808" t="s">
        <v>1136</v>
      </c>
      <c r="C12808" t="s">
        <v>1488</v>
      </c>
      <c r="D12808" t="s">
        <v>1657</v>
      </c>
      <c r="E12808" t="s">
        <v>1945</v>
      </c>
    </row>
    <row r="12809" spans="1:5" x14ac:dyDescent="0.4">
      <c r="A12809" t="s">
        <v>870</v>
      </c>
      <c r="B12809" t="s">
        <v>1137</v>
      </c>
      <c r="C12809" t="s">
        <v>1489</v>
      </c>
      <c r="D12809" t="s">
        <v>1658</v>
      </c>
      <c r="E12809" t="s">
        <v>1946</v>
      </c>
    </row>
    <row r="12810" spans="1:5" x14ac:dyDescent="0.4">
      <c r="A12810" t="s">
        <v>871</v>
      </c>
      <c r="B12810" t="s">
        <v>1138</v>
      </c>
      <c r="C12810" t="s">
        <v>1490</v>
      </c>
      <c r="D12810" t="s">
        <v>1659</v>
      </c>
      <c r="E12810" t="s">
        <v>1947</v>
      </c>
    </row>
    <row r="12811" spans="1:5" x14ac:dyDescent="0.4">
      <c r="A12811" t="s">
        <v>872</v>
      </c>
      <c r="B12811" t="s">
        <v>1139</v>
      </c>
      <c r="C12811" t="s">
        <v>1491</v>
      </c>
      <c r="D12811" t="s">
        <v>1660</v>
      </c>
      <c r="E12811" t="s">
        <v>1948</v>
      </c>
    </row>
    <row r="12812" spans="1:5" x14ac:dyDescent="0.4">
      <c r="A12812" t="s">
        <v>873</v>
      </c>
      <c r="B12812" t="s">
        <v>1140</v>
      </c>
      <c r="C12812" t="s">
        <v>1492</v>
      </c>
      <c r="D12812" t="s">
        <v>1661</v>
      </c>
      <c r="E12812" t="s">
        <v>1949</v>
      </c>
    </row>
    <row r="12813" spans="1:5" x14ac:dyDescent="0.4">
      <c r="A12813" t="s">
        <v>874</v>
      </c>
      <c r="B12813" t="s">
        <v>1141</v>
      </c>
      <c r="C12813" t="s">
        <v>1493</v>
      </c>
      <c r="D12813" t="s">
        <v>1662</v>
      </c>
      <c r="E12813" t="s">
        <v>1950</v>
      </c>
    </row>
    <row r="12814" spans="1:5" x14ac:dyDescent="0.4">
      <c r="A12814" t="s">
        <v>875</v>
      </c>
      <c r="B12814" t="s">
        <v>1142</v>
      </c>
      <c r="C12814" t="s">
        <v>1494</v>
      </c>
      <c r="D12814" t="s">
        <v>1663</v>
      </c>
      <c r="E12814" t="s">
        <v>1951</v>
      </c>
    </row>
    <row r="12815" spans="1:5" x14ac:dyDescent="0.4">
      <c r="A12815" t="s">
        <v>876</v>
      </c>
      <c r="B12815" t="s">
        <v>1143</v>
      </c>
      <c r="C12815" t="s">
        <v>1495</v>
      </c>
      <c r="D12815" t="s">
        <v>1664</v>
      </c>
      <c r="E12815" t="s">
        <v>1952</v>
      </c>
    </row>
    <row r="12816" spans="1:5" x14ac:dyDescent="0.4">
      <c r="A12816" t="s">
        <v>877</v>
      </c>
      <c r="C12816" t="s">
        <v>1496</v>
      </c>
      <c r="D12816" t="s">
        <v>1665</v>
      </c>
    </row>
    <row r="12817" spans="1:5" x14ac:dyDescent="0.4">
      <c r="A12817" t="s">
        <v>878</v>
      </c>
      <c r="C12817" t="s">
        <v>1497</v>
      </c>
      <c r="D12817" t="s">
        <v>1666</v>
      </c>
    </row>
    <row r="12818" spans="1:5" x14ac:dyDescent="0.4">
      <c r="A12818" t="s">
        <v>879</v>
      </c>
      <c r="B12818" t="s">
        <v>744</v>
      </c>
      <c r="C12818" t="s">
        <v>1498</v>
      </c>
      <c r="D12818" t="s">
        <v>1667</v>
      </c>
      <c r="E12818" t="s">
        <v>744</v>
      </c>
    </row>
    <row r="12819" spans="1:5" x14ac:dyDescent="0.4">
      <c r="A12819" t="s">
        <v>880</v>
      </c>
      <c r="B12819" t="s">
        <v>1144</v>
      </c>
      <c r="C12819" t="s">
        <v>1499</v>
      </c>
      <c r="D12819" t="s">
        <v>1668</v>
      </c>
      <c r="E12819" t="s">
        <v>1369</v>
      </c>
    </row>
    <row r="12820" spans="1:5" x14ac:dyDescent="0.4">
      <c r="B12820" t="s">
        <v>746</v>
      </c>
      <c r="C12820" t="s">
        <v>1500</v>
      </c>
      <c r="D12820" t="s">
        <v>1669</v>
      </c>
    </row>
    <row r="12821" spans="1:5" x14ac:dyDescent="0.4">
      <c r="B12821" t="s">
        <v>747</v>
      </c>
      <c r="C12821" t="s">
        <v>1501</v>
      </c>
      <c r="D12821" t="s">
        <v>1670</v>
      </c>
    </row>
    <row r="12822" spans="1:5" x14ac:dyDescent="0.4">
      <c r="A12822" t="s">
        <v>744</v>
      </c>
      <c r="C12822" t="s">
        <v>1502</v>
      </c>
      <c r="D12822" t="s">
        <v>1671</v>
      </c>
    </row>
    <row r="12823" spans="1:5" x14ac:dyDescent="0.4">
      <c r="A12823" t="s">
        <v>881</v>
      </c>
      <c r="B12823" t="s">
        <v>748</v>
      </c>
      <c r="C12823" t="s">
        <v>1503</v>
      </c>
      <c r="D12823" t="s">
        <v>1672</v>
      </c>
    </row>
    <row r="12824" spans="1:5" x14ac:dyDescent="0.4">
      <c r="A12824" t="s">
        <v>746</v>
      </c>
      <c r="B12824" t="s">
        <v>1145</v>
      </c>
      <c r="C12824" t="s">
        <v>1504</v>
      </c>
      <c r="D12824" t="s">
        <v>1673</v>
      </c>
    </row>
    <row r="12825" spans="1:5" x14ac:dyDescent="0.4">
      <c r="A12825" t="s">
        <v>747</v>
      </c>
      <c r="B12825" t="s">
        <v>1146</v>
      </c>
      <c r="C12825" t="s">
        <v>1505</v>
      </c>
      <c r="D12825" t="s">
        <v>1674</v>
      </c>
    </row>
    <row r="12826" spans="1:5" x14ac:dyDescent="0.4">
      <c r="B12826" t="s">
        <v>1147</v>
      </c>
      <c r="C12826" t="s">
        <v>1506</v>
      </c>
      <c r="D12826" t="s">
        <v>1675</v>
      </c>
    </row>
    <row r="12827" spans="1:5" x14ac:dyDescent="0.4">
      <c r="A12827" t="s">
        <v>748</v>
      </c>
      <c r="B12827" t="s">
        <v>1148</v>
      </c>
      <c r="C12827" t="s">
        <v>1507</v>
      </c>
      <c r="D12827" t="s">
        <v>1676</v>
      </c>
    </row>
    <row r="12828" spans="1:5" x14ac:dyDescent="0.4">
      <c r="A12828" t="s">
        <v>882</v>
      </c>
      <c r="B12828" t="s">
        <v>1149</v>
      </c>
      <c r="C12828" t="s">
        <v>1508</v>
      </c>
      <c r="D12828" t="s">
        <v>1677</v>
      </c>
    </row>
    <row r="12829" spans="1:5" x14ac:dyDescent="0.4">
      <c r="A12829" t="s">
        <v>883</v>
      </c>
      <c r="B12829" t="s">
        <v>1150</v>
      </c>
      <c r="C12829" t="s">
        <v>1509</v>
      </c>
      <c r="D12829" t="s">
        <v>1678</v>
      </c>
    </row>
    <row r="12830" spans="1:5" x14ac:dyDescent="0.4">
      <c r="A12830" t="s">
        <v>884</v>
      </c>
      <c r="B12830" t="s">
        <v>1151</v>
      </c>
      <c r="C12830" t="s">
        <v>1510</v>
      </c>
      <c r="D12830" t="s">
        <v>1679</v>
      </c>
    </row>
    <row r="12831" spans="1:5" x14ac:dyDescent="0.4">
      <c r="A12831" t="s">
        <v>885</v>
      </c>
      <c r="B12831" t="s">
        <v>1152</v>
      </c>
      <c r="C12831" t="s">
        <v>1511</v>
      </c>
    </row>
    <row r="12832" spans="1:5" x14ac:dyDescent="0.4">
      <c r="A12832" t="s">
        <v>886</v>
      </c>
      <c r="B12832" t="s">
        <v>1153</v>
      </c>
    </row>
    <row r="12833" spans="1:4" x14ac:dyDescent="0.4">
      <c r="A12833" t="s">
        <v>887</v>
      </c>
      <c r="B12833" t="s">
        <v>1154</v>
      </c>
      <c r="D12833" t="s">
        <v>744</v>
      </c>
    </row>
    <row r="12834" spans="1:4" x14ac:dyDescent="0.4">
      <c r="A12834" t="s">
        <v>888</v>
      </c>
      <c r="B12834" t="s">
        <v>1155</v>
      </c>
      <c r="C12834" t="s">
        <v>744</v>
      </c>
      <c r="D12834" t="s">
        <v>1680</v>
      </c>
    </row>
    <row r="12835" spans="1:4" x14ac:dyDescent="0.4">
      <c r="A12835" t="s">
        <v>889</v>
      </c>
      <c r="B12835" t="s">
        <v>1156</v>
      </c>
      <c r="C12835" t="s">
        <v>1512</v>
      </c>
      <c r="D12835" t="s">
        <v>746</v>
      </c>
    </row>
    <row r="12836" spans="1:4" x14ac:dyDescent="0.4">
      <c r="A12836" t="s">
        <v>890</v>
      </c>
      <c r="B12836" t="s">
        <v>1157</v>
      </c>
      <c r="C12836" t="s">
        <v>746</v>
      </c>
      <c r="D12836" t="s">
        <v>747</v>
      </c>
    </row>
    <row r="12837" spans="1:4" x14ac:dyDescent="0.4">
      <c r="A12837" t="s">
        <v>891</v>
      </c>
      <c r="B12837" t="s">
        <v>1158</v>
      </c>
      <c r="C12837" t="s">
        <v>747</v>
      </c>
    </row>
    <row r="12838" spans="1:4" x14ac:dyDescent="0.4">
      <c r="A12838" t="s">
        <v>892</v>
      </c>
      <c r="B12838" t="s">
        <v>1159</v>
      </c>
      <c r="D12838" t="s">
        <v>748</v>
      </c>
    </row>
    <row r="12839" spans="1:4" x14ac:dyDescent="0.4">
      <c r="A12839" t="s">
        <v>893</v>
      </c>
      <c r="B12839" t="s">
        <v>1160</v>
      </c>
      <c r="C12839" t="s">
        <v>748</v>
      </c>
      <c r="D12839" t="s">
        <v>1681</v>
      </c>
    </row>
    <row r="12840" spans="1:4" x14ac:dyDescent="0.4">
      <c r="A12840" t="s">
        <v>894</v>
      </c>
      <c r="B12840" t="s">
        <v>1161</v>
      </c>
      <c r="C12840" t="s">
        <v>1513</v>
      </c>
      <c r="D12840" t="s">
        <v>1682</v>
      </c>
    </row>
    <row r="12841" spans="1:4" x14ac:dyDescent="0.4">
      <c r="A12841" t="s">
        <v>895</v>
      </c>
      <c r="B12841" t="s">
        <v>1162</v>
      </c>
      <c r="C12841" t="s">
        <v>1514</v>
      </c>
      <c r="D12841" t="s">
        <v>1683</v>
      </c>
    </row>
    <row r="12842" spans="1:4" x14ac:dyDescent="0.4">
      <c r="A12842" t="s">
        <v>896</v>
      </c>
      <c r="B12842" t="s">
        <v>1163</v>
      </c>
      <c r="C12842" t="s">
        <v>1515</v>
      </c>
      <c r="D12842" t="s">
        <v>1684</v>
      </c>
    </row>
    <row r="12843" spans="1:4" x14ac:dyDescent="0.4">
      <c r="A12843" t="s">
        <v>897</v>
      </c>
      <c r="B12843" t="s">
        <v>1164</v>
      </c>
      <c r="C12843" t="s">
        <v>1516</v>
      </c>
      <c r="D12843" t="s">
        <v>1685</v>
      </c>
    </row>
    <row r="12844" spans="1:4" x14ac:dyDescent="0.4">
      <c r="A12844" t="s">
        <v>898</v>
      </c>
      <c r="B12844" t="s">
        <v>1165</v>
      </c>
      <c r="C12844" t="s">
        <v>1517</v>
      </c>
      <c r="D12844" t="s">
        <v>1686</v>
      </c>
    </row>
    <row r="12845" spans="1:4" x14ac:dyDescent="0.4">
      <c r="A12845" t="s">
        <v>899</v>
      </c>
      <c r="B12845" t="s">
        <v>1166</v>
      </c>
      <c r="C12845" t="s">
        <v>1518</v>
      </c>
      <c r="D12845" t="s">
        <v>1687</v>
      </c>
    </row>
    <row r="12846" spans="1:4" x14ac:dyDescent="0.4">
      <c r="A12846" t="s">
        <v>900</v>
      </c>
      <c r="B12846" t="s">
        <v>1167</v>
      </c>
      <c r="C12846" t="s">
        <v>1519</v>
      </c>
      <c r="D12846" t="s">
        <v>1688</v>
      </c>
    </row>
    <row r="12847" spans="1:4" x14ac:dyDescent="0.4">
      <c r="A12847" t="s">
        <v>901</v>
      </c>
      <c r="B12847" t="s">
        <v>1168</v>
      </c>
      <c r="C12847" t="s">
        <v>1520</v>
      </c>
      <c r="D12847" t="s">
        <v>1689</v>
      </c>
    </row>
    <row r="12848" spans="1:4" x14ac:dyDescent="0.4">
      <c r="A12848" t="s">
        <v>902</v>
      </c>
      <c r="B12848" t="s">
        <v>1169</v>
      </c>
      <c r="C12848" t="s">
        <v>1521</v>
      </c>
      <c r="D12848" t="s">
        <v>1690</v>
      </c>
    </row>
    <row r="12849" spans="1:4" x14ac:dyDescent="0.4">
      <c r="A12849" t="s">
        <v>903</v>
      </c>
      <c r="B12849" t="s">
        <v>1170</v>
      </c>
      <c r="C12849" t="s">
        <v>1522</v>
      </c>
      <c r="D12849" t="s">
        <v>1691</v>
      </c>
    </row>
    <row r="12850" spans="1:4" x14ac:dyDescent="0.4">
      <c r="A12850" t="s">
        <v>904</v>
      </c>
      <c r="C12850" t="s">
        <v>1523</v>
      </c>
      <c r="D12850" t="s">
        <v>1692</v>
      </c>
    </row>
    <row r="12851" spans="1:4" x14ac:dyDescent="0.4">
      <c r="A12851" t="s">
        <v>905</v>
      </c>
      <c r="C12851" t="s">
        <v>1524</v>
      </c>
      <c r="D12851" t="s">
        <v>1693</v>
      </c>
    </row>
    <row r="12852" spans="1:4" x14ac:dyDescent="0.4">
      <c r="A12852" t="s">
        <v>906</v>
      </c>
      <c r="B12852" t="s">
        <v>744</v>
      </c>
      <c r="C12852" t="s">
        <v>1525</v>
      </c>
      <c r="D12852" t="s">
        <v>1694</v>
      </c>
    </row>
    <row r="12853" spans="1:4" x14ac:dyDescent="0.4">
      <c r="A12853" t="s">
        <v>907</v>
      </c>
      <c r="B12853" t="s">
        <v>1171</v>
      </c>
      <c r="C12853" t="s">
        <v>1526</v>
      </c>
      <c r="D12853" t="s">
        <v>1695</v>
      </c>
    </row>
    <row r="12854" spans="1:4" x14ac:dyDescent="0.4">
      <c r="A12854" t="s">
        <v>908</v>
      </c>
      <c r="B12854" t="s">
        <v>746</v>
      </c>
      <c r="C12854" t="s">
        <v>1527</v>
      </c>
      <c r="D12854" t="s">
        <v>1696</v>
      </c>
    </row>
    <row r="12855" spans="1:4" x14ac:dyDescent="0.4">
      <c r="A12855" t="s">
        <v>909</v>
      </c>
      <c r="B12855" t="s">
        <v>747</v>
      </c>
      <c r="C12855" t="s">
        <v>1528</v>
      </c>
      <c r="D12855" t="s">
        <v>1697</v>
      </c>
    </row>
    <row r="12856" spans="1:4" x14ac:dyDescent="0.4">
      <c r="A12856" t="s">
        <v>910</v>
      </c>
      <c r="C12856" t="s">
        <v>1529</v>
      </c>
      <c r="D12856" t="s">
        <v>1698</v>
      </c>
    </row>
    <row r="12857" spans="1:4" x14ac:dyDescent="0.4">
      <c r="A12857" t="s">
        <v>911</v>
      </c>
      <c r="B12857" t="s">
        <v>748</v>
      </c>
      <c r="C12857" t="s">
        <v>1530</v>
      </c>
      <c r="D12857" t="s">
        <v>1699</v>
      </c>
    </row>
    <row r="12858" spans="1:4" x14ac:dyDescent="0.4">
      <c r="A12858" t="s">
        <v>912</v>
      </c>
      <c r="B12858" t="s">
        <v>1172</v>
      </c>
      <c r="C12858" t="s">
        <v>1531</v>
      </c>
      <c r="D12858" t="s">
        <v>1700</v>
      </c>
    </row>
    <row r="12859" spans="1:4" x14ac:dyDescent="0.4">
      <c r="A12859" t="s">
        <v>913</v>
      </c>
      <c r="B12859" t="s">
        <v>1173</v>
      </c>
      <c r="C12859" t="s">
        <v>1532</v>
      </c>
      <c r="D12859" t="s">
        <v>1701</v>
      </c>
    </row>
    <row r="12860" spans="1:4" x14ac:dyDescent="0.4">
      <c r="A12860" t="s">
        <v>914</v>
      </c>
      <c r="B12860" t="s">
        <v>1174</v>
      </c>
      <c r="C12860" t="s">
        <v>1533</v>
      </c>
      <c r="D12860" t="s">
        <v>1702</v>
      </c>
    </row>
    <row r="12861" spans="1:4" x14ac:dyDescent="0.4">
      <c r="A12861" t="s">
        <v>915</v>
      </c>
      <c r="B12861" t="s">
        <v>1175</v>
      </c>
      <c r="C12861" t="s">
        <v>1534</v>
      </c>
      <c r="D12861" t="s">
        <v>1703</v>
      </c>
    </row>
    <row r="12862" spans="1:4" x14ac:dyDescent="0.4">
      <c r="B12862" t="s">
        <v>1176</v>
      </c>
      <c r="C12862" t="s">
        <v>1535</v>
      </c>
      <c r="D12862" t="s">
        <v>1704</v>
      </c>
    </row>
    <row r="12863" spans="1:4" x14ac:dyDescent="0.4">
      <c r="B12863" t="s">
        <v>1177</v>
      </c>
      <c r="C12863" t="s">
        <v>1536</v>
      </c>
      <c r="D12863" t="s">
        <v>1705</v>
      </c>
    </row>
    <row r="12864" spans="1:4" x14ac:dyDescent="0.4">
      <c r="A12864" t="s">
        <v>744</v>
      </c>
      <c r="B12864" t="s">
        <v>1178</v>
      </c>
      <c r="C12864" t="s">
        <v>1537</v>
      </c>
      <c r="D12864" t="s">
        <v>1706</v>
      </c>
    </row>
    <row r="12865" spans="1:4" x14ac:dyDescent="0.4">
      <c r="A12865" t="s">
        <v>916</v>
      </c>
      <c r="B12865" t="s">
        <v>1179</v>
      </c>
      <c r="C12865" t="s">
        <v>1538</v>
      </c>
      <c r="D12865" t="s">
        <v>1707</v>
      </c>
    </row>
    <row r="12866" spans="1:4" x14ac:dyDescent="0.4">
      <c r="A12866" t="s">
        <v>746</v>
      </c>
      <c r="B12866" t="s">
        <v>1180</v>
      </c>
      <c r="D12866" t="s">
        <v>1708</v>
      </c>
    </row>
    <row r="12867" spans="1:4" x14ac:dyDescent="0.4">
      <c r="A12867" t="s">
        <v>747</v>
      </c>
      <c r="B12867" t="s">
        <v>1181</v>
      </c>
    </row>
    <row r="12868" spans="1:4" x14ac:dyDescent="0.4">
      <c r="B12868" t="s">
        <v>1182</v>
      </c>
    </row>
    <row r="12869" spans="1:4" x14ac:dyDescent="0.4">
      <c r="A12869" t="s">
        <v>748</v>
      </c>
      <c r="B12869" t="s">
        <v>1183</v>
      </c>
      <c r="D12869" t="s">
        <v>744</v>
      </c>
    </row>
    <row r="12870" spans="1:4" x14ac:dyDescent="0.4">
      <c r="A12870" t="s">
        <v>917</v>
      </c>
      <c r="B12870" t="s">
        <v>1184</v>
      </c>
      <c r="D12870" t="s">
        <v>1709</v>
      </c>
    </row>
    <row r="12871" spans="1:4" x14ac:dyDescent="0.4">
      <c r="A12871" t="s">
        <v>918</v>
      </c>
      <c r="B12871" t="s">
        <v>1185</v>
      </c>
      <c r="D12871" t="s">
        <v>746</v>
      </c>
    </row>
    <row r="12872" spans="1:4" x14ac:dyDescent="0.4">
      <c r="A12872" t="s">
        <v>919</v>
      </c>
      <c r="B12872" t="s">
        <v>1186</v>
      </c>
      <c r="D12872" t="s">
        <v>747</v>
      </c>
    </row>
    <row r="12873" spans="1:4" x14ac:dyDescent="0.4">
      <c r="A12873" t="s">
        <v>920</v>
      </c>
      <c r="B12873" t="s">
        <v>1187</v>
      </c>
    </row>
    <row r="12874" spans="1:4" x14ac:dyDescent="0.4">
      <c r="A12874" t="s">
        <v>921</v>
      </c>
      <c r="B12874" t="s">
        <v>1188</v>
      </c>
      <c r="D12874" t="s">
        <v>748</v>
      </c>
    </row>
    <row r="12875" spans="1:4" x14ac:dyDescent="0.4">
      <c r="A12875" t="s">
        <v>922</v>
      </c>
      <c r="B12875" t="s">
        <v>1189</v>
      </c>
      <c r="D12875" t="s">
        <v>1710</v>
      </c>
    </row>
    <row r="12876" spans="1:4" x14ac:dyDescent="0.4">
      <c r="A12876" t="s">
        <v>923</v>
      </c>
      <c r="B12876" t="s">
        <v>1190</v>
      </c>
      <c r="D12876" t="s">
        <v>1711</v>
      </c>
    </row>
    <row r="12877" spans="1:4" x14ac:dyDescent="0.4">
      <c r="A12877" t="s">
        <v>924</v>
      </c>
      <c r="B12877" t="s">
        <v>1191</v>
      </c>
      <c r="D12877" t="s">
        <v>1712</v>
      </c>
    </row>
    <row r="12878" spans="1:4" x14ac:dyDescent="0.4">
      <c r="A12878" t="s">
        <v>925</v>
      </c>
      <c r="B12878" t="s">
        <v>1192</v>
      </c>
      <c r="D12878" t="s">
        <v>1713</v>
      </c>
    </row>
    <row r="12879" spans="1:4" x14ac:dyDescent="0.4">
      <c r="A12879" t="s">
        <v>926</v>
      </c>
      <c r="B12879" t="s">
        <v>1193</v>
      </c>
      <c r="D12879" t="s">
        <v>1714</v>
      </c>
    </row>
    <row r="12880" spans="1:4" x14ac:dyDescent="0.4">
      <c r="A12880" t="s">
        <v>927</v>
      </c>
      <c r="B12880" t="s">
        <v>1194</v>
      </c>
      <c r="D12880" t="s">
        <v>1715</v>
      </c>
    </row>
    <row r="12881" spans="1:4" x14ac:dyDescent="0.4">
      <c r="A12881" t="s">
        <v>928</v>
      </c>
      <c r="B12881" t="s">
        <v>1195</v>
      </c>
      <c r="D12881" t="s">
        <v>1716</v>
      </c>
    </row>
    <row r="12882" spans="1:4" x14ac:dyDescent="0.4">
      <c r="A12882" t="s">
        <v>929</v>
      </c>
      <c r="B12882" t="s">
        <v>1196</v>
      </c>
      <c r="D12882" t="s">
        <v>1717</v>
      </c>
    </row>
    <row r="12883" spans="1:4" x14ac:dyDescent="0.4">
      <c r="A12883" t="s">
        <v>930</v>
      </c>
      <c r="B12883" t="s">
        <v>1197</v>
      </c>
      <c r="D12883" t="s">
        <v>1718</v>
      </c>
    </row>
    <row r="12884" spans="1:4" x14ac:dyDescent="0.4">
      <c r="A12884" t="s">
        <v>931</v>
      </c>
      <c r="B12884" t="s">
        <v>1198</v>
      </c>
      <c r="D12884" t="s">
        <v>1719</v>
      </c>
    </row>
    <row r="12885" spans="1:4" x14ac:dyDescent="0.4">
      <c r="A12885" t="s">
        <v>932</v>
      </c>
      <c r="D12885" t="s">
        <v>1720</v>
      </c>
    </row>
    <row r="12886" spans="1:4" x14ac:dyDescent="0.4">
      <c r="A12886" t="s">
        <v>933</v>
      </c>
      <c r="D12886" t="s">
        <v>1721</v>
      </c>
    </row>
    <row r="12887" spans="1:4" x14ac:dyDescent="0.4">
      <c r="A12887" t="s">
        <v>934</v>
      </c>
      <c r="B12887" t="s">
        <v>744</v>
      </c>
      <c r="D12887" t="s">
        <v>1722</v>
      </c>
    </row>
    <row r="12888" spans="1:4" x14ac:dyDescent="0.4">
      <c r="A12888" t="s">
        <v>935</v>
      </c>
      <c r="B12888" t="s">
        <v>1199</v>
      </c>
      <c r="D12888" t="s">
        <v>1723</v>
      </c>
    </row>
    <row r="12889" spans="1:4" x14ac:dyDescent="0.4">
      <c r="A12889" t="s">
        <v>936</v>
      </c>
      <c r="B12889" t="s">
        <v>746</v>
      </c>
      <c r="D12889" t="s">
        <v>1724</v>
      </c>
    </row>
    <row r="12890" spans="1:4" x14ac:dyDescent="0.4">
      <c r="A12890" t="s">
        <v>937</v>
      </c>
      <c r="B12890" t="s">
        <v>747</v>
      </c>
      <c r="D12890" t="s">
        <v>1725</v>
      </c>
    </row>
    <row r="12891" spans="1:4" x14ac:dyDescent="0.4">
      <c r="A12891" t="s">
        <v>938</v>
      </c>
      <c r="D12891" t="s">
        <v>1726</v>
      </c>
    </row>
    <row r="12892" spans="1:4" x14ac:dyDescent="0.4">
      <c r="A12892" t="s">
        <v>939</v>
      </c>
      <c r="B12892" t="s">
        <v>748</v>
      </c>
      <c r="D12892" t="s">
        <v>1727</v>
      </c>
    </row>
    <row r="12893" spans="1:4" x14ac:dyDescent="0.4">
      <c r="A12893" t="s">
        <v>940</v>
      </c>
      <c r="B12893" t="s">
        <v>1200</v>
      </c>
      <c r="D12893" t="s">
        <v>1728</v>
      </c>
    </row>
    <row r="12894" spans="1:4" x14ac:dyDescent="0.4">
      <c r="A12894" t="s">
        <v>941</v>
      </c>
      <c r="B12894" t="s">
        <v>1201</v>
      </c>
      <c r="D12894" t="s">
        <v>1729</v>
      </c>
    </row>
    <row r="12895" spans="1:4" x14ac:dyDescent="0.4">
      <c r="A12895" t="s">
        <v>942</v>
      </c>
      <c r="B12895" t="s">
        <v>1202</v>
      </c>
      <c r="D12895" t="s">
        <v>1730</v>
      </c>
    </row>
    <row r="12896" spans="1:4" x14ac:dyDescent="0.4">
      <c r="A12896" t="s">
        <v>943</v>
      </c>
      <c r="B12896" t="s">
        <v>1203</v>
      </c>
      <c r="D12896" t="s">
        <v>1731</v>
      </c>
    </row>
    <row r="12897" spans="1:4" x14ac:dyDescent="0.4">
      <c r="A12897" t="s">
        <v>944</v>
      </c>
      <c r="B12897" t="s">
        <v>1204</v>
      </c>
      <c r="D12897" t="s">
        <v>1732</v>
      </c>
    </row>
    <row r="12898" spans="1:4" x14ac:dyDescent="0.4">
      <c r="A12898" t="s">
        <v>945</v>
      </c>
      <c r="B12898" t="s">
        <v>1205</v>
      </c>
      <c r="D12898" t="s">
        <v>1733</v>
      </c>
    </row>
    <row r="12899" spans="1:4" x14ac:dyDescent="0.4">
      <c r="A12899" t="s">
        <v>946</v>
      </c>
      <c r="B12899" t="s">
        <v>1206</v>
      </c>
      <c r="D12899" t="s">
        <v>1734</v>
      </c>
    </row>
    <row r="12900" spans="1:4" x14ac:dyDescent="0.4">
      <c r="B12900" t="s">
        <v>1207</v>
      </c>
      <c r="D12900" t="s">
        <v>1735</v>
      </c>
    </row>
    <row r="12901" spans="1:4" x14ac:dyDescent="0.4">
      <c r="B12901" t="s">
        <v>1208</v>
      </c>
      <c r="D12901" t="s">
        <v>1736</v>
      </c>
    </row>
    <row r="12902" spans="1:4" x14ac:dyDescent="0.4">
      <c r="A12902" t="s">
        <v>744</v>
      </c>
      <c r="B12902" t="s">
        <v>1209</v>
      </c>
      <c r="D12902" t="s">
        <v>1737</v>
      </c>
    </row>
    <row r="12903" spans="1:4" x14ac:dyDescent="0.4">
      <c r="A12903" t="s">
        <v>947</v>
      </c>
      <c r="B12903" t="s">
        <v>1210</v>
      </c>
    </row>
    <row r="12904" spans="1:4" x14ac:dyDescent="0.4">
      <c r="A12904" t="s">
        <v>746</v>
      </c>
      <c r="B12904" t="s">
        <v>1211</v>
      </c>
    </row>
    <row r="12905" spans="1:4" x14ac:dyDescent="0.4">
      <c r="A12905" t="s">
        <v>747</v>
      </c>
      <c r="B12905" t="s">
        <v>1212</v>
      </c>
      <c r="D12905" t="s">
        <v>744</v>
      </c>
    </row>
    <row r="12906" spans="1:4" x14ac:dyDescent="0.4">
      <c r="B12906" t="s">
        <v>1213</v>
      </c>
      <c r="D12906" t="s">
        <v>1738</v>
      </c>
    </row>
    <row r="12907" spans="1:4" x14ac:dyDescent="0.4">
      <c r="A12907" t="s">
        <v>748</v>
      </c>
      <c r="B12907" t="s">
        <v>1214</v>
      </c>
      <c r="D12907" t="s">
        <v>746</v>
      </c>
    </row>
    <row r="12908" spans="1:4" x14ac:dyDescent="0.4">
      <c r="A12908" t="s">
        <v>948</v>
      </c>
      <c r="B12908" t="s">
        <v>1215</v>
      </c>
      <c r="D12908" t="s">
        <v>747</v>
      </c>
    </row>
    <row r="12909" spans="1:4" x14ac:dyDescent="0.4">
      <c r="A12909" t="s">
        <v>949</v>
      </c>
      <c r="B12909" t="s">
        <v>1216</v>
      </c>
    </row>
    <row r="12910" spans="1:4" x14ac:dyDescent="0.4">
      <c r="A12910" t="s">
        <v>950</v>
      </c>
      <c r="B12910" t="s">
        <v>1217</v>
      </c>
      <c r="D12910" t="s">
        <v>748</v>
      </c>
    </row>
    <row r="12911" spans="1:4" x14ac:dyDescent="0.4">
      <c r="A12911" t="s">
        <v>951</v>
      </c>
      <c r="B12911" t="s">
        <v>1218</v>
      </c>
      <c r="D12911" t="s">
        <v>1739</v>
      </c>
    </row>
    <row r="12912" spans="1:4" x14ac:dyDescent="0.4">
      <c r="A12912" t="s">
        <v>952</v>
      </c>
      <c r="B12912" t="s">
        <v>1219</v>
      </c>
      <c r="D12912" t="s">
        <v>1740</v>
      </c>
    </row>
    <row r="12913" spans="1:4" x14ac:dyDescent="0.4">
      <c r="A12913" t="s">
        <v>953</v>
      </c>
      <c r="B12913" t="s">
        <v>1220</v>
      </c>
      <c r="D12913" t="s">
        <v>1741</v>
      </c>
    </row>
    <row r="12914" spans="1:4" x14ac:dyDescent="0.4">
      <c r="A12914" t="s">
        <v>954</v>
      </c>
      <c r="B12914" t="s">
        <v>1221</v>
      </c>
      <c r="D12914" t="s">
        <v>1742</v>
      </c>
    </row>
    <row r="12915" spans="1:4" x14ac:dyDescent="0.4">
      <c r="A12915" t="s">
        <v>955</v>
      </c>
      <c r="B12915" t="s">
        <v>1222</v>
      </c>
      <c r="D12915" t="s">
        <v>1743</v>
      </c>
    </row>
    <row r="12916" spans="1:4" x14ac:dyDescent="0.4">
      <c r="A12916" t="s">
        <v>956</v>
      </c>
      <c r="B12916" t="s">
        <v>1223</v>
      </c>
      <c r="D12916" t="s">
        <v>1744</v>
      </c>
    </row>
    <row r="12917" spans="1:4" x14ac:dyDescent="0.4">
      <c r="A12917" t="s">
        <v>957</v>
      </c>
      <c r="B12917" t="s">
        <v>1224</v>
      </c>
      <c r="D12917" t="s">
        <v>1745</v>
      </c>
    </row>
    <row r="12918" spans="1:4" x14ac:dyDescent="0.4">
      <c r="A12918" t="s">
        <v>958</v>
      </c>
      <c r="B12918" t="s">
        <v>1225</v>
      </c>
      <c r="D12918" t="s">
        <v>1746</v>
      </c>
    </row>
    <row r="12919" spans="1:4" x14ac:dyDescent="0.4">
      <c r="A12919" t="s">
        <v>959</v>
      </c>
      <c r="B12919" t="s">
        <v>1226</v>
      </c>
      <c r="D12919" t="s">
        <v>1747</v>
      </c>
    </row>
    <row r="12920" spans="1:4" x14ac:dyDescent="0.4">
      <c r="A12920" t="s">
        <v>960</v>
      </c>
      <c r="D12920" t="s">
        <v>1748</v>
      </c>
    </row>
    <row r="12921" spans="1:4" x14ac:dyDescent="0.4">
      <c r="A12921" t="s">
        <v>961</v>
      </c>
      <c r="D12921" t="s">
        <v>1749</v>
      </c>
    </row>
    <row r="12922" spans="1:4" x14ac:dyDescent="0.4">
      <c r="A12922" t="s">
        <v>962</v>
      </c>
      <c r="B12922" t="s">
        <v>744</v>
      </c>
      <c r="D12922" t="s">
        <v>1750</v>
      </c>
    </row>
    <row r="12923" spans="1:4" x14ac:dyDescent="0.4">
      <c r="A12923" t="s">
        <v>963</v>
      </c>
      <c r="B12923" t="s">
        <v>1227</v>
      </c>
      <c r="D12923" t="s">
        <v>1751</v>
      </c>
    </row>
    <row r="12924" spans="1:4" x14ac:dyDescent="0.4">
      <c r="A12924" t="s">
        <v>964</v>
      </c>
      <c r="B12924" t="s">
        <v>746</v>
      </c>
      <c r="D12924" t="s">
        <v>1752</v>
      </c>
    </row>
    <row r="12925" spans="1:4" x14ac:dyDescent="0.4">
      <c r="A12925" t="s">
        <v>965</v>
      </c>
      <c r="B12925" t="s">
        <v>747</v>
      </c>
      <c r="D12925" t="s">
        <v>1753</v>
      </c>
    </row>
    <row r="12926" spans="1:4" x14ac:dyDescent="0.4">
      <c r="A12926" t="s">
        <v>966</v>
      </c>
      <c r="D12926" t="s">
        <v>1754</v>
      </c>
    </row>
    <row r="12927" spans="1:4" x14ac:dyDescent="0.4">
      <c r="A12927" t="s">
        <v>967</v>
      </c>
      <c r="B12927" t="s">
        <v>748</v>
      </c>
      <c r="D12927" t="s">
        <v>1755</v>
      </c>
    </row>
    <row r="12928" spans="1:4" x14ac:dyDescent="0.4">
      <c r="A12928" t="s">
        <v>968</v>
      </c>
      <c r="B12928" t="s">
        <v>1228</v>
      </c>
      <c r="D12928" t="s">
        <v>1756</v>
      </c>
    </row>
    <row r="12929" spans="1:4" x14ac:dyDescent="0.4">
      <c r="A12929" t="s">
        <v>969</v>
      </c>
      <c r="B12929" t="s">
        <v>1229</v>
      </c>
      <c r="D12929" t="s">
        <v>1757</v>
      </c>
    </row>
    <row r="12930" spans="1:4" x14ac:dyDescent="0.4">
      <c r="A12930" t="s">
        <v>970</v>
      </c>
      <c r="B12930" t="s">
        <v>1230</v>
      </c>
      <c r="D12930" t="s">
        <v>1758</v>
      </c>
    </row>
    <row r="12931" spans="1:4" x14ac:dyDescent="0.4">
      <c r="A12931" t="s">
        <v>971</v>
      </c>
      <c r="B12931" t="s">
        <v>1231</v>
      </c>
      <c r="D12931" t="s">
        <v>1759</v>
      </c>
    </row>
    <row r="12932" spans="1:4" x14ac:dyDescent="0.4">
      <c r="A12932" t="s">
        <v>972</v>
      </c>
      <c r="B12932" t="s">
        <v>1232</v>
      </c>
      <c r="D12932" t="s">
        <v>1760</v>
      </c>
    </row>
    <row r="12933" spans="1:4" x14ac:dyDescent="0.4">
      <c r="A12933" t="s">
        <v>973</v>
      </c>
      <c r="B12933" t="s">
        <v>1233</v>
      </c>
      <c r="D12933" t="s">
        <v>1761</v>
      </c>
    </row>
    <row r="12934" spans="1:4" x14ac:dyDescent="0.4">
      <c r="A12934" t="s">
        <v>974</v>
      </c>
      <c r="B12934" t="s">
        <v>1234</v>
      </c>
      <c r="D12934" t="s">
        <v>1762</v>
      </c>
    </row>
    <row r="12935" spans="1:4" x14ac:dyDescent="0.4">
      <c r="A12935" t="s">
        <v>975</v>
      </c>
      <c r="B12935" t="s">
        <v>1235</v>
      </c>
      <c r="D12935" t="s">
        <v>1763</v>
      </c>
    </row>
    <row r="12936" spans="1:4" x14ac:dyDescent="0.4">
      <c r="A12936" t="s">
        <v>976</v>
      </c>
      <c r="B12936" t="s">
        <v>1236</v>
      </c>
      <c r="D12936" t="s">
        <v>1764</v>
      </c>
    </row>
    <row r="12937" spans="1:4" x14ac:dyDescent="0.4">
      <c r="A12937" t="s">
        <v>977</v>
      </c>
      <c r="B12937" t="s">
        <v>1237</v>
      </c>
      <c r="D12937" t="s">
        <v>1765</v>
      </c>
    </row>
    <row r="12938" spans="1:4" x14ac:dyDescent="0.4">
      <c r="A12938" t="s">
        <v>978</v>
      </c>
      <c r="B12938" t="s">
        <v>1238</v>
      </c>
      <c r="D12938" t="s">
        <v>1766</v>
      </c>
    </row>
    <row r="12939" spans="1:4" x14ac:dyDescent="0.4">
      <c r="B12939" t="s">
        <v>1239</v>
      </c>
    </row>
    <row r="12940" spans="1:4" x14ac:dyDescent="0.4">
      <c r="B12940" t="s">
        <v>1240</v>
      </c>
    </row>
    <row r="12941" spans="1:4" x14ac:dyDescent="0.4">
      <c r="A12941" t="s">
        <v>744</v>
      </c>
      <c r="B12941" t="s">
        <v>1241</v>
      </c>
      <c r="D12941" t="s">
        <v>744</v>
      </c>
    </row>
    <row r="12942" spans="1:4" x14ac:dyDescent="0.4">
      <c r="A12942" t="s">
        <v>979</v>
      </c>
      <c r="B12942" t="s">
        <v>1242</v>
      </c>
      <c r="D12942" t="s">
        <v>1767</v>
      </c>
    </row>
    <row r="12943" spans="1:4" x14ac:dyDescent="0.4">
      <c r="A12943" t="s">
        <v>746</v>
      </c>
      <c r="B12943" t="s">
        <v>1243</v>
      </c>
      <c r="D12943" t="s">
        <v>746</v>
      </c>
    </row>
    <row r="12944" spans="1:4" x14ac:dyDescent="0.4">
      <c r="A12944" t="s">
        <v>747</v>
      </c>
      <c r="B12944" t="s">
        <v>1244</v>
      </c>
      <c r="D12944" t="s">
        <v>747</v>
      </c>
    </row>
    <row r="12945" spans="1:4" x14ac:dyDescent="0.4">
      <c r="B12945" t="s">
        <v>1245</v>
      </c>
    </row>
    <row r="12946" spans="1:4" x14ac:dyDescent="0.4">
      <c r="A12946" t="s">
        <v>748</v>
      </c>
      <c r="B12946" t="s">
        <v>1246</v>
      </c>
      <c r="D12946" t="s">
        <v>748</v>
      </c>
    </row>
    <row r="12947" spans="1:4" x14ac:dyDescent="0.4">
      <c r="A12947" t="s">
        <v>980</v>
      </c>
      <c r="B12947" t="s">
        <v>1247</v>
      </c>
      <c r="D12947" t="s">
        <v>1768</v>
      </c>
    </row>
    <row r="12948" spans="1:4" x14ac:dyDescent="0.4">
      <c r="A12948" t="s">
        <v>981</v>
      </c>
      <c r="B12948" t="s">
        <v>1248</v>
      </c>
      <c r="D12948" t="s">
        <v>1769</v>
      </c>
    </row>
    <row r="12949" spans="1:4" x14ac:dyDescent="0.4">
      <c r="A12949" t="s">
        <v>982</v>
      </c>
      <c r="B12949" t="s">
        <v>1249</v>
      </c>
      <c r="D12949" t="s">
        <v>1770</v>
      </c>
    </row>
    <row r="12950" spans="1:4" x14ac:dyDescent="0.4">
      <c r="A12950" t="s">
        <v>983</v>
      </c>
      <c r="B12950" t="s">
        <v>1250</v>
      </c>
      <c r="D12950" t="s">
        <v>1771</v>
      </c>
    </row>
    <row r="12951" spans="1:4" x14ac:dyDescent="0.4">
      <c r="A12951" t="s">
        <v>984</v>
      </c>
      <c r="B12951" t="s">
        <v>1251</v>
      </c>
      <c r="D12951" t="s">
        <v>1772</v>
      </c>
    </row>
    <row r="12952" spans="1:4" x14ac:dyDescent="0.4">
      <c r="A12952" t="s">
        <v>985</v>
      </c>
      <c r="B12952" t="s">
        <v>1252</v>
      </c>
      <c r="D12952" t="s">
        <v>1773</v>
      </c>
    </row>
    <row r="12953" spans="1:4" x14ac:dyDescent="0.4">
      <c r="A12953" t="s">
        <v>986</v>
      </c>
      <c r="B12953" t="s">
        <v>1253</v>
      </c>
      <c r="D12953" t="s">
        <v>1774</v>
      </c>
    </row>
    <row r="12954" spans="1:4" x14ac:dyDescent="0.4">
      <c r="A12954" t="s">
        <v>987</v>
      </c>
      <c r="B12954" t="s">
        <v>1254</v>
      </c>
      <c r="D12954" t="s">
        <v>1775</v>
      </c>
    </row>
    <row r="12955" spans="1:4" x14ac:dyDescent="0.4">
      <c r="A12955" t="s">
        <v>988</v>
      </c>
      <c r="D12955" t="s">
        <v>1776</v>
      </c>
    </row>
    <row r="12956" spans="1:4" x14ac:dyDescent="0.4">
      <c r="A12956" t="s">
        <v>989</v>
      </c>
      <c r="D12956" t="s">
        <v>1777</v>
      </c>
    </row>
    <row r="12957" spans="1:4" x14ac:dyDescent="0.4">
      <c r="A12957" t="s">
        <v>990</v>
      </c>
      <c r="B12957" t="s">
        <v>744</v>
      </c>
      <c r="D12957" t="s">
        <v>1778</v>
      </c>
    </row>
    <row r="12958" spans="1:4" x14ac:dyDescent="0.4">
      <c r="A12958" t="s">
        <v>991</v>
      </c>
      <c r="B12958" t="s">
        <v>1255</v>
      </c>
      <c r="D12958" t="s">
        <v>1779</v>
      </c>
    </row>
    <row r="12959" spans="1:4" x14ac:dyDescent="0.4">
      <c r="A12959" t="s">
        <v>992</v>
      </c>
      <c r="B12959" t="s">
        <v>746</v>
      </c>
      <c r="D12959" t="s">
        <v>1780</v>
      </c>
    </row>
    <row r="12960" spans="1:4" x14ac:dyDescent="0.4">
      <c r="A12960" t="s">
        <v>993</v>
      </c>
      <c r="B12960" t="s">
        <v>747</v>
      </c>
      <c r="D12960" t="s">
        <v>1781</v>
      </c>
    </row>
    <row r="12961" spans="1:4" x14ac:dyDescent="0.4">
      <c r="A12961" t="s">
        <v>994</v>
      </c>
      <c r="D12961" t="s">
        <v>1782</v>
      </c>
    </row>
    <row r="12962" spans="1:4" x14ac:dyDescent="0.4">
      <c r="A12962" t="s">
        <v>995</v>
      </c>
      <c r="B12962" t="s">
        <v>748</v>
      </c>
      <c r="D12962" t="s">
        <v>1783</v>
      </c>
    </row>
    <row r="12963" spans="1:4" x14ac:dyDescent="0.4">
      <c r="A12963" t="s">
        <v>996</v>
      </c>
      <c r="B12963" t="s">
        <v>1256</v>
      </c>
      <c r="D12963" t="s">
        <v>1784</v>
      </c>
    </row>
    <row r="12964" spans="1:4" x14ac:dyDescent="0.4">
      <c r="A12964" t="s">
        <v>997</v>
      </c>
      <c r="B12964" t="s">
        <v>1257</v>
      </c>
      <c r="D12964" t="s">
        <v>1785</v>
      </c>
    </row>
    <row r="12965" spans="1:4" x14ac:dyDescent="0.4">
      <c r="A12965" t="s">
        <v>998</v>
      </c>
      <c r="B12965" t="s">
        <v>1258</v>
      </c>
      <c r="D12965" t="s">
        <v>1786</v>
      </c>
    </row>
    <row r="12966" spans="1:4" x14ac:dyDescent="0.4">
      <c r="A12966" t="s">
        <v>999</v>
      </c>
      <c r="B12966" t="s">
        <v>1259</v>
      </c>
      <c r="D12966" t="s">
        <v>1787</v>
      </c>
    </row>
    <row r="12967" spans="1:4" x14ac:dyDescent="0.4">
      <c r="A12967" t="s">
        <v>1000</v>
      </c>
      <c r="B12967" t="s">
        <v>1260</v>
      </c>
      <c r="D12967" t="s">
        <v>1788</v>
      </c>
    </row>
    <row r="12968" spans="1:4" x14ac:dyDescent="0.4">
      <c r="A12968" t="s">
        <v>1001</v>
      </c>
      <c r="B12968" t="s">
        <v>1261</v>
      </c>
      <c r="D12968" t="s">
        <v>1789</v>
      </c>
    </row>
    <row r="12969" spans="1:4" x14ac:dyDescent="0.4">
      <c r="A12969" t="s">
        <v>1002</v>
      </c>
      <c r="B12969" t="s">
        <v>1262</v>
      </c>
      <c r="D12969" t="s">
        <v>1790</v>
      </c>
    </row>
    <row r="12970" spans="1:4" x14ac:dyDescent="0.4">
      <c r="A12970" t="s">
        <v>1003</v>
      </c>
      <c r="B12970" t="s">
        <v>1263</v>
      </c>
      <c r="D12970" t="s">
        <v>1791</v>
      </c>
    </row>
    <row r="12971" spans="1:4" x14ac:dyDescent="0.4">
      <c r="A12971" t="s">
        <v>1004</v>
      </c>
      <c r="B12971" t="s">
        <v>1264</v>
      </c>
      <c r="D12971" t="s">
        <v>1792</v>
      </c>
    </row>
    <row r="12972" spans="1:4" x14ac:dyDescent="0.4">
      <c r="A12972" t="s">
        <v>1005</v>
      </c>
      <c r="B12972" t="s">
        <v>1265</v>
      </c>
      <c r="D12972" t="s">
        <v>1793</v>
      </c>
    </row>
    <row r="12973" spans="1:4" x14ac:dyDescent="0.4">
      <c r="A12973" t="s">
        <v>1006</v>
      </c>
      <c r="B12973" t="s">
        <v>1266</v>
      </c>
      <c r="D12973" t="s">
        <v>1794</v>
      </c>
    </row>
    <row r="12974" spans="1:4" x14ac:dyDescent="0.4">
      <c r="A12974" t="s">
        <v>1007</v>
      </c>
      <c r="B12974" t="s">
        <v>1267</v>
      </c>
    </row>
    <row r="12975" spans="1:4" x14ac:dyDescent="0.4">
      <c r="A12975" t="s">
        <v>1008</v>
      </c>
      <c r="B12975" t="s">
        <v>1268</v>
      </c>
    </row>
    <row r="12976" spans="1:4" x14ac:dyDescent="0.4">
      <c r="A12976" t="s">
        <v>1009</v>
      </c>
      <c r="B12976" t="s">
        <v>1269</v>
      </c>
      <c r="D12976" t="s">
        <v>744</v>
      </c>
    </row>
    <row r="12977" spans="1:4" x14ac:dyDescent="0.4">
      <c r="A12977" t="s">
        <v>1010</v>
      </c>
      <c r="B12977" t="s">
        <v>1270</v>
      </c>
      <c r="D12977" t="s">
        <v>1795</v>
      </c>
    </row>
    <row r="12978" spans="1:4" x14ac:dyDescent="0.4">
      <c r="B12978" t="s">
        <v>1271</v>
      </c>
      <c r="D12978" t="s">
        <v>746</v>
      </c>
    </row>
    <row r="12979" spans="1:4" x14ac:dyDescent="0.4">
      <c r="B12979" t="s">
        <v>1272</v>
      </c>
      <c r="D12979" t="s">
        <v>747</v>
      </c>
    </row>
    <row r="12980" spans="1:4" x14ac:dyDescent="0.4">
      <c r="B12980" t="s">
        <v>1273</v>
      </c>
    </row>
    <row r="12981" spans="1:4" x14ac:dyDescent="0.4">
      <c r="B12981" t="s">
        <v>1274</v>
      </c>
      <c r="D12981" t="s">
        <v>748</v>
      </c>
    </row>
    <row r="12982" spans="1:4" x14ac:dyDescent="0.4">
      <c r="B12982" t="s">
        <v>1275</v>
      </c>
      <c r="D12982" t="s">
        <v>1796</v>
      </c>
    </row>
    <row r="12983" spans="1:4" x14ac:dyDescent="0.4">
      <c r="B12983" t="s">
        <v>1276</v>
      </c>
      <c r="D12983" t="s">
        <v>1797</v>
      </c>
    </row>
    <row r="12984" spans="1:4" x14ac:dyDescent="0.4">
      <c r="B12984" t="s">
        <v>1277</v>
      </c>
      <c r="D12984" t="s">
        <v>1798</v>
      </c>
    </row>
    <row r="12985" spans="1:4" x14ac:dyDescent="0.4">
      <c r="B12985" t="s">
        <v>1278</v>
      </c>
      <c r="D12985" t="s">
        <v>1799</v>
      </c>
    </row>
    <row r="12986" spans="1:4" x14ac:dyDescent="0.4">
      <c r="B12986" t="s">
        <v>1279</v>
      </c>
      <c r="D12986" t="s">
        <v>1800</v>
      </c>
    </row>
    <row r="12987" spans="1:4" x14ac:dyDescent="0.4">
      <c r="B12987" t="s">
        <v>1280</v>
      </c>
      <c r="D12987" t="s">
        <v>1801</v>
      </c>
    </row>
    <row r="12988" spans="1:4" x14ac:dyDescent="0.4">
      <c r="B12988" t="s">
        <v>1281</v>
      </c>
      <c r="D12988" t="s">
        <v>1802</v>
      </c>
    </row>
    <row r="12989" spans="1:4" x14ac:dyDescent="0.4">
      <c r="B12989" t="s">
        <v>1282</v>
      </c>
      <c r="D12989" t="s">
        <v>1803</v>
      </c>
    </row>
    <row r="12990" spans="1:4" x14ac:dyDescent="0.4">
      <c r="D12990" t="s">
        <v>1804</v>
      </c>
    </row>
    <row r="12991" spans="1:4" x14ac:dyDescent="0.4">
      <c r="D12991" t="s">
        <v>1805</v>
      </c>
    </row>
    <row r="12992" spans="1:4" x14ac:dyDescent="0.4">
      <c r="B12992" t="s">
        <v>744</v>
      </c>
      <c r="D12992" t="s">
        <v>1806</v>
      </c>
    </row>
    <row r="12993" spans="2:4" x14ac:dyDescent="0.4">
      <c r="B12993" t="s">
        <v>1283</v>
      </c>
      <c r="D12993" t="s">
        <v>1807</v>
      </c>
    </row>
    <row r="12994" spans="2:4" x14ac:dyDescent="0.4">
      <c r="B12994" t="s">
        <v>746</v>
      </c>
      <c r="D12994" t="s">
        <v>1808</v>
      </c>
    </row>
    <row r="12995" spans="2:4" x14ac:dyDescent="0.4">
      <c r="B12995" t="s">
        <v>747</v>
      </c>
      <c r="D12995" t="s">
        <v>1809</v>
      </c>
    </row>
    <row r="12996" spans="2:4" x14ac:dyDescent="0.4">
      <c r="D12996" t="s">
        <v>1810</v>
      </c>
    </row>
    <row r="12997" spans="2:4" x14ac:dyDescent="0.4">
      <c r="B12997" t="s">
        <v>748</v>
      </c>
      <c r="D12997" t="s">
        <v>1811</v>
      </c>
    </row>
    <row r="12998" spans="2:4" x14ac:dyDescent="0.4">
      <c r="B12998" t="s">
        <v>1284</v>
      </c>
      <c r="D12998" t="s">
        <v>1812</v>
      </c>
    </row>
    <row r="12999" spans="2:4" x14ac:dyDescent="0.4">
      <c r="B12999" t="s">
        <v>1285</v>
      </c>
      <c r="D12999" t="s">
        <v>1813</v>
      </c>
    </row>
    <row r="13000" spans="2:4" x14ac:dyDescent="0.4">
      <c r="B13000" t="s">
        <v>1286</v>
      </c>
      <c r="D13000" t="s">
        <v>1814</v>
      </c>
    </row>
    <row r="13001" spans="2:4" x14ac:dyDescent="0.4">
      <c r="B13001" t="s">
        <v>1287</v>
      </c>
      <c r="D13001" t="s">
        <v>1815</v>
      </c>
    </row>
    <row r="13002" spans="2:4" x14ac:dyDescent="0.4">
      <c r="B13002" t="s">
        <v>1288</v>
      </c>
      <c r="D13002" t="s">
        <v>1816</v>
      </c>
    </row>
    <row r="13003" spans="2:4" x14ac:dyDescent="0.4">
      <c r="B13003" t="s">
        <v>1289</v>
      </c>
      <c r="D13003" t="s">
        <v>1817</v>
      </c>
    </row>
    <row r="13004" spans="2:4" x14ac:dyDescent="0.4">
      <c r="B13004" t="s">
        <v>1290</v>
      </c>
      <c r="D13004" t="s">
        <v>1818</v>
      </c>
    </row>
    <row r="13005" spans="2:4" x14ac:dyDescent="0.4">
      <c r="B13005" t="s">
        <v>1291</v>
      </c>
      <c r="D13005" t="s">
        <v>1819</v>
      </c>
    </row>
    <row r="13006" spans="2:4" x14ac:dyDescent="0.4">
      <c r="B13006" t="s">
        <v>1292</v>
      </c>
      <c r="D13006" t="s">
        <v>1820</v>
      </c>
    </row>
    <row r="13007" spans="2:4" x14ac:dyDescent="0.4">
      <c r="B13007" t="s">
        <v>1293</v>
      </c>
      <c r="D13007" t="s">
        <v>1821</v>
      </c>
    </row>
    <row r="13008" spans="2:4" x14ac:dyDescent="0.4">
      <c r="B13008" t="s">
        <v>1294</v>
      </c>
      <c r="D13008" t="s">
        <v>1822</v>
      </c>
    </row>
    <row r="13009" spans="2:2" x14ac:dyDescent="0.4">
      <c r="B13009" t="s">
        <v>1295</v>
      </c>
    </row>
    <row r="13010" spans="2:2" x14ac:dyDescent="0.4">
      <c r="B13010" t="s">
        <v>1296</v>
      </c>
    </row>
    <row r="13011" spans="2:2" x14ac:dyDescent="0.4">
      <c r="B13011" t="s">
        <v>1297</v>
      </c>
    </row>
    <row r="13012" spans="2:2" x14ac:dyDescent="0.4">
      <c r="B13012" t="s">
        <v>1298</v>
      </c>
    </row>
    <row r="13013" spans="2:2" x14ac:dyDescent="0.4">
      <c r="B13013" t="s">
        <v>1299</v>
      </c>
    </row>
    <row r="13014" spans="2:2" x14ac:dyDescent="0.4">
      <c r="B13014" t="s">
        <v>1300</v>
      </c>
    </row>
    <row r="13015" spans="2:2" x14ac:dyDescent="0.4">
      <c r="B13015" t="s">
        <v>1301</v>
      </c>
    </row>
    <row r="13016" spans="2:2" x14ac:dyDescent="0.4">
      <c r="B13016" t="s">
        <v>1302</v>
      </c>
    </row>
    <row r="13017" spans="2:2" x14ac:dyDescent="0.4">
      <c r="B13017" t="s">
        <v>1303</v>
      </c>
    </row>
    <row r="13018" spans="2:2" x14ac:dyDescent="0.4">
      <c r="B13018" t="s">
        <v>1304</v>
      </c>
    </row>
    <row r="13019" spans="2:2" x14ac:dyDescent="0.4">
      <c r="B13019" t="s">
        <v>1305</v>
      </c>
    </row>
    <row r="13020" spans="2:2" x14ac:dyDescent="0.4">
      <c r="B13020" t="s">
        <v>1306</v>
      </c>
    </row>
    <row r="13021" spans="2:2" x14ac:dyDescent="0.4">
      <c r="B13021" t="s">
        <v>1307</v>
      </c>
    </row>
    <row r="13022" spans="2:2" x14ac:dyDescent="0.4">
      <c r="B13022" t="s">
        <v>1308</v>
      </c>
    </row>
    <row r="13023" spans="2:2" x14ac:dyDescent="0.4">
      <c r="B13023" t="s">
        <v>1309</v>
      </c>
    </row>
    <row r="13026" spans="2:2" x14ac:dyDescent="0.4">
      <c r="B13026" t="s">
        <v>744</v>
      </c>
    </row>
    <row r="13027" spans="2:2" x14ac:dyDescent="0.4">
      <c r="B13027" t="s">
        <v>1310</v>
      </c>
    </row>
    <row r="13028" spans="2:2" x14ac:dyDescent="0.4">
      <c r="B13028" t="s">
        <v>746</v>
      </c>
    </row>
    <row r="13029" spans="2:2" x14ac:dyDescent="0.4">
      <c r="B13029" t="s">
        <v>747</v>
      </c>
    </row>
    <row r="13031" spans="2:2" x14ac:dyDescent="0.4">
      <c r="B13031" t="s">
        <v>748</v>
      </c>
    </row>
    <row r="13032" spans="2:2" x14ac:dyDescent="0.4">
      <c r="B13032" t="s">
        <v>1311</v>
      </c>
    </row>
    <row r="13033" spans="2:2" x14ac:dyDescent="0.4">
      <c r="B13033" t="s">
        <v>1312</v>
      </c>
    </row>
    <row r="13034" spans="2:2" x14ac:dyDescent="0.4">
      <c r="B13034" t="s">
        <v>1313</v>
      </c>
    </row>
    <row r="13035" spans="2:2" x14ac:dyDescent="0.4">
      <c r="B13035" t="s">
        <v>1314</v>
      </c>
    </row>
    <row r="13036" spans="2:2" x14ac:dyDescent="0.4">
      <c r="B13036" t="s">
        <v>1315</v>
      </c>
    </row>
    <row r="13037" spans="2:2" x14ac:dyDescent="0.4">
      <c r="B13037" t="s">
        <v>1316</v>
      </c>
    </row>
    <row r="13038" spans="2:2" x14ac:dyDescent="0.4">
      <c r="B13038" t="s">
        <v>1317</v>
      </c>
    </row>
    <row r="13039" spans="2:2" x14ac:dyDescent="0.4">
      <c r="B13039" t="s">
        <v>1318</v>
      </c>
    </row>
    <row r="13040" spans="2:2" x14ac:dyDescent="0.4">
      <c r="B13040" t="s">
        <v>1319</v>
      </c>
    </row>
    <row r="13041" spans="2:2" x14ac:dyDescent="0.4">
      <c r="B13041" t="s">
        <v>1320</v>
      </c>
    </row>
    <row r="13042" spans="2:2" x14ac:dyDescent="0.4">
      <c r="B13042" t="s">
        <v>1321</v>
      </c>
    </row>
    <row r="13043" spans="2:2" x14ac:dyDescent="0.4">
      <c r="B13043" t="s">
        <v>1322</v>
      </c>
    </row>
    <row r="13044" spans="2:2" x14ac:dyDescent="0.4">
      <c r="B13044" t="s">
        <v>1323</v>
      </c>
    </row>
    <row r="13045" spans="2:2" x14ac:dyDescent="0.4">
      <c r="B13045" t="s">
        <v>1324</v>
      </c>
    </row>
    <row r="13046" spans="2:2" x14ac:dyDescent="0.4">
      <c r="B13046" t="s">
        <v>1325</v>
      </c>
    </row>
    <row r="13047" spans="2:2" x14ac:dyDescent="0.4">
      <c r="B13047" t="s">
        <v>1326</v>
      </c>
    </row>
    <row r="13048" spans="2:2" x14ac:dyDescent="0.4">
      <c r="B13048" t="s">
        <v>1327</v>
      </c>
    </row>
    <row r="13049" spans="2:2" x14ac:dyDescent="0.4">
      <c r="B13049" t="s">
        <v>1328</v>
      </c>
    </row>
    <row r="13050" spans="2:2" x14ac:dyDescent="0.4">
      <c r="B13050" t="s">
        <v>1329</v>
      </c>
    </row>
    <row r="13051" spans="2:2" x14ac:dyDescent="0.4">
      <c r="B13051" t="s">
        <v>1330</v>
      </c>
    </row>
    <row r="13052" spans="2:2" x14ac:dyDescent="0.4">
      <c r="B13052" t="s">
        <v>1331</v>
      </c>
    </row>
    <row r="13053" spans="2:2" x14ac:dyDescent="0.4">
      <c r="B13053" t="s">
        <v>1332</v>
      </c>
    </row>
    <row r="13054" spans="2:2" x14ac:dyDescent="0.4">
      <c r="B13054" t="s">
        <v>1333</v>
      </c>
    </row>
    <row r="13055" spans="2:2" x14ac:dyDescent="0.4">
      <c r="B13055" t="s">
        <v>1334</v>
      </c>
    </row>
    <row r="13056" spans="2:2" x14ac:dyDescent="0.4">
      <c r="B13056" t="s">
        <v>1335</v>
      </c>
    </row>
    <row r="13057" spans="2:2" x14ac:dyDescent="0.4">
      <c r="B13057" t="s">
        <v>1336</v>
      </c>
    </row>
    <row r="13058" spans="2:2" x14ac:dyDescent="0.4">
      <c r="B13058" t="s">
        <v>1337</v>
      </c>
    </row>
    <row r="13059" spans="2:2" x14ac:dyDescent="0.4">
      <c r="B13059" t="s">
        <v>1338</v>
      </c>
    </row>
    <row r="13060" spans="2:2" x14ac:dyDescent="0.4">
      <c r="B13060" t="s">
        <v>1339</v>
      </c>
    </row>
    <row r="13061" spans="2:2" x14ac:dyDescent="0.4">
      <c r="B13061" t="s">
        <v>1340</v>
      </c>
    </row>
    <row r="13064" spans="2:2" x14ac:dyDescent="0.4">
      <c r="B13064" t="s">
        <v>744</v>
      </c>
    </row>
    <row r="13065" spans="2:2" x14ac:dyDescent="0.4">
      <c r="B13065" t="s">
        <v>1341</v>
      </c>
    </row>
    <row r="13066" spans="2:2" x14ac:dyDescent="0.4">
      <c r="B13066" t="s">
        <v>746</v>
      </c>
    </row>
    <row r="13067" spans="2:2" x14ac:dyDescent="0.4">
      <c r="B13067" t="s">
        <v>747</v>
      </c>
    </row>
    <row r="13069" spans="2:2" x14ac:dyDescent="0.4">
      <c r="B13069" t="s">
        <v>748</v>
      </c>
    </row>
    <row r="13070" spans="2:2" x14ac:dyDescent="0.4">
      <c r="B13070" t="s">
        <v>1342</v>
      </c>
    </row>
    <row r="13071" spans="2:2" x14ac:dyDescent="0.4">
      <c r="B13071" t="s">
        <v>1343</v>
      </c>
    </row>
    <row r="13072" spans="2:2" x14ac:dyDescent="0.4">
      <c r="B13072" t="s">
        <v>1344</v>
      </c>
    </row>
    <row r="13073" spans="2:2" x14ac:dyDescent="0.4">
      <c r="B13073" t="s">
        <v>1345</v>
      </c>
    </row>
    <row r="13074" spans="2:2" x14ac:dyDescent="0.4">
      <c r="B13074" t="s">
        <v>1346</v>
      </c>
    </row>
    <row r="13075" spans="2:2" x14ac:dyDescent="0.4">
      <c r="B13075" t="s">
        <v>1347</v>
      </c>
    </row>
    <row r="13076" spans="2:2" x14ac:dyDescent="0.4">
      <c r="B13076" t="s">
        <v>1348</v>
      </c>
    </row>
    <row r="13077" spans="2:2" x14ac:dyDescent="0.4">
      <c r="B13077" t="s">
        <v>1349</v>
      </c>
    </row>
    <row r="13078" spans="2:2" x14ac:dyDescent="0.4">
      <c r="B13078" t="s">
        <v>1350</v>
      </c>
    </row>
    <row r="13079" spans="2:2" x14ac:dyDescent="0.4">
      <c r="B13079" t="s">
        <v>1351</v>
      </c>
    </row>
    <row r="13080" spans="2:2" x14ac:dyDescent="0.4">
      <c r="B13080" t="s">
        <v>1352</v>
      </c>
    </row>
    <row r="13081" spans="2:2" x14ac:dyDescent="0.4">
      <c r="B13081" t="s">
        <v>1353</v>
      </c>
    </row>
    <row r="13082" spans="2:2" x14ac:dyDescent="0.4">
      <c r="B13082" t="s">
        <v>1354</v>
      </c>
    </row>
    <row r="13083" spans="2:2" x14ac:dyDescent="0.4">
      <c r="B13083" t="s">
        <v>1355</v>
      </c>
    </row>
    <row r="13084" spans="2:2" x14ac:dyDescent="0.4">
      <c r="B13084" t="s">
        <v>1356</v>
      </c>
    </row>
    <row r="13085" spans="2:2" x14ac:dyDescent="0.4">
      <c r="B13085" t="s">
        <v>1357</v>
      </c>
    </row>
    <row r="13086" spans="2:2" x14ac:dyDescent="0.4">
      <c r="B13086" t="s">
        <v>1358</v>
      </c>
    </row>
    <row r="13087" spans="2:2" x14ac:dyDescent="0.4">
      <c r="B13087" t="s">
        <v>1359</v>
      </c>
    </row>
    <row r="13088" spans="2:2" x14ac:dyDescent="0.4">
      <c r="B13088" t="s">
        <v>1360</v>
      </c>
    </row>
    <row r="13089" spans="2:2" x14ac:dyDescent="0.4">
      <c r="B13089" t="s">
        <v>1361</v>
      </c>
    </row>
    <row r="13090" spans="2:2" x14ac:dyDescent="0.4">
      <c r="B13090" t="s">
        <v>1362</v>
      </c>
    </row>
    <row r="13091" spans="2:2" x14ac:dyDescent="0.4">
      <c r="B13091" t="s">
        <v>1363</v>
      </c>
    </row>
    <row r="13092" spans="2:2" x14ac:dyDescent="0.4">
      <c r="B13092" t="s">
        <v>1364</v>
      </c>
    </row>
    <row r="13093" spans="2:2" x14ac:dyDescent="0.4">
      <c r="B13093" t="s">
        <v>1365</v>
      </c>
    </row>
    <row r="13094" spans="2:2" x14ac:dyDescent="0.4">
      <c r="B13094" t="s">
        <v>1366</v>
      </c>
    </row>
    <row r="13095" spans="2:2" x14ac:dyDescent="0.4">
      <c r="B13095" t="s">
        <v>1367</v>
      </c>
    </row>
    <row r="13096" spans="2:2" x14ac:dyDescent="0.4">
      <c r="B13096" t="s">
        <v>1368</v>
      </c>
    </row>
    <row r="13099" spans="2:2" x14ac:dyDescent="0.4">
      <c r="B13099" t="s">
        <v>744</v>
      </c>
    </row>
    <row r="13100" spans="2:2" x14ac:dyDescent="0.4">
      <c r="B13100" t="s">
        <v>1369</v>
      </c>
    </row>
    <row r="13359" spans="1:6" ht="21" customHeight="1" x14ac:dyDescent="0.4">
      <c r="A13359" s="67" t="s">
        <v>703</v>
      </c>
      <c r="B13359" s="68"/>
      <c r="C13359" s="68"/>
      <c r="D13359" s="68"/>
      <c r="E13359" s="68"/>
      <c r="F13359" s="68"/>
    </row>
    <row r="13360" spans="1:6" x14ac:dyDescent="0.4">
      <c r="A13360" s="59" t="s">
        <v>680</v>
      </c>
      <c r="B13360" s="59" t="s">
        <v>681</v>
      </c>
      <c r="C13360" s="59" t="s">
        <v>682</v>
      </c>
      <c r="D13360" s="59" t="s">
        <v>683</v>
      </c>
      <c r="E13360" s="59" t="s">
        <v>684</v>
      </c>
      <c r="F13360" s="60" t="str">
        <f>HYPERLINK("#'⑨ 구배 자동계산'!A1","◂ ⑨ 계산 시트로")</f>
        <v>◂ ⑨ 계산 시트로</v>
      </c>
    </row>
    <row r="13361" spans="1:5" x14ac:dyDescent="0.4">
      <c r="A13361" s="61"/>
      <c r="B13361" s="61"/>
      <c r="C13361" s="61"/>
      <c r="D13361" s="61"/>
      <c r="E13361" s="61"/>
    </row>
    <row r="13362" spans="1:5" x14ac:dyDescent="0.4">
      <c r="A13362" s="61"/>
      <c r="B13362" s="61"/>
      <c r="C13362" s="61"/>
      <c r="D13362" s="61"/>
      <c r="E13362" s="61"/>
    </row>
    <row r="13363" spans="1:5" x14ac:dyDescent="0.4">
      <c r="A13363" s="61"/>
      <c r="B13363" s="61"/>
      <c r="C13363" s="61"/>
      <c r="D13363" s="61"/>
      <c r="E13363" s="61"/>
    </row>
    <row r="14062" spans="1:6" ht="21" customHeight="1" x14ac:dyDescent="0.4">
      <c r="A14062" s="67" t="s">
        <v>704</v>
      </c>
      <c r="B14062" s="68"/>
      <c r="C14062" s="68"/>
      <c r="D14062" s="68"/>
      <c r="E14062" s="68"/>
      <c r="F14062" s="68"/>
    </row>
    <row r="14063" spans="1:6" x14ac:dyDescent="0.4">
      <c r="A14063" s="59" t="s">
        <v>680</v>
      </c>
      <c r="B14063" s="59" t="s">
        <v>681</v>
      </c>
      <c r="C14063" s="59" t="s">
        <v>682</v>
      </c>
      <c r="D14063" s="59" t="s">
        <v>683</v>
      </c>
      <c r="E14063" s="59" t="s">
        <v>684</v>
      </c>
      <c r="F14063" s="60" t="str">
        <f>HYPERLINK("#'⑨ 구배 자동계산'!A1","◂ ⑨ 계산 시트로")</f>
        <v>◂ ⑨ 계산 시트로</v>
      </c>
    </row>
    <row r="14064" spans="1:6" x14ac:dyDescent="0.4">
      <c r="A14064" s="61"/>
      <c r="B14064" s="61"/>
      <c r="C14064" s="61"/>
      <c r="D14064" s="61"/>
      <c r="E14064" s="61"/>
    </row>
    <row r="14065" spans="1:5" x14ac:dyDescent="0.4">
      <c r="A14065" s="61"/>
      <c r="B14065" s="61"/>
      <c r="C14065" s="61"/>
      <c r="D14065" s="61"/>
      <c r="E14065" s="61"/>
    </row>
    <row r="14066" spans="1:5" x14ac:dyDescent="0.4">
      <c r="A14066" s="61"/>
      <c r="B14066" s="61"/>
      <c r="C14066" s="61"/>
      <c r="D14066" s="61"/>
      <c r="E14066" s="61"/>
    </row>
    <row r="14765" spans="1:6" ht="21" customHeight="1" x14ac:dyDescent="0.4">
      <c r="A14765" s="67" t="s">
        <v>705</v>
      </c>
      <c r="B14765" s="68"/>
      <c r="C14765" s="68"/>
      <c r="D14765" s="68"/>
      <c r="E14765" s="68"/>
      <c r="F14765" s="68"/>
    </row>
    <row r="14766" spans="1:6" x14ac:dyDescent="0.4">
      <c r="A14766" s="59" t="s">
        <v>680</v>
      </c>
      <c r="B14766" s="59" t="s">
        <v>681</v>
      </c>
      <c r="C14766" s="59" t="s">
        <v>682</v>
      </c>
      <c r="D14766" s="59" t="s">
        <v>683</v>
      </c>
      <c r="E14766" s="59" t="s">
        <v>684</v>
      </c>
      <c r="F14766" s="60" t="str">
        <f>HYPERLINK("#'⑨ 구배 자동계산'!A1","◂ ⑨ 계산 시트로")</f>
        <v>◂ ⑨ 계산 시트로</v>
      </c>
    </row>
    <row r="14767" spans="1:6" x14ac:dyDescent="0.4">
      <c r="A14767" s="61"/>
      <c r="B14767" s="61"/>
      <c r="C14767" s="61"/>
      <c r="D14767" s="61"/>
      <c r="E14767" s="61"/>
    </row>
    <row r="14768" spans="1:6" x14ac:dyDescent="0.4">
      <c r="A14768" s="61"/>
      <c r="B14768" s="61"/>
      <c r="C14768" s="61"/>
      <c r="D14768" s="61"/>
      <c r="E14768" s="61"/>
    </row>
    <row r="14769" spans="1:5" x14ac:dyDescent="0.4">
      <c r="A14769" s="61"/>
      <c r="B14769" s="61"/>
      <c r="C14769" s="61"/>
      <c r="D14769" s="61"/>
      <c r="E14769" s="61"/>
    </row>
    <row r="15468" spans="1:6" ht="21" customHeight="1" x14ac:dyDescent="0.4">
      <c r="A15468" s="67" t="s">
        <v>706</v>
      </c>
      <c r="B15468" s="68"/>
      <c r="C15468" s="68"/>
      <c r="D15468" s="68"/>
      <c r="E15468" s="68"/>
      <c r="F15468" s="68"/>
    </row>
    <row r="15469" spans="1:6" x14ac:dyDescent="0.4">
      <c r="A15469" s="59" t="s">
        <v>680</v>
      </c>
      <c r="B15469" s="59" t="s">
        <v>681</v>
      </c>
      <c r="C15469" s="59" t="s">
        <v>682</v>
      </c>
      <c r="D15469" s="59" t="s">
        <v>683</v>
      </c>
      <c r="E15469" s="59" t="s">
        <v>684</v>
      </c>
      <c r="F15469" s="60" t="str">
        <f>HYPERLINK("#'⑨ 구배 자동계산'!A1","◂ ⑨ 계산 시트로")</f>
        <v>◂ ⑨ 계산 시트로</v>
      </c>
    </row>
    <row r="15470" spans="1:6" x14ac:dyDescent="0.4">
      <c r="A15470" s="61"/>
      <c r="B15470" s="61"/>
      <c r="C15470" s="61"/>
      <c r="D15470" s="61"/>
      <c r="E15470" s="61"/>
    </row>
    <row r="15471" spans="1:6" x14ac:dyDescent="0.4">
      <c r="A15471" s="61"/>
      <c r="B15471" s="61"/>
      <c r="C15471" s="61"/>
      <c r="D15471" s="61"/>
      <c r="E15471" s="61"/>
    </row>
    <row r="15472" spans="1:6" x14ac:dyDescent="0.4">
      <c r="A15472" s="61"/>
      <c r="B15472" s="61"/>
      <c r="C15472" s="61"/>
      <c r="D15472" s="61"/>
      <c r="E15472" s="61"/>
    </row>
    <row r="16171" spans="1:6" ht="21" customHeight="1" x14ac:dyDescent="0.4">
      <c r="A16171" s="67" t="s">
        <v>707</v>
      </c>
      <c r="B16171" s="68"/>
      <c r="C16171" s="68"/>
      <c r="D16171" s="68"/>
      <c r="E16171" s="68"/>
      <c r="F16171" s="68"/>
    </row>
    <row r="16172" spans="1:6" x14ac:dyDescent="0.4">
      <c r="A16172" s="59" t="s">
        <v>680</v>
      </c>
      <c r="B16172" s="59" t="s">
        <v>681</v>
      </c>
      <c r="C16172" s="59" t="s">
        <v>682</v>
      </c>
      <c r="D16172" s="59" t="s">
        <v>683</v>
      </c>
      <c r="E16172" s="59" t="s">
        <v>684</v>
      </c>
      <c r="F16172" s="60" t="str">
        <f>HYPERLINK("#'⑨ 구배 자동계산'!A1","◂ ⑨ 계산 시트로")</f>
        <v>◂ ⑨ 계산 시트로</v>
      </c>
    </row>
    <row r="16173" spans="1:6" x14ac:dyDescent="0.4">
      <c r="A16173" s="61"/>
      <c r="B16173" s="61"/>
      <c r="C16173" s="61"/>
      <c r="D16173" s="61"/>
      <c r="E16173" s="61"/>
    </row>
    <row r="16174" spans="1:6" x14ac:dyDescent="0.4">
      <c r="A16174" s="61"/>
      <c r="B16174" s="61"/>
      <c r="C16174" s="61"/>
      <c r="D16174" s="61"/>
      <c r="E16174" s="61"/>
    </row>
    <row r="16175" spans="1:6" x14ac:dyDescent="0.4">
      <c r="A16175" s="61"/>
      <c r="B16175" s="61"/>
      <c r="C16175" s="61"/>
      <c r="D16175" s="61"/>
      <c r="E16175" s="61"/>
    </row>
    <row r="16874" spans="1:6" ht="21" customHeight="1" x14ac:dyDescent="0.4">
      <c r="A16874" s="67" t="s">
        <v>708</v>
      </c>
      <c r="B16874" s="68"/>
      <c r="C16874" s="68"/>
      <c r="D16874" s="68"/>
      <c r="E16874" s="68"/>
      <c r="F16874" s="68"/>
    </row>
    <row r="16875" spans="1:6" x14ac:dyDescent="0.4">
      <c r="A16875" s="59" t="s">
        <v>680</v>
      </c>
      <c r="B16875" s="59" t="s">
        <v>681</v>
      </c>
      <c r="C16875" s="59" t="s">
        <v>682</v>
      </c>
      <c r="D16875" s="59" t="s">
        <v>683</v>
      </c>
      <c r="E16875" s="59" t="s">
        <v>684</v>
      </c>
      <c r="F16875" s="60" t="str">
        <f>HYPERLINK("#'⑨ 구배 자동계산'!A1","◂ ⑨ 계산 시트로")</f>
        <v>◂ ⑨ 계산 시트로</v>
      </c>
    </row>
    <row r="16876" spans="1:6" x14ac:dyDescent="0.4">
      <c r="A16876" s="61"/>
      <c r="B16876" s="61"/>
      <c r="C16876" s="61"/>
      <c r="D16876" s="61"/>
      <c r="E16876" s="61"/>
    </row>
    <row r="16877" spans="1:6" x14ac:dyDescent="0.4">
      <c r="A16877" s="61"/>
      <c r="B16877" s="61"/>
      <c r="C16877" s="61"/>
      <c r="D16877" s="61"/>
      <c r="E16877" s="61"/>
    </row>
    <row r="16878" spans="1:6" x14ac:dyDescent="0.4">
      <c r="A16878" s="61"/>
      <c r="B16878" s="61"/>
      <c r="C16878" s="61"/>
      <c r="D16878" s="61"/>
      <c r="E16878" s="61"/>
    </row>
    <row r="17577" spans="1:6" ht="21" customHeight="1" x14ac:dyDescent="0.4">
      <c r="A17577" s="67" t="s">
        <v>709</v>
      </c>
      <c r="B17577" s="68"/>
      <c r="C17577" s="68"/>
      <c r="D17577" s="68"/>
      <c r="E17577" s="68"/>
      <c r="F17577" s="68"/>
    </row>
    <row r="17578" spans="1:6" x14ac:dyDescent="0.4">
      <c r="A17578" s="59" t="s">
        <v>680</v>
      </c>
      <c r="B17578" s="59" t="s">
        <v>681</v>
      </c>
      <c r="C17578" s="59" t="s">
        <v>682</v>
      </c>
      <c r="D17578" s="59" t="s">
        <v>683</v>
      </c>
      <c r="E17578" s="59" t="s">
        <v>684</v>
      </c>
      <c r="F17578" s="60" t="str">
        <f>HYPERLINK("#'⑨ 구배 자동계산'!A1","◂ ⑨ 계산 시트로")</f>
        <v>◂ ⑨ 계산 시트로</v>
      </c>
    </row>
    <row r="17579" spans="1:6" x14ac:dyDescent="0.4">
      <c r="A17579" s="61"/>
      <c r="B17579" s="61"/>
      <c r="C17579" s="61"/>
      <c r="D17579" s="61"/>
      <c r="E17579" s="61"/>
    </row>
    <row r="17580" spans="1:6" x14ac:dyDescent="0.4">
      <c r="A17580" s="61"/>
      <c r="B17580" s="61"/>
      <c r="C17580" s="61"/>
      <c r="D17580" s="61"/>
      <c r="E17580" s="61"/>
    </row>
    <row r="17581" spans="1:6" x14ac:dyDescent="0.4">
      <c r="A17581" s="61"/>
      <c r="B17581" s="61"/>
      <c r="C17581" s="61"/>
      <c r="D17581" s="61"/>
      <c r="E17581" s="61"/>
    </row>
    <row r="18280" spans="1:6" ht="21" customHeight="1" x14ac:dyDescent="0.4">
      <c r="A18280" s="67" t="s">
        <v>710</v>
      </c>
      <c r="B18280" s="68"/>
      <c r="C18280" s="68"/>
      <c r="D18280" s="68"/>
      <c r="E18280" s="68"/>
      <c r="F18280" s="68"/>
    </row>
    <row r="18281" spans="1:6" x14ac:dyDescent="0.4">
      <c r="A18281" s="59" t="s">
        <v>680</v>
      </c>
      <c r="B18281" s="59" t="s">
        <v>681</v>
      </c>
      <c r="C18281" s="59" t="s">
        <v>682</v>
      </c>
      <c r="D18281" s="59" t="s">
        <v>683</v>
      </c>
      <c r="E18281" s="59" t="s">
        <v>684</v>
      </c>
      <c r="F18281" s="60" t="str">
        <f>HYPERLINK("#'⑨ 구배 자동계산'!A1","◂ ⑨ 계산 시트로")</f>
        <v>◂ ⑨ 계산 시트로</v>
      </c>
    </row>
    <row r="18282" spans="1:6" x14ac:dyDescent="0.4">
      <c r="A18282" s="61"/>
      <c r="B18282" s="61"/>
      <c r="C18282" s="61"/>
      <c r="D18282" s="61"/>
      <c r="E18282" s="61"/>
    </row>
    <row r="18283" spans="1:6" x14ac:dyDescent="0.4">
      <c r="A18283" s="61"/>
      <c r="B18283" s="61"/>
      <c r="C18283" s="61"/>
      <c r="D18283" s="61"/>
      <c r="E18283" s="61"/>
    </row>
    <row r="18284" spans="1:6" x14ac:dyDescent="0.4">
      <c r="A18284" s="61"/>
      <c r="B18284" s="61"/>
      <c r="C18284" s="61"/>
      <c r="D18284" s="61"/>
      <c r="E18284" s="61"/>
    </row>
    <row r="18983" spans="1:6" ht="21" customHeight="1" x14ac:dyDescent="0.4">
      <c r="A18983" s="67" t="s">
        <v>711</v>
      </c>
      <c r="B18983" s="68"/>
      <c r="C18983" s="68"/>
      <c r="D18983" s="68"/>
      <c r="E18983" s="68"/>
      <c r="F18983" s="68"/>
    </row>
    <row r="18984" spans="1:6" x14ac:dyDescent="0.4">
      <c r="A18984" s="59" t="s">
        <v>680</v>
      </c>
      <c r="B18984" s="59" t="s">
        <v>681</v>
      </c>
      <c r="C18984" s="59" t="s">
        <v>682</v>
      </c>
      <c r="D18984" s="59" t="s">
        <v>683</v>
      </c>
      <c r="E18984" s="59" t="s">
        <v>684</v>
      </c>
      <c r="F18984" s="60" t="str">
        <f>HYPERLINK("#'⑨ 구배 자동계산'!A1","◂ ⑨ 계산 시트로")</f>
        <v>◂ ⑨ 계산 시트로</v>
      </c>
    </row>
    <row r="18985" spans="1:6" x14ac:dyDescent="0.4">
      <c r="A18985" s="61"/>
      <c r="B18985" s="61"/>
      <c r="C18985" s="61"/>
      <c r="D18985" s="61"/>
      <c r="E18985" s="61"/>
    </row>
    <row r="18986" spans="1:6" x14ac:dyDescent="0.4">
      <c r="A18986" s="61"/>
      <c r="B18986" s="61"/>
      <c r="C18986" s="61"/>
      <c r="D18986" s="61"/>
      <c r="E18986" s="61"/>
    </row>
    <row r="18987" spans="1:6" x14ac:dyDescent="0.4">
      <c r="A18987" s="61"/>
      <c r="B18987" s="61"/>
      <c r="C18987" s="61"/>
      <c r="D18987" s="61"/>
      <c r="E18987" s="61"/>
    </row>
    <row r="19686" spans="1:6" ht="21" customHeight="1" x14ac:dyDescent="0.4">
      <c r="A19686" s="67" t="s">
        <v>712</v>
      </c>
      <c r="B19686" s="68"/>
      <c r="C19686" s="68"/>
      <c r="D19686" s="68"/>
      <c r="E19686" s="68"/>
      <c r="F19686" s="68"/>
    </row>
    <row r="19687" spans="1:6" x14ac:dyDescent="0.4">
      <c r="A19687" s="59" t="s">
        <v>680</v>
      </c>
      <c r="B19687" s="59" t="s">
        <v>681</v>
      </c>
      <c r="C19687" s="59" t="s">
        <v>682</v>
      </c>
      <c r="D19687" s="59" t="s">
        <v>683</v>
      </c>
      <c r="E19687" s="59" t="s">
        <v>684</v>
      </c>
      <c r="F19687" s="60" t="str">
        <f>HYPERLINK("#'⑨ 구배 자동계산'!A1","◂ ⑨ 계산 시트로")</f>
        <v>◂ ⑨ 계산 시트로</v>
      </c>
    </row>
    <row r="19688" spans="1:6" x14ac:dyDescent="0.4">
      <c r="A19688" s="61"/>
      <c r="B19688" s="61"/>
      <c r="C19688" s="61"/>
      <c r="D19688" s="61"/>
      <c r="E19688" s="61"/>
    </row>
    <row r="19689" spans="1:6" x14ac:dyDescent="0.4">
      <c r="A19689" s="61"/>
      <c r="B19689" s="61"/>
      <c r="C19689" s="61"/>
      <c r="D19689" s="61"/>
      <c r="E19689" s="61"/>
    </row>
    <row r="19690" spans="1:6" x14ac:dyDescent="0.4">
      <c r="A19690" s="61"/>
      <c r="B19690" s="61"/>
      <c r="C19690" s="61"/>
      <c r="D19690" s="61"/>
      <c r="E19690" s="61"/>
    </row>
    <row r="20389" spans="1:6" ht="21" customHeight="1" x14ac:dyDescent="0.4">
      <c r="A20389" s="67" t="s">
        <v>713</v>
      </c>
      <c r="B20389" s="68"/>
      <c r="C20389" s="68"/>
      <c r="D20389" s="68"/>
      <c r="E20389" s="68"/>
      <c r="F20389" s="68"/>
    </row>
    <row r="20390" spans="1:6" x14ac:dyDescent="0.4">
      <c r="A20390" s="59" t="s">
        <v>680</v>
      </c>
      <c r="B20390" s="59" t="s">
        <v>681</v>
      </c>
      <c r="C20390" s="59" t="s">
        <v>682</v>
      </c>
      <c r="D20390" s="59" t="s">
        <v>683</v>
      </c>
      <c r="E20390" s="59" t="s">
        <v>684</v>
      </c>
      <c r="F20390" s="60" t="str">
        <f>HYPERLINK("#'⑨ 구배 자동계산'!A1","◂ ⑨ 계산 시트로")</f>
        <v>◂ ⑨ 계산 시트로</v>
      </c>
    </row>
    <row r="20391" spans="1:6" x14ac:dyDescent="0.4">
      <c r="A20391" s="61"/>
      <c r="B20391" s="61"/>
      <c r="C20391" s="61"/>
      <c r="D20391" s="61"/>
      <c r="E20391" s="61"/>
    </row>
    <row r="20392" spans="1:6" x14ac:dyDescent="0.4">
      <c r="A20392" s="61"/>
      <c r="B20392" s="61"/>
      <c r="C20392" s="61"/>
      <c r="D20392" s="61"/>
      <c r="E20392" s="61"/>
    </row>
    <row r="20393" spans="1:6" x14ac:dyDescent="0.4">
      <c r="A20393" s="61"/>
      <c r="B20393" s="61"/>
      <c r="C20393" s="61"/>
      <c r="D20393" s="61"/>
      <c r="E20393" s="61"/>
    </row>
    <row r="21092" spans="1:6" ht="21" customHeight="1" x14ac:dyDescent="0.4">
      <c r="A21092" s="67" t="s">
        <v>714</v>
      </c>
      <c r="B21092" s="68"/>
      <c r="C21092" s="68"/>
      <c r="D21092" s="68"/>
      <c r="E21092" s="68"/>
      <c r="F21092" s="68"/>
    </row>
    <row r="21093" spans="1:6" x14ac:dyDescent="0.4">
      <c r="A21093" s="59" t="s">
        <v>680</v>
      </c>
      <c r="B21093" s="59" t="s">
        <v>681</v>
      </c>
      <c r="C21093" s="59" t="s">
        <v>682</v>
      </c>
      <c r="D21093" s="59" t="s">
        <v>683</v>
      </c>
      <c r="E21093" s="59" t="s">
        <v>684</v>
      </c>
      <c r="F21093" s="60" t="str">
        <f>HYPERLINK("#'⑨ 구배 자동계산'!A1","◂ ⑨ 계산 시트로")</f>
        <v>◂ ⑨ 계산 시트로</v>
      </c>
    </row>
    <row r="21094" spans="1:6" x14ac:dyDescent="0.4">
      <c r="A21094" s="61"/>
      <c r="B21094" s="61"/>
      <c r="C21094" s="61"/>
      <c r="D21094" s="61"/>
      <c r="E21094" s="61"/>
    </row>
    <row r="21095" spans="1:6" x14ac:dyDescent="0.4">
      <c r="A21095" s="61"/>
      <c r="B21095" s="61"/>
      <c r="C21095" s="61"/>
      <c r="D21095" s="61"/>
      <c r="E21095" s="61"/>
    </row>
    <row r="21096" spans="1:6" x14ac:dyDescent="0.4">
      <c r="A21096" s="61"/>
      <c r="B21096" s="61"/>
      <c r="C21096" s="61"/>
      <c r="D21096" s="61"/>
      <c r="E21096" s="61"/>
    </row>
    <row r="21795" spans="1:6" ht="21" customHeight="1" x14ac:dyDescent="0.4">
      <c r="A21795" s="67" t="s">
        <v>715</v>
      </c>
      <c r="B21795" s="68"/>
      <c r="C21795" s="68"/>
      <c r="D21795" s="68"/>
      <c r="E21795" s="68"/>
      <c r="F21795" s="68"/>
    </row>
    <row r="21796" spans="1:6" x14ac:dyDescent="0.4">
      <c r="A21796" s="59" t="s">
        <v>680</v>
      </c>
      <c r="B21796" s="59" t="s">
        <v>681</v>
      </c>
      <c r="C21796" s="59" t="s">
        <v>682</v>
      </c>
      <c r="D21796" s="59" t="s">
        <v>683</v>
      </c>
      <c r="E21796" s="59" t="s">
        <v>684</v>
      </c>
      <c r="F21796" s="60" t="str">
        <f>HYPERLINK("#'⑨ 구배 자동계산'!A1","◂ ⑨ 계산 시트로")</f>
        <v>◂ ⑨ 계산 시트로</v>
      </c>
    </row>
    <row r="21797" spans="1:6" x14ac:dyDescent="0.4">
      <c r="A21797" s="61"/>
      <c r="B21797" s="61"/>
      <c r="C21797" s="61"/>
      <c r="D21797" s="61"/>
      <c r="E21797" s="61"/>
    </row>
    <row r="21798" spans="1:6" x14ac:dyDescent="0.4">
      <c r="A21798" s="61"/>
      <c r="B21798" s="61"/>
      <c r="C21798" s="61"/>
      <c r="D21798" s="61"/>
      <c r="E21798" s="61"/>
    </row>
    <row r="21799" spans="1:6" x14ac:dyDescent="0.4">
      <c r="A21799" s="61"/>
      <c r="B21799" s="61"/>
      <c r="C21799" s="61"/>
      <c r="D21799" s="61"/>
      <c r="E21799" s="61"/>
    </row>
    <row r="22498" spans="1:6" ht="21" customHeight="1" x14ac:dyDescent="0.4">
      <c r="A22498" s="67" t="s">
        <v>716</v>
      </c>
      <c r="B22498" s="68"/>
      <c r="C22498" s="68"/>
      <c r="D22498" s="68"/>
      <c r="E22498" s="68"/>
      <c r="F22498" s="68"/>
    </row>
    <row r="22499" spans="1:6" x14ac:dyDescent="0.4">
      <c r="A22499" s="59" t="s">
        <v>680</v>
      </c>
      <c r="B22499" s="59" t="s">
        <v>681</v>
      </c>
      <c r="C22499" s="59" t="s">
        <v>682</v>
      </c>
      <c r="D22499" s="59" t="s">
        <v>683</v>
      </c>
      <c r="E22499" s="59" t="s">
        <v>684</v>
      </c>
      <c r="F22499" s="60" t="str">
        <f>HYPERLINK("#'⑨ 구배 자동계산'!A1","◂ ⑨ 계산 시트로")</f>
        <v>◂ ⑨ 계산 시트로</v>
      </c>
    </row>
    <row r="22500" spans="1:6" x14ac:dyDescent="0.4">
      <c r="A22500" s="61"/>
      <c r="B22500" s="61"/>
      <c r="C22500" s="61"/>
      <c r="D22500" s="61"/>
      <c r="E22500" s="61"/>
    </row>
    <row r="22501" spans="1:6" x14ac:dyDescent="0.4">
      <c r="A22501" s="61"/>
      <c r="B22501" s="61"/>
      <c r="C22501" s="61"/>
      <c r="D22501" s="61"/>
      <c r="E22501" s="61"/>
    </row>
    <row r="22502" spans="1:6" x14ac:dyDescent="0.4">
      <c r="A22502" s="61"/>
      <c r="B22502" s="61"/>
      <c r="C22502" s="61"/>
      <c r="D22502" s="61"/>
      <c r="E22502" s="61"/>
    </row>
    <row r="23201" spans="1:6" ht="21" customHeight="1" x14ac:dyDescent="0.4">
      <c r="A23201" s="67" t="s">
        <v>717</v>
      </c>
      <c r="B23201" s="68"/>
      <c r="C23201" s="68"/>
      <c r="D23201" s="68"/>
      <c r="E23201" s="68"/>
      <c r="F23201" s="68"/>
    </row>
    <row r="23202" spans="1:6" x14ac:dyDescent="0.4">
      <c r="A23202" s="59" t="s">
        <v>680</v>
      </c>
      <c r="B23202" s="59" t="s">
        <v>681</v>
      </c>
      <c r="C23202" s="59" t="s">
        <v>682</v>
      </c>
      <c r="D23202" s="59" t="s">
        <v>683</v>
      </c>
      <c r="E23202" s="59" t="s">
        <v>684</v>
      </c>
      <c r="F23202" s="60" t="str">
        <f>HYPERLINK("#'⑨ 구배 자동계산'!A1","◂ ⑨ 계산 시트로")</f>
        <v>◂ ⑨ 계산 시트로</v>
      </c>
    </row>
    <row r="23203" spans="1:6" x14ac:dyDescent="0.4">
      <c r="A23203" s="61"/>
      <c r="B23203" s="61"/>
      <c r="C23203" s="61"/>
      <c r="D23203" s="61"/>
      <c r="E23203" s="61"/>
    </row>
    <row r="23204" spans="1:6" x14ac:dyDescent="0.4">
      <c r="A23204" s="61"/>
      <c r="B23204" s="61"/>
      <c r="C23204" s="61"/>
      <c r="D23204" s="61"/>
      <c r="E23204" s="61"/>
    </row>
    <row r="23205" spans="1:6" x14ac:dyDescent="0.4">
      <c r="A23205" s="61"/>
      <c r="B23205" s="61"/>
      <c r="C23205" s="61"/>
      <c r="D23205" s="61"/>
      <c r="E23205" s="61"/>
    </row>
    <row r="23904" spans="1:6" ht="21" customHeight="1" x14ac:dyDescent="0.4">
      <c r="A23904" s="67" t="s">
        <v>718</v>
      </c>
      <c r="B23904" s="68"/>
      <c r="C23904" s="68"/>
      <c r="D23904" s="68"/>
      <c r="E23904" s="68"/>
      <c r="F23904" s="68"/>
    </row>
    <row r="23905" spans="1:6" x14ac:dyDescent="0.4">
      <c r="A23905" s="59" t="s">
        <v>680</v>
      </c>
      <c r="B23905" s="59" t="s">
        <v>681</v>
      </c>
      <c r="C23905" s="59" t="s">
        <v>682</v>
      </c>
      <c r="D23905" s="59" t="s">
        <v>683</v>
      </c>
      <c r="E23905" s="59" t="s">
        <v>684</v>
      </c>
      <c r="F23905" s="60" t="str">
        <f>HYPERLINK("#'⑨ 구배 자동계산'!A1","◂ ⑨ 계산 시트로")</f>
        <v>◂ ⑨ 계산 시트로</v>
      </c>
    </row>
    <row r="23906" spans="1:6" x14ac:dyDescent="0.4">
      <c r="A23906" s="61"/>
      <c r="B23906" s="61"/>
      <c r="C23906" s="61"/>
      <c r="D23906" s="61"/>
      <c r="E23906" s="61"/>
    </row>
    <row r="23907" spans="1:6" x14ac:dyDescent="0.4">
      <c r="A23907" s="61"/>
      <c r="B23907" s="61"/>
      <c r="C23907" s="61"/>
      <c r="D23907" s="61"/>
      <c r="E23907" s="61"/>
    </row>
    <row r="23908" spans="1:6" x14ac:dyDescent="0.4">
      <c r="A23908" s="61"/>
      <c r="B23908" s="61"/>
      <c r="C23908" s="61"/>
      <c r="D23908" s="61"/>
      <c r="E23908" s="61"/>
    </row>
    <row r="24607" spans="1:6" ht="21" customHeight="1" x14ac:dyDescent="0.4">
      <c r="A24607" s="67" t="s">
        <v>719</v>
      </c>
      <c r="B24607" s="68"/>
      <c r="C24607" s="68"/>
      <c r="D24607" s="68"/>
      <c r="E24607" s="68"/>
      <c r="F24607" s="68"/>
    </row>
    <row r="24608" spans="1:6" x14ac:dyDescent="0.4">
      <c r="A24608" s="59" t="s">
        <v>680</v>
      </c>
      <c r="B24608" s="59" t="s">
        <v>681</v>
      </c>
      <c r="C24608" s="59" t="s">
        <v>682</v>
      </c>
      <c r="D24608" s="59" t="s">
        <v>683</v>
      </c>
      <c r="E24608" s="59" t="s">
        <v>684</v>
      </c>
      <c r="F24608" s="60" t="str">
        <f>HYPERLINK("#'⑨ 구배 자동계산'!A1","◂ ⑨ 계산 시트로")</f>
        <v>◂ ⑨ 계산 시트로</v>
      </c>
    </row>
    <row r="24609" spans="1:5" x14ac:dyDescent="0.4">
      <c r="A24609" s="61"/>
      <c r="B24609" s="61"/>
      <c r="C24609" s="61"/>
      <c r="D24609" s="61"/>
      <c r="E24609" s="61"/>
    </row>
    <row r="24610" spans="1:5" x14ac:dyDescent="0.4">
      <c r="A24610" s="61"/>
      <c r="B24610" s="61"/>
      <c r="C24610" s="61"/>
      <c r="D24610" s="61"/>
      <c r="E24610" s="61"/>
    </row>
    <row r="24611" spans="1:5" x14ac:dyDescent="0.4">
      <c r="A24611" s="61"/>
      <c r="B24611" s="61"/>
      <c r="C24611" s="61"/>
      <c r="D24611" s="61"/>
      <c r="E24611" s="61"/>
    </row>
    <row r="25310" spans="1:6" ht="21" customHeight="1" x14ac:dyDescent="0.4">
      <c r="A25310" s="67" t="s">
        <v>720</v>
      </c>
      <c r="B25310" s="68"/>
      <c r="C25310" s="68"/>
      <c r="D25310" s="68"/>
      <c r="E25310" s="68"/>
      <c r="F25310" s="68"/>
    </row>
    <row r="25311" spans="1:6" x14ac:dyDescent="0.4">
      <c r="A25311" s="59" t="s">
        <v>680</v>
      </c>
      <c r="B25311" s="59" t="s">
        <v>681</v>
      </c>
      <c r="C25311" s="59" t="s">
        <v>682</v>
      </c>
      <c r="D25311" s="59" t="s">
        <v>683</v>
      </c>
      <c r="E25311" s="59" t="s">
        <v>684</v>
      </c>
      <c r="F25311" s="60" t="str">
        <f>HYPERLINK("#'⑨ 구배 자동계산'!A1","◂ ⑨ 계산 시트로")</f>
        <v>◂ ⑨ 계산 시트로</v>
      </c>
    </row>
    <row r="25312" spans="1:6" x14ac:dyDescent="0.4">
      <c r="A25312" s="61"/>
      <c r="B25312" s="61"/>
      <c r="C25312" s="61"/>
      <c r="D25312" s="61"/>
      <c r="E25312" s="61"/>
    </row>
    <row r="25313" spans="1:5" x14ac:dyDescent="0.4">
      <c r="A25313" s="61"/>
      <c r="B25313" s="61"/>
      <c r="C25313" s="61"/>
      <c r="D25313" s="61"/>
      <c r="E25313" s="61"/>
    </row>
    <row r="25314" spans="1:5" x14ac:dyDescent="0.4">
      <c r="A25314" s="61"/>
      <c r="B25314" s="61"/>
      <c r="C25314" s="61"/>
      <c r="D25314" s="61"/>
      <c r="E25314" s="61"/>
    </row>
    <row r="26013" spans="1:6" ht="21" customHeight="1" x14ac:dyDescent="0.4">
      <c r="A26013" s="67" t="s">
        <v>721</v>
      </c>
      <c r="B26013" s="68"/>
      <c r="C26013" s="68"/>
      <c r="D26013" s="68"/>
      <c r="E26013" s="68"/>
      <c r="F26013" s="68"/>
    </row>
    <row r="26014" spans="1:6" x14ac:dyDescent="0.4">
      <c r="A26014" s="59" t="s">
        <v>680</v>
      </c>
      <c r="B26014" s="59" t="s">
        <v>681</v>
      </c>
      <c r="C26014" s="59" t="s">
        <v>682</v>
      </c>
      <c r="D26014" s="59" t="s">
        <v>683</v>
      </c>
      <c r="E26014" s="59" t="s">
        <v>684</v>
      </c>
      <c r="F26014" s="60" t="str">
        <f>HYPERLINK("#'⑨ 구배 자동계산'!A1","◂ ⑨ 계산 시트로")</f>
        <v>◂ ⑨ 계산 시트로</v>
      </c>
    </row>
    <row r="26015" spans="1:6" x14ac:dyDescent="0.4">
      <c r="A26015" s="61"/>
      <c r="B26015" s="61"/>
      <c r="C26015" s="61"/>
      <c r="D26015" s="61"/>
      <c r="E26015" s="61"/>
    </row>
    <row r="26016" spans="1:6" x14ac:dyDescent="0.4">
      <c r="A26016" s="61"/>
      <c r="B26016" s="61"/>
      <c r="C26016" s="61"/>
      <c r="D26016" s="61"/>
      <c r="E26016" s="61"/>
    </row>
    <row r="26017" spans="1:5" x14ac:dyDescent="0.4">
      <c r="A26017" s="61"/>
      <c r="B26017" s="61"/>
      <c r="C26017" s="61"/>
      <c r="D26017" s="61"/>
      <c r="E26017" s="61"/>
    </row>
    <row r="26716" spans="1:6" ht="21" customHeight="1" x14ac:dyDescent="0.4">
      <c r="A26716" s="67" t="s">
        <v>722</v>
      </c>
      <c r="B26716" s="68"/>
      <c r="C26716" s="68"/>
      <c r="D26716" s="68"/>
      <c r="E26716" s="68"/>
      <c r="F26716" s="68"/>
    </row>
    <row r="26717" spans="1:6" x14ac:dyDescent="0.4">
      <c r="A26717" s="59" t="s">
        <v>680</v>
      </c>
      <c r="B26717" s="59" t="s">
        <v>681</v>
      </c>
      <c r="C26717" s="59" t="s">
        <v>682</v>
      </c>
      <c r="D26717" s="59" t="s">
        <v>683</v>
      </c>
      <c r="E26717" s="59" t="s">
        <v>684</v>
      </c>
      <c r="F26717" s="60" t="str">
        <f>HYPERLINK("#'⑨ 구배 자동계산'!A1","◂ ⑨ 계산 시트로")</f>
        <v>◂ ⑨ 계산 시트로</v>
      </c>
    </row>
    <row r="26718" spans="1:6" x14ac:dyDescent="0.4">
      <c r="A26718" s="61"/>
      <c r="B26718" s="61"/>
      <c r="C26718" s="61"/>
      <c r="D26718" s="61"/>
      <c r="E26718" s="61"/>
    </row>
    <row r="26719" spans="1:6" x14ac:dyDescent="0.4">
      <c r="A26719" s="61"/>
      <c r="B26719" s="61"/>
      <c r="C26719" s="61"/>
      <c r="D26719" s="61"/>
      <c r="E26719" s="61"/>
    </row>
    <row r="26720" spans="1:6" x14ac:dyDescent="0.4">
      <c r="A26720" s="61"/>
      <c r="B26720" s="61"/>
      <c r="C26720" s="61"/>
      <c r="D26720" s="61"/>
      <c r="E26720" s="61"/>
    </row>
    <row r="27419" spans="1:6" ht="21" customHeight="1" x14ac:dyDescent="0.4">
      <c r="A27419" s="67" t="s">
        <v>723</v>
      </c>
      <c r="B27419" s="68"/>
      <c r="C27419" s="68"/>
      <c r="D27419" s="68"/>
      <c r="E27419" s="68"/>
      <c r="F27419" s="68"/>
    </row>
    <row r="27420" spans="1:6" x14ac:dyDescent="0.4">
      <c r="A27420" s="59" t="s">
        <v>680</v>
      </c>
      <c r="B27420" s="59" t="s">
        <v>681</v>
      </c>
      <c r="C27420" s="59" t="s">
        <v>682</v>
      </c>
      <c r="D27420" s="59" t="s">
        <v>683</v>
      </c>
      <c r="E27420" s="59" t="s">
        <v>684</v>
      </c>
      <c r="F27420" s="60" t="str">
        <f>HYPERLINK("#'⑨ 구배 자동계산'!A1","◂ ⑨ 계산 시트로")</f>
        <v>◂ ⑨ 계산 시트로</v>
      </c>
    </row>
    <row r="27421" spans="1:6" x14ac:dyDescent="0.4">
      <c r="A27421" s="61"/>
      <c r="B27421" s="61"/>
      <c r="C27421" s="61"/>
      <c r="D27421" s="61"/>
      <c r="E27421" s="61"/>
    </row>
    <row r="27422" spans="1:6" x14ac:dyDescent="0.4">
      <c r="A27422" s="61"/>
      <c r="B27422" s="61"/>
      <c r="C27422" s="61"/>
      <c r="D27422" s="61"/>
      <c r="E27422" s="61"/>
    </row>
    <row r="27423" spans="1:6" x14ac:dyDescent="0.4">
      <c r="A27423" s="61"/>
      <c r="B27423" s="61"/>
      <c r="C27423" s="61"/>
      <c r="D27423" s="61"/>
      <c r="E27423" s="61"/>
    </row>
    <row r="28122" spans="1:6" ht="21" customHeight="1" x14ac:dyDescent="0.4">
      <c r="A28122" s="67" t="s">
        <v>724</v>
      </c>
      <c r="B28122" s="68"/>
      <c r="C28122" s="68"/>
      <c r="D28122" s="68"/>
      <c r="E28122" s="68"/>
      <c r="F28122" s="68"/>
    </row>
    <row r="28123" spans="1:6" x14ac:dyDescent="0.4">
      <c r="A28123" s="59" t="s">
        <v>680</v>
      </c>
      <c r="B28123" s="59" t="s">
        <v>681</v>
      </c>
      <c r="C28123" s="59" t="s">
        <v>682</v>
      </c>
      <c r="D28123" s="59" t="s">
        <v>683</v>
      </c>
      <c r="E28123" s="59" t="s">
        <v>684</v>
      </c>
      <c r="F28123" s="60" t="str">
        <f>HYPERLINK("#'⑨ 구배 자동계산'!A1","◂ ⑨ 계산 시트로")</f>
        <v>◂ ⑨ 계산 시트로</v>
      </c>
    </row>
    <row r="28124" spans="1:6" x14ac:dyDescent="0.4">
      <c r="A28124" s="61"/>
      <c r="B28124" s="61"/>
      <c r="C28124" s="61"/>
      <c r="D28124" s="61"/>
      <c r="E28124" s="61"/>
    </row>
    <row r="28125" spans="1:6" x14ac:dyDescent="0.4">
      <c r="A28125" s="61"/>
      <c r="B28125" s="61"/>
      <c r="C28125" s="61"/>
      <c r="D28125" s="61"/>
      <c r="E28125" s="61"/>
    </row>
    <row r="28126" spans="1:6" x14ac:dyDescent="0.4">
      <c r="A28126" s="61"/>
      <c r="B28126" s="61"/>
      <c r="C28126" s="61"/>
      <c r="D28126" s="61"/>
      <c r="E28126" s="61"/>
    </row>
    <row r="28825" spans="1:6" ht="21" customHeight="1" x14ac:dyDescent="0.4">
      <c r="A28825" s="67" t="s">
        <v>725</v>
      </c>
      <c r="B28825" s="68"/>
      <c r="C28825" s="68"/>
      <c r="D28825" s="68"/>
      <c r="E28825" s="68"/>
      <c r="F28825" s="68"/>
    </row>
    <row r="28826" spans="1:6" x14ac:dyDescent="0.4">
      <c r="A28826" s="59" t="s">
        <v>680</v>
      </c>
      <c r="B28826" s="59" t="s">
        <v>681</v>
      </c>
      <c r="C28826" s="59" t="s">
        <v>682</v>
      </c>
      <c r="D28826" s="59" t="s">
        <v>683</v>
      </c>
      <c r="E28826" s="59" t="s">
        <v>684</v>
      </c>
      <c r="F28826" s="60" t="str">
        <f>HYPERLINK("#'⑨ 구배 자동계산'!A1","◂ ⑨ 계산 시트로")</f>
        <v>◂ ⑨ 계산 시트로</v>
      </c>
    </row>
    <row r="28827" spans="1:6" x14ac:dyDescent="0.4">
      <c r="A28827" s="61"/>
      <c r="B28827" s="61"/>
      <c r="C28827" s="61"/>
      <c r="D28827" s="61"/>
      <c r="E28827" s="61"/>
    </row>
    <row r="28828" spans="1:6" x14ac:dyDescent="0.4">
      <c r="A28828" s="61"/>
      <c r="B28828" s="61"/>
      <c r="C28828" s="61"/>
      <c r="D28828" s="61"/>
      <c r="E28828" s="61"/>
    </row>
    <row r="28829" spans="1:6" x14ac:dyDescent="0.4">
      <c r="A28829" s="61"/>
      <c r="B28829" s="61"/>
      <c r="C28829" s="61"/>
      <c r="D28829" s="61"/>
      <c r="E28829" s="61"/>
    </row>
    <row r="29528" spans="1:6" ht="21" customHeight="1" x14ac:dyDescent="0.4">
      <c r="A29528" s="67" t="s">
        <v>726</v>
      </c>
      <c r="B29528" s="68"/>
      <c r="C29528" s="68"/>
      <c r="D29528" s="68"/>
      <c r="E29528" s="68"/>
      <c r="F29528" s="68"/>
    </row>
    <row r="29529" spans="1:6" x14ac:dyDescent="0.4">
      <c r="A29529" s="59" t="s">
        <v>680</v>
      </c>
      <c r="B29529" s="59" t="s">
        <v>681</v>
      </c>
      <c r="C29529" s="59" t="s">
        <v>682</v>
      </c>
      <c r="D29529" s="59" t="s">
        <v>683</v>
      </c>
      <c r="E29529" s="59" t="s">
        <v>684</v>
      </c>
      <c r="F29529" s="60" t="str">
        <f>HYPERLINK("#'⑨ 구배 자동계산'!A1","◂ ⑨ 계산 시트로")</f>
        <v>◂ ⑨ 계산 시트로</v>
      </c>
    </row>
    <row r="29530" spans="1:6" x14ac:dyDescent="0.4">
      <c r="A29530" s="61"/>
      <c r="B29530" s="61"/>
      <c r="C29530" s="61"/>
      <c r="D29530" s="61"/>
      <c r="E29530" s="61"/>
    </row>
    <row r="29531" spans="1:6" x14ac:dyDescent="0.4">
      <c r="A29531" s="61"/>
      <c r="B29531" s="61"/>
      <c r="C29531" s="61"/>
      <c r="D29531" s="61"/>
      <c r="E29531" s="61"/>
    </row>
    <row r="29532" spans="1:6" x14ac:dyDescent="0.4">
      <c r="A29532" s="61"/>
      <c r="B29532" s="61"/>
      <c r="C29532" s="61"/>
      <c r="D29532" s="61"/>
      <c r="E29532" s="61"/>
    </row>
    <row r="30231" spans="1:6" ht="21" customHeight="1" x14ac:dyDescent="0.4">
      <c r="A30231" s="67" t="s">
        <v>727</v>
      </c>
      <c r="B30231" s="68"/>
      <c r="C30231" s="68"/>
      <c r="D30231" s="68"/>
      <c r="E30231" s="68"/>
      <c r="F30231" s="68"/>
    </row>
    <row r="30232" spans="1:6" x14ac:dyDescent="0.4">
      <c r="A30232" s="59" t="s">
        <v>680</v>
      </c>
      <c r="B30232" s="59" t="s">
        <v>681</v>
      </c>
      <c r="C30232" s="59" t="s">
        <v>682</v>
      </c>
      <c r="D30232" s="59" t="s">
        <v>683</v>
      </c>
      <c r="E30232" s="59" t="s">
        <v>684</v>
      </c>
      <c r="F30232" s="60" t="str">
        <f>HYPERLINK("#'⑨ 구배 자동계산'!A1","◂ ⑨ 계산 시트로")</f>
        <v>◂ ⑨ 계산 시트로</v>
      </c>
    </row>
    <row r="30233" spans="1:6" x14ac:dyDescent="0.4">
      <c r="A30233" s="61"/>
      <c r="B30233" s="61"/>
      <c r="C30233" s="61"/>
      <c r="D30233" s="61"/>
      <c r="E30233" s="61"/>
    </row>
    <row r="30234" spans="1:6" x14ac:dyDescent="0.4">
      <c r="A30234" s="61"/>
      <c r="B30234" s="61"/>
      <c r="C30234" s="61"/>
      <c r="D30234" s="61"/>
      <c r="E30234" s="61"/>
    </row>
    <row r="30235" spans="1:6" x14ac:dyDescent="0.4">
      <c r="A30235" s="61"/>
      <c r="B30235" s="61"/>
      <c r="C30235" s="61"/>
      <c r="D30235" s="61"/>
      <c r="E30235" s="61"/>
    </row>
    <row r="30934" spans="1:6" ht="21" customHeight="1" x14ac:dyDescent="0.4">
      <c r="A30934" s="67" t="s">
        <v>728</v>
      </c>
      <c r="B30934" s="68"/>
      <c r="C30934" s="68"/>
      <c r="D30934" s="68"/>
      <c r="E30934" s="68"/>
      <c r="F30934" s="68"/>
    </row>
    <row r="30935" spans="1:6" x14ac:dyDescent="0.4">
      <c r="A30935" s="59" t="s">
        <v>680</v>
      </c>
      <c r="B30935" s="59" t="s">
        <v>681</v>
      </c>
      <c r="C30935" s="59" t="s">
        <v>682</v>
      </c>
      <c r="D30935" s="59" t="s">
        <v>683</v>
      </c>
      <c r="E30935" s="59" t="s">
        <v>684</v>
      </c>
      <c r="F30935" s="60" t="str">
        <f>HYPERLINK("#'⑨ 구배 자동계산'!A1","◂ ⑨ 계산 시트로")</f>
        <v>◂ ⑨ 계산 시트로</v>
      </c>
    </row>
    <row r="30936" spans="1:6" x14ac:dyDescent="0.4">
      <c r="A30936" s="61"/>
      <c r="B30936" s="61"/>
      <c r="C30936" s="61"/>
      <c r="D30936" s="61"/>
      <c r="E30936" s="61"/>
    </row>
    <row r="30937" spans="1:6" x14ac:dyDescent="0.4">
      <c r="A30937" s="61"/>
      <c r="B30937" s="61"/>
      <c r="C30937" s="61"/>
      <c r="D30937" s="61"/>
      <c r="E30937" s="61"/>
    </row>
    <row r="30938" spans="1:6" x14ac:dyDescent="0.4">
      <c r="A30938" s="61"/>
      <c r="B30938" s="61"/>
      <c r="C30938" s="61"/>
      <c r="D30938" s="61"/>
      <c r="E30938" s="61"/>
    </row>
    <row r="31637" spans="1:6" ht="21" customHeight="1" x14ac:dyDescent="0.4">
      <c r="A31637" s="67" t="s">
        <v>729</v>
      </c>
      <c r="B31637" s="68"/>
      <c r="C31637" s="68"/>
      <c r="D31637" s="68"/>
      <c r="E31637" s="68"/>
      <c r="F31637" s="68"/>
    </row>
    <row r="31638" spans="1:6" x14ac:dyDescent="0.4">
      <c r="A31638" s="59" t="s">
        <v>680</v>
      </c>
      <c r="B31638" s="59" t="s">
        <v>681</v>
      </c>
      <c r="C31638" s="59" t="s">
        <v>682</v>
      </c>
      <c r="D31638" s="59" t="s">
        <v>683</v>
      </c>
      <c r="E31638" s="59" t="s">
        <v>684</v>
      </c>
      <c r="F31638" s="60" t="str">
        <f>HYPERLINK("#'⑨ 구배 자동계산'!A1","◂ ⑨ 계산 시트로")</f>
        <v>◂ ⑨ 계산 시트로</v>
      </c>
    </row>
    <row r="31639" spans="1:6" x14ac:dyDescent="0.4">
      <c r="A31639" s="61"/>
      <c r="B31639" s="61"/>
      <c r="C31639" s="61"/>
      <c r="D31639" s="61"/>
      <c r="E31639" s="61"/>
    </row>
    <row r="31640" spans="1:6" x14ac:dyDescent="0.4">
      <c r="A31640" s="61"/>
      <c r="B31640" s="61"/>
      <c r="C31640" s="61"/>
      <c r="D31640" s="61"/>
      <c r="E31640" s="61"/>
    </row>
    <row r="31641" spans="1:6" x14ac:dyDescent="0.4">
      <c r="A31641" s="61"/>
      <c r="B31641" s="61"/>
      <c r="C31641" s="61"/>
      <c r="D31641" s="61"/>
      <c r="E31641" s="61"/>
    </row>
    <row r="32340" spans="1:6" ht="21" customHeight="1" x14ac:dyDescent="0.4">
      <c r="A32340" s="67" t="s">
        <v>730</v>
      </c>
      <c r="B32340" s="68"/>
      <c r="C32340" s="68"/>
      <c r="D32340" s="68"/>
      <c r="E32340" s="68"/>
      <c r="F32340" s="68"/>
    </row>
    <row r="32341" spans="1:6" x14ac:dyDescent="0.4">
      <c r="A32341" s="59" t="s">
        <v>680</v>
      </c>
      <c r="B32341" s="59" t="s">
        <v>681</v>
      </c>
      <c r="C32341" s="59" t="s">
        <v>682</v>
      </c>
      <c r="D32341" s="59" t="s">
        <v>683</v>
      </c>
      <c r="E32341" s="59" t="s">
        <v>684</v>
      </c>
      <c r="F32341" s="60" t="str">
        <f>HYPERLINK("#'⑨ 구배 자동계산'!A1","◂ ⑨ 계산 시트로")</f>
        <v>◂ ⑨ 계산 시트로</v>
      </c>
    </row>
    <row r="32342" spans="1:6" x14ac:dyDescent="0.4">
      <c r="A32342" s="61"/>
      <c r="B32342" s="61"/>
      <c r="C32342" s="61"/>
      <c r="D32342" s="61"/>
      <c r="E32342" s="61"/>
    </row>
    <row r="32343" spans="1:6" x14ac:dyDescent="0.4">
      <c r="A32343" s="61"/>
      <c r="B32343" s="61"/>
      <c r="C32343" s="61"/>
      <c r="D32343" s="61"/>
      <c r="E32343" s="61"/>
    </row>
    <row r="32344" spans="1:6" x14ac:dyDescent="0.4">
      <c r="A32344" s="61"/>
      <c r="B32344" s="61"/>
      <c r="C32344" s="61"/>
      <c r="D32344" s="61"/>
      <c r="E32344" s="61"/>
    </row>
    <row r="33043" spans="1:6" ht="21" customHeight="1" x14ac:dyDescent="0.4">
      <c r="A33043" s="67" t="s">
        <v>731</v>
      </c>
      <c r="B33043" s="68"/>
      <c r="C33043" s="68"/>
      <c r="D33043" s="68"/>
      <c r="E33043" s="68"/>
      <c r="F33043" s="68"/>
    </row>
    <row r="33044" spans="1:6" x14ac:dyDescent="0.4">
      <c r="A33044" s="59" t="s">
        <v>680</v>
      </c>
      <c r="B33044" s="59" t="s">
        <v>681</v>
      </c>
      <c r="C33044" s="59" t="s">
        <v>682</v>
      </c>
      <c r="D33044" s="59" t="s">
        <v>683</v>
      </c>
      <c r="E33044" s="59" t="s">
        <v>684</v>
      </c>
      <c r="F33044" s="60" t="str">
        <f>HYPERLINK("#'⑨ 구배 자동계산'!A1","◂ ⑨ 계산 시트로")</f>
        <v>◂ ⑨ 계산 시트로</v>
      </c>
    </row>
    <row r="33045" spans="1:6" x14ac:dyDescent="0.4">
      <c r="A33045" s="61"/>
      <c r="B33045" s="61"/>
      <c r="C33045" s="61"/>
      <c r="D33045" s="61"/>
      <c r="E33045" s="61"/>
    </row>
    <row r="33046" spans="1:6" x14ac:dyDescent="0.4">
      <c r="A33046" s="61"/>
      <c r="B33046" s="61"/>
      <c r="C33046" s="61"/>
      <c r="D33046" s="61"/>
      <c r="E33046" s="61"/>
    </row>
    <row r="33047" spans="1:6" x14ac:dyDescent="0.4">
      <c r="A33047" s="61"/>
      <c r="B33047" s="61"/>
      <c r="C33047" s="61"/>
      <c r="D33047" s="61"/>
      <c r="E33047" s="61"/>
    </row>
    <row r="33746" spans="1:6" ht="21" customHeight="1" x14ac:dyDescent="0.4">
      <c r="A33746" s="67" t="s">
        <v>732</v>
      </c>
      <c r="B33746" s="68"/>
      <c r="C33746" s="68"/>
      <c r="D33746" s="68"/>
      <c r="E33746" s="68"/>
      <c r="F33746" s="68"/>
    </row>
    <row r="33747" spans="1:6" x14ac:dyDescent="0.4">
      <c r="A33747" s="59" t="s">
        <v>680</v>
      </c>
      <c r="B33747" s="59" t="s">
        <v>681</v>
      </c>
      <c r="C33747" s="59" t="s">
        <v>682</v>
      </c>
      <c r="D33747" s="59" t="s">
        <v>683</v>
      </c>
      <c r="E33747" s="59" t="s">
        <v>684</v>
      </c>
      <c r="F33747" s="60" t="str">
        <f>HYPERLINK("#'⑨ 구배 자동계산'!A1","◂ ⑨ 계산 시트로")</f>
        <v>◂ ⑨ 계산 시트로</v>
      </c>
    </row>
    <row r="33748" spans="1:6" x14ac:dyDescent="0.4">
      <c r="A33748" s="61"/>
      <c r="B33748" s="61"/>
      <c r="C33748" s="61"/>
      <c r="D33748" s="61"/>
      <c r="E33748" s="61"/>
    </row>
    <row r="33749" spans="1:6" x14ac:dyDescent="0.4">
      <c r="A33749" s="61"/>
      <c r="B33749" s="61"/>
      <c r="C33749" s="61"/>
      <c r="D33749" s="61"/>
      <c r="E33749" s="61"/>
    </row>
    <row r="33750" spans="1:6" x14ac:dyDescent="0.4">
      <c r="A33750" s="61"/>
      <c r="B33750" s="61"/>
      <c r="C33750" s="61"/>
      <c r="D33750" s="61"/>
      <c r="E33750" s="61"/>
    </row>
    <row r="34449" spans="1:6" ht="21" customHeight="1" x14ac:dyDescent="0.4">
      <c r="A34449" s="67" t="s">
        <v>733</v>
      </c>
      <c r="B34449" s="68"/>
      <c r="C34449" s="68"/>
      <c r="D34449" s="68"/>
      <c r="E34449" s="68"/>
      <c r="F34449" s="68"/>
    </row>
    <row r="34450" spans="1:6" x14ac:dyDescent="0.4">
      <c r="A34450" s="59" t="s">
        <v>680</v>
      </c>
      <c r="B34450" s="59" t="s">
        <v>681</v>
      </c>
      <c r="C34450" s="59" t="s">
        <v>682</v>
      </c>
      <c r="D34450" s="59" t="s">
        <v>683</v>
      </c>
      <c r="E34450" s="59" t="s">
        <v>684</v>
      </c>
      <c r="F34450" s="60" t="str">
        <f>HYPERLINK("#'⑨ 구배 자동계산'!A1","◂ ⑨ 계산 시트로")</f>
        <v>◂ ⑨ 계산 시트로</v>
      </c>
    </row>
    <row r="34451" spans="1:6" x14ac:dyDescent="0.4">
      <c r="A34451" s="61"/>
      <c r="B34451" s="61"/>
      <c r="C34451" s="61"/>
      <c r="D34451" s="61"/>
      <c r="E34451" s="61"/>
    </row>
    <row r="34452" spans="1:6" x14ac:dyDescent="0.4">
      <c r="A34452" s="61"/>
      <c r="B34452" s="61"/>
      <c r="C34452" s="61"/>
      <c r="D34452" s="61"/>
      <c r="E34452" s="61"/>
    </row>
    <row r="34453" spans="1:6" x14ac:dyDescent="0.4">
      <c r="A34453" s="61"/>
      <c r="B34453" s="61"/>
      <c r="C34453" s="61"/>
      <c r="D34453" s="61"/>
      <c r="E34453" s="61"/>
    </row>
  </sheetData>
  <mergeCells count="51">
    <mergeCell ref="A33043:F33043"/>
    <mergeCell ref="A33746:F33746"/>
    <mergeCell ref="A34449:F34449"/>
    <mergeCell ref="A28825:F28825"/>
    <mergeCell ref="A29528:F29528"/>
    <mergeCell ref="A30231:F30231"/>
    <mergeCell ref="A30934:F30934"/>
    <mergeCell ref="A31637:F31637"/>
    <mergeCell ref="A32340:F32340"/>
    <mergeCell ref="A28122:F28122"/>
    <mergeCell ref="A20389:F20389"/>
    <mergeCell ref="A21092:F21092"/>
    <mergeCell ref="A21795:F21795"/>
    <mergeCell ref="A22498:F22498"/>
    <mergeCell ref="A23201:F23201"/>
    <mergeCell ref="A23904:F23904"/>
    <mergeCell ref="A24607:F24607"/>
    <mergeCell ref="A25310:F25310"/>
    <mergeCell ref="A26013:F26013"/>
    <mergeCell ref="A26716:F26716"/>
    <mergeCell ref="A27419:F27419"/>
    <mergeCell ref="A19686:F19686"/>
    <mergeCell ref="A11953:F11953"/>
    <mergeCell ref="A12656:F12656"/>
    <mergeCell ref="A13359:F13359"/>
    <mergeCell ref="A14062:F14062"/>
    <mergeCell ref="A14765:F14765"/>
    <mergeCell ref="A15468:F15468"/>
    <mergeCell ref="A16171:F16171"/>
    <mergeCell ref="A16874:F16874"/>
    <mergeCell ref="A17577:F17577"/>
    <mergeCell ref="A18280:F18280"/>
    <mergeCell ref="A18983:F18983"/>
    <mergeCell ref="A11250:F11250"/>
    <mergeCell ref="A3517:F3517"/>
    <mergeCell ref="A4220:F4220"/>
    <mergeCell ref="A4923:F4923"/>
    <mergeCell ref="A5626:F5626"/>
    <mergeCell ref="A6329:F6329"/>
    <mergeCell ref="A7032:F7032"/>
    <mergeCell ref="A7735:F7735"/>
    <mergeCell ref="A8438:F8438"/>
    <mergeCell ref="A9141:F9141"/>
    <mergeCell ref="A9844:F9844"/>
    <mergeCell ref="A10547:F10547"/>
    <mergeCell ref="A2814:F2814"/>
    <mergeCell ref="A1:F1"/>
    <mergeCell ref="A2:F2"/>
    <mergeCell ref="A705:F705"/>
    <mergeCell ref="A1408:F1408"/>
    <mergeCell ref="A2111:F2111"/>
  </mergeCells>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13E6D-1C87-44C8-8EAA-3B087A16CE7D}">
  <sheetPr>
    <tabColor rgb="FF1D4ED8"/>
    <pageSetUpPr fitToPage="1"/>
  </sheetPr>
  <dimension ref="A1:CU708"/>
  <sheetViews>
    <sheetView showGridLines="0" tabSelected="1" zoomScale="70" zoomScaleNormal="70" workbookViewId="0">
      <pane ySplit="8" topLeftCell="A17" activePane="bottomLeft" state="frozen"/>
      <selection pane="bottomLeft" activeCell="B4" sqref="B4"/>
    </sheetView>
  </sheetViews>
  <sheetFormatPr defaultRowHeight="17.399999999999999" x14ac:dyDescent="0.4"/>
  <cols>
    <col min="1" max="5" width="30" customWidth="1"/>
    <col min="6" max="6" width="2" customWidth="1"/>
    <col min="7" max="7" width="13" customWidth="1"/>
    <col min="8" max="8" width="11" customWidth="1"/>
    <col min="9" max="9" width="13" customWidth="1"/>
    <col min="10" max="10" width="11" customWidth="1"/>
    <col min="11" max="11" width="13" customWidth="1"/>
    <col min="12" max="12" width="12" customWidth="1"/>
    <col min="13" max="13" width="13" customWidth="1"/>
    <col min="14" max="14" width="11" customWidth="1"/>
    <col min="15" max="15" width="24" customWidth="1"/>
    <col min="17" max="41" width="13" hidden="1" customWidth="1"/>
    <col min="43" max="87" width="13" hidden="1" customWidth="1"/>
    <col min="91" max="91" width="13" hidden="1" customWidth="1"/>
    <col min="95" max="99" width="13" hidden="1" customWidth="1"/>
  </cols>
  <sheetData>
    <row r="1" spans="1:99" ht="25.95" customHeight="1" x14ac:dyDescent="0.4">
      <c r="A1" s="70" t="s">
        <v>595</v>
      </c>
      <c r="B1" s="68"/>
      <c r="C1" s="68"/>
      <c r="D1" s="68"/>
      <c r="E1" s="68"/>
      <c r="F1" s="68"/>
      <c r="G1" s="68"/>
      <c r="H1" s="68"/>
      <c r="I1" s="68"/>
      <c r="J1" s="68"/>
      <c r="K1" s="68"/>
      <c r="L1" s="68"/>
      <c r="M1" s="68"/>
      <c r="N1" s="68"/>
      <c r="O1" s="68"/>
    </row>
    <row r="2" spans="1:99" ht="58.05" customHeight="1" x14ac:dyDescent="0.4">
      <c r="A2" s="71" t="s">
        <v>739</v>
      </c>
      <c r="B2" s="72"/>
      <c r="C2" s="72"/>
      <c r="D2" s="72"/>
      <c r="E2" s="72"/>
      <c r="F2" s="72"/>
      <c r="G2" s="72"/>
      <c r="H2" s="72"/>
      <c r="I2" s="72"/>
      <c r="J2" s="72"/>
      <c r="K2" s="72"/>
      <c r="L2" s="72"/>
      <c r="M2" s="72"/>
      <c r="N2" s="72"/>
      <c r="O2" s="72"/>
    </row>
    <row r="4" spans="1:99" x14ac:dyDescent="0.4">
      <c r="A4" s="50" t="s">
        <v>596</v>
      </c>
      <c r="B4" s="51" t="s">
        <v>638</v>
      </c>
      <c r="C4" s="73" t="str">
        <f>IF($B$4="","지점을 고르면 그 지점 원문 칸과 카드가 이어집니다 — 먼저 골라 주세요","「"&amp;$B$4&amp;"」 원문은 ⑩ 보관 시트에 남고, 결과는 같은 이름 카드에 자동으로 들어갑니다")</f>
        <v>「19_오호 신규점」 원문은 ⑩ 보관 시트에 남고, 결과는 같은 이름 카드에 자동으로 들어갑니다</v>
      </c>
      <c r="D4" s="68"/>
      <c r="E4" s="68"/>
      <c r="F4" s="68"/>
      <c r="G4" s="68"/>
      <c r="H4" s="68"/>
      <c r="I4" s="68"/>
      <c r="J4" s="68"/>
      <c r="K4" s="68"/>
      <c r="L4" s="68"/>
      <c r="M4" s="68"/>
      <c r="N4" s="68"/>
      <c r="O4" s="68"/>
    </row>
    <row r="6" spans="1:99" ht="22.05" customHeight="1" x14ac:dyDescent="0.4">
      <c r="A6" s="77" t="str">
        <f>IF($B$4="","▶ 먼저 지점을 골라 주세요",HYPERLINK("#'⑩ 원문 보관'!A"&amp;$CM$6,"▶ 「"&amp;$B$4&amp;"」 원문 칸으로 가기 — 거기에 붙여 넣으면 이 표가 채워지고 그대로 보관됩니다"))</f>
        <v>▶ 「19_오호 신규점」 원문 칸으로 가기 — 거기에 붙여 넣으면 이 표가 채워지고 그대로 보관됩니다</v>
      </c>
      <c r="B6" s="68"/>
      <c r="C6" s="68"/>
      <c r="D6" s="68"/>
      <c r="E6" s="68"/>
      <c r="F6" s="68"/>
      <c r="G6" s="68"/>
      <c r="H6" s="68"/>
      <c r="I6" s="68"/>
      <c r="J6" s="68"/>
      <c r="K6" s="68"/>
      <c r="L6" s="68"/>
      <c r="M6" s="68"/>
      <c r="N6" s="68"/>
      <c r="O6" s="68"/>
      <c r="CM6">
        <f>IFERROR(MATCH($B$4,$CM$9:$CM$58,0)*703-699,0)</f>
        <v>12658</v>
      </c>
    </row>
    <row r="7" spans="1:99" ht="18" customHeight="1" x14ac:dyDescent="0.4">
      <c r="A7" s="78" t="str">
        <f>IF(COUNTIFS($Q$9:$Q$708,0,$R$9:$R$708,"&gt;0")+COUNTIFS($V$9:$V$708,0,$W$9:$W$708,"&gt;0")+COUNTIFS($AA$9:$AA$708,0,$AB$9:$AB$708,"&gt;0")+COUNTIFS($AF$9:$AF$708,0,$AG$9:$AG$708,"&gt;0")+COUNTIFS($AK$9:$AK$708,0,$AL$9:$AL$708,"&gt;0")&gt;0,"⚠ 첫 /time 머리글이 빠진 자료가 있습니다 — 그 방향은 첫 측점이 버려지고 거리가 한 칸씩 당겨집니다. 파일을 머리글째 다시 붙여 넣으세요",IF(OR(AND(COUNT($AS$9:$AS$22)&gt;1,MAX($AS$9:$AS$22)-MIN($AS$9:$AS$22)&gt;120000),AND(COUNT($BB$9:$BB$22)&gt;1,MAX($BB$9:$BB$22)-MIN($BB$9:$BB$22)&gt;120000),AND(COUNT($BK$9:$BK$22)&gt;1,MAX($BK$9:$BK$22)-MIN($BK$9:$BK$22)&gt;120000),AND(COUNT($BT$9:$BT$22)&gt;1,MAX($BT$9:$BT$22)-MIN($BT$9:$BT$22)&gt;120000),AND(COUNT($CC$9:$CC$22)&gt;1,MAX($CC$9:$CC$22)-MIN($CC$9:$CC$22)&gt;120000)),"⚠ 한 자료 안에서 시각이 12시간 넘게 벌어졌습니다 — 자정을 넘겼다면 블록 순서가 뒤집힙니다. 시각을 확인하고 필요하면 날짜별로 나눠 붙여 넣으세요",IF(COUNTIFS($AS$9:$AS$22,"&gt;=180000")+COUNTIFS($AS$9:$AS$22,"&gt;0",$AS$9:$AS$22,"&lt;60000")+COUNTIFS($BB$9:$BB$22,"&gt;=180000")+COUNTIFS($BB$9:$BB$22,"&gt;0",$BB$9:$BB$22,"&lt;60000")+COUNTIFS($BK$9:$BK$22,"&gt;=180000")+COUNTIFS($BK$9:$BK$22,"&gt;0",$BK$9:$BK$22,"&lt;60000")+COUNTIFS($BT$9:$BT$22,"&gt;=180000")+COUNTIFS($BT$9:$BT$22,"&gt;0",$BT$9:$BT$22,"&lt;60000")+COUNTIFS($CC$9:$CC$22,"&gt;=180000")+COUNTIFS($CC$9:$CC$22,"&gt;0",$CC$9:$CC$22,"&lt;60000")&gt;0,"⚠ 야간(18시 이후·06시 이전) 시각이 "&amp;COUNTIFS($AS$9:$AS$22,"&gt;=180000")+COUNTIFS($AS$9:$AS$22,"&gt;0",$AS$9:$AS$22,"&lt;60000")+COUNTIFS($BB$9:$BB$22,"&gt;=180000")+COUNTIFS($BB$9:$BB$22,"&gt;0",$BB$9:$BB$22,"&lt;60000")+COUNTIFS($BK$9:$BK$22,"&gt;=180000")+COUNTIFS($BK$9:$BK$22,"&gt;0",$BK$9:$BK$22,"&lt;60000")+COUNTIFS($BT$9:$BT$22,"&gt;=180000")+COUNTIFS($BT$9:$BT$22,"&gt;0",$BT$9:$BT$22,"&lt;60000")+COUNTIFS($CC$9:$CC$22,"&gt;=180000")+COUNTIFS($CC$9:$CC$22,"&gt;0",$CC$9:$CC$22,"&lt;60000")&amp;"개 있습니다 — 야간에는 재지 않기로 했으니 기기 시각이 맞는지 확인해 주세요","")))</f>
        <v/>
      </c>
      <c r="B7" s="68"/>
      <c r="C7" s="68"/>
      <c r="D7" s="68"/>
      <c r="E7" s="68"/>
      <c r="F7" s="68"/>
      <c r="G7" s="68"/>
      <c r="H7" s="68"/>
      <c r="I7" s="68"/>
      <c r="J7" s="68"/>
      <c r="K7" s="68"/>
      <c r="L7" s="68"/>
      <c r="M7" s="68"/>
      <c r="N7" s="68"/>
      <c r="O7" s="68"/>
    </row>
    <row r="8" spans="1:99" ht="22.05" customHeight="1" x14ac:dyDescent="0.4">
      <c r="A8" s="52" t="s">
        <v>734</v>
      </c>
      <c r="B8" s="52" t="s">
        <v>735</v>
      </c>
      <c r="C8" s="52" t="s">
        <v>736</v>
      </c>
      <c r="D8" s="52" t="s">
        <v>737</v>
      </c>
      <c r="E8" s="52" t="s">
        <v>738</v>
      </c>
      <c r="G8" s="53" t="s">
        <v>281</v>
      </c>
      <c r="H8" s="53" t="s">
        <v>162</v>
      </c>
      <c r="I8" s="53" t="s">
        <v>282</v>
      </c>
      <c r="J8" s="53" t="s">
        <v>163</v>
      </c>
      <c r="K8" s="53" t="s">
        <v>283</v>
      </c>
      <c r="L8" s="53" t="s">
        <v>176</v>
      </c>
      <c r="M8" s="53" t="s">
        <v>284</v>
      </c>
      <c r="N8" s="53" t="s">
        <v>177</v>
      </c>
      <c r="O8" s="53" t="s">
        <v>285</v>
      </c>
    </row>
    <row r="9" spans="1:99" ht="19.05" customHeight="1" x14ac:dyDescent="0.4">
      <c r="A9" s="62" t="str">
        <f>IF($CM$6=0,"",IF(INDEX('⑩ 원문 보관'!$A:$E,$CM$6+ROW()-9,COLUMN())="","",INDEX('⑩ 원문 보관'!$A:$E,$CM$6+ROW()-9,COLUMN())))</f>
        <v/>
      </c>
      <c r="B9" s="62" t="str">
        <f>IF($CM$6=0,"",IF(INDEX('⑩ 원문 보관'!$A:$E,$CM$6+ROW()-9,COLUMN())="","",INDEX('⑩ 원문 보관'!$A:$E,$CM$6+ROW()-9,COLUMN())))</f>
        <v xml:space="preserve"> file 11survey.b   21 IX 26</v>
      </c>
      <c r="C9" s="62" t="str">
        <f>IF($CM$6=0,"",IF(INDEX('⑩ 원문 보관'!$A:$E,$CM$6+ROW()-9,COLUMN())="","",INDEX('⑩ 원문 보관'!$A:$E,$CM$6+ROW()-9,COLUMN())))</f>
        <v xml:space="preserve"> file 22survey.b   21 IX 26</v>
      </c>
      <c r="D9" s="62" t="str">
        <f>IF($CM$6=0,"",IF(INDEX('⑩ 원문 보관'!$A:$E,$CM$6+ROW()-9,COLUMN())="","",INDEX('⑩ 원문 보관'!$A:$E,$CM$6+ROW()-9,COLUMN())))</f>
        <v xml:space="preserve"> file 28survey.b   21 IX 26</v>
      </c>
      <c r="E9" s="62" t="str">
        <f>IF($CM$6=0,"",IF(INDEX('⑩ 원문 보관'!$A:$E,$CM$6+ROW()-9,COLUMN())="","",INDEX('⑩ 원문 보관'!$A:$E,$CM$6+ROW()-9,COLUMN())))</f>
        <v/>
      </c>
      <c r="G9" s="54" t="s">
        <v>164</v>
      </c>
      <c r="H9" s="55">
        <f>IFERROR(INT(IFERROR(INDEX($AS$9:$AS$22,MATCH(1,$AY$9:$AY$22,0)),"")/100),"")</f>
        <v>1116</v>
      </c>
      <c r="I9" s="56">
        <f>IFERROR(INDEX($AW$9:$AW$22,MATCH(1,$AY$9:$AY$22,0)),"")</f>
        <v>51389.35</v>
      </c>
      <c r="J9" s="55">
        <f>IFERROR(INT(IFERROR(INDEX($BB$9:$BB$22,MATCH(1,$BH$9:$BH$22,0)),"")/100),"")</f>
        <v>1143</v>
      </c>
      <c r="K9" s="56">
        <f>IFERROR(INDEX($BF$9:$BF$22,MATCH(1,$BH$9:$BH$22,0)),"")</f>
        <v>51409.21</v>
      </c>
      <c r="L9" s="55">
        <f>IFERROR(INT(IFERROR(INDEX($BK$9:$BK$22,MATCH(1,$BQ$9:$BQ$22,0)),"")/100),"")</f>
        <v>1218</v>
      </c>
      <c r="M9" s="56">
        <f>IFERROR(INDEX($BO$9:$BO$22,MATCH(1,$BQ$9:$BQ$22,0)),"")</f>
        <v>51388.66</v>
      </c>
      <c r="N9" s="55">
        <f>IFERROR(INT(IFERROR(INDEX($BT$9:$BT$22,MATCH(1,$BZ$9:$BZ$22,0)),"")/100),"")</f>
        <v>1235</v>
      </c>
      <c r="O9" s="56">
        <f>IFERROR(INDEX($BX$9:$BX$22,MATCH(1,$BZ$9:$BZ$22,0)),"")</f>
        <v>51398.6</v>
      </c>
      <c r="Q9">
        <f>IF(A9="",0,IF(LEFT(TRIM(A9),5)="/time",0+1,0))</f>
        <v>0</v>
      </c>
      <c r="R9" t="str">
        <f t="shared" ref="R9:R72" si="0">IFERROR(IF(ISNUMBER(--LEFT(TRIM(A9),1)),VALUE(LEFT(TRIM(A9),6)),""),"")</f>
        <v/>
      </c>
      <c r="S9" t="str">
        <f t="shared" ref="S9:S72" si="1">IFERROR(VALUE(TRIM(MID(SUBSTITUTE(TRIM(A9)," ",REPT(" ",30)),31,30))),"")</f>
        <v/>
      </c>
      <c r="T9" t="str">
        <f t="shared" ref="T9:T72" si="2">IFERROR(TRIM(MID(SUBSTITUTE(TRIM(A9)," ",REPT(" ",30)),61,30)),"")</f>
        <v/>
      </c>
      <c r="U9">
        <f t="shared" ref="U9:U72" si="3">IF(OR(R9="",S9="",T9=""),0,IF(AND(S9&gt;1000,RIGHT(T9,1)&lt;&gt;"0"),1,0))</f>
        <v>0</v>
      </c>
      <c r="V9">
        <f>IF(B9="",0,IF(LEFT(TRIM(B9),5)="/time",0+1,0))</f>
        <v>0</v>
      </c>
      <c r="W9" t="str">
        <f t="shared" ref="W9:W72" si="4">IFERROR(IF(ISNUMBER(--LEFT(TRIM(B9),1)),VALUE(LEFT(TRIM(B9),6)),""),"")</f>
        <v/>
      </c>
      <c r="X9" t="str">
        <f t="shared" ref="X9:X72" si="5">IFERROR(VALUE(TRIM(MID(SUBSTITUTE(TRIM(B9)," ",REPT(" ",30)),31,30))),"")</f>
        <v/>
      </c>
      <c r="Y9" t="str">
        <f t="shared" ref="Y9:Y72" si="6">IFERROR(TRIM(MID(SUBSTITUTE(TRIM(B9)," ",REPT(" ",30)),61,30)),"")</f>
        <v>21</v>
      </c>
      <c r="Z9">
        <f t="shared" ref="Z9:Z72" si="7">IF(OR(W9="",X9="",Y9=""),0,IF(AND(X9&gt;1000,RIGHT(Y9,1)&lt;&gt;"0"),1,0))</f>
        <v>0</v>
      </c>
      <c r="AA9">
        <f>IF(C9="",0,IF(LEFT(TRIM(C9),5)="/time",0+1,0))</f>
        <v>0</v>
      </c>
      <c r="AB9" t="str">
        <f t="shared" ref="AB9:AB72" si="8">IFERROR(IF(ISNUMBER(--LEFT(TRIM(C9),1)),VALUE(LEFT(TRIM(C9),6)),""),"")</f>
        <v/>
      </c>
      <c r="AC9" t="str">
        <f t="shared" ref="AC9:AC72" si="9">IFERROR(VALUE(TRIM(MID(SUBSTITUTE(TRIM(C9)," ",REPT(" ",30)),31,30))),"")</f>
        <v/>
      </c>
      <c r="AD9" t="str">
        <f t="shared" ref="AD9:AD72" si="10">IFERROR(TRIM(MID(SUBSTITUTE(TRIM(C9)," ",REPT(" ",30)),61,30)),"")</f>
        <v>21</v>
      </c>
      <c r="AE9">
        <f t="shared" ref="AE9:AE72" si="11">IF(OR(AB9="",AC9="",AD9=""),0,IF(AND(AC9&gt;1000,RIGHT(AD9,1)&lt;&gt;"0"),1,0))</f>
        <v>0</v>
      </c>
      <c r="AF9">
        <f>IF(D9="",0,IF(LEFT(TRIM(D9),5)="/time",0+1,0))</f>
        <v>0</v>
      </c>
      <c r="AG9" t="str">
        <f t="shared" ref="AG9:AG72" si="12">IFERROR(IF(ISNUMBER(--LEFT(TRIM(D9),1)),VALUE(LEFT(TRIM(D9),6)),""),"")</f>
        <v/>
      </c>
      <c r="AH9" t="str">
        <f t="shared" ref="AH9:AH72" si="13">IFERROR(VALUE(TRIM(MID(SUBSTITUTE(TRIM(D9)," ",REPT(" ",30)),31,30))),"")</f>
        <v/>
      </c>
      <c r="AI9" t="str">
        <f t="shared" ref="AI9:AI72" si="14">IFERROR(TRIM(MID(SUBSTITUTE(TRIM(D9)," ",REPT(" ",30)),61,30)),"")</f>
        <v>21</v>
      </c>
      <c r="AJ9">
        <f t="shared" ref="AJ9:AJ72" si="15">IF(OR(AG9="",AH9="",AI9=""),0,IF(AND(AH9&gt;1000,RIGHT(AI9,1)&lt;&gt;"0"),1,0))</f>
        <v>0</v>
      </c>
      <c r="AK9">
        <f>IF(E9="",0,IF(LEFT(TRIM(E9),5)="/time",0+1,0))</f>
        <v>0</v>
      </c>
      <c r="AL9" t="str">
        <f t="shared" ref="AL9:AL72" si="16">IFERROR(IF(ISNUMBER(--LEFT(TRIM(E9),1)),VALUE(LEFT(TRIM(E9),6)),""),"")</f>
        <v/>
      </c>
      <c r="AM9" t="str">
        <f t="shared" ref="AM9:AM72" si="17">IFERROR(VALUE(TRIM(MID(SUBSTITUTE(TRIM(E9)," ",REPT(" ",30)),31,30))),"")</f>
        <v/>
      </c>
      <c r="AN9" t="str">
        <f t="shared" ref="AN9:AN72" si="18">IFERROR(TRIM(MID(SUBSTITUTE(TRIM(E9)," ",REPT(" ",30)),61,30)),"")</f>
        <v/>
      </c>
      <c r="AO9">
        <f t="shared" ref="AO9:AO72" si="19">IF(OR(AL9="",AM9="",AN9=""),0,IF(AND(AM9&gt;1000,RIGHT(AN9,1)&lt;&gt;"0"),1,0))</f>
        <v>0</v>
      </c>
      <c r="AQ9">
        <v>1</v>
      </c>
      <c r="AR9">
        <f t="shared" ref="AR9:AR22" si="20">COUNTIFS($Q$9:$Q$708,AQ9,$U$9:$U$708,1)</f>
        <v>32</v>
      </c>
      <c r="AS9">
        <f t="array" ref="AS9">IFERROR(SMALL(IF($Q$9:$Q$708=AQ9,$R$9:$R$708,""),1),"")</f>
        <v>111632</v>
      </c>
      <c r="AT9">
        <f t="array" ref="AT9">IFERROR(LARGE(IF($Q$9:$Q$708=AQ9,$R$9:$R$708,""),1),"")</f>
        <v>111907</v>
      </c>
      <c r="AU9">
        <f t="array" ref="AU9">IFERROR(MEDIAN(IF(($Q$9:$Q$708=AQ9)*($U$9:$U$708=1),$S$9:$S$708,"")),"")</f>
        <v>51389.35</v>
      </c>
      <c r="AV9">
        <f t="shared" ref="AV9:AV22" si="21">IF(AU9="",0,COUNTIFS($Q$9:$Q$708,AQ9,$U$9:$U$708,1,$S$9:$S$708,"&gt;="&amp;AU9-5,$S$9:$S$708,"&lt;="&amp;AU9+5))</f>
        <v>32</v>
      </c>
      <c r="AW9">
        <f t="shared" ref="AW9:AW22" si="22">IF(AV9=0,"",ROUND(AVERAGEIFS($S$9:$S$708,$Q$9:$Q$708,AQ9,$U$9:$U$708,1,$S$9:$S$708,"&gt;="&amp;AU9-5,$S$9:$S$708,"&lt;="&amp;AU9+5),2))</f>
        <v>51389.35</v>
      </c>
      <c r="AX9">
        <f t="shared" ref="AX9:AX22" si="23">IF(AU9="","",COUNTIFS($Q$9:$Q$708,AQ9,$R$9:$R$708,"&gt;0")-AV9)</f>
        <v>0</v>
      </c>
      <c r="AY9">
        <f t="shared" ref="AY9:AY22" si="24">IF(AS9="","",RANK(AS9,$AS$9:$AS$22,1))</f>
        <v>1</v>
      </c>
      <c r="AZ9">
        <v>1</v>
      </c>
      <c r="BA9">
        <f t="shared" ref="BA9:BA22" si="25">COUNTIFS($V$9:$V$708,AZ9,$Z$9:$Z$708,1)</f>
        <v>30</v>
      </c>
      <c r="BB9">
        <f t="array" ref="BB9">IFERROR(SMALL(IF($V$9:$V$708=AZ9,$W$9:$W$708,""),1),"")</f>
        <v>114727</v>
      </c>
      <c r="BC9">
        <f t="array" ref="BC9">IFERROR(LARGE(IF($V$9:$V$708=AZ9,$W$9:$W$708,""),1),"")</f>
        <v>114952</v>
      </c>
      <c r="BD9">
        <f t="array" ref="BD9">IFERROR(MEDIAN(IF(($V$9:$V$708=AZ9)*($Z$9:$Z$708=1),$X$9:$X$708,"")),"")</f>
        <v>51388.955000000002</v>
      </c>
      <c r="BE9">
        <f t="shared" ref="BE9:BE22" si="26">IF(BD9="",0,COUNTIFS($V$9:$V$708,AZ9,$Z$9:$Z$708,1,$X$9:$X$708,"&gt;="&amp;BD9-5,$X$9:$X$708,"&lt;="&amp;BD9+5))</f>
        <v>30</v>
      </c>
      <c r="BF9">
        <f t="shared" ref="BF9:BF22" si="27">IF(BE9=0,"",ROUND(AVERAGEIFS($X$9:$X$708,$V$9:$V$708,AZ9,$Z$9:$Z$708,1,$X$9:$X$708,"&gt;="&amp;BD9-5,$X$9:$X$708,"&lt;="&amp;BD9+5),2))</f>
        <v>51388.95</v>
      </c>
      <c r="BG9">
        <f t="shared" ref="BG9:BG22" si="28">IF(BD9="","",COUNTIFS($V$9:$V$708,AZ9,$W$9:$W$708,"&gt;0")-BE9)</f>
        <v>0</v>
      </c>
      <c r="BH9">
        <f t="shared" ref="BH9:BH22" si="29">IF(BB9="","",RANK(BB9,$BB$9:$BB$22,1))</f>
        <v>2</v>
      </c>
      <c r="BI9">
        <v>1</v>
      </c>
      <c r="BJ9">
        <f t="shared" ref="BJ9:BJ22" si="30">COUNTIFS($AA$9:$AA$708,BI9,$AE$9:$AE$708,1)</f>
        <v>26</v>
      </c>
      <c r="BK9">
        <f t="array" ref="BK9">IFERROR(SMALL(IF($AA$9:$AA$708=BI9,$AB$9:$AB$708,""),1),"")</f>
        <v>121822</v>
      </c>
      <c r="BL9">
        <f t="array" ref="BL9">IFERROR(LARGE(IF($AA$9:$AA$708=BI9,$AB$9:$AB$708,""),1),"")</f>
        <v>122027</v>
      </c>
      <c r="BM9">
        <f t="array" ref="BM9">IFERROR(MEDIAN(IF(($AA$9:$AA$708=BI9)*($AE$9:$AE$708=1),$AC$9:$AC$708,"")),"")</f>
        <v>51388.675000000003</v>
      </c>
      <c r="BN9">
        <f t="shared" ref="BN9:BN22" si="31">IF(BM9="",0,COUNTIFS($AA$9:$AA$708,BI9,$AE$9:$AE$708,1,$AC$9:$AC$708,"&gt;="&amp;BM9-5,$AC$9:$AC$708,"&lt;="&amp;BM9+5))</f>
        <v>26</v>
      </c>
      <c r="BO9">
        <f t="shared" ref="BO9:BO22" si="32">IF(BN9=0,"",ROUND(AVERAGEIFS($AC$9:$AC$708,$AA$9:$AA$708,BI9,$AE$9:$AE$708,1,$AC$9:$AC$708,"&gt;="&amp;BM9-5,$AC$9:$AC$708,"&lt;="&amp;BM9+5),2))</f>
        <v>51388.66</v>
      </c>
      <c r="BP9">
        <f t="shared" ref="BP9:BP22" si="33">IF(BM9="","",COUNTIFS($AA$9:$AA$708,BI9,$AB$9:$AB$708,"&gt;0")-BN9)</f>
        <v>0</v>
      </c>
      <c r="BQ9">
        <f t="shared" ref="BQ9:BQ22" si="34">IF(BK9="","",RANK(BK9,$BK$9:$BK$22,1))</f>
        <v>1</v>
      </c>
      <c r="BR9">
        <v>1</v>
      </c>
      <c r="BS9">
        <f t="shared" ref="BS9:BS22" si="35">COUNTIFS($AF$9:$AF$708,BR9,$AJ$9:$AJ$708,1)</f>
        <v>30</v>
      </c>
      <c r="BT9">
        <f t="array" ref="BT9">IFERROR(SMALL(IF($AF$9:$AF$708=BR9,$AG$9:$AG$708,""),1),"")</f>
        <v>123522</v>
      </c>
      <c r="BU9">
        <f t="array" ref="BU9">IFERROR(LARGE(IF($AF$9:$AF$708=BR9,$AG$9:$AG$708,""),1),"")</f>
        <v>123747</v>
      </c>
      <c r="BV9">
        <f t="array" ref="BV9">IFERROR(MEDIAN(IF(($AF$9:$AF$708=BR9)*($AJ$9:$AJ$708=1),$AH$9:$AH$708,"")),"")</f>
        <v>51398.67</v>
      </c>
      <c r="BW9">
        <f t="shared" ref="BW9:BW22" si="36">IF(BV9="",0,COUNTIFS($AF$9:$AF$708,BR9,$AJ$9:$AJ$708,1,$AH$9:$AH$708,"&gt;="&amp;BV9-5,$AH$9:$AH$708,"&lt;="&amp;BV9+5))</f>
        <v>28</v>
      </c>
      <c r="BX9">
        <f t="shared" ref="BX9:BX22" si="37">IF(BW9=0,"",ROUND(AVERAGEIFS($AH$9:$AH$708,$AF$9:$AF$708,BR9,$AJ$9:$AJ$708,1,$AH$9:$AH$708,"&gt;="&amp;BV9-5,$AH$9:$AH$708,"&lt;="&amp;BV9+5),2))</f>
        <v>51398.6</v>
      </c>
      <c r="BY9">
        <f t="shared" ref="BY9:BY22" si="38">IF(BV9="","",COUNTIFS($AF$9:$AF$708,BR9,$AG$9:$AG$708,"&gt;0")-BW9)</f>
        <v>2</v>
      </c>
      <c r="BZ9">
        <f t="shared" ref="BZ9:BZ22" si="39">IF(BT9="","",RANK(BT9,$BT$9:$BT$22,1))</f>
        <v>1</v>
      </c>
      <c r="CA9">
        <v>1</v>
      </c>
      <c r="CB9">
        <f t="shared" ref="CB9:CB22" si="40">COUNTIFS($AK$9:$AK$708,CA9,$AO$9:$AO$708,1)</f>
        <v>27</v>
      </c>
      <c r="CC9">
        <f t="array" ref="CC9">IFERROR(SMALL(IF($AK$9:$AK$708=CA9,$AL$9:$AL$708,""),1),"")</f>
        <v>130352</v>
      </c>
      <c r="CD9">
        <f t="array" ref="CD9">IFERROR(LARGE(IF($AK$9:$AK$708=CA9,$AL$9:$AL$708,""),1),"")</f>
        <v>130602</v>
      </c>
      <c r="CE9">
        <f t="array" ref="CE9">IFERROR(MEDIAN(IF(($AK$9:$AK$708=CA9)*($AO$9:$AO$708=1),$AM$9:$AM$708,"")),"")</f>
        <v>51406.29</v>
      </c>
      <c r="CF9">
        <f t="shared" ref="CF9:CF22" si="41">IF(CE9="",0,COUNTIFS($AK$9:$AK$708,CA9,$AO$9:$AO$708,1,$AM$9:$AM$708,"&gt;="&amp;CE9-5,$AM$9:$AM$708,"&lt;="&amp;CE9+5))</f>
        <v>27</v>
      </c>
      <c r="CG9">
        <f t="shared" ref="CG9:CG22" si="42">IF(CF9=0,"",ROUND(AVERAGEIFS($AM$9:$AM$708,$AK$9:$AK$708,CA9,$AO$9:$AO$708,1,$AM$9:$AM$708,"&gt;="&amp;CE9-5,$AM$9:$AM$708,"&lt;="&amp;CE9+5),2))</f>
        <v>51406.33</v>
      </c>
      <c r="CH9">
        <f t="shared" ref="CH9:CH22" si="43">IF(CE9="","",COUNTIFS($AK$9:$AK$708,CA9,$AL$9:$AL$708,"&gt;0")-CF9)</f>
        <v>0</v>
      </c>
      <c r="CI9">
        <f t="shared" ref="CI9:CI22" si="44">IF(CC9="","",RANK(CC9,$CC$9:$CC$22,1))</f>
        <v>1</v>
      </c>
      <c r="CM9" t="s">
        <v>597</v>
      </c>
      <c r="CQ9" t="s">
        <v>598</v>
      </c>
      <c r="CR9">
        <f>IF(OR($I$9="",$I$10=""),"",ABS($I$10-$I$9))</f>
        <v>26.720000000001164</v>
      </c>
      <c r="CS9">
        <f>IF(OR($K$9="",$K$10=""),"",ABS($K$10-$K$9))</f>
        <v>20.260000000002037</v>
      </c>
      <c r="CT9">
        <f>IF(OR($M$9="",$M$10=""),"",ABS($M$10-$M$9))</f>
        <v>20.090000000003783</v>
      </c>
      <c r="CU9">
        <f>IF(OR($O$9="",$O$10=""),"",ABS($O$10-$O$9))</f>
        <v>56.520000000004075</v>
      </c>
    </row>
    <row r="10" spans="1:99" ht="19.05" customHeight="1" x14ac:dyDescent="0.4">
      <c r="A10" s="62" t="str">
        <f>IF($CM$6=0,"",IF(INDEX('⑩ 원문 보관'!$A:$E,$CM$6+ROW()-9,COLUMN())="","",INDEX('⑩ 원문 보관'!$A:$E,$CM$6+ROW()-9,COLUMN())))</f>
        <v/>
      </c>
      <c r="B10" s="62" t="str">
        <f>IF($CM$6=0,"",IF(INDEX('⑩ 원문 보관'!$A:$E,$CM$6+ROW()-9,COLUMN())="","",INDEX('⑩ 원문 보관'!$A:$E,$CM$6+ROW()-9,COLUMN())))</f>
        <v>/datum  57000.00</v>
      </c>
      <c r="C10" s="62" t="str">
        <f>IF($CM$6=0,"",IF(INDEX('⑩ 원문 보관'!$A:$E,$CM$6+ROW()-9,COLUMN())="","",INDEX('⑩ 원문 보관'!$A:$E,$CM$6+ROW()-9,COLUMN())))</f>
        <v>/datum  57000.00</v>
      </c>
      <c r="D10" s="62" t="str">
        <f>IF($CM$6=0,"",IF(INDEX('⑩ 원문 보관'!$A:$E,$CM$6+ROW()-9,COLUMN())="","",INDEX('⑩ 원문 보관'!$A:$E,$CM$6+ROW()-9,COLUMN())))</f>
        <v>/datum  57000.00</v>
      </c>
      <c r="E10" s="62" t="str">
        <f>IF($CM$6=0,"",IF(INDEX('⑩ 원문 보관'!$A:$E,$CM$6+ROW()-9,COLUMN())="","",INDEX('⑩ 원문 보관'!$A:$E,$CM$6+ROW()-9,COLUMN())))</f>
        <v/>
      </c>
      <c r="G10" s="54" t="s">
        <v>165</v>
      </c>
      <c r="H10" s="55">
        <f>IF(COUNT($AS$9:$AS$22)-1&lt;2,"",IFERROR(INT(IFERROR(INDEX($AS$9:$AS$22,MATCH(2,$AY$9:$AY$22,0)),"")/100),""))</f>
        <v>1119</v>
      </c>
      <c r="I10" s="56">
        <f>IF(COUNT($AS$9:$AS$22)-1&lt;2,"",IFERROR(INDEX($AW$9:$AW$22,MATCH(2,$AY$9:$AY$22,0)),""))</f>
        <v>51362.63</v>
      </c>
      <c r="J10" s="55">
        <f>IF(COUNT($BB$9:$BB$22)-1&lt;2,"",IFERROR(INT(IFERROR(INDEX($BB$9:$BB$22,MATCH(2,$BH$9:$BH$22,0)),"")/100),""))</f>
        <v>1147</v>
      </c>
      <c r="K10" s="56">
        <f>IF(COUNT($BB$9:$BB$22)-1&lt;2,"",IFERROR(INDEX($BF$9:$BF$22,MATCH(2,$BH$9:$BH$22,0)),""))</f>
        <v>51388.95</v>
      </c>
      <c r="L10" s="55">
        <f>IF(COUNT($BK$9:$BK$22)-1&lt;2,"",IFERROR(INT(IFERROR(INDEX($BK$9:$BK$22,MATCH(2,$BQ$9:$BQ$22,0)),"")/100),""))</f>
        <v>1221</v>
      </c>
      <c r="M10" s="56">
        <f>IF(COUNT($BK$9:$BK$22)-1&lt;2,"",IFERROR(INDEX($BO$9:$BO$22,MATCH(2,$BQ$9:$BQ$22,0)),""))</f>
        <v>51368.57</v>
      </c>
      <c r="N10" s="55">
        <f>IF(COUNT($BT$9:$BT$22)-1&lt;2,"",IFERROR(INT(IFERROR(INDEX($BT$9:$BT$22,MATCH(2,$BZ$9:$BZ$22,0)),"")/100),""))</f>
        <v>1238</v>
      </c>
      <c r="O10" s="56">
        <f>IF(COUNT($BT$9:$BT$22)-1&lt;2,"",IFERROR(INDEX($BX$9:$BX$22,MATCH(2,$BZ$9:$BZ$22,0)),""))</f>
        <v>51455.12</v>
      </c>
      <c r="Q10">
        <f t="shared" ref="Q10:Q73" si="45">IF(A10="",N(Q9),IF(LEFT(TRIM(A10),5)="/time",N(Q9)+1,N(Q9)))</f>
        <v>0</v>
      </c>
      <c r="R10" t="str">
        <f t="shared" si="0"/>
        <v/>
      </c>
      <c r="S10" t="str">
        <f t="shared" si="1"/>
        <v/>
      </c>
      <c r="T10" t="str">
        <f t="shared" si="2"/>
        <v/>
      </c>
      <c r="U10">
        <f t="shared" si="3"/>
        <v>0</v>
      </c>
      <c r="V10">
        <f t="shared" ref="V10:V73" si="46">IF(B10="",N(V9),IF(LEFT(TRIM(B10),5)="/time",N(V9)+1,N(V9)))</f>
        <v>0</v>
      </c>
      <c r="W10" t="str">
        <f t="shared" si="4"/>
        <v/>
      </c>
      <c r="X10">
        <f t="shared" si="5"/>
        <v>57000</v>
      </c>
      <c r="Y10" t="str">
        <f t="shared" si="6"/>
        <v/>
      </c>
      <c r="Z10">
        <f t="shared" si="7"/>
        <v>0</v>
      </c>
      <c r="AA10">
        <f t="shared" ref="AA10:AA73" si="47">IF(C10="",N(AA9),IF(LEFT(TRIM(C10),5)="/time",N(AA9)+1,N(AA9)))</f>
        <v>0</v>
      </c>
      <c r="AB10" t="str">
        <f t="shared" si="8"/>
        <v/>
      </c>
      <c r="AC10">
        <f t="shared" si="9"/>
        <v>57000</v>
      </c>
      <c r="AD10" t="str">
        <f t="shared" si="10"/>
        <v/>
      </c>
      <c r="AE10">
        <f t="shared" si="11"/>
        <v>0</v>
      </c>
      <c r="AF10">
        <f t="shared" ref="AF10:AF73" si="48">IF(D10="",N(AF9),IF(LEFT(TRIM(D10),5)="/time",N(AF9)+1,N(AF9)))</f>
        <v>0</v>
      </c>
      <c r="AG10" t="str">
        <f t="shared" si="12"/>
        <v/>
      </c>
      <c r="AH10">
        <f t="shared" si="13"/>
        <v>57000</v>
      </c>
      <c r="AI10" t="str">
        <f t="shared" si="14"/>
        <v/>
      </c>
      <c r="AJ10">
        <f t="shared" si="15"/>
        <v>0</v>
      </c>
      <c r="AK10">
        <f t="shared" ref="AK10:AK73" si="49">IF(E10="",N(AK9),IF(LEFT(TRIM(E10),5)="/time",N(AK9)+1,N(AK9)))</f>
        <v>0</v>
      </c>
      <c r="AL10" t="str">
        <f t="shared" si="16"/>
        <v/>
      </c>
      <c r="AM10" t="str">
        <f t="shared" si="17"/>
        <v/>
      </c>
      <c r="AN10" t="str">
        <f t="shared" si="18"/>
        <v/>
      </c>
      <c r="AO10">
        <f t="shared" si="19"/>
        <v>0</v>
      </c>
      <c r="AQ10">
        <v>2</v>
      </c>
      <c r="AR10">
        <f t="shared" si="20"/>
        <v>31</v>
      </c>
      <c r="AS10">
        <f t="array" ref="AS10">IFERROR(SMALL(IF($Q$9:$Q$708=AQ10,$R$9:$R$708,""),1),"")</f>
        <v>111952</v>
      </c>
      <c r="AT10">
        <f t="array" ref="AT10">IFERROR(LARGE(IF($Q$9:$Q$708=AQ10,$R$9:$R$708,""),1),"")</f>
        <v>112222</v>
      </c>
      <c r="AU10">
        <f t="array" ref="AU10">IFERROR(MEDIAN(IF(($Q$9:$Q$708=AQ10)*($U$9:$U$708=1),$S$9:$S$708,"")),"")</f>
        <v>51362.63</v>
      </c>
      <c r="AV10">
        <f t="shared" si="21"/>
        <v>31</v>
      </c>
      <c r="AW10">
        <f t="shared" si="22"/>
        <v>51362.63</v>
      </c>
      <c r="AX10">
        <f t="shared" si="23"/>
        <v>0</v>
      </c>
      <c r="AY10">
        <f t="shared" si="24"/>
        <v>2</v>
      </c>
      <c r="AZ10">
        <v>2</v>
      </c>
      <c r="BA10">
        <f t="shared" si="25"/>
        <v>41</v>
      </c>
      <c r="BB10">
        <f t="array" ref="BB10">IFERROR(SMALL(IF($V$9:$V$708=AZ10,$W$9:$W$708,""),1),"")</f>
        <v>114357</v>
      </c>
      <c r="BC10">
        <f t="array" ref="BC10">IFERROR(LARGE(IF($V$9:$V$708=AZ10,$W$9:$W$708,""),1),"")</f>
        <v>114717</v>
      </c>
      <c r="BD10">
        <f t="array" ref="BD10">IFERROR(MEDIAN(IF(($V$9:$V$708=AZ10)*($Z$9:$Z$708=1),$X$9:$X$708,"")),"")</f>
        <v>51409.1</v>
      </c>
      <c r="BE10">
        <f t="shared" si="26"/>
        <v>37</v>
      </c>
      <c r="BF10">
        <f t="shared" si="27"/>
        <v>51409.21</v>
      </c>
      <c r="BG10">
        <f t="shared" si="28"/>
        <v>4</v>
      </c>
      <c r="BH10">
        <f t="shared" si="29"/>
        <v>1</v>
      </c>
      <c r="BI10">
        <v>2</v>
      </c>
      <c r="BJ10">
        <f t="shared" si="30"/>
        <v>27</v>
      </c>
      <c r="BK10">
        <f t="array" ref="BK10">IFERROR(SMALL(IF($AA$9:$AA$708=BI10,$AB$9:$AB$708,""),1),"")</f>
        <v>122117</v>
      </c>
      <c r="BL10">
        <f t="array" ref="BL10">IFERROR(LARGE(IF($AA$9:$AA$708=BI10,$AB$9:$AB$708,""),1),"")</f>
        <v>122327</v>
      </c>
      <c r="BM10">
        <f t="array" ref="BM10">IFERROR(MEDIAN(IF(($AA$9:$AA$708=BI10)*($AE$9:$AE$708=1),$AC$9:$AC$708,"")),"")</f>
        <v>51368.56</v>
      </c>
      <c r="BN10">
        <f t="shared" si="31"/>
        <v>27</v>
      </c>
      <c r="BO10">
        <f t="shared" si="32"/>
        <v>51368.57</v>
      </c>
      <c r="BP10">
        <f t="shared" si="33"/>
        <v>0</v>
      </c>
      <c r="BQ10">
        <f t="shared" si="34"/>
        <v>2</v>
      </c>
      <c r="BR10">
        <v>2</v>
      </c>
      <c r="BS10">
        <f t="shared" si="35"/>
        <v>26</v>
      </c>
      <c r="BT10">
        <f t="array" ref="BT10">IFERROR(SMALL(IF($AF$9:$AF$708=BR10,$AG$9:$AG$708,""),1),"")</f>
        <v>123817</v>
      </c>
      <c r="BU10">
        <f t="array" ref="BU10">IFERROR(LARGE(IF($AF$9:$AF$708=BR10,$AG$9:$AG$708,""),1),"")</f>
        <v>124022</v>
      </c>
      <c r="BV10">
        <f t="array" ref="BV10">IFERROR(MEDIAN(IF(($AF$9:$AF$708=BR10)*($AJ$9:$AJ$708=1),$AH$9:$AH$708,"")),"")</f>
        <v>51455.18</v>
      </c>
      <c r="BW10">
        <f t="shared" si="36"/>
        <v>26</v>
      </c>
      <c r="BX10">
        <f t="shared" si="37"/>
        <v>51455.12</v>
      </c>
      <c r="BY10">
        <f t="shared" si="38"/>
        <v>0</v>
      </c>
      <c r="BZ10">
        <f t="shared" si="39"/>
        <v>2</v>
      </c>
      <c r="CA10">
        <v>2</v>
      </c>
      <c r="CB10">
        <f t="shared" si="40"/>
        <v>29</v>
      </c>
      <c r="CC10">
        <f t="array" ref="CC10">IFERROR(SMALL(IF($AK$9:$AK$708=CA10,$AL$9:$AL$708,""),1),"")</f>
        <v>130722</v>
      </c>
      <c r="CD10">
        <f t="array" ref="CD10">IFERROR(LARGE(IF($AK$9:$AK$708=CA10,$AL$9:$AL$708,""),1),"")</f>
        <v>130942</v>
      </c>
      <c r="CE10">
        <f t="array" ref="CE10">IFERROR(MEDIAN(IF(($AK$9:$AK$708=CA10)*($AO$9:$AO$708=1),$AM$9:$AM$708,"")),"")</f>
        <v>51399.59</v>
      </c>
      <c r="CF10">
        <f t="shared" si="41"/>
        <v>28</v>
      </c>
      <c r="CG10">
        <f t="shared" si="42"/>
        <v>51399.6</v>
      </c>
      <c r="CH10">
        <f t="shared" si="43"/>
        <v>1</v>
      </c>
      <c r="CI10">
        <f t="shared" si="44"/>
        <v>2</v>
      </c>
      <c r="CM10" t="s">
        <v>599</v>
      </c>
      <c r="CQ10" t="s">
        <v>600</v>
      </c>
      <c r="CR10">
        <f>IF(OR($I$10="",$I$11=""),"",ABS($I$11-$I$10))</f>
        <v>11.5</v>
      </c>
      <c r="CS10">
        <f>IF(OR($K$10="",$K$11=""),"",ABS($K$11-$K$10))</f>
        <v>56.360000000000582</v>
      </c>
      <c r="CT10">
        <f>IF(OR($M$10="",$M$11=""),"",ABS($M$11-$M$10))</f>
        <v>14.459999999999127</v>
      </c>
      <c r="CU10">
        <f>IF(OR($O$10="",$O$11=""),"",ABS($O$11-$O$10))</f>
        <v>95.849999999998545</v>
      </c>
    </row>
    <row r="11" spans="1:99" ht="19.05" customHeight="1" x14ac:dyDescent="0.4">
      <c r="A11" s="62" t="str">
        <f>IF($CM$6=0,"",IF(INDEX('⑩ 원문 보관'!$A:$E,$CM$6+ROW()-9,COLUMN())="","",INDEX('⑩ 원문 보관'!$A:$E,$CM$6+ROW()-9,COLUMN())))</f>
        <v xml:space="preserve">/Gem Systems GSM-19T 4106808 v7.0 26 IX 2014 M t-e2l..v7o                         </v>
      </c>
      <c r="B11" s="62" t="str">
        <f>IF($CM$6=0,"",IF(INDEX('⑩ 원문 보관'!$A:$E,$CM$6+ROW()-9,COLUMN())="","",INDEX('⑩ 원문 보관'!$A:$E,$CM$6+ROW()-9,COLUMN())))</f>
        <v>/</v>
      </c>
      <c r="C11" s="62" t="str">
        <f>IF($CM$6=0,"",IF(INDEX('⑩ 원문 보관'!$A:$E,$CM$6+ROW()-9,COLUMN())="","",INDEX('⑩ 원문 보관'!$A:$E,$CM$6+ROW()-9,COLUMN())))</f>
        <v>/</v>
      </c>
      <c r="D11" s="62" t="str">
        <f>IF($CM$6=0,"",IF(INDEX('⑩ 원문 보관'!$A:$E,$CM$6+ROW()-9,COLUMN())="","",INDEX('⑩ 원문 보관'!$A:$E,$CM$6+ROW()-9,COLUMN())))</f>
        <v>/</v>
      </c>
      <c r="E11" s="62" t="str">
        <f>IF($CM$6=0,"",IF(INDEX('⑩ 원문 보관'!$A:$E,$CM$6+ROW()-9,COLUMN())="","",INDEX('⑩ 원문 보관'!$A:$E,$CM$6+ROW()-9,COLUMN())))</f>
        <v xml:space="preserve">/Gem Systems GSM-19T 4106808 v7.0 26 IX 2014 M t-e2l..v7o                         </v>
      </c>
      <c r="G11" s="54" t="s">
        <v>166</v>
      </c>
      <c r="H11" s="55">
        <f>IF(COUNT($AS$9:$AS$22)-1&lt;3,"",IFERROR(INT(IFERROR(INDEX($AS$9:$AS$22,MATCH(3,$AY$9:$AY$22,0)),"")/100),""))</f>
        <v>1123</v>
      </c>
      <c r="I11" s="56">
        <f>IF(COUNT($AS$9:$AS$22)-1&lt;3,"",IFERROR(INDEX($AW$9:$AW$22,MATCH(3,$AY$9:$AY$22,0)),""))</f>
        <v>51351.13</v>
      </c>
      <c r="J11" s="55">
        <f>IF(COUNT($BB$9:$BB$22)-1&lt;3,"",IFERROR(INT(IFERROR(INDEX($BB$9:$BB$22,MATCH(3,$BH$9:$BH$22,0)),"")/100),""))</f>
        <v>1150</v>
      </c>
      <c r="K11" s="56">
        <f>IF(COUNT($BB$9:$BB$22)-1&lt;3,"",IFERROR(INDEX($BF$9:$BF$22,MATCH(3,$BH$9:$BH$22,0)),""))</f>
        <v>51445.31</v>
      </c>
      <c r="L11" s="55">
        <f>IF(COUNT($BK$9:$BK$22)-1&lt;3,"",IFERROR(INT(IFERROR(INDEX($BK$9:$BK$22,MATCH(3,$BQ$9:$BQ$22,0)),"")/100),""))</f>
        <v>1224</v>
      </c>
      <c r="M11" s="56">
        <f>IF(COUNT($BK$9:$BK$22)-1&lt;3,"",IFERROR(INDEX($BO$9:$BO$22,MATCH(3,$BQ$9:$BQ$22,0)),""))</f>
        <v>51354.11</v>
      </c>
      <c r="N11" s="55">
        <f>IF(COUNT($BT$9:$BT$22)-1&lt;3,"",IFERROR(INT(IFERROR(INDEX($BT$9:$BT$22,MATCH(3,$BZ$9:$BZ$22,0)),"")/100),""))</f>
        <v>1241</v>
      </c>
      <c r="O11" s="56">
        <f>IF(COUNT($BT$9:$BT$22)-1&lt;3,"",IFERROR(INDEX($BX$9:$BX$22,MATCH(3,$BZ$9:$BZ$22,0)),""))</f>
        <v>51550.97</v>
      </c>
      <c r="Q11">
        <f t="shared" si="45"/>
        <v>0</v>
      </c>
      <c r="R11" t="str">
        <f t="shared" si="0"/>
        <v/>
      </c>
      <c r="S11" t="str">
        <f t="shared" si="1"/>
        <v/>
      </c>
      <c r="T11" t="str">
        <f t="shared" si="2"/>
        <v>GSM-19T</v>
      </c>
      <c r="U11">
        <f t="shared" si="3"/>
        <v>0</v>
      </c>
      <c r="V11">
        <f t="shared" si="46"/>
        <v>0</v>
      </c>
      <c r="W11" t="str">
        <f t="shared" si="4"/>
        <v/>
      </c>
      <c r="X11" t="str">
        <f t="shared" si="5"/>
        <v/>
      </c>
      <c r="Y11" t="str">
        <f t="shared" si="6"/>
        <v/>
      </c>
      <c r="Z11">
        <f t="shared" si="7"/>
        <v>0</v>
      </c>
      <c r="AA11">
        <f t="shared" si="47"/>
        <v>0</v>
      </c>
      <c r="AB11" t="str">
        <f t="shared" si="8"/>
        <v/>
      </c>
      <c r="AC11" t="str">
        <f t="shared" si="9"/>
        <v/>
      </c>
      <c r="AD11" t="str">
        <f t="shared" si="10"/>
        <v/>
      </c>
      <c r="AE11">
        <f t="shared" si="11"/>
        <v>0</v>
      </c>
      <c r="AF11">
        <f t="shared" si="48"/>
        <v>0</v>
      </c>
      <c r="AG11" t="str">
        <f t="shared" si="12"/>
        <v/>
      </c>
      <c r="AH11" t="str">
        <f t="shared" si="13"/>
        <v/>
      </c>
      <c r="AI11" t="str">
        <f t="shared" si="14"/>
        <v/>
      </c>
      <c r="AJ11">
        <f t="shared" si="15"/>
        <v>0</v>
      </c>
      <c r="AK11">
        <f t="shared" si="49"/>
        <v>0</v>
      </c>
      <c r="AL11" t="str">
        <f t="shared" si="16"/>
        <v/>
      </c>
      <c r="AM11" t="str">
        <f t="shared" si="17"/>
        <v/>
      </c>
      <c r="AN11" t="str">
        <f t="shared" si="18"/>
        <v>GSM-19T</v>
      </c>
      <c r="AO11">
        <f t="shared" si="19"/>
        <v>0</v>
      </c>
      <c r="AQ11">
        <v>3</v>
      </c>
      <c r="AR11">
        <f t="shared" si="20"/>
        <v>35</v>
      </c>
      <c r="AS11">
        <f t="array" ref="AS11">IFERROR(SMALL(IF($Q$9:$Q$708=AQ11,$R$9:$R$708,""),1),"")</f>
        <v>112312</v>
      </c>
      <c r="AT11">
        <f t="array" ref="AT11">IFERROR(LARGE(IF($Q$9:$Q$708=AQ11,$R$9:$R$708,""),1),"")</f>
        <v>112602</v>
      </c>
      <c r="AU11">
        <f t="array" ref="AU11">IFERROR(MEDIAN(IF(($Q$9:$Q$708=AQ11)*($U$9:$U$708=1),$S$9:$S$708,"")),"")</f>
        <v>51351.14</v>
      </c>
      <c r="AV11">
        <f t="shared" si="21"/>
        <v>35</v>
      </c>
      <c r="AW11">
        <f t="shared" si="22"/>
        <v>51351.13</v>
      </c>
      <c r="AX11">
        <f t="shared" si="23"/>
        <v>0</v>
      </c>
      <c r="AY11">
        <f t="shared" si="24"/>
        <v>3</v>
      </c>
      <c r="AZ11">
        <v>3</v>
      </c>
      <c r="BA11">
        <f t="shared" si="25"/>
        <v>31</v>
      </c>
      <c r="BB11">
        <f t="array" ref="BB11">IFERROR(SMALL(IF($V$9:$V$708=AZ11,$W$9:$W$708,""),1),"")</f>
        <v>115037</v>
      </c>
      <c r="BC11">
        <f t="array" ref="BC11">IFERROR(LARGE(IF($V$9:$V$708=AZ11,$W$9:$W$708,""),1),"")</f>
        <v>115307</v>
      </c>
      <c r="BD11">
        <f t="array" ref="BD11">IFERROR(MEDIAN(IF(($V$9:$V$708=AZ11)*($Z$9:$Z$708=1),$X$9:$X$708,"")),"")</f>
        <v>51445.23</v>
      </c>
      <c r="BE11">
        <f t="shared" si="26"/>
        <v>31</v>
      </c>
      <c r="BF11">
        <f t="shared" si="27"/>
        <v>51445.31</v>
      </c>
      <c r="BG11">
        <f t="shared" si="28"/>
        <v>0</v>
      </c>
      <c r="BH11">
        <f t="shared" si="29"/>
        <v>3</v>
      </c>
      <c r="BI11">
        <v>3</v>
      </c>
      <c r="BJ11">
        <f t="shared" si="30"/>
        <v>27</v>
      </c>
      <c r="BK11">
        <f t="array" ref="BK11">IFERROR(SMALL(IF($AA$9:$AA$708=BI11,$AB$9:$AB$708,""),1),"")</f>
        <v>122412</v>
      </c>
      <c r="BL11">
        <f t="array" ref="BL11">IFERROR(LARGE(IF($AA$9:$AA$708=BI11,$AB$9:$AB$708,""),1),"")</f>
        <v>122622</v>
      </c>
      <c r="BM11">
        <f t="array" ref="BM11">IFERROR(MEDIAN(IF(($AA$9:$AA$708=BI11)*($AE$9:$AE$708=1),$AC$9:$AC$708,"")),"")</f>
        <v>51353.98</v>
      </c>
      <c r="BN11">
        <f t="shared" si="31"/>
        <v>27</v>
      </c>
      <c r="BO11">
        <f t="shared" si="32"/>
        <v>51354.11</v>
      </c>
      <c r="BP11">
        <f t="shared" si="33"/>
        <v>0</v>
      </c>
      <c r="BQ11">
        <f t="shared" si="34"/>
        <v>3</v>
      </c>
      <c r="BR11">
        <v>3</v>
      </c>
      <c r="BS11">
        <f t="shared" si="35"/>
        <v>27</v>
      </c>
      <c r="BT11">
        <f t="array" ref="BT11">IFERROR(SMALL(IF($AF$9:$AF$708=BR11,$AG$9:$AG$708,""),1),"")</f>
        <v>124102</v>
      </c>
      <c r="BU11">
        <f t="array" ref="BU11">IFERROR(LARGE(IF($AF$9:$AF$708=BR11,$AG$9:$AG$708,""),1),"")</f>
        <v>124312</v>
      </c>
      <c r="BV11">
        <f t="array" ref="BV11">IFERROR(MEDIAN(IF(($AF$9:$AF$708=BR11)*($AJ$9:$AJ$708=1),$AH$9:$AH$708,"")),"")</f>
        <v>51550.95</v>
      </c>
      <c r="BW11">
        <f t="shared" si="36"/>
        <v>27</v>
      </c>
      <c r="BX11">
        <f t="shared" si="37"/>
        <v>51550.97</v>
      </c>
      <c r="BY11">
        <f t="shared" si="38"/>
        <v>0</v>
      </c>
      <c r="BZ11">
        <f t="shared" si="39"/>
        <v>3</v>
      </c>
      <c r="CA11">
        <v>3</v>
      </c>
      <c r="CB11">
        <f t="shared" si="40"/>
        <v>16</v>
      </c>
      <c r="CC11">
        <f t="array" ref="CC11">IFERROR(SMALL(IF($AK$9:$AK$708=CA11,$AL$9:$AL$708,""),1),"")</f>
        <v>131422</v>
      </c>
      <c r="CD11">
        <f t="array" ref="CD11">IFERROR(LARGE(IF($AK$9:$AK$708=CA11,$AL$9:$AL$708,""),1),"")</f>
        <v>131747</v>
      </c>
      <c r="CE11">
        <f t="array" ref="CE11">IFERROR(MEDIAN(IF(($AK$9:$AK$708=CA11)*($AO$9:$AO$708=1),$AM$9:$AM$708,"")),"")</f>
        <v>51359.244999999995</v>
      </c>
      <c r="CF11">
        <f t="shared" si="41"/>
        <v>2</v>
      </c>
      <c r="CG11">
        <f t="shared" si="42"/>
        <v>51359.25</v>
      </c>
      <c r="CH11">
        <f t="shared" si="43"/>
        <v>40</v>
      </c>
      <c r="CI11">
        <f t="shared" si="44"/>
        <v>3</v>
      </c>
      <c r="CM11" t="s">
        <v>601</v>
      </c>
      <c r="CQ11" t="s">
        <v>602</v>
      </c>
      <c r="CR11">
        <f>IF(OR($I$11="",$I$12=""),"",ABS($I$12-$I$11))</f>
        <v>16.57999999999447</v>
      </c>
      <c r="CS11">
        <f>IF(OR($K$11="",$K$12=""),"",ABS($K$12-$K$11))</f>
        <v>88.240000000005239</v>
      </c>
      <c r="CT11">
        <f>IF(OR($M$11="",$M$12=""),"",ABS($M$12-$M$11))</f>
        <v>12.169999999998254</v>
      </c>
      <c r="CU11">
        <f>IF(OR($O$11="",$O$12=""),"",ABS($O$12-$O$11))</f>
        <v>128.20999999999913</v>
      </c>
    </row>
    <row r="12" spans="1:99" ht="19.05" customHeight="1" x14ac:dyDescent="0.4">
      <c r="A12" t="str">
        <f>IF($CM$6=0,"",IF(INDEX('⑩ 원문 보관'!$A:$E,$CM$6+ROW()-9,COLUMN())="","",INDEX('⑩ 원문 보관'!$A:$E,$CM$6+ROW()-9,COLUMN())))</f>
        <v>/ID 2666 file 01survey.b   21 IX 26</v>
      </c>
      <c r="B12" t="str">
        <f>IF($CM$6=0,"",IF(INDEX('⑩ 원문 보관'!$A:$E,$CM$6+ROW()-9,COLUMN())="","",INDEX('⑩ 원문 보관'!$A:$E,$CM$6+ROW()-9,COLUMN())))</f>
        <v/>
      </c>
      <c r="C12" t="str">
        <f>IF($CM$6=0,"",IF(INDEX('⑩ 원문 보관'!$A:$E,$CM$6+ROW()-9,COLUMN())="","",INDEX('⑩ 원문 보관'!$A:$E,$CM$6+ROW()-9,COLUMN())))</f>
        <v/>
      </c>
      <c r="D12" t="str">
        <f>IF($CM$6=0,"",IF(INDEX('⑩ 원문 보관'!$A:$E,$CM$6+ROW()-9,COLUMN())="","",INDEX('⑩ 원문 보관'!$A:$E,$CM$6+ROW()-9,COLUMN())))</f>
        <v/>
      </c>
      <c r="E12" t="str">
        <f>IF($CM$6=0,"",IF(INDEX('⑩ 원문 보관'!$A:$E,$CM$6+ROW()-9,COLUMN())="","",INDEX('⑩ 원문 보관'!$A:$E,$CM$6+ROW()-9,COLUMN())))</f>
        <v>/ID 2666 file 38survey.b   21 IX 26</v>
      </c>
      <c r="G12" s="54" t="s">
        <v>167</v>
      </c>
      <c r="H12" s="55">
        <f>IF(COUNT($AS$9:$AS$22)-1&lt;4,"",IFERROR(INT(IFERROR(INDEX($AS$9:$AS$22,MATCH(4,$AY$9:$AY$22,0)),"")/100),""))</f>
        <v>1126</v>
      </c>
      <c r="I12" s="56">
        <f>IF(COUNT($AS$9:$AS$22)-1&lt;4,"",IFERROR(INDEX($AW$9:$AW$22,MATCH(4,$AY$9:$AY$22,0)),""))</f>
        <v>51334.55</v>
      </c>
      <c r="J12" s="55">
        <f>IF(COUNT($BB$9:$BB$22)-1&lt;4,"",IFERROR(INT(IFERROR(INDEX($BB$9:$BB$22,MATCH(4,$BH$9:$BH$22,0)),"")/100),""))</f>
        <v>1153</v>
      </c>
      <c r="K12" s="56">
        <f>IF(COUNT($BB$9:$BB$22)-1&lt;4,"",IFERROR(INDEX($BF$9:$BF$22,MATCH(4,$BH$9:$BH$22,0)),""))</f>
        <v>51533.55</v>
      </c>
      <c r="L12" s="55">
        <f>IF(COUNT($BK$9:$BK$22)-1&lt;4,"",IFERROR(INT(IFERROR(INDEX($BK$9:$BK$22,MATCH(4,$BQ$9:$BQ$22,0)),"")/100),""))</f>
        <v>1226</v>
      </c>
      <c r="M12" s="56">
        <f>IF(COUNT($BK$9:$BK$22)-1&lt;4,"",IFERROR(INDEX($BO$9:$BO$22,MATCH(4,$BQ$9:$BQ$22,0)),""))</f>
        <v>51341.94</v>
      </c>
      <c r="N12" s="55">
        <f>IF(COUNT($BT$9:$BT$22)-1&lt;4,"",IFERROR(INT(IFERROR(INDEX($BT$9:$BT$22,MATCH(4,$BZ$9:$BZ$22,0)),"")/100),""))</f>
        <v>1243</v>
      </c>
      <c r="O12" s="56">
        <f>IF(COUNT($BT$9:$BT$22)-1&lt;4,"",IFERROR(INDEX($BX$9:$BX$22,MATCH(4,$BZ$9:$BZ$22,0)),""))</f>
        <v>51679.18</v>
      </c>
      <c r="Q12">
        <f t="shared" si="45"/>
        <v>0</v>
      </c>
      <c r="R12" t="str">
        <f t="shared" si="0"/>
        <v/>
      </c>
      <c r="S12">
        <f t="shared" si="1"/>
        <v>2666</v>
      </c>
      <c r="T12" t="str">
        <f t="shared" si="2"/>
        <v>file</v>
      </c>
      <c r="U12">
        <f t="shared" si="3"/>
        <v>0</v>
      </c>
      <c r="V12">
        <f t="shared" si="46"/>
        <v>0</v>
      </c>
      <c r="W12" t="str">
        <f t="shared" si="4"/>
        <v/>
      </c>
      <c r="X12" t="str">
        <f t="shared" si="5"/>
        <v/>
      </c>
      <c r="Y12" t="str">
        <f t="shared" si="6"/>
        <v/>
      </c>
      <c r="Z12">
        <f t="shared" si="7"/>
        <v>0</v>
      </c>
      <c r="AA12">
        <f t="shared" si="47"/>
        <v>0</v>
      </c>
      <c r="AB12" t="str">
        <f t="shared" si="8"/>
        <v/>
      </c>
      <c r="AC12" t="str">
        <f t="shared" si="9"/>
        <v/>
      </c>
      <c r="AD12" t="str">
        <f t="shared" si="10"/>
        <v/>
      </c>
      <c r="AE12">
        <f t="shared" si="11"/>
        <v>0</v>
      </c>
      <c r="AF12">
        <f t="shared" si="48"/>
        <v>0</v>
      </c>
      <c r="AG12" t="str">
        <f t="shared" si="12"/>
        <v/>
      </c>
      <c r="AH12" t="str">
        <f t="shared" si="13"/>
        <v/>
      </c>
      <c r="AI12" t="str">
        <f t="shared" si="14"/>
        <v/>
      </c>
      <c r="AJ12">
        <f t="shared" si="15"/>
        <v>0</v>
      </c>
      <c r="AK12">
        <f t="shared" si="49"/>
        <v>0</v>
      </c>
      <c r="AL12" t="str">
        <f t="shared" si="16"/>
        <v/>
      </c>
      <c r="AM12">
        <f t="shared" si="17"/>
        <v>2666</v>
      </c>
      <c r="AN12" t="str">
        <f t="shared" si="18"/>
        <v>file</v>
      </c>
      <c r="AO12">
        <f t="shared" si="19"/>
        <v>0</v>
      </c>
      <c r="AQ12">
        <v>4</v>
      </c>
      <c r="AR12">
        <f t="shared" si="20"/>
        <v>31</v>
      </c>
      <c r="AS12">
        <f t="array" ref="AS12">IFERROR(SMALL(IF($Q$9:$Q$708=AQ12,$R$9:$R$708,""),1),"")</f>
        <v>112632</v>
      </c>
      <c r="AT12">
        <f t="array" ref="AT12">IFERROR(LARGE(IF($Q$9:$Q$708=AQ12,$R$9:$R$708,""),1),"")</f>
        <v>112902</v>
      </c>
      <c r="AU12">
        <f t="array" ref="AU12">IFERROR(MEDIAN(IF(($Q$9:$Q$708=AQ12)*($U$9:$U$708=1),$S$9:$S$708,"")),"")</f>
        <v>51334.54</v>
      </c>
      <c r="AV12">
        <f t="shared" si="21"/>
        <v>31</v>
      </c>
      <c r="AW12">
        <f t="shared" si="22"/>
        <v>51334.55</v>
      </c>
      <c r="AX12">
        <f t="shared" si="23"/>
        <v>0</v>
      </c>
      <c r="AY12">
        <f t="shared" si="24"/>
        <v>4</v>
      </c>
      <c r="AZ12">
        <v>4</v>
      </c>
      <c r="BA12">
        <f t="shared" si="25"/>
        <v>27</v>
      </c>
      <c r="BB12">
        <f t="array" ref="BB12">IFERROR(SMALL(IF($V$9:$V$708=AZ12,$W$9:$W$708,""),1),"")</f>
        <v>115357</v>
      </c>
      <c r="BC12">
        <f t="array" ref="BC12">IFERROR(LARGE(IF($V$9:$V$708=AZ12,$W$9:$W$708,""),1),"")</f>
        <v>115607</v>
      </c>
      <c r="BD12">
        <f t="array" ref="BD12">IFERROR(MEDIAN(IF(($V$9:$V$708=AZ12)*($Z$9:$Z$708=1),$X$9:$X$708,"")),"")</f>
        <v>51533.49</v>
      </c>
      <c r="BE12">
        <f t="shared" si="26"/>
        <v>26</v>
      </c>
      <c r="BF12">
        <f t="shared" si="27"/>
        <v>51533.55</v>
      </c>
      <c r="BG12">
        <f t="shared" si="28"/>
        <v>1</v>
      </c>
      <c r="BH12">
        <f t="shared" si="29"/>
        <v>4</v>
      </c>
      <c r="BI12">
        <v>4</v>
      </c>
      <c r="BJ12">
        <f t="shared" si="30"/>
        <v>30</v>
      </c>
      <c r="BK12">
        <f t="array" ref="BK12">IFERROR(SMALL(IF($AA$9:$AA$708=BI12,$AB$9:$AB$708,""),1),"")</f>
        <v>122657</v>
      </c>
      <c r="BL12">
        <f t="array" ref="BL12">IFERROR(LARGE(IF($AA$9:$AA$708=BI12,$AB$9:$AB$708,""),1),"")</f>
        <v>122922</v>
      </c>
      <c r="BM12">
        <f t="array" ref="BM12">IFERROR(MEDIAN(IF(($AA$9:$AA$708=BI12)*($AE$9:$AE$708=1),$AC$9:$AC$708,"")),"")</f>
        <v>51341.904999999999</v>
      </c>
      <c r="BN12">
        <f t="shared" si="31"/>
        <v>30</v>
      </c>
      <c r="BO12">
        <f t="shared" si="32"/>
        <v>51341.94</v>
      </c>
      <c r="BP12">
        <f t="shared" si="33"/>
        <v>0</v>
      </c>
      <c r="BQ12">
        <f t="shared" si="34"/>
        <v>4</v>
      </c>
      <c r="BR12">
        <v>4</v>
      </c>
      <c r="BS12">
        <f t="shared" si="35"/>
        <v>27</v>
      </c>
      <c r="BT12">
        <f t="array" ref="BT12">IFERROR(SMALL(IF($AF$9:$AF$708=BR12,$AG$9:$AG$708,""),1),"")</f>
        <v>124337</v>
      </c>
      <c r="BU12">
        <f t="array" ref="BU12">IFERROR(LARGE(IF($AF$9:$AF$708=BR12,$AG$9:$AG$708,""),1),"")</f>
        <v>124547</v>
      </c>
      <c r="BV12">
        <f t="array" ref="BV12">IFERROR(MEDIAN(IF(($AF$9:$AF$708=BR12)*($AJ$9:$AJ$708=1),$AH$9:$AH$708,"")),"")</f>
        <v>51679.23</v>
      </c>
      <c r="BW12">
        <f t="shared" si="36"/>
        <v>27</v>
      </c>
      <c r="BX12">
        <f t="shared" si="37"/>
        <v>51679.18</v>
      </c>
      <c r="BY12">
        <f t="shared" si="38"/>
        <v>0</v>
      </c>
      <c r="BZ12">
        <f t="shared" si="39"/>
        <v>4</v>
      </c>
      <c r="CA12">
        <v>4</v>
      </c>
      <c r="CB12">
        <f t="shared" si="40"/>
        <v>27</v>
      </c>
      <c r="CC12">
        <f t="array" ref="CC12">IFERROR(SMALL(IF($AK$9:$AK$708=CA12,$AL$9:$AL$708,""),1),"")</f>
        <v>131902</v>
      </c>
      <c r="CD12">
        <f t="array" ref="CD12">IFERROR(LARGE(IF($AK$9:$AK$708=CA12,$AL$9:$AL$708,""),1),"")</f>
        <v>132117</v>
      </c>
      <c r="CE12">
        <f t="array" ref="CE12">IFERROR(MEDIAN(IF(($AK$9:$AK$708=CA12)*($AO$9:$AO$708=1),$AM$9:$AM$708,"")),"")</f>
        <v>51455.61</v>
      </c>
      <c r="CF12">
        <f t="shared" si="41"/>
        <v>9</v>
      </c>
      <c r="CG12">
        <f t="shared" si="42"/>
        <v>51455.71</v>
      </c>
      <c r="CH12">
        <f t="shared" si="43"/>
        <v>19</v>
      </c>
      <c r="CI12">
        <f t="shared" si="44"/>
        <v>4</v>
      </c>
      <c r="CM12" t="s">
        <v>603</v>
      </c>
      <c r="CQ12" t="s">
        <v>604</v>
      </c>
      <c r="CR12">
        <f>IF(OR($I$12="",$I$13=""),"",ABS($I$13-$I$12))</f>
        <v>5.3400000000037835</v>
      </c>
      <c r="CS12">
        <f>IF(OR($K$12="",$K$13=""),"",ABS($K$13-$K$12))</f>
        <v>139.05000000000291</v>
      </c>
      <c r="CT12">
        <f>IF(OR($M$12="",$M$13=""),"",ABS($M$13-$M$12))</f>
        <v>11.260000000002037</v>
      </c>
      <c r="CU12">
        <f>IF(OR($O$12="",$O$13=""),"",ABS($O$13-$O$12))</f>
        <v>195.80999999999767</v>
      </c>
    </row>
    <row r="13" spans="1:99" ht="19.05" customHeight="1" x14ac:dyDescent="0.4">
      <c r="A13" t="str">
        <f>IF($CM$6=0,"",IF(INDEX('⑩ 원문 보관'!$A:$E,$CM$6+ROW()-9,COLUMN())="","",INDEX('⑩ 원문 보관'!$A:$E,$CM$6+ROW()-9,COLUMN())))</f>
        <v>/datum  57000.00</v>
      </c>
      <c r="B13" t="str">
        <f>IF($CM$6=0,"",IF(INDEX('⑩ 원문 보관'!$A:$E,$CM$6+ROW()-9,COLUMN())="","",INDEX('⑩ 원문 보관'!$A:$E,$CM$6+ROW()-9,COLUMN())))</f>
        <v xml:space="preserve">/time nT sq </v>
      </c>
      <c r="C13" t="str">
        <f>IF($CM$6=0,"",IF(INDEX('⑩ 원문 보관'!$A:$E,$CM$6+ROW()-9,COLUMN())="","",INDEX('⑩ 원문 보관'!$A:$E,$CM$6+ROW()-9,COLUMN())))</f>
        <v xml:space="preserve">/time nT sq </v>
      </c>
      <c r="D13" t="str">
        <f>IF($CM$6=0,"",IF(INDEX('⑩ 원문 보관'!$A:$E,$CM$6+ROW()-9,COLUMN())="","",INDEX('⑩ 원문 보관'!$A:$E,$CM$6+ROW()-9,COLUMN())))</f>
        <v xml:space="preserve">/time nT sq </v>
      </c>
      <c r="E13" t="str">
        <f>IF($CM$6=0,"",IF(INDEX('⑩ 원문 보관'!$A:$E,$CM$6+ROW()-9,COLUMN())="","",INDEX('⑩ 원문 보관'!$A:$E,$CM$6+ROW()-9,COLUMN())))</f>
        <v>/datum  57000.00</v>
      </c>
      <c r="G13" s="54" t="s">
        <v>168</v>
      </c>
      <c r="H13" s="55">
        <f>IF(COUNT($AS$9:$AS$22)-1&lt;5,"",IFERROR(INT(IFERROR(INDEX($AS$9:$AS$22,MATCH(5,$AY$9:$AY$22,0)),"")/100),""))</f>
        <v>1129</v>
      </c>
      <c r="I13" s="56">
        <f>IF(COUNT($AS$9:$AS$22)-1&lt;5,"",IFERROR(INDEX($AW$9:$AW$22,MATCH(5,$AY$9:$AY$22,0)),""))</f>
        <v>51329.21</v>
      </c>
      <c r="J13" s="55">
        <f>IF(COUNT($BB$9:$BB$22)-1&lt;5,"",IFERROR(INT(IFERROR(INDEX($BB$9:$BB$22,MATCH(5,$BH$9:$BH$22,0)),"")/100),""))</f>
        <v>1156</v>
      </c>
      <c r="K13" s="56">
        <f>IF(COUNT($BB$9:$BB$22)-1&lt;5,"",IFERROR(INDEX($BF$9:$BF$22,MATCH(5,$BH$9:$BH$22,0)),""))</f>
        <v>51394.5</v>
      </c>
      <c r="L13" s="55">
        <f>IF(COUNT($BK$9:$BK$22)-1&lt;5,"",IFERROR(INT(IFERROR(INDEX($BK$9:$BK$22,MATCH(5,$BQ$9:$BQ$22,0)),"")/100),""))</f>
        <v>1229</v>
      </c>
      <c r="M13" s="56">
        <f>IF(COUNT($BK$9:$BK$22)-1&lt;5,"",IFERROR(INDEX($BO$9:$BO$22,MATCH(5,$BQ$9:$BQ$22,0)),""))</f>
        <v>51330.68</v>
      </c>
      <c r="N13" s="55">
        <f>IF(COUNT($BT$9:$BT$22)-1&lt;5,"",IFERROR(INT(IFERROR(INDEX($BT$9:$BT$22,MATCH(5,$BZ$9:$BZ$22,0)),"")/100),""))</f>
        <v>1246</v>
      </c>
      <c r="O13" s="56">
        <f>IF(COUNT($BT$9:$BT$22)-1&lt;5,"",IFERROR(INDEX($BX$9:$BX$22,MATCH(5,$BZ$9:$BZ$22,0)),""))</f>
        <v>51483.37</v>
      </c>
      <c r="Q13">
        <f t="shared" si="45"/>
        <v>0</v>
      </c>
      <c r="R13" t="str">
        <f t="shared" si="0"/>
        <v/>
      </c>
      <c r="S13">
        <f t="shared" si="1"/>
        <v>57000</v>
      </c>
      <c r="T13" t="str">
        <f t="shared" si="2"/>
        <v/>
      </c>
      <c r="U13">
        <f t="shared" si="3"/>
        <v>0</v>
      </c>
      <c r="V13">
        <f t="shared" si="46"/>
        <v>1</v>
      </c>
      <c r="W13" t="str">
        <f t="shared" si="4"/>
        <v/>
      </c>
      <c r="X13" t="str">
        <f t="shared" si="5"/>
        <v/>
      </c>
      <c r="Y13" t="str">
        <f t="shared" si="6"/>
        <v>sq</v>
      </c>
      <c r="Z13">
        <f t="shared" si="7"/>
        <v>0</v>
      </c>
      <c r="AA13">
        <f t="shared" si="47"/>
        <v>1</v>
      </c>
      <c r="AB13" t="str">
        <f t="shared" si="8"/>
        <v/>
      </c>
      <c r="AC13" t="str">
        <f t="shared" si="9"/>
        <v/>
      </c>
      <c r="AD13" t="str">
        <f t="shared" si="10"/>
        <v>sq</v>
      </c>
      <c r="AE13">
        <f t="shared" si="11"/>
        <v>0</v>
      </c>
      <c r="AF13">
        <f t="shared" si="48"/>
        <v>1</v>
      </c>
      <c r="AG13" t="str">
        <f t="shared" si="12"/>
        <v/>
      </c>
      <c r="AH13" t="str">
        <f t="shared" si="13"/>
        <v/>
      </c>
      <c r="AI13" t="str">
        <f t="shared" si="14"/>
        <v>sq</v>
      </c>
      <c r="AJ13">
        <f t="shared" si="15"/>
        <v>0</v>
      </c>
      <c r="AK13">
        <f t="shared" si="49"/>
        <v>0</v>
      </c>
      <c r="AL13" t="str">
        <f t="shared" si="16"/>
        <v/>
      </c>
      <c r="AM13">
        <f t="shared" si="17"/>
        <v>57000</v>
      </c>
      <c r="AN13" t="str">
        <f t="shared" si="18"/>
        <v/>
      </c>
      <c r="AO13">
        <f t="shared" si="19"/>
        <v>0</v>
      </c>
      <c r="AQ13">
        <v>5</v>
      </c>
      <c r="AR13">
        <f t="shared" si="20"/>
        <v>34</v>
      </c>
      <c r="AS13">
        <f t="array" ref="AS13">IFERROR(SMALL(IF($Q$9:$Q$708=AQ13,$R$9:$R$708,""),1),"")</f>
        <v>112937</v>
      </c>
      <c r="AT13">
        <f t="array" ref="AT13">IFERROR(LARGE(IF($Q$9:$Q$708=AQ13,$R$9:$R$708,""),1),"")</f>
        <v>113222</v>
      </c>
      <c r="AU13">
        <f t="array" ref="AU13">IFERROR(MEDIAN(IF(($Q$9:$Q$708=AQ13)*($U$9:$U$708=1),$S$9:$S$708,"")),"")</f>
        <v>51329.125</v>
      </c>
      <c r="AV13">
        <f t="shared" si="21"/>
        <v>31</v>
      </c>
      <c r="AW13">
        <f t="shared" si="22"/>
        <v>51329.21</v>
      </c>
      <c r="AX13">
        <f t="shared" si="23"/>
        <v>3</v>
      </c>
      <c r="AY13">
        <f t="shared" si="24"/>
        <v>5</v>
      </c>
      <c r="AZ13">
        <v>5</v>
      </c>
      <c r="BA13">
        <f t="shared" si="25"/>
        <v>26</v>
      </c>
      <c r="BB13">
        <f t="array" ref="BB13">IFERROR(SMALL(IF($V$9:$V$708=AZ13,$W$9:$W$708,""),1),"")</f>
        <v>115637</v>
      </c>
      <c r="BC13">
        <f t="array" ref="BC13">IFERROR(LARGE(IF($V$9:$V$708=AZ13,$W$9:$W$708,""),1),"")</f>
        <v>115842</v>
      </c>
      <c r="BD13">
        <f t="array" ref="BD13">IFERROR(MEDIAN(IF(($V$9:$V$708=AZ13)*($Z$9:$Z$708=1),$X$9:$X$708,"")),"")</f>
        <v>51394.504999999997</v>
      </c>
      <c r="BE13">
        <f t="shared" si="26"/>
        <v>26</v>
      </c>
      <c r="BF13">
        <f t="shared" si="27"/>
        <v>51394.5</v>
      </c>
      <c r="BG13">
        <f t="shared" si="28"/>
        <v>0</v>
      </c>
      <c r="BH13">
        <f t="shared" si="29"/>
        <v>5</v>
      </c>
      <c r="BI13">
        <v>5</v>
      </c>
      <c r="BJ13">
        <f t="shared" si="30"/>
        <v>27</v>
      </c>
      <c r="BK13">
        <f t="array" ref="BK13">IFERROR(SMALL(IF($AA$9:$AA$708=BI13,$AB$9:$AB$708,""),1),"")</f>
        <v>122957</v>
      </c>
      <c r="BL13">
        <f t="array" ref="BL13">IFERROR(LARGE(IF($AA$9:$AA$708=BI13,$AB$9:$AB$708,""),1),"")</f>
        <v>123207</v>
      </c>
      <c r="BM13">
        <f t="array" ref="BM13">IFERROR(MEDIAN(IF(($AA$9:$AA$708=BI13)*($AE$9:$AE$708=1),$AC$9:$AC$708,"")),"")</f>
        <v>51330.76</v>
      </c>
      <c r="BN13">
        <f t="shared" si="31"/>
        <v>27</v>
      </c>
      <c r="BO13">
        <f t="shared" si="32"/>
        <v>51330.68</v>
      </c>
      <c r="BP13">
        <f t="shared" si="33"/>
        <v>0</v>
      </c>
      <c r="BQ13">
        <f t="shared" si="34"/>
        <v>5</v>
      </c>
      <c r="BR13">
        <v>5</v>
      </c>
      <c r="BS13">
        <f t="shared" si="35"/>
        <v>26</v>
      </c>
      <c r="BT13">
        <f t="array" ref="BT13">IFERROR(SMALL(IF($AF$9:$AF$708=BR13,$AG$9:$AG$708,""),1),"")</f>
        <v>124622</v>
      </c>
      <c r="BU13">
        <f t="array" ref="BU13">IFERROR(LARGE(IF($AF$9:$AF$708=BR13,$AG$9:$AG$708,""),1),"")</f>
        <v>124827</v>
      </c>
      <c r="BV13">
        <f t="array" ref="BV13">IFERROR(MEDIAN(IF(($AF$9:$AF$708=BR13)*($AJ$9:$AJ$708=1),$AH$9:$AH$708,"")),"")</f>
        <v>51483.28</v>
      </c>
      <c r="BW13">
        <f t="shared" si="36"/>
        <v>26</v>
      </c>
      <c r="BX13">
        <f t="shared" si="37"/>
        <v>51483.37</v>
      </c>
      <c r="BY13">
        <f t="shared" si="38"/>
        <v>0</v>
      </c>
      <c r="BZ13">
        <f t="shared" si="39"/>
        <v>5</v>
      </c>
      <c r="CA13">
        <v>5</v>
      </c>
      <c r="CB13">
        <f t="shared" si="40"/>
        <v>0</v>
      </c>
      <c r="CC13" t="str">
        <f t="array" ref="CC13">IFERROR(SMALL(IF($AK$9:$AK$708=CA13,$AL$9:$AL$708,""),1),"")</f>
        <v/>
      </c>
      <c r="CD13" t="str">
        <f t="array" ref="CD13">IFERROR(LARGE(IF($AK$9:$AK$708=CA13,$AL$9:$AL$708,""),1),"")</f>
        <v/>
      </c>
      <c r="CE13" t="str">
        <f t="array" ref="CE13">IFERROR(MEDIAN(IF(($AK$9:$AK$708=CA13)*($AO$9:$AO$708=1),$AM$9:$AM$708,"")),"")</f>
        <v/>
      </c>
      <c r="CF13">
        <f t="shared" si="41"/>
        <v>0</v>
      </c>
      <c r="CG13" t="str">
        <f t="shared" si="42"/>
        <v/>
      </c>
      <c r="CH13" t="str">
        <f t="shared" si="43"/>
        <v/>
      </c>
      <c r="CI13" t="str">
        <f t="shared" si="44"/>
        <v/>
      </c>
      <c r="CM13" t="s">
        <v>605</v>
      </c>
      <c r="CQ13" t="s">
        <v>606</v>
      </c>
      <c r="CR13">
        <f>IF(OR($I$13="",$I$14=""),"",ABS($I$14-$I$13))</f>
        <v>0.66999999999825377</v>
      </c>
      <c r="CS13">
        <f>IF(OR($K$13="",$K$14=""),"",ABS($K$14-$K$13))</f>
        <v>195.25</v>
      </c>
      <c r="CT13" t="str">
        <f>IF(OR($M$13="",$M$14=""),"",ABS($M$14-$M$13))</f>
        <v/>
      </c>
      <c r="CU13">
        <f>IF(OR($O$13="",$O$14=""),"",ABS($O$14-$O$13))</f>
        <v>129.15000000000146</v>
      </c>
    </row>
    <row r="14" spans="1:99" ht="19.05" customHeight="1" x14ac:dyDescent="0.4">
      <c r="A14" t="str">
        <f>IF($CM$6=0,"",IF(INDEX('⑩ 원문 보관'!$A:$E,$CM$6+ROW()-9,COLUMN())="","",INDEX('⑩ 원문 보관'!$A:$E,$CM$6+ROW()-9,COLUMN())))</f>
        <v>/</v>
      </c>
      <c r="B14" t="str">
        <f>IF($CM$6=0,"",IF(INDEX('⑩ 원문 보관'!$A:$E,$CM$6+ROW()-9,COLUMN())="","",INDEX('⑩ 원문 보관'!$A:$E,$CM$6+ROW()-9,COLUMN())))</f>
        <v xml:space="preserve">114727.0  51389.10 96 </v>
      </c>
      <c r="C14" t="str">
        <f>IF($CM$6=0,"",IF(INDEX('⑩ 원문 보관'!$A:$E,$CM$6+ROW()-9,COLUMN())="","",INDEX('⑩ 원문 보관'!$A:$E,$CM$6+ROW()-9,COLUMN())))</f>
        <v xml:space="preserve">121822.0  51388.66 97 </v>
      </c>
      <c r="D14" t="str">
        <f>IF($CM$6=0,"",IF(INDEX('⑩ 원문 보관'!$A:$E,$CM$6+ROW()-9,COLUMN())="","",INDEX('⑩ 원문 보관'!$A:$E,$CM$6+ROW()-9,COLUMN())))</f>
        <v xml:space="preserve">123522.0  51398.37 23 </v>
      </c>
      <c r="E14" t="str">
        <f>IF($CM$6=0,"",IF(INDEX('⑩ 원문 보관'!$A:$E,$CM$6+ROW()-9,COLUMN())="","",INDEX('⑩ 원문 보관'!$A:$E,$CM$6+ROW()-9,COLUMN())))</f>
        <v>/</v>
      </c>
      <c r="G14" s="54" t="s">
        <v>169</v>
      </c>
      <c r="H14" s="55">
        <f>IF(COUNT($AS$9:$AS$22)-1&lt;6,"",IFERROR(INT(IFERROR(INDEX($AS$9:$AS$22,MATCH(6,$AY$9:$AY$22,0)),"")/100),""))</f>
        <v>1132</v>
      </c>
      <c r="I14" s="56">
        <f>IF(COUNT($AS$9:$AS$22)-1&lt;6,"",IFERROR(INDEX($AW$9:$AW$22,MATCH(6,$AY$9:$AY$22,0)),""))</f>
        <v>51329.88</v>
      </c>
      <c r="J14" s="55">
        <f>IF(COUNT($BB$9:$BB$22)-1&lt;6,"",IFERROR(INT(IFERROR(INDEX($BB$9:$BB$22,MATCH(6,$BH$9:$BH$22,0)),"")/100),""))</f>
        <v>1159</v>
      </c>
      <c r="K14" s="56">
        <f>IF(COUNT($BB$9:$BB$22)-1&lt;6,"",IFERROR(INDEX($BF$9:$BF$22,MATCH(6,$BH$9:$BH$22,0)),""))</f>
        <v>51199.25</v>
      </c>
      <c r="L14" s="55" t="str">
        <f>IF(COUNT($BK$9:$BK$22)-1&lt;6,"",IFERROR(INT(IFERROR(INDEX($BK$9:$BK$22,MATCH(6,$BQ$9:$BQ$22,0)),"")/100),""))</f>
        <v/>
      </c>
      <c r="M14" s="56" t="str">
        <f>IF(COUNT($BK$9:$BK$22)-1&lt;6,"",IFERROR(INDEX($BO$9:$BO$22,MATCH(6,$BQ$9:$BQ$22,0)),""))</f>
        <v/>
      </c>
      <c r="N14" s="55">
        <f>IF(COUNT($BT$9:$BT$22)-1&lt;6,"",IFERROR(INT(IFERROR(INDEX($BT$9:$BT$22,MATCH(6,$BZ$9:$BZ$22,0)),"")/100),""))</f>
        <v>1249</v>
      </c>
      <c r="O14" s="56">
        <f>IF(COUNT($BT$9:$BT$22)-1&lt;6,"",IFERROR(INDEX($BX$9:$BX$22,MATCH(6,$BZ$9:$BZ$22,0)),""))</f>
        <v>51354.22</v>
      </c>
      <c r="Q14">
        <f t="shared" si="45"/>
        <v>0</v>
      </c>
      <c r="R14" t="str">
        <f t="shared" si="0"/>
        <v/>
      </c>
      <c r="S14" t="str">
        <f t="shared" si="1"/>
        <v/>
      </c>
      <c r="T14" t="str">
        <f t="shared" si="2"/>
        <v/>
      </c>
      <c r="U14">
        <f t="shared" si="3"/>
        <v>0</v>
      </c>
      <c r="V14">
        <f t="shared" si="46"/>
        <v>1</v>
      </c>
      <c r="W14">
        <f t="shared" si="4"/>
        <v>114727</v>
      </c>
      <c r="X14">
        <f t="shared" si="5"/>
        <v>51389.1</v>
      </c>
      <c r="Y14" t="str">
        <f t="shared" si="6"/>
        <v>96</v>
      </c>
      <c r="Z14">
        <f t="shared" si="7"/>
        <v>1</v>
      </c>
      <c r="AA14">
        <f t="shared" si="47"/>
        <v>1</v>
      </c>
      <c r="AB14">
        <f t="shared" si="8"/>
        <v>121822</v>
      </c>
      <c r="AC14">
        <f t="shared" si="9"/>
        <v>51388.66</v>
      </c>
      <c r="AD14" t="str">
        <f t="shared" si="10"/>
        <v>97</v>
      </c>
      <c r="AE14">
        <f t="shared" si="11"/>
        <v>1</v>
      </c>
      <c r="AF14">
        <f t="shared" si="48"/>
        <v>1</v>
      </c>
      <c r="AG14">
        <f t="shared" si="12"/>
        <v>123522</v>
      </c>
      <c r="AH14">
        <f t="shared" si="13"/>
        <v>51398.37</v>
      </c>
      <c r="AI14" t="str">
        <f t="shared" si="14"/>
        <v>23</v>
      </c>
      <c r="AJ14">
        <f t="shared" si="15"/>
        <v>1</v>
      </c>
      <c r="AK14">
        <f t="shared" si="49"/>
        <v>0</v>
      </c>
      <c r="AL14" t="str">
        <f t="shared" si="16"/>
        <v/>
      </c>
      <c r="AM14" t="str">
        <f t="shared" si="17"/>
        <v/>
      </c>
      <c r="AN14" t="str">
        <f t="shared" si="18"/>
        <v/>
      </c>
      <c r="AO14">
        <f t="shared" si="19"/>
        <v>0</v>
      </c>
      <c r="AQ14">
        <v>6</v>
      </c>
      <c r="AR14">
        <f t="shared" si="20"/>
        <v>30</v>
      </c>
      <c r="AS14">
        <f t="array" ref="AS14">IFERROR(SMALL(IF($Q$9:$Q$708=AQ14,$R$9:$R$708,""),1),"")</f>
        <v>113252</v>
      </c>
      <c r="AT14">
        <f t="array" ref="AT14">IFERROR(LARGE(IF($Q$9:$Q$708=AQ14,$R$9:$R$708,""),1),"")</f>
        <v>113517</v>
      </c>
      <c r="AU14">
        <f t="array" ref="AU14">IFERROR(MEDIAN(IF(($Q$9:$Q$708=AQ14)*($U$9:$U$708=1),$S$9:$S$708,"")),"")</f>
        <v>51329.904999999999</v>
      </c>
      <c r="AV14">
        <f t="shared" si="21"/>
        <v>23</v>
      </c>
      <c r="AW14">
        <f t="shared" si="22"/>
        <v>51329.88</v>
      </c>
      <c r="AX14">
        <f t="shared" si="23"/>
        <v>7</v>
      </c>
      <c r="AY14">
        <f t="shared" si="24"/>
        <v>6</v>
      </c>
      <c r="AZ14">
        <v>6</v>
      </c>
      <c r="BA14">
        <f t="shared" si="25"/>
        <v>27</v>
      </c>
      <c r="BB14">
        <f t="array" ref="BB14">IFERROR(SMALL(IF($V$9:$V$708=AZ14,$W$9:$W$708,""),1),"")</f>
        <v>115917</v>
      </c>
      <c r="BC14">
        <f t="array" ref="BC14">IFERROR(LARGE(IF($V$9:$V$708=AZ14,$W$9:$W$708,""),1),"")</f>
        <v>120127</v>
      </c>
      <c r="BD14">
        <f t="array" ref="BD14">IFERROR(MEDIAN(IF(($V$9:$V$708=AZ14)*($Z$9:$Z$708=1),$X$9:$X$708,"")),"")</f>
        <v>51199.08</v>
      </c>
      <c r="BE14">
        <f t="shared" si="26"/>
        <v>27</v>
      </c>
      <c r="BF14">
        <f t="shared" si="27"/>
        <v>51199.25</v>
      </c>
      <c r="BG14">
        <f t="shared" si="28"/>
        <v>0</v>
      </c>
      <c r="BH14">
        <f t="shared" si="29"/>
        <v>6</v>
      </c>
      <c r="BI14">
        <v>6</v>
      </c>
      <c r="BJ14">
        <f t="shared" si="30"/>
        <v>26</v>
      </c>
      <c r="BK14">
        <f t="array" ref="BK14">IFERROR(SMALL(IF($AA$9:$AA$708=BI14,$AB$9:$AB$708,""),1),"")</f>
        <v>123257</v>
      </c>
      <c r="BL14">
        <f t="array" ref="BL14">IFERROR(LARGE(IF($AA$9:$AA$708=BI14,$AB$9:$AB$708,""),1),"")</f>
        <v>123502</v>
      </c>
      <c r="BM14">
        <f t="array" ref="BM14">IFERROR(MEDIAN(IF(($AA$9:$AA$708=BI14)*($AE$9:$AE$708=1),$AC$9:$AC$708,"")),"")</f>
        <v>51397.955000000002</v>
      </c>
      <c r="BN14">
        <f t="shared" si="31"/>
        <v>26</v>
      </c>
      <c r="BO14">
        <f t="shared" si="32"/>
        <v>51397.88</v>
      </c>
      <c r="BP14">
        <f t="shared" si="33"/>
        <v>0</v>
      </c>
      <c r="BQ14">
        <f t="shared" si="34"/>
        <v>6</v>
      </c>
      <c r="BR14">
        <v>6</v>
      </c>
      <c r="BS14">
        <f t="shared" si="35"/>
        <v>28</v>
      </c>
      <c r="BT14">
        <f t="array" ref="BT14">IFERROR(SMALL(IF($AF$9:$AF$708=BR14,$AG$9:$AG$708,""),1),"")</f>
        <v>124902</v>
      </c>
      <c r="BU14">
        <f t="array" ref="BU14">IFERROR(LARGE(IF($AF$9:$AF$708=BR14,$AG$9:$AG$708,""),1),"")</f>
        <v>125117</v>
      </c>
      <c r="BV14">
        <f t="array" ref="BV14">IFERROR(MEDIAN(IF(($AF$9:$AF$708=BR14)*($AJ$9:$AJ$708=1),$AH$9:$AH$708,"")),"")</f>
        <v>51354.225000000006</v>
      </c>
      <c r="BW14">
        <f t="shared" si="36"/>
        <v>26</v>
      </c>
      <c r="BX14">
        <f t="shared" si="37"/>
        <v>51354.22</v>
      </c>
      <c r="BY14">
        <f t="shared" si="38"/>
        <v>2</v>
      </c>
      <c r="BZ14">
        <f t="shared" si="39"/>
        <v>6</v>
      </c>
      <c r="CA14">
        <v>6</v>
      </c>
      <c r="CB14">
        <f t="shared" si="40"/>
        <v>0</v>
      </c>
      <c r="CC14" t="str">
        <f t="array" ref="CC14">IFERROR(SMALL(IF($AK$9:$AK$708=CA14,$AL$9:$AL$708,""),1),"")</f>
        <v/>
      </c>
      <c r="CD14" t="str">
        <f t="array" ref="CD14">IFERROR(LARGE(IF($AK$9:$AK$708=CA14,$AL$9:$AL$708,""),1),"")</f>
        <v/>
      </c>
      <c r="CE14" t="str">
        <f t="array" ref="CE14">IFERROR(MEDIAN(IF(($AK$9:$AK$708=CA14)*($AO$9:$AO$708=1),$AM$9:$AM$708,"")),"")</f>
        <v/>
      </c>
      <c r="CF14">
        <f t="shared" si="41"/>
        <v>0</v>
      </c>
      <c r="CG14" t="str">
        <f t="shared" si="42"/>
        <v/>
      </c>
      <c r="CH14" t="str">
        <f t="shared" si="43"/>
        <v/>
      </c>
      <c r="CI14" t="str">
        <f t="shared" si="44"/>
        <v/>
      </c>
      <c r="CM14" t="s">
        <v>607</v>
      </c>
      <c r="CQ14" t="s">
        <v>608</v>
      </c>
      <c r="CR14">
        <f>IF(OR($I$14="",$I$15=""),"",ABS($I$15-$I$14))</f>
        <v>4.8800000000046566</v>
      </c>
      <c r="CS14">
        <f>IF(OR($K$14="",$K$15=""),"",ABS($K$15-$K$14))</f>
        <v>139.30000000000291</v>
      </c>
      <c r="CT14" t="str">
        <f>IF(OR($M$14="",$M$15=""),"",ABS($M$15-$M$14))</f>
        <v/>
      </c>
      <c r="CU14">
        <f>IF(OR($O$14="",$O$15=""),"",ABS($O$15-$O$14))</f>
        <v>224.84999999999854</v>
      </c>
    </row>
    <row r="15" spans="1:99" ht="19.05" customHeight="1" x14ac:dyDescent="0.4">
      <c r="A15" t="str">
        <f>IF($CM$6=0,"",IF(INDEX('⑩ 원문 보관'!$A:$E,$CM$6+ROW()-9,COLUMN())="","",INDEX('⑩ 원문 보관'!$A:$E,$CM$6+ROW()-9,COLUMN())))</f>
        <v/>
      </c>
      <c r="B15" t="str">
        <f>IF($CM$6=0,"",IF(INDEX('⑩ 원문 보관'!$A:$E,$CM$6+ROW()-9,COLUMN())="","",INDEX('⑩ 원문 보관'!$A:$E,$CM$6+ROW()-9,COLUMN())))</f>
        <v xml:space="preserve">114732.0  51388.74 96 </v>
      </c>
      <c r="C15" t="str">
        <f>IF($CM$6=0,"",IF(INDEX('⑩ 원문 보관'!$A:$E,$CM$6+ROW()-9,COLUMN())="","",INDEX('⑩ 원문 보관'!$A:$E,$CM$6+ROW()-9,COLUMN())))</f>
        <v xml:space="preserve">121827.0  51388.82 98 </v>
      </c>
      <c r="D15" t="str">
        <f>IF($CM$6=0,"",IF(INDEX('⑩ 원문 보관'!$A:$E,$CM$6+ROW()-9,COLUMN())="","",INDEX('⑩ 원문 보관'!$A:$E,$CM$6+ROW()-9,COLUMN())))</f>
        <v xml:space="preserve">123527.0  51397.81 74 </v>
      </c>
      <c r="E15" t="str">
        <f>IF($CM$6=0,"",IF(INDEX('⑩ 원문 보관'!$A:$E,$CM$6+ROW()-9,COLUMN())="","",INDEX('⑩ 원문 보관'!$A:$E,$CM$6+ROW()-9,COLUMN())))</f>
        <v/>
      </c>
      <c r="G15" s="54" t="s">
        <v>170</v>
      </c>
      <c r="H15" s="55">
        <f>IF(COUNT($AS$9:$AS$22)-1&lt;7,"",IFERROR(INT(IFERROR(INDEX($AS$9:$AS$22,MATCH(7,$AY$9:$AY$22,0)),"")/100),""))</f>
        <v>1135</v>
      </c>
      <c r="I15" s="56">
        <f>IF(COUNT($AS$9:$AS$22)-1&lt;7,"",IFERROR(INDEX($AW$9:$AW$22,MATCH(7,$AY$9:$AY$22,0)),""))</f>
        <v>51334.76</v>
      </c>
      <c r="J15" s="55">
        <f>IF(COUNT($BB$9:$BB$22)-1&lt;7,"",IFERROR(INT(IFERROR(INDEX($BB$9:$BB$22,MATCH(7,$BH$9:$BH$22,0)),"")/100),""))</f>
        <v>1201</v>
      </c>
      <c r="K15" s="56">
        <f>IF(COUNT($BB$9:$BB$22)-1&lt;7,"",IFERROR(INDEX($BF$9:$BF$22,MATCH(7,$BH$9:$BH$22,0)),""))</f>
        <v>51059.95</v>
      </c>
      <c r="L15" s="55" t="str">
        <f>IF(COUNT($BK$9:$BK$22)-1&lt;7,"",IFERROR(INT(IFERROR(INDEX($BK$9:$BK$22,MATCH(7,$BQ$9:$BQ$22,0)),"")/100),""))</f>
        <v/>
      </c>
      <c r="M15" s="56" t="str">
        <f>IF(COUNT($BK$9:$BK$22)-1&lt;7,"",IFERROR(INDEX($BO$9:$BO$22,MATCH(7,$BQ$9:$BQ$22,0)),""))</f>
        <v/>
      </c>
      <c r="N15" s="55">
        <f>IF(COUNT($BT$9:$BT$22)-1&lt;7,"",IFERROR(INT(IFERROR(INDEX($BT$9:$BT$22,MATCH(7,$BZ$9:$BZ$22,0)),"")/100),""))</f>
        <v>1251</v>
      </c>
      <c r="O15" s="56">
        <f>IF(COUNT($BT$9:$BT$22)-1&lt;7,"",IFERROR(INDEX($BX$9:$BX$22,MATCH(7,$BZ$9:$BZ$22,0)),""))</f>
        <v>51579.07</v>
      </c>
      <c r="Q15">
        <f t="shared" si="45"/>
        <v>0</v>
      </c>
      <c r="R15" t="str">
        <f t="shared" si="0"/>
        <v/>
      </c>
      <c r="S15" t="str">
        <f t="shared" si="1"/>
        <v/>
      </c>
      <c r="T15" t="str">
        <f t="shared" si="2"/>
        <v/>
      </c>
      <c r="U15">
        <f t="shared" si="3"/>
        <v>0</v>
      </c>
      <c r="V15">
        <f t="shared" si="46"/>
        <v>1</v>
      </c>
      <c r="W15">
        <f t="shared" si="4"/>
        <v>114732</v>
      </c>
      <c r="X15">
        <f t="shared" si="5"/>
        <v>51388.74</v>
      </c>
      <c r="Y15" t="str">
        <f t="shared" si="6"/>
        <v>96</v>
      </c>
      <c r="Z15">
        <f t="shared" si="7"/>
        <v>1</v>
      </c>
      <c r="AA15">
        <f t="shared" si="47"/>
        <v>1</v>
      </c>
      <c r="AB15">
        <f t="shared" si="8"/>
        <v>121827</v>
      </c>
      <c r="AC15">
        <f t="shared" si="9"/>
        <v>51388.82</v>
      </c>
      <c r="AD15" t="str">
        <f t="shared" si="10"/>
        <v>98</v>
      </c>
      <c r="AE15">
        <f t="shared" si="11"/>
        <v>1</v>
      </c>
      <c r="AF15">
        <f t="shared" si="48"/>
        <v>1</v>
      </c>
      <c r="AG15">
        <f t="shared" si="12"/>
        <v>123527</v>
      </c>
      <c r="AH15">
        <f t="shared" si="13"/>
        <v>51397.81</v>
      </c>
      <c r="AI15" t="str">
        <f t="shared" si="14"/>
        <v>74</v>
      </c>
      <c r="AJ15">
        <f t="shared" si="15"/>
        <v>1</v>
      </c>
      <c r="AK15">
        <f t="shared" si="49"/>
        <v>0</v>
      </c>
      <c r="AL15" t="str">
        <f t="shared" si="16"/>
        <v/>
      </c>
      <c r="AM15" t="str">
        <f t="shared" si="17"/>
        <v/>
      </c>
      <c r="AN15" t="str">
        <f t="shared" si="18"/>
        <v/>
      </c>
      <c r="AO15">
        <f t="shared" si="19"/>
        <v>0</v>
      </c>
      <c r="AQ15">
        <v>7</v>
      </c>
      <c r="AR15">
        <f t="shared" si="20"/>
        <v>31</v>
      </c>
      <c r="AS15">
        <f t="array" ref="AS15">IFERROR(SMALL(IF($Q$9:$Q$708=AQ15,$R$9:$R$708,""),1),"")</f>
        <v>113547</v>
      </c>
      <c r="AT15">
        <f t="array" ref="AT15">IFERROR(LARGE(IF($Q$9:$Q$708=AQ15,$R$9:$R$708,""),1),"")</f>
        <v>113817</v>
      </c>
      <c r="AU15">
        <f t="array" ref="AU15">IFERROR(MEDIAN(IF(($Q$9:$Q$708=AQ15)*($U$9:$U$708=1),$S$9:$S$708,"")),"")</f>
        <v>51334.82</v>
      </c>
      <c r="AV15">
        <f t="shared" si="21"/>
        <v>31</v>
      </c>
      <c r="AW15">
        <f t="shared" si="22"/>
        <v>51334.76</v>
      </c>
      <c r="AX15">
        <f t="shared" si="23"/>
        <v>0</v>
      </c>
      <c r="AY15">
        <f t="shared" si="24"/>
        <v>7</v>
      </c>
      <c r="AZ15">
        <v>7</v>
      </c>
      <c r="BA15">
        <f t="shared" si="25"/>
        <v>27</v>
      </c>
      <c r="BB15">
        <f t="array" ref="BB15">IFERROR(SMALL(IF($V$9:$V$708=AZ15,$W$9:$W$708,""),1),"")</f>
        <v>120157</v>
      </c>
      <c r="BC15">
        <f t="array" ref="BC15">IFERROR(LARGE(IF($V$9:$V$708=AZ15,$W$9:$W$708,""),1),"")</f>
        <v>120407</v>
      </c>
      <c r="BD15">
        <f t="array" ref="BD15">IFERROR(MEDIAN(IF(($V$9:$V$708=AZ15)*($Z$9:$Z$708=1),$X$9:$X$708,"")),"")</f>
        <v>51060.09</v>
      </c>
      <c r="BE15">
        <f t="shared" si="26"/>
        <v>27</v>
      </c>
      <c r="BF15">
        <f t="shared" si="27"/>
        <v>51059.95</v>
      </c>
      <c r="BG15">
        <f t="shared" si="28"/>
        <v>0</v>
      </c>
      <c r="BH15">
        <f t="shared" si="29"/>
        <v>7</v>
      </c>
      <c r="BI15">
        <v>7</v>
      </c>
      <c r="BJ15">
        <f t="shared" si="30"/>
        <v>0</v>
      </c>
      <c r="BK15" t="str">
        <f t="array" ref="BK15">IFERROR(SMALL(IF($AA$9:$AA$708=BI15,$AB$9:$AB$708,""),1),"")</f>
        <v/>
      </c>
      <c r="BL15" t="str">
        <f t="array" ref="BL15">IFERROR(LARGE(IF($AA$9:$AA$708=BI15,$AB$9:$AB$708,""),1),"")</f>
        <v/>
      </c>
      <c r="BM15" t="str">
        <f t="array" ref="BM15">IFERROR(MEDIAN(IF(($AA$9:$AA$708=BI15)*($AE$9:$AE$708=1),$AC$9:$AC$708,"")),"")</f>
        <v/>
      </c>
      <c r="BN15">
        <f t="shared" si="31"/>
        <v>0</v>
      </c>
      <c r="BO15" t="str">
        <f t="shared" si="32"/>
        <v/>
      </c>
      <c r="BP15" t="str">
        <f t="shared" si="33"/>
        <v/>
      </c>
      <c r="BQ15" t="str">
        <f t="shared" si="34"/>
        <v/>
      </c>
      <c r="BR15">
        <v>7</v>
      </c>
      <c r="BS15">
        <f t="shared" si="35"/>
        <v>28</v>
      </c>
      <c r="BT15">
        <f t="array" ref="BT15">IFERROR(SMALL(IF($AF$9:$AF$708=BR15,$AG$9:$AG$708,""),1),"")</f>
        <v>125152</v>
      </c>
      <c r="BU15">
        <f t="array" ref="BU15">IFERROR(LARGE(IF($AF$9:$AF$708=BR15,$AG$9:$AG$708,""),1),"")</f>
        <v>125407</v>
      </c>
      <c r="BV15">
        <f t="array" ref="BV15">IFERROR(MEDIAN(IF(($AF$9:$AF$708=BR15)*($AJ$9:$AJ$708=1),$AH$9:$AH$708,"")),"")</f>
        <v>51579.039999999994</v>
      </c>
      <c r="BW15">
        <f t="shared" si="36"/>
        <v>28</v>
      </c>
      <c r="BX15">
        <f t="shared" si="37"/>
        <v>51579.07</v>
      </c>
      <c r="BY15">
        <f t="shared" si="38"/>
        <v>0</v>
      </c>
      <c r="BZ15">
        <f t="shared" si="39"/>
        <v>7</v>
      </c>
      <c r="CA15">
        <v>7</v>
      </c>
      <c r="CB15">
        <f t="shared" si="40"/>
        <v>0</v>
      </c>
      <c r="CC15" t="str">
        <f t="array" ref="CC15">IFERROR(SMALL(IF($AK$9:$AK$708=CA15,$AL$9:$AL$708,""),1),"")</f>
        <v/>
      </c>
      <c r="CD15" t="str">
        <f t="array" ref="CD15">IFERROR(LARGE(IF($AK$9:$AK$708=CA15,$AL$9:$AL$708,""),1),"")</f>
        <v/>
      </c>
      <c r="CE15" t="str">
        <f t="array" ref="CE15">IFERROR(MEDIAN(IF(($AK$9:$AK$708=CA15)*($AO$9:$AO$708=1),$AM$9:$AM$708,"")),"")</f>
        <v/>
      </c>
      <c r="CF15">
        <f t="shared" si="41"/>
        <v>0</v>
      </c>
      <c r="CG15" t="str">
        <f t="shared" si="42"/>
        <v/>
      </c>
      <c r="CH15" t="str">
        <f t="shared" si="43"/>
        <v/>
      </c>
      <c r="CI15" t="str">
        <f t="shared" si="44"/>
        <v/>
      </c>
      <c r="CM15" t="s">
        <v>609</v>
      </c>
      <c r="CQ15" t="s">
        <v>610</v>
      </c>
      <c r="CR15" t="str">
        <f>IF(OR($I$15="",$I$16=""),"",ABS($I$16-$I$15))</f>
        <v/>
      </c>
      <c r="CS15">
        <f>IF(OR($K$15="",$K$16=""),"",ABS($K$16-$K$15))</f>
        <v>17.870000000002619</v>
      </c>
      <c r="CT15" t="str">
        <f>IF(OR($M$15="",$M$16=""),"",ABS($M$16-$M$15))</f>
        <v/>
      </c>
      <c r="CU15">
        <f>IF(OR($O$15="",$O$16=""),"",ABS($O$16-$O$15))</f>
        <v>163.13999999999942</v>
      </c>
    </row>
    <row r="16" spans="1:99" ht="19.05" customHeight="1" x14ac:dyDescent="0.4">
      <c r="A16" t="str">
        <f>IF($CM$6=0,"",IF(INDEX('⑩ 원문 보관'!$A:$E,$CM$6+ROW()-9,COLUMN())="","",INDEX('⑩ 원문 보관'!$A:$E,$CM$6+ROW()-9,COLUMN())))</f>
        <v xml:space="preserve">/time nT sq </v>
      </c>
      <c r="B16" t="str">
        <f>IF($CM$6=0,"",IF(INDEX('⑩ 원문 보관'!$A:$E,$CM$6+ROW()-9,COLUMN())="","",INDEX('⑩ 원문 보관'!$A:$E,$CM$6+ROW()-9,COLUMN())))</f>
        <v xml:space="preserve">114737.0  51388.89 96 </v>
      </c>
      <c r="C16" t="str">
        <f>IF($CM$6=0,"",IF(INDEX('⑩ 원문 보관'!$A:$E,$CM$6+ROW()-9,COLUMN())="","",INDEX('⑩ 원문 보관'!$A:$E,$CM$6+ROW()-9,COLUMN())))</f>
        <v xml:space="preserve">121832.0  51388.73 97 </v>
      </c>
      <c r="D16" t="str">
        <f>IF($CM$6=0,"",IF(INDEX('⑩ 원문 보관'!$A:$E,$CM$6+ROW()-9,COLUMN())="","",INDEX('⑩ 원문 보관'!$A:$E,$CM$6+ROW()-9,COLUMN())))</f>
        <v xml:space="preserve">123532.0  51398.41 43 </v>
      </c>
      <c r="E16" t="str">
        <f>IF($CM$6=0,"",IF(INDEX('⑩ 원문 보관'!$A:$E,$CM$6+ROW()-9,COLUMN())="","",INDEX('⑩ 원문 보관'!$A:$E,$CM$6+ROW()-9,COLUMN())))</f>
        <v xml:space="preserve">/time nT sq </v>
      </c>
      <c r="G16" s="54" t="s">
        <v>171</v>
      </c>
      <c r="H16" s="55" t="str">
        <f>IF(COUNT($AS$9:$AS$22)-1&lt;8,"",IFERROR(INT(IFERROR(INDEX($AS$9:$AS$22,MATCH(8,$AY$9:$AY$22,0)),"")/100),""))</f>
        <v/>
      </c>
      <c r="I16" s="56" t="str">
        <f>IF(COUNT($AS$9:$AS$22)-1&lt;8,"",IFERROR(INDEX($AW$9:$AW$22,MATCH(8,$AY$9:$AY$22,0)),""))</f>
        <v/>
      </c>
      <c r="J16" s="55">
        <f>IF(COUNT($BB$9:$BB$22)-1&lt;8,"",IFERROR(INT(IFERROR(INDEX($BB$9:$BB$22,MATCH(8,$BH$9:$BH$22,0)),"")/100),""))</f>
        <v>1204</v>
      </c>
      <c r="K16" s="56">
        <f>IF(COUNT($BB$9:$BB$22)-1&lt;8,"",IFERROR(INDEX($BF$9:$BF$22,MATCH(8,$BH$9:$BH$22,0)),""))</f>
        <v>51077.82</v>
      </c>
      <c r="L16" s="55" t="str">
        <f>IF(COUNT($BK$9:$BK$22)-1&lt;8,"",IFERROR(INT(IFERROR(INDEX($BK$9:$BK$22,MATCH(8,$BQ$9:$BQ$22,0)),"")/100),""))</f>
        <v/>
      </c>
      <c r="M16" s="56" t="str">
        <f>IF(COUNT($BK$9:$BK$22)-1&lt;8,"",IFERROR(INDEX($BO$9:$BO$22,MATCH(8,$BQ$9:$BQ$22,0)),""))</f>
        <v/>
      </c>
      <c r="N16" s="55">
        <f>IF(COUNT($BT$9:$BT$22)-1&lt;8,"",IFERROR(INT(IFERROR(INDEX($BT$9:$BT$22,MATCH(8,$BZ$9:$BZ$22,0)),"")/100),""))</f>
        <v>1254</v>
      </c>
      <c r="O16" s="56">
        <f>IF(COUNT($BT$9:$BT$22)-1&lt;8,"",IFERROR(INDEX($BX$9:$BX$22,MATCH(8,$BZ$9:$BZ$22,0)),""))</f>
        <v>51415.93</v>
      </c>
      <c r="Q16">
        <f t="shared" si="45"/>
        <v>1</v>
      </c>
      <c r="R16" t="str">
        <f t="shared" si="0"/>
        <v/>
      </c>
      <c r="S16" t="str">
        <f t="shared" si="1"/>
        <v/>
      </c>
      <c r="T16" t="str">
        <f t="shared" si="2"/>
        <v>sq</v>
      </c>
      <c r="U16">
        <f t="shared" si="3"/>
        <v>0</v>
      </c>
      <c r="V16">
        <f t="shared" si="46"/>
        <v>1</v>
      </c>
      <c r="W16">
        <f t="shared" si="4"/>
        <v>114737</v>
      </c>
      <c r="X16">
        <f t="shared" si="5"/>
        <v>51388.89</v>
      </c>
      <c r="Y16" t="str">
        <f t="shared" si="6"/>
        <v>96</v>
      </c>
      <c r="Z16">
        <f t="shared" si="7"/>
        <v>1</v>
      </c>
      <c r="AA16">
        <f t="shared" si="47"/>
        <v>1</v>
      </c>
      <c r="AB16">
        <f t="shared" si="8"/>
        <v>121832</v>
      </c>
      <c r="AC16">
        <f t="shared" si="9"/>
        <v>51388.73</v>
      </c>
      <c r="AD16" t="str">
        <f t="shared" si="10"/>
        <v>97</v>
      </c>
      <c r="AE16">
        <f t="shared" si="11"/>
        <v>1</v>
      </c>
      <c r="AF16">
        <f t="shared" si="48"/>
        <v>1</v>
      </c>
      <c r="AG16">
        <f t="shared" si="12"/>
        <v>123532</v>
      </c>
      <c r="AH16">
        <f t="shared" si="13"/>
        <v>51398.41</v>
      </c>
      <c r="AI16" t="str">
        <f t="shared" si="14"/>
        <v>43</v>
      </c>
      <c r="AJ16">
        <f t="shared" si="15"/>
        <v>1</v>
      </c>
      <c r="AK16">
        <f t="shared" si="49"/>
        <v>1</v>
      </c>
      <c r="AL16" t="str">
        <f t="shared" si="16"/>
        <v/>
      </c>
      <c r="AM16" t="str">
        <f t="shared" si="17"/>
        <v/>
      </c>
      <c r="AN16" t="str">
        <f t="shared" si="18"/>
        <v>sq</v>
      </c>
      <c r="AO16">
        <f t="shared" si="19"/>
        <v>0</v>
      </c>
      <c r="AQ16">
        <v>8</v>
      </c>
      <c r="AR16">
        <f t="shared" si="20"/>
        <v>31</v>
      </c>
      <c r="AS16">
        <f t="array" ref="AS16">IFERROR(SMALL(IF($Q$9:$Q$708=AQ16,$R$9:$R$708,""),1),"")</f>
        <v>114047</v>
      </c>
      <c r="AT16">
        <f t="array" ref="AT16">IFERROR(LARGE(IF($Q$9:$Q$708=AQ16,$R$9:$R$708,""),1),"")</f>
        <v>114317</v>
      </c>
      <c r="AU16">
        <f t="array" ref="AU16">IFERROR(MEDIAN(IF(($Q$9:$Q$708=AQ16)*($U$9:$U$708=1),$S$9:$S$708,"")),"")</f>
        <v>51384.34</v>
      </c>
      <c r="AV16">
        <f t="shared" si="21"/>
        <v>31</v>
      </c>
      <c r="AW16">
        <f t="shared" si="22"/>
        <v>51384.34</v>
      </c>
      <c r="AX16">
        <f t="shared" si="23"/>
        <v>0</v>
      </c>
      <c r="AY16">
        <f t="shared" si="24"/>
        <v>8</v>
      </c>
      <c r="AZ16">
        <v>8</v>
      </c>
      <c r="BA16">
        <f t="shared" si="25"/>
        <v>27</v>
      </c>
      <c r="BB16">
        <f t="array" ref="BB16">IFERROR(SMALL(IF($V$9:$V$708=AZ16,$W$9:$W$708,""),1),"")</f>
        <v>120432</v>
      </c>
      <c r="BC16">
        <f t="array" ref="BC16">IFERROR(LARGE(IF($V$9:$V$708=AZ16,$W$9:$W$708,""),1),"")</f>
        <v>120642</v>
      </c>
      <c r="BD16">
        <f t="array" ref="BD16">IFERROR(MEDIAN(IF(($V$9:$V$708=AZ16)*($Z$9:$Z$708=1),$X$9:$X$708,"")),"")</f>
        <v>51077.67</v>
      </c>
      <c r="BE16">
        <f t="shared" si="26"/>
        <v>24</v>
      </c>
      <c r="BF16">
        <f t="shared" si="27"/>
        <v>51077.82</v>
      </c>
      <c r="BG16">
        <f t="shared" si="28"/>
        <v>3</v>
      </c>
      <c r="BH16">
        <f t="shared" si="29"/>
        <v>8</v>
      </c>
      <c r="BI16">
        <v>8</v>
      </c>
      <c r="BJ16">
        <f t="shared" si="30"/>
        <v>0</v>
      </c>
      <c r="BK16" t="str">
        <f t="array" ref="BK16">IFERROR(SMALL(IF($AA$9:$AA$708=BI16,$AB$9:$AB$708,""),1),"")</f>
        <v/>
      </c>
      <c r="BL16" t="str">
        <f t="array" ref="BL16">IFERROR(LARGE(IF($AA$9:$AA$708=BI16,$AB$9:$AB$708,""),1),"")</f>
        <v/>
      </c>
      <c r="BM16" t="str">
        <f t="array" ref="BM16">IFERROR(MEDIAN(IF(($AA$9:$AA$708=BI16)*($AE$9:$AE$708=1),$AC$9:$AC$708,"")),"")</f>
        <v/>
      </c>
      <c r="BN16">
        <f t="shared" si="31"/>
        <v>0</v>
      </c>
      <c r="BO16" t="str">
        <f t="shared" si="32"/>
        <v/>
      </c>
      <c r="BP16" t="str">
        <f t="shared" si="33"/>
        <v/>
      </c>
      <c r="BQ16" t="str">
        <f t="shared" si="34"/>
        <v/>
      </c>
      <c r="BR16">
        <v>8</v>
      </c>
      <c r="BS16">
        <f t="shared" si="35"/>
        <v>28</v>
      </c>
      <c r="BT16">
        <f t="array" ref="BT16">IFERROR(SMALL(IF($AF$9:$AF$708=BR16,$AG$9:$AG$708,""),1),"")</f>
        <v>125437</v>
      </c>
      <c r="BU16">
        <f t="array" ref="BU16">IFERROR(LARGE(IF($AF$9:$AF$708=BR16,$AG$9:$AG$708,""),1),"")</f>
        <v>125652</v>
      </c>
      <c r="BV16">
        <f t="array" ref="BV16">IFERROR(MEDIAN(IF(($AF$9:$AF$708=BR16)*($AJ$9:$AJ$708=1),$AH$9:$AH$708,"")),"")</f>
        <v>51416.014999999999</v>
      </c>
      <c r="BW16">
        <f t="shared" si="36"/>
        <v>28</v>
      </c>
      <c r="BX16">
        <f t="shared" si="37"/>
        <v>51415.93</v>
      </c>
      <c r="BY16">
        <f t="shared" si="38"/>
        <v>0</v>
      </c>
      <c r="BZ16">
        <f t="shared" si="39"/>
        <v>8</v>
      </c>
      <c r="CA16">
        <v>8</v>
      </c>
      <c r="CB16">
        <f t="shared" si="40"/>
        <v>0</v>
      </c>
      <c r="CC16" t="str">
        <f t="array" ref="CC16">IFERROR(SMALL(IF($AK$9:$AK$708=CA16,$AL$9:$AL$708,""),1),"")</f>
        <v/>
      </c>
      <c r="CD16" t="str">
        <f t="array" ref="CD16">IFERROR(LARGE(IF($AK$9:$AK$708=CA16,$AL$9:$AL$708,""),1),"")</f>
        <v/>
      </c>
      <c r="CE16" t="str">
        <f t="array" ref="CE16">IFERROR(MEDIAN(IF(($AK$9:$AK$708=CA16)*($AO$9:$AO$708=1),$AM$9:$AM$708,"")),"")</f>
        <v/>
      </c>
      <c r="CF16">
        <f t="shared" si="41"/>
        <v>0</v>
      </c>
      <c r="CG16" t="str">
        <f t="shared" si="42"/>
        <v/>
      </c>
      <c r="CH16" t="str">
        <f t="shared" si="43"/>
        <v/>
      </c>
      <c r="CI16" t="str">
        <f t="shared" si="44"/>
        <v/>
      </c>
      <c r="CM16" t="s">
        <v>611</v>
      </c>
      <c r="CQ16" t="s">
        <v>612</v>
      </c>
      <c r="CR16" t="str">
        <f>IF(OR($I$16="",$I$17=""),"",ABS($I$17-$I$16))</f>
        <v/>
      </c>
      <c r="CS16">
        <f>IF(OR($K$16="",$K$17=""),"",ABS($K$17-$K$16))</f>
        <v>387.76000000000204</v>
      </c>
      <c r="CT16" t="str">
        <f>IF(OR($M$16="",$M$17=""),"",ABS($M$17-$M$16))</f>
        <v/>
      </c>
      <c r="CU16">
        <f>IF(OR($O$16="",$O$17=""),"",ABS($O$17-$O$16))</f>
        <v>867.30999999999767</v>
      </c>
    </row>
    <row r="17" spans="1:99" ht="19.05" customHeight="1" x14ac:dyDescent="0.4">
      <c r="A17" t="str">
        <f>IF($CM$6=0,"",IF(INDEX('⑩ 원문 보관'!$A:$E,$CM$6+ROW()-9,COLUMN())="","",INDEX('⑩ 원문 보관'!$A:$E,$CM$6+ROW()-9,COLUMN())))</f>
        <v xml:space="preserve">111632.0  51389.19 96 </v>
      </c>
      <c r="B17" t="str">
        <f>IF($CM$6=0,"",IF(INDEX('⑩ 원문 보관'!$A:$E,$CM$6+ROW()-9,COLUMN())="","",INDEX('⑩ 원문 보관'!$A:$E,$CM$6+ROW()-9,COLUMN())))</f>
        <v xml:space="preserve">114742.0  51388.88 96 </v>
      </c>
      <c r="C17" t="str">
        <f>IF($CM$6=0,"",IF(INDEX('⑩ 원문 보관'!$A:$E,$CM$6+ROW()-9,COLUMN())="","",INDEX('⑩ 원문 보관'!$A:$E,$CM$6+ROW()-9,COLUMN())))</f>
        <v xml:space="preserve">121837.0  51388.68 98 </v>
      </c>
      <c r="D17" t="str">
        <f>IF($CM$6=0,"",IF(INDEX('⑩ 원문 보관'!$A:$E,$CM$6+ROW()-9,COLUMN())="","",INDEX('⑩ 원문 보관'!$A:$E,$CM$6+ROW()-9,COLUMN())))</f>
        <v xml:space="preserve">123537.0  51397.94 53 </v>
      </c>
      <c r="E17" t="str">
        <f>IF($CM$6=0,"",IF(INDEX('⑩ 원문 보관'!$A:$E,$CM$6+ROW()-9,COLUMN())="","",INDEX('⑩ 원문 보관'!$A:$E,$CM$6+ROW()-9,COLUMN())))</f>
        <v xml:space="preserve">130352.0  51406.33 95 </v>
      </c>
      <c r="G17" s="54" t="s">
        <v>172</v>
      </c>
      <c r="H17" s="55" t="str">
        <f>IF(COUNT($AS$9:$AS$22)-1&lt;9,"",IFERROR(INT(IFERROR(INDEX($AS$9:$AS$22,MATCH(9,$AY$9:$AY$22,0)),"")/100),""))</f>
        <v/>
      </c>
      <c r="I17" s="56" t="str">
        <f>IF(COUNT($AS$9:$AS$22)-1&lt;9,"",IFERROR(INDEX($AW$9:$AW$22,MATCH(9,$AY$9:$AY$22,0)),""))</f>
        <v/>
      </c>
      <c r="J17" s="55">
        <f>IF(COUNT($BB$9:$BB$22)-1&lt;9,"",IFERROR(INT(IFERROR(INDEX($BB$9:$BB$22,MATCH(9,$BH$9:$BH$22,0)),"")/100),""))</f>
        <v>1207</v>
      </c>
      <c r="K17" s="56">
        <f>IF(COUNT($BB$9:$BB$22)-1&lt;9,"",IFERROR(INDEX($BF$9:$BF$22,MATCH(9,$BH$9:$BH$22,0)),""))</f>
        <v>51465.58</v>
      </c>
      <c r="L17" s="55" t="str">
        <f>IF(COUNT($BK$9:$BK$22)-1&lt;9,"",IFERROR(INT(IFERROR(INDEX($BK$9:$BK$22,MATCH(9,$BQ$9:$BQ$22,0)),"")/100),""))</f>
        <v/>
      </c>
      <c r="M17" s="56" t="str">
        <f>IF(COUNT($BK$9:$BK$22)-1&lt;9,"",IFERROR(INDEX($BO$9:$BO$22,MATCH(9,$BQ$9:$BQ$22,0)),""))</f>
        <v/>
      </c>
      <c r="N17" s="55">
        <f>IF(COUNT($BT$9:$BT$22)-1&lt;9,"",IFERROR(INT(IFERROR(INDEX($BT$9:$BT$22,MATCH(9,$BZ$9:$BZ$22,0)),"")/100),""))</f>
        <v>1257</v>
      </c>
      <c r="O17" s="56">
        <f>IF(COUNT($BT$9:$BT$22)-1&lt;9,"",IFERROR(INDEX($BX$9:$BX$22,MATCH(9,$BZ$9:$BZ$22,0)),""))</f>
        <v>50548.62</v>
      </c>
      <c r="Q17">
        <f t="shared" si="45"/>
        <v>1</v>
      </c>
      <c r="R17">
        <f t="shared" si="0"/>
        <v>111632</v>
      </c>
      <c r="S17">
        <f t="shared" si="1"/>
        <v>51389.19</v>
      </c>
      <c r="T17" t="str">
        <f t="shared" si="2"/>
        <v>96</v>
      </c>
      <c r="U17">
        <f t="shared" si="3"/>
        <v>1</v>
      </c>
      <c r="V17">
        <f t="shared" si="46"/>
        <v>1</v>
      </c>
      <c r="W17">
        <f t="shared" si="4"/>
        <v>114742</v>
      </c>
      <c r="X17">
        <f t="shared" si="5"/>
        <v>51388.88</v>
      </c>
      <c r="Y17" t="str">
        <f t="shared" si="6"/>
        <v>96</v>
      </c>
      <c r="Z17">
        <f t="shared" si="7"/>
        <v>1</v>
      </c>
      <c r="AA17">
        <f t="shared" si="47"/>
        <v>1</v>
      </c>
      <c r="AB17">
        <f t="shared" si="8"/>
        <v>121837</v>
      </c>
      <c r="AC17">
        <f t="shared" si="9"/>
        <v>51388.68</v>
      </c>
      <c r="AD17" t="str">
        <f t="shared" si="10"/>
        <v>98</v>
      </c>
      <c r="AE17">
        <f t="shared" si="11"/>
        <v>1</v>
      </c>
      <c r="AF17">
        <f t="shared" si="48"/>
        <v>1</v>
      </c>
      <c r="AG17">
        <f t="shared" si="12"/>
        <v>123537</v>
      </c>
      <c r="AH17">
        <f t="shared" si="13"/>
        <v>51397.94</v>
      </c>
      <c r="AI17" t="str">
        <f t="shared" si="14"/>
        <v>53</v>
      </c>
      <c r="AJ17">
        <f t="shared" si="15"/>
        <v>1</v>
      </c>
      <c r="AK17">
        <f t="shared" si="49"/>
        <v>1</v>
      </c>
      <c r="AL17">
        <f t="shared" si="16"/>
        <v>130352</v>
      </c>
      <c r="AM17">
        <f t="shared" si="17"/>
        <v>51406.33</v>
      </c>
      <c r="AN17" t="str">
        <f t="shared" si="18"/>
        <v>95</v>
      </c>
      <c r="AO17">
        <f t="shared" si="19"/>
        <v>1</v>
      </c>
      <c r="AQ17">
        <v>9</v>
      </c>
      <c r="AR17">
        <f t="shared" si="20"/>
        <v>0</v>
      </c>
      <c r="AS17" t="str">
        <f t="array" ref="AS17">IFERROR(SMALL(IF($Q$9:$Q$708=AQ17,$R$9:$R$708,""),1),"")</f>
        <v/>
      </c>
      <c r="AT17" t="str">
        <f t="array" ref="AT17">IFERROR(LARGE(IF($Q$9:$Q$708=AQ17,$R$9:$R$708,""),1),"")</f>
        <v/>
      </c>
      <c r="AU17" t="str">
        <f t="array" ref="AU17">IFERROR(MEDIAN(IF(($Q$9:$Q$708=AQ17)*($U$9:$U$708=1),$S$9:$S$708,"")),"")</f>
        <v/>
      </c>
      <c r="AV17">
        <f t="shared" si="21"/>
        <v>0</v>
      </c>
      <c r="AW17" t="str">
        <f t="shared" si="22"/>
        <v/>
      </c>
      <c r="AX17" t="str">
        <f t="shared" si="23"/>
        <v/>
      </c>
      <c r="AY17" t="str">
        <f t="shared" si="24"/>
        <v/>
      </c>
      <c r="AZ17">
        <v>9</v>
      </c>
      <c r="BA17">
        <f t="shared" si="25"/>
        <v>27</v>
      </c>
      <c r="BB17">
        <f t="array" ref="BB17">IFERROR(SMALL(IF($V$9:$V$708=AZ17,$W$9:$W$708,""),1),"")</f>
        <v>120722</v>
      </c>
      <c r="BC17">
        <f t="array" ref="BC17">IFERROR(LARGE(IF($V$9:$V$708=AZ17,$W$9:$W$708,""),1),"")</f>
        <v>120932</v>
      </c>
      <c r="BD17">
        <f t="array" ref="BD17">IFERROR(MEDIAN(IF(($V$9:$V$708=AZ17)*($Z$9:$Z$708=1),$X$9:$X$708,"")),"")</f>
        <v>51465.61</v>
      </c>
      <c r="BE17">
        <f t="shared" si="26"/>
        <v>27</v>
      </c>
      <c r="BF17">
        <f t="shared" si="27"/>
        <v>51465.58</v>
      </c>
      <c r="BG17">
        <f t="shared" si="28"/>
        <v>0</v>
      </c>
      <c r="BH17">
        <f t="shared" si="29"/>
        <v>9</v>
      </c>
      <c r="BI17">
        <v>9</v>
      </c>
      <c r="BJ17">
        <f t="shared" si="30"/>
        <v>0</v>
      </c>
      <c r="BK17" t="str">
        <f t="array" ref="BK17">IFERROR(SMALL(IF($AA$9:$AA$708=BI17,$AB$9:$AB$708,""),1),"")</f>
        <v/>
      </c>
      <c r="BL17" t="str">
        <f t="array" ref="BL17">IFERROR(LARGE(IF($AA$9:$AA$708=BI17,$AB$9:$AB$708,""),1),"")</f>
        <v/>
      </c>
      <c r="BM17" t="str">
        <f t="array" ref="BM17">IFERROR(MEDIAN(IF(($AA$9:$AA$708=BI17)*($AE$9:$AE$708=1),$AC$9:$AC$708,"")),"")</f>
        <v/>
      </c>
      <c r="BN17">
        <f t="shared" si="31"/>
        <v>0</v>
      </c>
      <c r="BO17" t="str">
        <f t="shared" si="32"/>
        <v/>
      </c>
      <c r="BP17" t="str">
        <f t="shared" si="33"/>
        <v/>
      </c>
      <c r="BQ17" t="str">
        <f t="shared" si="34"/>
        <v/>
      </c>
      <c r="BR17">
        <v>9</v>
      </c>
      <c r="BS17">
        <f t="shared" si="35"/>
        <v>27</v>
      </c>
      <c r="BT17">
        <f t="array" ref="BT17">IFERROR(SMALL(IF($AF$9:$AF$708=BR17,$AG$9:$AG$708,""),1),"")</f>
        <v>125722</v>
      </c>
      <c r="BU17">
        <f t="array" ref="BU17">IFERROR(LARGE(IF($AF$9:$AF$708=BR17,$AG$9:$AG$708,""),1),"")</f>
        <v>125932</v>
      </c>
      <c r="BV17">
        <f t="array" ref="BV17">IFERROR(MEDIAN(IF(($AF$9:$AF$708=BR17)*($AJ$9:$AJ$708=1),$AH$9:$AH$708,"")),"")</f>
        <v>50549.34</v>
      </c>
      <c r="BW17">
        <f t="shared" si="36"/>
        <v>15</v>
      </c>
      <c r="BX17">
        <f t="shared" si="37"/>
        <v>50548.62</v>
      </c>
      <c r="BY17">
        <f t="shared" si="38"/>
        <v>12</v>
      </c>
      <c r="BZ17">
        <f t="shared" si="39"/>
        <v>9</v>
      </c>
      <c r="CA17">
        <v>9</v>
      </c>
      <c r="CB17">
        <f t="shared" si="40"/>
        <v>0</v>
      </c>
      <c r="CC17" t="str">
        <f t="array" ref="CC17">IFERROR(SMALL(IF($AK$9:$AK$708=CA17,$AL$9:$AL$708,""),1),"")</f>
        <v/>
      </c>
      <c r="CD17" t="str">
        <f t="array" ref="CD17">IFERROR(LARGE(IF($AK$9:$AK$708=CA17,$AL$9:$AL$708,""),1),"")</f>
        <v/>
      </c>
      <c r="CE17" t="str">
        <f t="array" ref="CE17">IFERROR(MEDIAN(IF(($AK$9:$AK$708=CA17)*($AO$9:$AO$708=1),$AM$9:$AM$708,"")),"")</f>
        <v/>
      </c>
      <c r="CF17">
        <f t="shared" si="41"/>
        <v>0</v>
      </c>
      <c r="CG17" t="str">
        <f t="shared" si="42"/>
        <v/>
      </c>
      <c r="CH17" t="str">
        <f t="shared" si="43"/>
        <v/>
      </c>
      <c r="CI17" t="str">
        <f t="shared" si="44"/>
        <v/>
      </c>
      <c r="CM17" t="s">
        <v>613</v>
      </c>
      <c r="CQ17" t="s">
        <v>614</v>
      </c>
      <c r="CR17" t="str">
        <f>IF(OR($I$17="",$I$18=""),"",ABS($I$18-$I$17))</f>
        <v/>
      </c>
      <c r="CS17">
        <f>IF(OR($K$17="",$K$18=""),"",ABS($K$18-$K$17))</f>
        <v>249.02999999999884</v>
      </c>
      <c r="CT17" t="str">
        <f>IF(OR($M$17="",$M$18=""),"",ABS($M$18-$M$17))</f>
        <v/>
      </c>
      <c r="CU17" t="str">
        <f>IF(OR($O$17="",$O$18=""),"",ABS($O$18-$O$17))</f>
        <v/>
      </c>
    </row>
    <row r="18" spans="1:99" ht="19.05" customHeight="1" x14ac:dyDescent="0.4">
      <c r="A18" t="str">
        <f>IF($CM$6=0,"",IF(INDEX('⑩ 원문 보관'!$A:$E,$CM$6+ROW()-9,COLUMN())="","",INDEX('⑩ 원문 보관'!$A:$E,$CM$6+ROW()-9,COLUMN())))</f>
        <v xml:space="preserve">111637.0  51389.38 95 </v>
      </c>
      <c r="B18" t="str">
        <f>IF($CM$6=0,"",IF(INDEX('⑩ 원문 보관'!$A:$E,$CM$6+ROW()-9,COLUMN())="","",INDEX('⑩ 원문 보관'!$A:$E,$CM$6+ROW()-9,COLUMN())))</f>
        <v xml:space="preserve">114747.0  51388.82 96 </v>
      </c>
      <c r="C18" t="str">
        <f>IF($CM$6=0,"",IF(INDEX('⑩ 원문 보관'!$A:$E,$CM$6+ROW()-9,COLUMN())="","",INDEX('⑩ 원문 보관'!$A:$E,$CM$6+ROW()-9,COLUMN())))</f>
        <v xml:space="preserve">121842.0  51388.73 97 </v>
      </c>
      <c r="D18" t="str">
        <f>IF($CM$6=0,"",IF(INDEX('⑩ 원문 보관'!$A:$E,$CM$6+ROW()-9,COLUMN())="","",INDEX('⑩ 원문 보관'!$A:$E,$CM$6+ROW()-9,COLUMN())))</f>
        <v xml:space="preserve">123542.0  51399.75 43 </v>
      </c>
      <c r="E18" t="str">
        <f>IF($CM$6=0,"",IF(INDEX('⑩ 원문 보관'!$A:$E,$CM$6+ROW()-9,COLUMN())="","",INDEX('⑩ 원문 보관'!$A:$E,$CM$6+ROW()-9,COLUMN())))</f>
        <v xml:space="preserve">130357.0  51406.46 95 </v>
      </c>
      <c r="G18" s="54" t="s">
        <v>173</v>
      </c>
      <c r="H18" s="55" t="str">
        <f>IF(COUNT($AS$9:$AS$22)-1&lt;10,"",IFERROR(INT(IFERROR(INDEX($AS$9:$AS$22,MATCH(10,$AY$9:$AY$22,0)),"")/100),""))</f>
        <v/>
      </c>
      <c r="I18" s="56" t="str">
        <f>IF(COUNT($AS$9:$AS$22)-1&lt;10,"",IFERROR(INDEX($AW$9:$AW$22,MATCH(10,$AY$9:$AY$22,0)),""))</f>
        <v/>
      </c>
      <c r="J18" s="55">
        <f>IF(COUNT($BB$9:$BB$22)-1&lt;10,"",IFERROR(INT(IFERROR(INDEX($BB$9:$BB$22,MATCH(10,$BH$9:$BH$22,0)),"")/100),""))</f>
        <v>1210</v>
      </c>
      <c r="K18" s="56">
        <f>IF(COUNT($BB$9:$BB$22)-1&lt;10,"",IFERROR(INDEX($BF$9:$BF$22,MATCH(10,$BH$9:$BH$22,0)),""))</f>
        <v>51714.61</v>
      </c>
      <c r="L18" s="55" t="str">
        <f>IF(COUNT($BK$9:$BK$22)-1&lt;10,"",IFERROR(INT(IFERROR(INDEX($BK$9:$BK$22,MATCH(10,$BQ$9:$BQ$22,0)),"")/100),""))</f>
        <v/>
      </c>
      <c r="M18" s="56" t="str">
        <f>IF(COUNT($BK$9:$BK$22)-1&lt;10,"",IFERROR(INDEX($BO$9:$BO$22,MATCH(10,$BQ$9:$BQ$22,0)),""))</f>
        <v/>
      </c>
      <c r="N18" s="55" t="str">
        <f>IF(COUNT($BT$9:$BT$22)-1&lt;10,"",IFERROR(INT(IFERROR(INDEX($BT$9:$BT$22,MATCH(10,$BZ$9:$BZ$22,0)),"")/100),""))</f>
        <v/>
      </c>
      <c r="O18" s="56" t="str">
        <f>IF(COUNT($BT$9:$BT$22)-1&lt;10,"",IFERROR(INDEX($BX$9:$BX$22,MATCH(10,$BZ$9:$BZ$22,0)),""))</f>
        <v/>
      </c>
      <c r="Q18">
        <f t="shared" si="45"/>
        <v>1</v>
      </c>
      <c r="R18">
        <f t="shared" si="0"/>
        <v>111637</v>
      </c>
      <c r="S18">
        <f t="shared" si="1"/>
        <v>51389.38</v>
      </c>
      <c r="T18" t="str">
        <f t="shared" si="2"/>
        <v>95</v>
      </c>
      <c r="U18">
        <f t="shared" si="3"/>
        <v>1</v>
      </c>
      <c r="V18">
        <f t="shared" si="46"/>
        <v>1</v>
      </c>
      <c r="W18">
        <f t="shared" si="4"/>
        <v>114747</v>
      </c>
      <c r="X18">
        <f t="shared" si="5"/>
        <v>51388.82</v>
      </c>
      <c r="Y18" t="str">
        <f t="shared" si="6"/>
        <v>96</v>
      </c>
      <c r="Z18">
        <f t="shared" si="7"/>
        <v>1</v>
      </c>
      <c r="AA18">
        <f t="shared" si="47"/>
        <v>1</v>
      </c>
      <c r="AB18">
        <f t="shared" si="8"/>
        <v>121842</v>
      </c>
      <c r="AC18">
        <f t="shared" si="9"/>
        <v>51388.73</v>
      </c>
      <c r="AD18" t="str">
        <f t="shared" si="10"/>
        <v>97</v>
      </c>
      <c r="AE18">
        <f t="shared" si="11"/>
        <v>1</v>
      </c>
      <c r="AF18">
        <f t="shared" si="48"/>
        <v>1</v>
      </c>
      <c r="AG18">
        <f t="shared" si="12"/>
        <v>123542</v>
      </c>
      <c r="AH18">
        <f t="shared" si="13"/>
        <v>51399.75</v>
      </c>
      <c r="AI18" t="str">
        <f t="shared" si="14"/>
        <v>43</v>
      </c>
      <c r="AJ18">
        <f t="shared" si="15"/>
        <v>1</v>
      </c>
      <c r="AK18">
        <f t="shared" si="49"/>
        <v>1</v>
      </c>
      <c r="AL18">
        <f t="shared" si="16"/>
        <v>130357</v>
      </c>
      <c r="AM18">
        <f t="shared" si="17"/>
        <v>51406.46</v>
      </c>
      <c r="AN18" t="str">
        <f t="shared" si="18"/>
        <v>95</v>
      </c>
      <c r="AO18">
        <f t="shared" si="19"/>
        <v>1</v>
      </c>
      <c r="AQ18">
        <v>10</v>
      </c>
      <c r="AR18">
        <f t="shared" si="20"/>
        <v>0</v>
      </c>
      <c r="AS18" t="str">
        <f t="array" ref="AS18">IFERROR(SMALL(IF($Q$9:$Q$708=AQ18,$R$9:$R$708,""),1),"")</f>
        <v/>
      </c>
      <c r="AT18" t="str">
        <f t="array" ref="AT18">IFERROR(LARGE(IF($Q$9:$Q$708=AQ18,$R$9:$R$708,""),1),"")</f>
        <v/>
      </c>
      <c r="AU18" t="str">
        <f t="array" ref="AU18">IFERROR(MEDIAN(IF(($Q$9:$Q$708=AQ18)*($U$9:$U$708=1),$S$9:$S$708,"")),"")</f>
        <v/>
      </c>
      <c r="AV18">
        <f t="shared" si="21"/>
        <v>0</v>
      </c>
      <c r="AW18" t="str">
        <f t="shared" si="22"/>
        <v/>
      </c>
      <c r="AX18" t="str">
        <f t="shared" si="23"/>
        <v/>
      </c>
      <c r="AY18" t="str">
        <f t="shared" si="24"/>
        <v/>
      </c>
      <c r="AZ18">
        <v>10</v>
      </c>
      <c r="BA18">
        <f t="shared" si="25"/>
        <v>26</v>
      </c>
      <c r="BB18">
        <f t="array" ref="BB18">IFERROR(SMALL(IF($V$9:$V$708=AZ18,$W$9:$W$708,""),1),"")</f>
        <v>121007</v>
      </c>
      <c r="BC18">
        <f t="array" ref="BC18">IFERROR(LARGE(IF($V$9:$V$708=AZ18,$W$9:$W$708,""),1),"")</f>
        <v>121212</v>
      </c>
      <c r="BD18">
        <f t="array" ref="BD18">IFERROR(MEDIAN(IF(($V$9:$V$708=AZ18)*($Z$9:$Z$708=1),$X$9:$X$708,"")),"")</f>
        <v>51714.630000000005</v>
      </c>
      <c r="BE18">
        <f t="shared" si="26"/>
        <v>26</v>
      </c>
      <c r="BF18">
        <f t="shared" si="27"/>
        <v>51714.61</v>
      </c>
      <c r="BG18">
        <f t="shared" si="28"/>
        <v>0</v>
      </c>
      <c r="BH18">
        <f t="shared" si="29"/>
        <v>10</v>
      </c>
      <c r="BI18">
        <v>10</v>
      </c>
      <c r="BJ18">
        <f t="shared" si="30"/>
        <v>0</v>
      </c>
      <c r="BK18" t="str">
        <f t="array" ref="BK18">IFERROR(SMALL(IF($AA$9:$AA$708=BI18,$AB$9:$AB$708,""),1),"")</f>
        <v/>
      </c>
      <c r="BL18" t="str">
        <f t="array" ref="BL18">IFERROR(LARGE(IF($AA$9:$AA$708=BI18,$AB$9:$AB$708,""),1),"")</f>
        <v/>
      </c>
      <c r="BM18" t="str">
        <f t="array" ref="BM18">IFERROR(MEDIAN(IF(($AA$9:$AA$708=BI18)*($AE$9:$AE$708=1),$AC$9:$AC$708,"")),"")</f>
        <v/>
      </c>
      <c r="BN18">
        <f t="shared" si="31"/>
        <v>0</v>
      </c>
      <c r="BO18" t="str">
        <f t="shared" si="32"/>
        <v/>
      </c>
      <c r="BP18" t="str">
        <f t="shared" si="33"/>
        <v/>
      </c>
      <c r="BQ18" t="str">
        <f t="shared" si="34"/>
        <v/>
      </c>
      <c r="BR18">
        <v>10</v>
      </c>
      <c r="BS18">
        <f t="shared" si="35"/>
        <v>27</v>
      </c>
      <c r="BT18">
        <f t="array" ref="BT18">IFERROR(SMALL(IF($AF$9:$AF$708=BR18,$AG$9:$AG$708,""),1),"")</f>
        <v>130012</v>
      </c>
      <c r="BU18">
        <f t="array" ref="BU18">IFERROR(LARGE(IF($AF$9:$AF$708=BR18,$AG$9:$AG$708,""),1),"")</f>
        <v>130222</v>
      </c>
      <c r="BV18">
        <f t="array" ref="BV18">IFERROR(MEDIAN(IF(($AF$9:$AF$708=BR18)*($AJ$9:$AJ$708=1),$AH$9:$AH$708,"")),"")</f>
        <v>51398.02</v>
      </c>
      <c r="BW18">
        <f t="shared" si="36"/>
        <v>27</v>
      </c>
      <c r="BX18">
        <f t="shared" si="37"/>
        <v>51397.97</v>
      </c>
      <c r="BY18">
        <f t="shared" si="38"/>
        <v>0</v>
      </c>
      <c r="BZ18">
        <f t="shared" si="39"/>
        <v>10</v>
      </c>
      <c r="CA18">
        <v>10</v>
      </c>
      <c r="CB18">
        <f t="shared" si="40"/>
        <v>0</v>
      </c>
      <c r="CC18" t="str">
        <f t="array" ref="CC18">IFERROR(SMALL(IF($AK$9:$AK$708=CA18,$AL$9:$AL$708,""),1),"")</f>
        <v/>
      </c>
      <c r="CD18" t="str">
        <f t="array" ref="CD18">IFERROR(LARGE(IF($AK$9:$AK$708=CA18,$AL$9:$AL$708,""),1),"")</f>
        <v/>
      </c>
      <c r="CE18" t="str">
        <f t="array" ref="CE18">IFERROR(MEDIAN(IF(($AK$9:$AK$708=CA18)*($AO$9:$AO$708=1),$AM$9:$AM$708,"")),"")</f>
        <v/>
      </c>
      <c r="CF18">
        <f t="shared" si="41"/>
        <v>0</v>
      </c>
      <c r="CG18" t="str">
        <f t="shared" si="42"/>
        <v/>
      </c>
      <c r="CH18" t="str">
        <f t="shared" si="43"/>
        <v/>
      </c>
      <c r="CI18" t="str">
        <f t="shared" si="44"/>
        <v/>
      </c>
      <c r="CM18" t="s">
        <v>615</v>
      </c>
      <c r="CQ18" t="s">
        <v>616</v>
      </c>
      <c r="CR18" t="str">
        <f>IF(OR($I$18="",$I$19=""),"",ABS($I$19-$I$18))</f>
        <v/>
      </c>
      <c r="CS18">
        <f>IF(OR($K$18="",$K$19=""),"",ABS($K$19-$K$18))</f>
        <v>355.62000000000262</v>
      </c>
      <c r="CT18" t="str">
        <f>IF(OR($M$18="",$M$19=""),"",ABS($M$19-$M$18))</f>
        <v/>
      </c>
      <c r="CU18" t="str">
        <f>IF(OR($O$18="",$O$19=""),"",ABS($O$19-$O$18))</f>
        <v/>
      </c>
    </row>
    <row r="19" spans="1:99" ht="19.05" customHeight="1" x14ac:dyDescent="0.4">
      <c r="A19" t="str">
        <f>IF($CM$6=0,"",IF(INDEX('⑩ 원문 보관'!$A:$E,$CM$6+ROW()-9,COLUMN())="","",INDEX('⑩ 원문 보관'!$A:$E,$CM$6+ROW()-9,COLUMN())))</f>
        <v xml:space="preserve">111642.0  51389.30 96 </v>
      </c>
      <c r="B19" t="str">
        <f>IF($CM$6=0,"",IF(INDEX('⑩ 원문 보관'!$A:$E,$CM$6+ROW()-9,COLUMN())="","",INDEX('⑩ 원문 보관'!$A:$E,$CM$6+ROW()-9,COLUMN())))</f>
        <v xml:space="preserve">114752.0  51389.14 97 </v>
      </c>
      <c r="C19" t="str">
        <f>IF($CM$6=0,"",IF(INDEX('⑩ 원문 보관'!$A:$E,$CM$6+ROW()-9,COLUMN())="","",INDEX('⑩ 원문 보관'!$A:$E,$CM$6+ROW()-9,COLUMN())))</f>
        <v xml:space="preserve">121847.0  51388.68 97 </v>
      </c>
      <c r="D19" t="str">
        <f>IF($CM$6=0,"",IF(INDEX('⑩ 원문 보관'!$A:$E,$CM$6+ROW()-9,COLUMN())="","",INDEX('⑩ 원문 보관'!$A:$E,$CM$6+ROW()-9,COLUMN())))</f>
        <v xml:space="preserve">123547.0  51459.24 64 </v>
      </c>
      <c r="E19" t="str">
        <f>IF($CM$6=0,"",IF(INDEX('⑩ 원문 보관'!$A:$E,$CM$6+ROW()-9,COLUMN())="","",INDEX('⑩ 원문 보관'!$A:$E,$CM$6+ROW()-9,COLUMN())))</f>
        <v xml:space="preserve">130402.0  51406.35 95 </v>
      </c>
      <c r="G19" s="54" t="s">
        <v>174</v>
      </c>
      <c r="H19" s="55" t="str">
        <f>IF(COUNT($AS$9:$AS$22)-1&lt;11,"",IFERROR(INT(IFERROR(INDEX($AS$9:$AS$22,MATCH(11,$AY$9:$AY$22,0)),"")/100),""))</f>
        <v/>
      </c>
      <c r="I19" s="56" t="str">
        <f>IF(COUNT($AS$9:$AS$22)-1&lt;11,"",IFERROR(INDEX($AW$9:$AW$22,MATCH(11,$AY$9:$AY$22,0)),""))</f>
        <v/>
      </c>
      <c r="J19" s="55">
        <f>IF(COUNT($BB$9:$BB$22)-1&lt;11,"",IFERROR(INT(IFERROR(INDEX($BB$9:$BB$22,MATCH(11,$BH$9:$BH$22,0)),"")/100),""))</f>
        <v>1212</v>
      </c>
      <c r="K19" s="56">
        <f>IF(COUNT($BB$9:$BB$22)-1&lt;11,"",IFERROR(INDEX($BF$9:$BF$22,MATCH(11,$BH$9:$BH$22,0)),""))</f>
        <v>52070.23</v>
      </c>
      <c r="L19" s="55" t="str">
        <f>IF(COUNT($BK$9:$BK$22)-1&lt;11,"",IFERROR(INT(IFERROR(INDEX($BK$9:$BK$22,MATCH(11,$BQ$9:$BQ$22,0)),"")/100),""))</f>
        <v/>
      </c>
      <c r="M19" s="56" t="str">
        <f>IF(COUNT($BK$9:$BK$22)-1&lt;11,"",IFERROR(INDEX($BO$9:$BO$22,MATCH(11,$BQ$9:$BQ$22,0)),""))</f>
        <v/>
      </c>
      <c r="N19" s="55" t="str">
        <f>IF(COUNT($BT$9:$BT$22)-1&lt;11,"",IFERROR(INT(IFERROR(INDEX($BT$9:$BT$22,MATCH(11,$BZ$9:$BZ$22,0)),"")/100),""))</f>
        <v/>
      </c>
      <c r="O19" s="56" t="str">
        <f>IF(COUNT($BT$9:$BT$22)-1&lt;11,"",IFERROR(INDEX($BX$9:$BX$22,MATCH(11,$BZ$9:$BZ$22,0)),""))</f>
        <v/>
      </c>
      <c r="Q19">
        <f t="shared" si="45"/>
        <v>1</v>
      </c>
      <c r="R19">
        <f t="shared" si="0"/>
        <v>111642</v>
      </c>
      <c r="S19">
        <f t="shared" si="1"/>
        <v>51389.3</v>
      </c>
      <c r="T19" t="str">
        <f t="shared" si="2"/>
        <v>96</v>
      </c>
      <c r="U19">
        <f t="shared" si="3"/>
        <v>1</v>
      </c>
      <c r="V19">
        <f t="shared" si="46"/>
        <v>1</v>
      </c>
      <c r="W19">
        <f t="shared" si="4"/>
        <v>114752</v>
      </c>
      <c r="X19">
        <f t="shared" si="5"/>
        <v>51389.14</v>
      </c>
      <c r="Y19" t="str">
        <f t="shared" si="6"/>
        <v>97</v>
      </c>
      <c r="Z19">
        <f t="shared" si="7"/>
        <v>1</v>
      </c>
      <c r="AA19">
        <f t="shared" si="47"/>
        <v>1</v>
      </c>
      <c r="AB19">
        <f t="shared" si="8"/>
        <v>121847</v>
      </c>
      <c r="AC19">
        <f t="shared" si="9"/>
        <v>51388.68</v>
      </c>
      <c r="AD19" t="str">
        <f t="shared" si="10"/>
        <v>97</v>
      </c>
      <c r="AE19">
        <f t="shared" si="11"/>
        <v>1</v>
      </c>
      <c r="AF19">
        <f t="shared" si="48"/>
        <v>1</v>
      </c>
      <c r="AG19">
        <f t="shared" si="12"/>
        <v>123547</v>
      </c>
      <c r="AH19">
        <f t="shared" si="13"/>
        <v>51459.24</v>
      </c>
      <c r="AI19" t="str">
        <f t="shared" si="14"/>
        <v>64</v>
      </c>
      <c r="AJ19">
        <f t="shared" si="15"/>
        <v>1</v>
      </c>
      <c r="AK19">
        <f t="shared" si="49"/>
        <v>1</v>
      </c>
      <c r="AL19">
        <f t="shared" si="16"/>
        <v>130402</v>
      </c>
      <c r="AM19">
        <f t="shared" si="17"/>
        <v>51406.35</v>
      </c>
      <c r="AN19" t="str">
        <f t="shared" si="18"/>
        <v>95</v>
      </c>
      <c r="AO19">
        <f t="shared" si="19"/>
        <v>1</v>
      </c>
      <c r="AQ19">
        <v>11</v>
      </c>
      <c r="AR19">
        <f t="shared" si="20"/>
        <v>0</v>
      </c>
      <c r="AS19" t="str">
        <f t="array" ref="AS19">IFERROR(SMALL(IF($Q$9:$Q$708=AQ19,$R$9:$R$708,""),1),"")</f>
        <v/>
      </c>
      <c r="AT19" t="str">
        <f t="array" ref="AT19">IFERROR(LARGE(IF($Q$9:$Q$708=AQ19,$R$9:$R$708,""),1),"")</f>
        <v/>
      </c>
      <c r="AU19" t="str">
        <f t="array" ref="AU19">IFERROR(MEDIAN(IF(($Q$9:$Q$708=AQ19)*($U$9:$U$708=1),$S$9:$S$708,"")),"")</f>
        <v/>
      </c>
      <c r="AV19">
        <f t="shared" si="21"/>
        <v>0</v>
      </c>
      <c r="AW19" t="str">
        <f t="shared" si="22"/>
        <v/>
      </c>
      <c r="AX19" t="str">
        <f t="shared" si="23"/>
        <v/>
      </c>
      <c r="AY19" t="str">
        <f t="shared" si="24"/>
        <v/>
      </c>
      <c r="AZ19">
        <v>11</v>
      </c>
      <c r="BA19">
        <f t="shared" si="25"/>
        <v>30</v>
      </c>
      <c r="BB19">
        <f t="array" ref="BB19">IFERROR(SMALL(IF($V$9:$V$708=AZ19,$W$9:$W$708,""),1),"")</f>
        <v>121237</v>
      </c>
      <c r="BC19">
        <f t="array" ref="BC19">IFERROR(LARGE(IF($V$9:$V$708=AZ19,$W$9:$W$708,""),1),"")</f>
        <v>121502</v>
      </c>
      <c r="BD19">
        <f t="array" ref="BD19">IFERROR(MEDIAN(IF(($V$9:$V$708=AZ19)*($Z$9:$Z$708=1),$X$9:$X$708,"")),"")</f>
        <v>52069.740000000005</v>
      </c>
      <c r="BE19">
        <f t="shared" si="26"/>
        <v>24</v>
      </c>
      <c r="BF19">
        <f t="shared" si="27"/>
        <v>52070.23</v>
      </c>
      <c r="BG19">
        <f t="shared" si="28"/>
        <v>6</v>
      </c>
      <c r="BH19">
        <f t="shared" si="29"/>
        <v>11</v>
      </c>
      <c r="BI19">
        <v>11</v>
      </c>
      <c r="BJ19">
        <f t="shared" si="30"/>
        <v>0</v>
      </c>
      <c r="BK19" t="str">
        <f t="array" ref="BK19">IFERROR(SMALL(IF($AA$9:$AA$708=BI19,$AB$9:$AB$708,""),1),"")</f>
        <v/>
      </c>
      <c r="BL19" t="str">
        <f t="array" ref="BL19">IFERROR(LARGE(IF($AA$9:$AA$708=BI19,$AB$9:$AB$708,""),1),"")</f>
        <v/>
      </c>
      <c r="BM19" t="str">
        <f t="array" ref="BM19">IFERROR(MEDIAN(IF(($AA$9:$AA$708=BI19)*($AE$9:$AE$708=1),$AC$9:$AC$708,"")),"")</f>
        <v/>
      </c>
      <c r="BN19">
        <f t="shared" si="31"/>
        <v>0</v>
      </c>
      <c r="BO19" t="str">
        <f t="shared" si="32"/>
        <v/>
      </c>
      <c r="BP19" t="str">
        <f t="shared" si="33"/>
        <v/>
      </c>
      <c r="BQ19" t="str">
        <f t="shared" si="34"/>
        <v/>
      </c>
      <c r="BR19">
        <v>11</v>
      </c>
      <c r="BS19">
        <f t="shared" si="35"/>
        <v>0</v>
      </c>
      <c r="BT19" t="str">
        <f t="array" ref="BT19">IFERROR(SMALL(IF($AF$9:$AF$708=BR19,$AG$9:$AG$708,""),1),"")</f>
        <v/>
      </c>
      <c r="BU19" t="str">
        <f t="array" ref="BU19">IFERROR(LARGE(IF($AF$9:$AF$708=BR19,$AG$9:$AG$708,""),1),"")</f>
        <v/>
      </c>
      <c r="BV19" t="str">
        <f t="array" ref="BV19">IFERROR(MEDIAN(IF(($AF$9:$AF$708=BR19)*($AJ$9:$AJ$708=1),$AH$9:$AH$708,"")),"")</f>
        <v/>
      </c>
      <c r="BW19">
        <f t="shared" si="36"/>
        <v>0</v>
      </c>
      <c r="BX19" t="str">
        <f t="shared" si="37"/>
        <v/>
      </c>
      <c r="BY19" t="str">
        <f t="shared" si="38"/>
        <v/>
      </c>
      <c r="BZ19" t="str">
        <f t="shared" si="39"/>
        <v/>
      </c>
      <c r="CA19">
        <v>11</v>
      </c>
      <c r="CB19">
        <f t="shared" si="40"/>
        <v>0</v>
      </c>
      <c r="CC19" t="str">
        <f t="array" ref="CC19">IFERROR(SMALL(IF($AK$9:$AK$708=CA19,$AL$9:$AL$708,""),1),"")</f>
        <v/>
      </c>
      <c r="CD19" t="str">
        <f t="array" ref="CD19">IFERROR(LARGE(IF($AK$9:$AK$708=CA19,$AL$9:$AL$708,""),1),"")</f>
        <v/>
      </c>
      <c r="CE19" t="str">
        <f t="array" ref="CE19">IFERROR(MEDIAN(IF(($AK$9:$AK$708=CA19)*($AO$9:$AO$708=1),$AM$9:$AM$708,"")),"")</f>
        <v/>
      </c>
      <c r="CF19">
        <f t="shared" si="41"/>
        <v>0</v>
      </c>
      <c r="CG19" t="str">
        <f t="shared" si="42"/>
        <v/>
      </c>
      <c r="CH19" t="str">
        <f t="shared" si="43"/>
        <v/>
      </c>
      <c r="CI19" t="str">
        <f t="shared" si="44"/>
        <v/>
      </c>
      <c r="CM19" t="s">
        <v>617</v>
      </c>
    </row>
    <row r="20" spans="1:99" ht="19.05" customHeight="1" x14ac:dyDescent="0.4">
      <c r="A20" t="str">
        <f>IF($CM$6=0,"",IF(INDEX('⑩ 원문 보관'!$A:$E,$CM$6+ROW()-9,COLUMN())="","",INDEX('⑩ 원문 보관'!$A:$E,$CM$6+ROW()-9,COLUMN())))</f>
        <v xml:space="preserve">111647.0  51389.29 96 </v>
      </c>
      <c r="B20" t="str">
        <f>IF($CM$6=0,"",IF(INDEX('⑩ 원문 보관'!$A:$E,$CM$6+ROW()-9,COLUMN())="","",INDEX('⑩ 원문 보관'!$A:$E,$CM$6+ROW()-9,COLUMN())))</f>
        <v xml:space="preserve">114757.0  51389.02 97 </v>
      </c>
      <c r="C20" t="str">
        <f>IF($CM$6=0,"",IF(INDEX('⑩ 원문 보관'!$A:$E,$CM$6+ROW()-9,COLUMN())="","",INDEX('⑩ 원문 보관'!$A:$E,$CM$6+ROW()-9,COLUMN())))</f>
        <v xml:space="preserve">121852.0  51388.76 97 </v>
      </c>
      <c r="D20" t="str">
        <f>IF($CM$6=0,"",IF(INDEX('⑩ 원문 보관'!$A:$E,$CM$6+ROW()-9,COLUMN())="","",INDEX('⑩ 원문 보관'!$A:$E,$CM$6+ROW()-9,COLUMN())))</f>
        <v xml:space="preserve">123552.0  51396.99 63 </v>
      </c>
      <c r="E20" t="str">
        <f>IF($CM$6=0,"",IF(INDEX('⑩ 원문 보관'!$A:$E,$CM$6+ROW()-9,COLUMN())="","",INDEX('⑩ 원문 보관'!$A:$E,$CM$6+ROW()-9,COLUMN())))</f>
        <v xml:space="preserve">130407.0  51406.04 95 </v>
      </c>
      <c r="G20" s="54" t="s">
        <v>175</v>
      </c>
      <c r="H20" s="55">
        <f>IF(COUNT($AS$9:$AS$22)&lt;2,"",IFERROR(INT(IFERROR(INDEX($AS$9:$AS$22,MATCH(COUNT($AS$9:$AS$22),$AY$9:$AY$22,0)),"")/100),""))</f>
        <v>1140</v>
      </c>
      <c r="I20" s="56">
        <f>IF(COUNT($AS$9:$AS$22)&lt;2,"",IFERROR(INDEX($AW$9:$AW$22,MATCH(COUNT($AS$9:$AS$22),$AY$9:$AY$22,0)),""))</f>
        <v>51384.34</v>
      </c>
      <c r="J20" s="55">
        <f>IF(COUNT($BB$9:$BB$22)&lt;2,"",IFERROR(INT(IFERROR(INDEX($BB$9:$BB$22,MATCH(COUNT($BB$9:$BB$22),$BH$9:$BH$22,0)),"")/100),""))</f>
        <v>1215</v>
      </c>
      <c r="K20" s="56">
        <f>IF(COUNT($BB$9:$BB$22)&lt;2,"",IFERROR(INDEX($BF$9:$BF$22,MATCH(COUNT($BB$9:$BB$22),$BH$9:$BH$22,0)),""))</f>
        <v>51388.57</v>
      </c>
      <c r="L20" s="55">
        <f>IF(COUNT($BK$9:$BK$22)&lt;2,"",IFERROR(INT(IFERROR(INDEX($BK$9:$BK$22,MATCH(COUNT($BK$9:$BK$22),$BQ$9:$BQ$22,0)),"")/100),""))</f>
        <v>1232</v>
      </c>
      <c r="M20" s="56">
        <f>IF(COUNT($BK$9:$BK$22)&lt;2,"",IFERROR(INDEX($BO$9:$BO$22,MATCH(COUNT($BK$9:$BK$22),$BQ$9:$BQ$22,0)),""))</f>
        <v>51397.88</v>
      </c>
      <c r="N20" s="55">
        <f>IF(COUNT($BT$9:$BT$22)&lt;2,"",IFERROR(INT(IFERROR(INDEX($BT$9:$BT$22,MATCH(COUNT($BT$9:$BT$22),$BZ$9:$BZ$22,0)),"")/100),""))</f>
        <v>1300</v>
      </c>
      <c r="O20" s="56">
        <f>IF(COUNT($BT$9:$BT$22)&lt;2,"",IFERROR(INDEX($BX$9:$BX$22,MATCH(COUNT($BT$9:$BT$22),$BZ$9:$BZ$22,0)),""))</f>
        <v>51397.97</v>
      </c>
      <c r="Q20">
        <f t="shared" si="45"/>
        <v>1</v>
      </c>
      <c r="R20">
        <f t="shared" si="0"/>
        <v>111647</v>
      </c>
      <c r="S20">
        <f t="shared" si="1"/>
        <v>51389.29</v>
      </c>
      <c r="T20" t="str">
        <f t="shared" si="2"/>
        <v>96</v>
      </c>
      <c r="U20">
        <f t="shared" si="3"/>
        <v>1</v>
      </c>
      <c r="V20">
        <f t="shared" si="46"/>
        <v>1</v>
      </c>
      <c r="W20">
        <f t="shared" si="4"/>
        <v>114757</v>
      </c>
      <c r="X20">
        <f t="shared" si="5"/>
        <v>51389.02</v>
      </c>
      <c r="Y20" t="str">
        <f t="shared" si="6"/>
        <v>97</v>
      </c>
      <c r="Z20">
        <f t="shared" si="7"/>
        <v>1</v>
      </c>
      <c r="AA20">
        <f t="shared" si="47"/>
        <v>1</v>
      </c>
      <c r="AB20">
        <f t="shared" si="8"/>
        <v>121852</v>
      </c>
      <c r="AC20">
        <f t="shared" si="9"/>
        <v>51388.76</v>
      </c>
      <c r="AD20" t="str">
        <f t="shared" si="10"/>
        <v>97</v>
      </c>
      <c r="AE20">
        <f t="shared" si="11"/>
        <v>1</v>
      </c>
      <c r="AF20">
        <f t="shared" si="48"/>
        <v>1</v>
      </c>
      <c r="AG20">
        <f t="shared" si="12"/>
        <v>123552</v>
      </c>
      <c r="AH20">
        <f t="shared" si="13"/>
        <v>51396.99</v>
      </c>
      <c r="AI20" t="str">
        <f t="shared" si="14"/>
        <v>63</v>
      </c>
      <c r="AJ20">
        <f t="shared" si="15"/>
        <v>1</v>
      </c>
      <c r="AK20">
        <f t="shared" si="49"/>
        <v>1</v>
      </c>
      <c r="AL20">
        <f t="shared" si="16"/>
        <v>130407</v>
      </c>
      <c r="AM20">
        <f t="shared" si="17"/>
        <v>51406.04</v>
      </c>
      <c r="AN20" t="str">
        <f t="shared" si="18"/>
        <v>95</v>
      </c>
      <c r="AO20">
        <f t="shared" si="19"/>
        <v>1</v>
      </c>
      <c r="AQ20">
        <v>12</v>
      </c>
      <c r="AR20">
        <f t="shared" si="20"/>
        <v>0</v>
      </c>
      <c r="AS20" t="str">
        <f t="array" ref="AS20">IFERROR(SMALL(IF($Q$9:$Q$708=AQ20,$R$9:$R$708,""),1),"")</f>
        <v/>
      </c>
      <c r="AT20" t="str">
        <f t="array" ref="AT20">IFERROR(LARGE(IF($Q$9:$Q$708=AQ20,$R$9:$R$708,""),1),"")</f>
        <v/>
      </c>
      <c r="AU20" t="str">
        <f t="array" ref="AU20">IFERROR(MEDIAN(IF(($Q$9:$Q$708=AQ20)*($U$9:$U$708=1),$S$9:$S$708,"")),"")</f>
        <v/>
      </c>
      <c r="AV20">
        <f t="shared" si="21"/>
        <v>0</v>
      </c>
      <c r="AW20" t="str">
        <f t="shared" si="22"/>
        <v/>
      </c>
      <c r="AX20" t="str">
        <f t="shared" si="23"/>
        <v/>
      </c>
      <c r="AY20" t="str">
        <f t="shared" si="24"/>
        <v/>
      </c>
      <c r="AZ20">
        <v>12</v>
      </c>
      <c r="BA20">
        <f t="shared" si="25"/>
        <v>27</v>
      </c>
      <c r="BB20">
        <f t="array" ref="BB20">IFERROR(SMALL(IF($V$9:$V$708=AZ20,$W$9:$W$708,""),1),"")</f>
        <v>121557</v>
      </c>
      <c r="BC20">
        <f t="array" ref="BC20">IFERROR(LARGE(IF($V$9:$V$708=AZ20,$W$9:$W$708,""),1),"")</f>
        <v>121807</v>
      </c>
      <c r="BD20">
        <f t="array" ref="BD20">IFERROR(MEDIAN(IF(($V$9:$V$708=AZ20)*($Z$9:$Z$708=1),$X$9:$X$708,"")),"")</f>
        <v>51388.55</v>
      </c>
      <c r="BE20">
        <f t="shared" si="26"/>
        <v>27</v>
      </c>
      <c r="BF20">
        <f t="shared" si="27"/>
        <v>51388.57</v>
      </c>
      <c r="BG20">
        <f t="shared" si="28"/>
        <v>0</v>
      </c>
      <c r="BH20">
        <f t="shared" si="29"/>
        <v>12</v>
      </c>
      <c r="BI20">
        <v>12</v>
      </c>
      <c r="BJ20">
        <f t="shared" si="30"/>
        <v>0</v>
      </c>
      <c r="BK20" t="str">
        <f t="array" ref="BK20">IFERROR(SMALL(IF($AA$9:$AA$708=BI20,$AB$9:$AB$708,""),1),"")</f>
        <v/>
      </c>
      <c r="BL20" t="str">
        <f t="array" ref="BL20">IFERROR(LARGE(IF($AA$9:$AA$708=BI20,$AB$9:$AB$708,""),1),"")</f>
        <v/>
      </c>
      <c r="BM20" t="str">
        <f t="array" ref="BM20">IFERROR(MEDIAN(IF(($AA$9:$AA$708=BI20)*($AE$9:$AE$708=1),$AC$9:$AC$708,"")),"")</f>
        <v/>
      </c>
      <c r="BN20">
        <f t="shared" si="31"/>
        <v>0</v>
      </c>
      <c r="BO20" t="str">
        <f t="shared" si="32"/>
        <v/>
      </c>
      <c r="BP20" t="str">
        <f t="shared" si="33"/>
        <v/>
      </c>
      <c r="BQ20" t="str">
        <f t="shared" si="34"/>
        <v/>
      </c>
      <c r="BR20">
        <v>12</v>
      </c>
      <c r="BS20">
        <f t="shared" si="35"/>
        <v>0</v>
      </c>
      <c r="BT20" t="str">
        <f t="array" ref="BT20">IFERROR(SMALL(IF($AF$9:$AF$708=BR20,$AG$9:$AG$708,""),1),"")</f>
        <v/>
      </c>
      <c r="BU20" t="str">
        <f t="array" ref="BU20">IFERROR(LARGE(IF($AF$9:$AF$708=BR20,$AG$9:$AG$708,""),1),"")</f>
        <v/>
      </c>
      <c r="BV20" t="str">
        <f t="array" ref="BV20">IFERROR(MEDIAN(IF(($AF$9:$AF$708=BR20)*($AJ$9:$AJ$708=1),$AH$9:$AH$708,"")),"")</f>
        <v/>
      </c>
      <c r="BW20">
        <f t="shared" si="36"/>
        <v>0</v>
      </c>
      <c r="BX20" t="str">
        <f t="shared" si="37"/>
        <v/>
      </c>
      <c r="BY20" t="str">
        <f t="shared" si="38"/>
        <v/>
      </c>
      <c r="BZ20" t="str">
        <f t="shared" si="39"/>
        <v/>
      </c>
      <c r="CA20">
        <v>12</v>
      </c>
      <c r="CB20">
        <f t="shared" si="40"/>
        <v>0</v>
      </c>
      <c r="CC20" t="str">
        <f t="array" ref="CC20">IFERROR(SMALL(IF($AK$9:$AK$708=CA20,$AL$9:$AL$708,""),1),"")</f>
        <v/>
      </c>
      <c r="CD20" t="str">
        <f t="array" ref="CD20">IFERROR(LARGE(IF($AK$9:$AK$708=CA20,$AL$9:$AL$708,""),1),"")</f>
        <v/>
      </c>
      <c r="CE20" t="str">
        <f t="array" ref="CE20">IFERROR(MEDIAN(IF(($AK$9:$AK$708=CA20)*($AO$9:$AO$708=1),$AM$9:$AM$708,"")),"")</f>
        <v/>
      </c>
      <c r="CF20">
        <f t="shared" si="41"/>
        <v>0</v>
      </c>
      <c r="CG20" t="str">
        <f t="shared" si="42"/>
        <v/>
      </c>
      <c r="CH20" t="str">
        <f t="shared" si="43"/>
        <v/>
      </c>
      <c r="CI20" t="str">
        <f t="shared" si="44"/>
        <v/>
      </c>
      <c r="CM20" t="s">
        <v>618</v>
      </c>
    </row>
    <row r="21" spans="1:99" x14ac:dyDescent="0.4">
      <c r="A21" t="str">
        <f>IF($CM$6=0,"",IF(INDEX('⑩ 원문 보관'!$A:$E,$CM$6+ROW()-9,COLUMN())="","",INDEX('⑩ 원문 보관'!$A:$E,$CM$6+ROW()-9,COLUMN())))</f>
        <v xml:space="preserve">111652.0  51389.41 96 </v>
      </c>
      <c r="B21" t="str">
        <f>IF($CM$6=0,"",IF(INDEX('⑩ 원문 보관'!$A:$E,$CM$6+ROW()-9,COLUMN())="","",INDEX('⑩ 원문 보관'!$A:$E,$CM$6+ROW()-9,COLUMN())))</f>
        <v xml:space="preserve">114802.0  51389.08 96 </v>
      </c>
      <c r="C21" t="str">
        <f>IF($CM$6=0,"",IF(INDEX('⑩ 원문 보관'!$A:$E,$CM$6+ROW()-9,COLUMN())="","",INDEX('⑩ 원문 보관'!$A:$E,$CM$6+ROW()-9,COLUMN())))</f>
        <v xml:space="preserve">121857.0  51388.69 98 </v>
      </c>
      <c r="D21" t="str">
        <f>IF($CM$6=0,"",IF(INDEX('⑩ 원문 보관'!$A:$E,$CM$6+ROW()-9,COLUMN())="","",INDEX('⑩ 원문 보관'!$A:$E,$CM$6+ROW()-9,COLUMN())))</f>
        <v xml:space="preserve">123557.0  51398.72 53 </v>
      </c>
      <c r="E21" t="str">
        <f>IF($CM$6=0,"",IF(INDEX('⑩ 원문 보관'!$A:$E,$CM$6+ROW()-9,COLUMN())="","",INDEX('⑩ 원문 보관'!$A:$E,$CM$6+ROW()-9,COLUMN())))</f>
        <v xml:space="preserve">130412.0  51406.18 95 </v>
      </c>
      <c r="G21" s="74" t="s">
        <v>619</v>
      </c>
      <c r="H21" s="68"/>
      <c r="I21" s="68"/>
      <c r="J21" s="68"/>
      <c r="K21" s="68"/>
      <c r="L21" s="68"/>
      <c r="M21" s="68"/>
      <c r="N21" s="68"/>
      <c r="O21" s="68"/>
      <c r="Q21">
        <f t="shared" si="45"/>
        <v>1</v>
      </c>
      <c r="R21">
        <f t="shared" si="0"/>
        <v>111652</v>
      </c>
      <c r="S21">
        <f t="shared" si="1"/>
        <v>51389.41</v>
      </c>
      <c r="T21" t="str">
        <f t="shared" si="2"/>
        <v>96</v>
      </c>
      <c r="U21">
        <f t="shared" si="3"/>
        <v>1</v>
      </c>
      <c r="V21">
        <f t="shared" si="46"/>
        <v>1</v>
      </c>
      <c r="W21">
        <f t="shared" si="4"/>
        <v>114802</v>
      </c>
      <c r="X21">
        <f t="shared" si="5"/>
        <v>51389.08</v>
      </c>
      <c r="Y21" t="str">
        <f t="shared" si="6"/>
        <v>96</v>
      </c>
      <c r="Z21">
        <f t="shared" si="7"/>
        <v>1</v>
      </c>
      <c r="AA21">
        <f t="shared" si="47"/>
        <v>1</v>
      </c>
      <c r="AB21">
        <f t="shared" si="8"/>
        <v>121857</v>
      </c>
      <c r="AC21">
        <f t="shared" si="9"/>
        <v>51388.69</v>
      </c>
      <c r="AD21" t="str">
        <f t="shared" si="10"/>
        <v>98</v>
      </c>
      <c r="AE21">
        <f t="shared" si="11"/>
        <v>1</v>
      </c>
      <c r="AF21">
        <f t="shared" si="48"/>
        <v>1</v>
      </c>
      <c r="AG21">
        <f t="shared" si="12"/>
        <v>123557</v>
      </c>
      <c r="AH21">
        <f t="shared" si="13"/>
        <v>51398.720000000001</v>
      </c>
      <c r="AI21" t="str">
        <f t="shared" si="14"/>
        <v>53</v>
      </c>
      <c r="AJ21">
        <f t="shared" si="15"/>
        <v>1</v>
      </c>
      <c r="AK21">
        <f t="shared" si="49"/>
        <v>1</v>
      </c>
      <c r="AL21">
        <f t="shared" si="16"/>
        <v>130412</v>
      </c>
      <c r="AM21">
        <f t="shared" si="17"/>
        <v>51406.18</v>
      </c>
      <c r="AN21" t="str">
        <f t="shared" si="18"/>
        <v>95</v>
      </c>
      <c r="AO21">
        <f t="shared" si="19"/>
        <v>1</v>
      </c>
      <c r="AQ21">
        <v>13</v>
      </c>
      <c r="AR21">
        <f t="shared" si="20"/>
        <v>0</v>
      </c>
      <c r="AS21" t="str">
        <f t="array" ref="AS21">IFERROR(SMALL(IF($Q$9:$Q$708=AQ21,$R$9:$R$708,""),1),"")</f>
        <v/>
      </c>
      <c r="AT21" t="str">
        <f t="array" ref="AT21">IFERROR(LARGE(IF($Q$9:$Q$708=AQ21,$R$9:$R$708,""),1),"")</f>
        <v/>
      </c>
      <c r="AU21" t="str">
        <f t="array" ref="AU21">IFERROR(MEDIAN(IF(($Q$9:$Q$708=AQ21)*($U$9:$U$708=1),$S$9:$S$708,"")),"")</f>
        <v/>
      </c>
      <c r="AV21">
        <f t="shared" si="21"/>
        <v>0</v>
      </c>
      <c r="AW21" t="str">
        <f t="shared" si="22"/>
        <v/>
      </c>
      <c r="AX21" t="str">
        <f t="shared" si="23"/>
        <v/>
      </c>
      <c r="AY21" t="str">
        <f t="shared" si="24"/>
        <v/>
      </c>
      <c r="AZ21">
        <v>13</v>
      </c>
      <c r="BA21">
        <f t="shared" si="25"/>
        <v>0</v>
      </c>
      <c r="BB21" t="str">
        <f t="array" ref="BB21">IFERROR(SMALL(IF($V$9:$V$708=AZ21,$W$9:$W$708,""),1),"")</f>
        <v/>
      </c>
      <c r="BC21" t="str">
        <f t="array" ref="BC21">IFERROR(LARGE(IF($V$9:$V$708=AZ21,$W$9:$W$708,""),1),"")</f>
        <v/>
      </c>
      <c r="BD21" t="str">
        <f t="array" ref="BD21">IFERROR(MEDIAN(IF(($V$9:$V$708=AZ21)*($Z$9:$Z$708=1),$X$9:$X$708,"")),"")</f>
        <v/>
      </c>
      <c r="BE21">
        <f t="shared" si="26"/>
        <v>0</v>
      </c>
      <c r="BF21" t="str">
        <f t="shared" si="27"/>
        <v/>
      </c>
      <c r="BG21" t="str">
        <f t="shared" si="28"/>
        <v/>
      </c>
      <c r="BH21" t="str">
        <f t="shared" si="29"/>
        <v/>
      </c>
      <c r="BI21">
        <v>13</v>
      </c>
      <c r="BJ21">
        <f t="shared" si="30"/>
        <v>0</v>
      </c>
      <c r="BK21" t="str">
        <f t="array" ref="BK21">IFERROR(SMALL(IF($AA$9:$AA$708=BI21,$AB$9:$AB$708,""),1),"")</f>
        <v/>
      </c>
      <c r="BL21" t="str">
        <f t="array" ref="BL21">IFERROR(LARGE(IF($AA$9:$AA$708=BI21,$AB$9:$AB$708,""),1),"")</f>
        <v/>
      </c>
      <c r="BM21" t="str">
        <f t="array" ref="BM21">IFERROR(MEDIAN(IF(($AA$9:$AA$708=BI21)*($AE$9:$AE$708=1),$AC$9:$AC$708,"")),"")</f>
        <v/>
      </c>
      <c r="BN21">
        <f t="shared" si="31"/>
        <v>0</v>
      </c>
      <c r="BO21" t="str">
        <f t="shared" si="32"/>
        <v/>
      </c>
      <c r="BP21" t="str">
        <f t="shared" si="33"/>
        <v/>
      </c>
      <c r="BQ21" t="str">
        <f t="shared" si="34"/>
        <v/>
      </c>
      <c r="BR21">
        <v>13</v>
      </c>
      <c r="BS21">
        <f t="shared" si="35"/>
        <v>0</v>
      </c>
      <c r="BT21" t="str">
        <f t="array" ref="BT21">IFERROR(SMALL(IF($AF$9:$AF$708=BR21,$AG$9:$AG$708,""),1),"")</f>
        <v/>
      </c>
      <c r="BU21" t="str">
        <f t="array" ref="BU21">IFERROR(LARGE(IF($AF$9:$AF$708=BR21,$AG$9:$AG$708,""),1),"")</f>
        <v/>
      </c>
      <c r="BV21" t="str">
        <f t="array" ref="BV21">IFERROR(MEDIAN(IF(($AF$9:$AF$708=BR21)*($AJ$9:$AJ$708=1),$AH$9:$AH$708,"")),"")</f>
        <v/>
      </c>
      <c r="BW21">
        <f t="shared" si="36"/>
        <v>0</v>
      </c>
      <c r="BX21" t="str">
        <f t="shared" si="37"/>
        <v/>
      </c>
      <c r="BY21" t="str">
        <f t="shared" si="38"/>
        <v/>
      </c>
      <c r="BZ21" t="str">
        <f t="shared" si="39"/>
        <v/>
      </c>
      <c r="CA21">
        <v>13</v>
      </c>
      <c r="CB21">
        <f t="shared" si="40"/>
        <v>0</v>
      </c>
      <c r="CC21" t="str">
        <f t="array" ref="CC21">IFERROR(SMALL(IF($AK$9:$AK$708=CA21,$AL$9:$AL$708,""),1),"")</f>
        <v/>
      </c>
      <c r="CD21" t="str">
        <f t="array" ref="CD21">IFERROR(LARGE(IF($AK$9:$AK$708=CA21,$AL$9:$AL$708,""),1),"")</f>
        <v/>
      </c>
      <c r="CE21" t="str">
        <f t="array" ref="CE21">IFERROR(MEDIAN(IF(($AK$9:$AK$708=CA21)*($AO$9:$AO$708=1),$AM$9:$AM$708,"")),"")</f>
        <v/>
      </c>
      <c r="CF21">
        <f t="shared" si="41"/>
        <v>0</v>
      </c>
      <c r="CG21" t="str">
        <f t="shared" si="42"/>
        <v/>
      </c>
      <c r="CH21" t="str">
        <f t="shared" si="43"/>
        <v/>
      </c>
      <c r="CI21" t="str">
        <f t="shared" si="44"/>
        <v/>
      </c>
      <c r="CM21" t="s">
        <v>620</v>
      </c>
    </row>
    <row r="22" spans="1:99" x14ac:dyDescent="0.4">
      <c r="A22" t="str">
        <f>IF($CM$6=0,"",IF(INDEX('⑩ 원문 보관'!$A:$E,$CM$6+ROW()-9,COLUMN())="","",INDEX('⑩ 원문 보관'!$A:$E,$CM$6+ROW()-9,COLUMN())))</f>
        <v xml:space="preserve">111657.0  51389.32 96 </v>
      </c>
      <c r="B22" t="str">
        <f>IF($CM$6=0,"",IF(INDEX('⑩ 원문 보관'!$A:$E,$CM$6+ROW()-9,COLUMN())="","",INDEX('⑩ 원문 보관'!$A:$E,$CM$6+ROW()-9,COLUMN())))</f>
        <v xml:space="preserve">114807.0  51389.02 96 </v>
      </c>
      <c r="C22" t="str">
        <f>IF($CM$6=0,"",IF(INDEX('⑩ 원문 보관'!$A:$E,$CM$6+ROW()-9,COLUMN())="","",INDEX('⑩ 원문 보관'!$A:$E,$CM$6+ROW()-9,COLUMN())))</f>
        <v xml:space="preserve">121902.0  51388.65 97 </v>
      </c>
      <c r="D22" t="str">
        <f>IF($CM$6=0,"",IF(INDEX('⑩ 원문 보관'!$A:$E,$CM$6+ROW()-9,COLUMN())="","",INDEX('⑩ 원문 보관'!$A:$E,$CM$6+ROW()-9,COLUMN())))</f>
        <v xml:space="preserve">123602.0  51399.46 44 </v>
      </c>
      <c r="E22" t="str">
        <f>IF($CM$6=0,"",IF(INDEX('⑩ 원문 보관'!$A:$E,$CM$6+ROW()-9,COLUMN())="","",INDEX('⑩ 원문 보관'!$A:$E,$CM$6+ROW()-9,COLUMN())))</f>
        <v xml:space="preserve">130417.0  51406.10 96 </v>
      </c>
      <c r="G22" s="53" t="s">
        <v>298</v>
      </c>
      <c r="H22" s="53" t="s">
        <v>621</v>
      </c>
      <c r="I22" s="53" t="s">
        <v>622</v>
      </c>
      <c r="J22" s="75" t="s">
        <v>623</v>
      </c>
      <c r="K22" s="76"/>
      <c r="L22" s="75" t="s">
        <v>289</v>
      </c>
      <c r="M22" s="76"/>
      <c r="N22" s="76"/>
      <c r="Q22">
        <f t="shared" si="45"/>
        <v>1</v>
      </c>
      <c r="R22">
        <f t="shared" si="0"/>
        <v>111657</v>
      </c>
      <c r="S22">
        <f t="shared" si="1"/>
        <v>51389.32</v>
      </c>
      <c r="T22" t="str">
        <f t="shared" si="2"/>
        <v>96</v>
      </c>
      <c r="U22">
        <f t="shared" si="3"/>
        <v>1</v>
      </c>
      <c r="V22">
        <f t="shared" si="46"/>
        <v>1</v>
      </c>
      <c r="W22">
        <f t="shared" si="4"/>
        <v>114807</v>
      </c>
      <c r="X22">
        <f t="shared" si="5"/>
        <v>51389.02</v>
      </c>
      <c r="Y22" t="str">
        <f t="shared" si="6"/>
        <v>96</v>
      </c>
      <c r="Z22">
        <f t="shared" si="7"/>
        <v>1</v>
      </c>
      <c r="AA22">
        <f t="shared" si="47"/>
        <v>1</v>
      </c>
      <c r="AB22">
        <f t="shared" si="8"/>
        <v>121902</v>
      </c>
      <c r="AC22">
        <f t="shared" si="9"/>
        <v>51388.65</v>
      </c>
      <c r="AD22" t="str">
        <f t="shared" si="10"/>
        <v>97</v>
      </c>
      <c r="AE22">
        <f t="shared" si="11"/>
        <v>1</v>
      </c>
      <c r="AF22">
        <f t="shared" si="48"/>
        <v>1</v>
      </c>
      <c r="AG22">
        <f t="shared" si="12"/>
        <v>123602</v>
      </c>
      <c r="AH22">
        <f t="shared" si="13"/>
        <v>51399.46</v>
      </c>
      <c r="AI22" t="str">
        <f t="shared" si="14"/>
        <v>44</v>
      </c>
      <c r="AJ22">
        <f t="shared" si="15"/>
        <v>1</v>
      </c>
      <c r="AK22">
        <f t="shared" si="49"/>
        <v>1</v>
      </c>
      <c r="AL22">
        <f t="shared" si="16"/>
        <v>130417</v>
      </c>
      <c r="AM22">
        <f t="shared" si="17"/>
        <v>51406.1</v>
      </c>
      <c r="AN22" t="str">
        <f t="shared" si="18"/>
        <v>96</v>
      </c>
      <c r="AO22">
        <f t="shared" si="19"/>
        <v>1</v>
      </c>
      <c r="AQ22">
        <v>14</v>
      </c>
      <c r="AR22">
        <f t="shared" si="20"/>
        <v>0</v>
      </c>
      <c r="AS22" t="str">
        <f t="array" ref="AS22">IFERROR(SMALL(IF($Q$9:$Q$708=AQ22,$R$9:$R$708,""),1),"")</f>
        <v/>
      </c>
      <c r="AT22" t="str">
        <f t="array" ref="AT22">IFERROR(LARGE(IF($Q$9:$Q$708=AQ22,$R$9:$R$708,""),1),"")</f>
        <v/>
      </c>
      <c r="AU22" t="str">
        <f t="array" ref="AU22">IFERROR(MEDIAN(IF(($Q$9:$Q$708=AQ22)*($U$9:$U$708=1),$S$9:$S$708,"")),"")</f>
        <v/>
      </c>
      <c r="AV22">
        <f t="shared" si="21"/>
        <v>0</v>
      </c>
      <c r="AW22" t="str">
        <f t="shared" si="22"/>
        <v/>
      </c>
      <c r="AX22" t="str">
        <f t="shared" si="23"/>
        <v/>
      </c>
      <c r="AY22" t="str">
        <f t="shared" si="24"/>
        <v/>
      </c>
      <c r="AZ22">
        <v>14</v>
      </c>
      <c r="BA22">
        <f t="shared" si="25"/>
        <v>0</v>
      </c>
      <c r="BB22" t="str">
        <f t="array" ref="BB22">IFERROR(SMALL(IF($V$9:$V$708=AZ22,$W$9:$W$708,""),1),"")</f>
        <v/>
      </c>
      <c r="BC22" t="str">
        <f t="array" ref="BC22">IFERROR(LARGE(IF($V$9:$V$708=AZ22,$W$9:$W$708,""),1),"")</f>
        <v/>
      </c>
      <c r="BD22" t="str">
        <f t="array" ref="BD22">IFERROR(MEDIAN(IF(($V$9:$V$708=AZ22)*($Z$9:$Z$708=1),$X$9:$X$708,"")),"")</f>
        <v/>
      </c>
      <c r="BE22">
        <f t="shared" si="26"/>
        <v>0</v>
      </c>
      <c r="BF22" t="str">
        <f t="shared" si="27"/>
        <v/>
      </c>
      <c r="BG22" t="str">
        <f t="shared" si="28"/>
        <v/>
      </c>
      <c r="BH22" t="str">
        <f t="shared" si="29"/>
        <v/>
      </c>
      <c r="BI22">
        <v>14</v>
      </c>
      <c r="BJ22">
        <f t="shared" si="30"/>
        <v>0</v>
      </c>
      <c r="BK22" t="str">
        <f t="array" ref="BK22">IFERROR(SMALL(IF($AA$9:$AA$708=BI22,$AB$9:$AB$708,""),1),"")</f>
        <v/>
      </c>
      <c r="BL22" t="str">
        <f t="array" ref="BL22">IFERROR(LARGE(IF($AA$9:$AA$708=BI22,$AB$9:$AB$708,""),1),"")</f>
        <v/>
      </c>
      <c r="BM22" t="str">
        <f t="array" ref="BM22">IFERROR(MEDIAN(IF(($AA$9:$AA$708=BI22)*($AE$9:$AE$708=1),$AC$9:$AC$708,"")),"")</f>
        <v/>
      </c>
      <c r="BN22">
        <f t="shared" si="31"/>
        <v>0</v>
      </c>
      <c r="BO22" t="str">
        <f t="shared" si="32"/>
        <v/>
      </c>
      <c r="BP22" t="str">
        <f t="shared" si="33"/>
        <v/>
      </c>
      <c r="BQ22" t="str">
        <f t="shared" si="34"/>
        <v/>
      </c>
      <c r="BR22">
        <v>14</v>
      </c>
      <c r="BS22">
        <f t="shared" si="35"/>
        <v>0</v>
      </c>
      <c r="BT22" t="str">
        <f t="array" ref="BT22">IFERROR(SMALL(IF($AF$9:$AF$708=BR22,$AG$9:$AG$708,""),1),"")</f>
        <v/>
      </c>
      <c r="BU22" t="str">
        <f t="array" ref="BU22">IFERROR(LARGE(IF($AF$9:$AF$708=BR22,$AG$9:$AG$708,""),1),"")</f>
        <v/>
      </c>
      <c r="BV22" t="str">
        <f t="array" ref="BV22">IFERROR(MEDIAN(IF(($AF$9:$AF$708=BR22)*($AJ$9:$AJ$708=1),$AH$9:$AH$708,"")),"")</f>
        <v/>
      </c>
      <c r="BW22">
        <f t="shared" si="36"/>
        <v>0</v>
      </c>
      <c r="BX22" t="str">
        <f t="shared" si="37"/>
        <v/>
      </c>
      <c r="BY22" t="str">
        <f t="shared" si="38"/>
        <v/>
      </c>
      <c r="BZ22" t="str">
        <f t="shared" si="39"/>
        <v/>
      </c>
      <c r="CA22">
        <v>14</v>
      </c>
      <c r="CB22">
        <f t="shared" si="40"/>
        <v>0</v>
      </c>
      <c r="CC22" t="str">
        <f t="array" ref="CC22">IFERROR(SMALL(IF($AK$9:$AK$708=CA22,$AL$9:$AL$708,""),1),"")</f>
        <v/>
      </c>
      <c r="CD22" t="str">
        <f t="array" ref="CD22">IFERROR(LARGE(IF($AK$9:$AK$708=CA22,$AL$9:$AL$708,""),1),"")</f>
        <v/>
      </c>
      <c r="CE22" t="str">
        <f t="array" ref="CE22">IFERROR(MEDIAN(IF(($AK$9:$AK$708=CA22)*($AO$9:$AO$708=1),$AM$9:$AM$708,"")),"")</f>
        <v/>
      </c>
      <c r="CF22">
        <f t="shared" si="41"/>
        <v>0</v>
      </c>
      <c r="CG22" t="str">
        <f t="shared" si="42"/>
        <v/>
      </c>
      <c r="CH22" t="str">
        <f t="shared" si="43"/>
        <v/>
      </c>
      <c r="CI22" t="str">
        <f t="shared" si="44"/>
        <v/>
      </c>
      <c r="CM22" t="s">
        <v>624</v>
      </c>
    </row>
    <row r="23" spans="1:99" ht="30" customHeight="1" x14ac:dyDescent="0.4">
      <c r="A23" t="str">
        <f>IF($CM$6=0,"",IF(INDEX('⑩ 원문 보관'!$A:$E,$CM$6+ROW()-9,COLUMN())="","",INDEX('⑩ 원문 보관'!$A:$E,$CM$6+ROW()-9,COLUMN())))</f>
        <v xml:space="preserve">111702.0  51388.97 96 </v>
      </c>
      <c r="B23" t="str">
        <f>IF($CM$6=0,"",IF(INDEX('⑩ 원문 보관'!$A:$E,$CM$6+ROW()-9,COLUMN())="","",INDEX('⑩ 원문 보관'!$A:$E,$CM$6+ROW()-9,COLUMN())))</f>
        <v xml:space="preserve">114812.0  51389.14 96 </v>
      </c>
      <c r="C23" t="str">
        <f>IF($CM$6=0,"",IF(INDEX('⑩ 원문 보관'!$A:$E,$CM$6+ROW()-9,COLUMN())="","",INDEX('⑩ 원문 보관'!$A:$E,$CM$6+ROW()-9,COLUMN())))</f>
        <v xml:space="preserve">121907.0  51388.75 97 </v>
      </c>
      <c r="D23" t="str">
        <f>IF($CM$6=0,"",IF(INDEX('⑩ 원문 보관'!$A:$E,$CM$6+ROW()-9,COLUMN())="","",INDEX('⑩ 원문 보관'!$A:$E,$CM$6+ROW()-9,COLUMN())))</f>
        <v xml:space="preserve">123607.0  51398.88 64 </v>
      </c>
      <c r="E23" t="str">
        <f>IF($CM$6=0,"",IF(INDEX('⑩ 원문 보관'!$A:$E,$CM$6+ROW()-9,COLUMN())="","",INDEX('⑩ 원문 보관'!$A:$E,$CM$6+ROW()-9,COLUMN())))</f>
        <v xml:space="preserve">130422.0  51406.35 95 </v>
      </c>
      <c r="G23" s="57" t="s">
        <v>625</v>
      </c>
      <c r="H23" s="57" t="s">
        <v>626</v>
      </c>
      <c r="I23" s="56">
        <f>IFERROR(INDEX($CG$9:$CG$22,MATCH(1,$CI$9:$CI$22,0)),"")</f>
        <v>51406.33</v>
      </c>
      <c r="J23" s="79" t="str">
        <f>IF(IFERROR(INDEX($CC$9:$CC$22,MATCH(1,$CI$9:$CI$22,0)),"")="","",TEXT(INT(IFERROR(INDEX($CC$9:$CC$22,MATCH(1,$CI$9:$CI$22,0)),"")/10000),"00")&amp;":"&amp;TEXT(MOD(INT(IFERROR(INDEX($CC$9:$CC$22,MATCH(1,$CI$9:$CI$22,0)),"")/100),100),"00")&amp;":"&amp;TEXT(MOD(IFERROR(INDEX($CC$9:$CC$22,MATCH(1,$CI$9:$CI$22,0)),""),100),"00")&amp;"~"&amp;TEXT(INT(IFERROR(INDEX($CD$9:$CD$22,MATCH(1,$CI$9:$CI$22,0)),"")/10000),"00")&amp;":"&amp;TEXT(MOD(INT(IFERROR(INDEX($CD$9:$CD$22,MATCH(1,$CI$9:$CI$22,0)),"")/100),100),"00")&amp;":"&amp;TEXT(MOD(IFERROR(INDEX($CD$9:$CD$22,MATCH(1,$CI$9:$CI$22,0)),""),100),"00"))</f>
        <v>13:03:52~13:06:02</v>
      </c>
      <c r="K23" s="79"/>
      <c r="L23" s="80" t="str">
        <f>IF(IFERROR(INDEX($CF$9:$CF$22,MATCH(1,$CI$9:$CI$22,0)),"")=0,"",IFERROR(INDEX($CF$9:$CF$22,MATCH(1,$CI$9:$CI$22,0)),"")&amp;"회 평균"&amp;IF(IFERROR(INDEX($CH$9:$CH$22,MATCH(1,$CI$9:$CI$22,0)),"")&gt;0," · "&amp;IFERROR(INDEX($CH$9:$CH$22,MATCH(1,$CI$9:$CI$22,0)),"")&amp;"회 제외","")&amp;IF(IFERROR(INDEX($CF$9:$CF$22,MATCH(1,$CI$9:$CI$22,0)),"")&lt;10," · 읽음이 적습니다 — 재측정 확인",""))</f>
        <v>27회 평균</v>
      </c>
      <c r="M23" s="79"/>
      <c r="N23" s="79"/>
      <c r="Q23">
        <f t="shared" si="45"/>
        <v>1</v>
      </c>
      <c r="R23">
        <f t="shared" si="0"/>
        <v>111702</v>
      </c>
      <c r="S23">
        <f t="shared" si="1"/>
        <v>51388.97</v>
      </c>
      <c r="T23" t="str">
        <f t="shared" si="2"/>
        <v>96</v>
      </c>
      <c r="U23">
        <f t="shared" si="3"/>
        <v>1</v>
      </c>
      <c r="V23">
        <f t="shared" si="46"/>
        <v>1</v>
      </c>
      <c r="W23">
        <f t="shared" si="4"/>
        <v>114812</v>
      </c>
      <c r="X23">
        <f t="shared" si="5"/>
        <v>51389.14</v>
      </c>
      <c r="Y23" t="str">
        <f t="shared" si="6"/>
        <v>96</v>
      </c>
      <c r="Z23">
        <f t="shared" si="7"/>
        <v>1</v>
      </c>
      <c r="AA23">
        <f t="shared" si="47"/>
        <v>1</v>
      </c>
      <c r="AB23">
        <f t="shared" si="8"/>
        <v>121907</v>
      </c>
      <c r="AC23">
        <f t="shared" si="9"/>
        <v>51388.75</v>
      </c>
      <c r="AD23" t="str">
        <f t="shared" si="10"/>
        <v>97</v>
      </c>
      <c r="AE23">
        <f t="shared" si="11"/>
        <v>1</v>
      </c>
      <c r="AF23">
        <f t="shared" si="48"/>
        <v>1</v>
      </c>
      <c r="AG23">
        <f t="shared" si="12"/>
        <v>123607</v>
      </c>
      <c r="AH23">
        <f t="shared" si="13"/>
        <v>51398.879999999997</v>
      </c>
      <c r="AI23" t="str">
        <f t="shared" si="14"/>
        <v>64</v>
      </c>
      <c r="AJ23">
        <f t="shared" si="15"/>
        <v>1</v>
      </c>
      <c r="AK23">
        <f t="shared" si="49"/>
        <v>1</v>
      </c>
      <c r="AL23">
        <f t="shared" si="16"/>
        <v>130422</v>
      </c>
      <c r="AM23">
        <f t="shared" si="17"/>
        <v>51406.35</v>
      </c>
      <c r="AN23" t="str">
        <f t="shared" si="18"/>
        <v>95</v>
      </c>
      <c r="AO23">
        <f t="shared" si="19"/>
        <v>1</v>
      </c>
      <c r="CM23" t="s">
        <v>627</v>
      </c>
    </row>
    <row r="24" spans="1:99" ht="30" customHeight="1" x14ac:dyDescent="0.4">
      <c r="A24" t="str">
        <f>IF($CM$6=0,"",IF(INDEX('⑩ 원문 보관'!$A:$E,$CM$6+ROW()-9,COLUMN())="","",INDEX('⑩ 원문 보관'!$A:$E,$CM$6+ROW()-9,COLUMN())))</f>
        <v xml:space="preserve">111707.0  51389.35 95 </v>
      </c>
      <c r="B24" t="str">
        <f>IF($CM$6=0,"",IF(INDEX('⑩ 원문 보관'!$A:$E,$CM$6+ROW()-9,COLUMN())="","",INDEX('⑩ 원문 보관'!$A:$E,$CM$6+ROW()-9,COLUMN())))</f>
        <v xml:space="preserve">114817.0  51389.04 96 </v>
      </c>
      <c r="C24" t="str">
        <f>IF($CM$6=0,"",IF(INDEX('⑩ 원문 보관'!$A:$E,$CM$6+ROW()-9,COLUMN())="","",INDEX('⑩ 원문 보관'!$A:$E,$CM$6+ROW()-9,COLUMN())))</f>
        <v xml:space="preserve">121912.0  51388.73 98 </v>
      </c>
      <c r="D24" t="str">
        <f>IF($CM$6=0,"",IF(INDEX('⑩ 원문 보관'!$A:$E,$CM$6+ROW()-9,COLUMN())="","",INDEX('⑩ 원문 보관'!$A:$E,$CM$6+ROW()-9,COLUMN())))</f>
        <v xml:space="preserve">123612.0  51399.11 43 </v>
      </c>
      <c r="E24" t="str">
        <f>IF($CM$6=0,"",IF(INDEX('⑩ 원문 보관'!$A:$E,$CM$6+ROW()-9,COLUMN())="","",INDEX('⑩ 원문 보관'!$A:$E,$CM$6+ROW()-9,COLUMN())))</f>
        <v xml:space="preserve">130427.0  51406.22 95 </v>
      </c>
      <c r="G24" s="57" t="s">
        <v>628</v>
      </c>
      <c r="H24" s="57" t="s">
        <v>629</v>
      </c>
      <c r="I24" s="56">
        <f>IFERROR(INDEX($CG$9:$CG$22,MATCH(2,$CI$9:$CI$22,0)),"")</f>
        <v>51399.6</v>
      </c>
      <c r="J24" s="79" t="str">
        <f>IF(IFERROR(INDEX($CC$9:$CC$22,MATCH(2,$CI$9:$CI$22,0)),"")="","",TEXT(INT(IFERROR(INDEX($CC$9:$CC$22,MATCH(2,$CI$9:$CI$22,0)),"")/10000),"00")&amp;":"&amp;TEXT(MOD(INT(IFERROR(INDEX($CC$9:$CC$22,MATCH(2,$CI$9:$CI$22,0)),"")/100),100),"00")&amp;":"&amp;TEXT(MOD(IFERROR(INDEX($CC$9:$CC$22,MATCH(2,$CI$9:$CI$22,0)),""),100),"00")&amp;"~"&amp;TEXT(INT(IFERROR(INDEX($CD$9:$CD$22,MATCH(2,$CI$9:$CI$22,0)),"")/10000),"00")&amp;":"&amp;TEXT(MOD(INT(IFERROR(INDEX($CD$9:$CD$22,MATCH(2,$CI$9:$CI$22,0)),"")/100),100),"00")&amp;":"&amp;TEXT(MOD(IFERROR(INDEX($CD$9:$CD$22,MATCH(2,$CI$9:$CI$22,0)),""),100),"00"))</f>
        <v>13:07:22~13:09:42</v>
      </c>
      <c r="K24" s="79"/>
      <c r="L24" s="80" t="str">
        <f>IF(IFERROR(INDEX($CF$9:$CF$22,MATCH(2,$CI$9:$CI$22,0)),"")=0,"",IFERROR(INDEX($CF$9:$CF$22,MATCH(2,$CI$9:$CI$22,0)),"")&amp;"회 평균"&amp;IF(IFERROR(INDEX($CH$9:$CH$22,MATCH(2,$CI$9:$CI$22,0)),"")&gt;0," · "&amp;IFERROR(INDEX($CH$9:$CH$22,MATCH(2,$CI$9:$CI$22,0)),"")&amp;"회 제외","")&amp;IF(IFERROR(INDEX($CF$9:$CF$22,MATCH(2,$CI$9:$CI$22,0)),"")&lt;10," · 읽음이 적습니다 — 재측정 확인",""))</f>
        <v>28회 평균 · 1회 제외</v>
      </c>
      <c r="M24" s="79"/>
      <c r="N24" s="79"/>
      <c r="Q24">
        <f t="shared" si="45"/>
        <v>1</v>
      </c>
      <c r="R24">
        <f t="shared" si="0"/>
        <v>111707</v>
      </c>
      <c r="S24">
        <f t="shared" si="1"/>
        <v>51389.35</v>
      </c>
      <c r="T24" t="str">
        <f t="shared" si="2"/>
        <v>95</v>
      </c>
      <c r="U24">
        <f t="shared" si="3"/>
        <v>1</v>
      </c>
      <c r="V24">
        <f t="shared" si="46"/>
        <v>1</v>
      </c>
      <c r="W24">
        <f t="shared" si="4"/>
        <v>114817</v>
      </c>
      <c r="X24">
        <f t="shared" si="5"/>
        <v>51389.04</v>
      </c>
      <c r="Y24" t="str">
        <f t="shared" si="6"/>
        <v>96</v>
      </c>
      <c r="Z24">
        <f t="shared" si="7"/>
        <v>1</v>
      </c>
      <c r="AA24">
        <f t="shared" si="47"/>
        <v>1</v>
      </c>
      <c r="AB24">
        <f t="shared" si="8"/>
        <v>121912</v>
      </c>
      <c r="AC24">
        <f t="shared" si="9"/>
        <v>51388.73</v>
      </c>
      <c r="AD24" t="str">
        <f t="shared" si="10"/>
        <v>98</v>
      </c>
      <c r="AE24">
        <f t="shared" si="11"/>
        <v>1</v>
      </c>
      <c r="AF24">
        <f t="shared" si="48"/>
        <v>1</v>
      </c>
      <c r="AG24">
        <f t="shared" si="12"/>
        <v>123612</v>
      </c>
      <c r="AH24">
        <f t="shared" si="13"/>
        <v>51399.11</v>
      </c>
      <c r="AI24" t="str">
        <f t="shared" si="14"/>
        <v>43</v>
      </c>
      <c r="AJ24">
        <f t="shared" si="15"/>
        <v>1</v>
      </c>
      <c r="AK24">
        <f t="shared" si="49"/>
        <v>1</v>
      </c>
      <c r="AL24">
        <f t="shared" si="16"/>
        <v>130427</v>
      </c>
      <c r="AM24">
        <f t="shared" si="17"/>
        <v>51406.22</v>
      </c>
      <c r="AN24" t="str">
        <f t="shared" si="18"/>
        <v>95</v>
      </c>
      <c r="AO24">
        <f t="shared" si="19"/>
        <v>1</v>
      </c>
      <c r="CM24" t="s">
        <v>630</v>
      </c>
    </row>
    <row r="25" spans="1:99" ht="30" customHeight="1" x14ac:dyDescent="0.4">
      <c r="A25" t="str">
        <f>IF($CM$6=0,"",IF(INDEX('⑩ 원문 보관'!$A:$E,$CM$6+ROW()-9,COLUMN())="","",INDEX('⑩ 원문 보관'!$A:$E,$CM$6+ROW()-9,COLUMN())))</f>
        <v xml:space="preserve">111712.0  51388.95 96 </v>
      </c>
      <c r="B25" t="str">
        <f>IF($CM$6=0,"",IF(INDEX('⑩ 원문 보관'!$A:$E,$CM$6+ROW()-9,COLUMN())="","",INDEX('⑩ 원문 보관'!$A:$E,$CM$6+ROW()-9,COLUMN())))</f>
        <v xml:space="preserve">114822.0  51388.95 96 </v>
      </c>
      <c r="C25" t="str">
        <f>IF($CM$6=0,"",IF(INDEX('⑩ 원문 보관'!$A:$E,$CM$6+ROW()-9,COLUMN())="","",INDEX('⑩ 원문 보관'!$A:$E,$CM$6+ROW()-9,COLUMN())))</f>
        <v xml:space="preserve">121917.0  51388.54 97 </v>
      </c>
      <c r="D25" t="str">
        <f>IF($CM$6=0,"",IF(INDEX('⑩ 원문 보관'!$A:$E,$CM$6+ROW()-9,COLUMN())="","",INDEX('⑩ 원문 보관'!$A:$E,$CM$6+ROW()-9,COLUMN())))</f>
        <v xml:space="preserve">123617.0  51398.48 63 </v>
      </c>
      <c r="E25" t="str">
        <f>IF($CM$6=0,"",IF(INDEX('⑩ 원문 보관'!$A:$E,$CM$6+ROW()-9,COLUMN())="","",INDEX('⑩ 원문 보관'!$A:$E,$CM$6+ROW()-9,COLUMN())))</f>
        <v xml:space="preserve">130432.0  51406.17 95 </v>
      </c>
      <c r="G25" s="57" t="s">
        <v>631</v>
      </c>
      <c r="H25" s="57" t="s">
        <v>632</v>
      </c>
      <c r="I25" s="56">
        <f>IFERROR(INDEX($CG$9:$CG$22,MATCH(3,$CI$9:$CI$22,0)),"")</f>
        <v>51359.25</v>
      </c>
      <c r="J25" s="79" t="str">
        <f>IF(IFERROR(INDEX($CC$9:$CC$22,MATCH(3,$CI$9:$CI$22,0)),"")="","",TEXT(INT(IFERROR(INDEX($CC$9:$CC$22,MATCH(3,$CI$9:$CI$22,0)),"")/10000),"00")&amp;":"&amp;TEXT(MOD(INT(IFERROR(INDEX($CC$9:$CC$22,MATCH(3,$CI$9:$CI$22,0)),"")/100),100),"00")&amp;":"&amp;TEXT(MOD(IFERROR(INDEX($CC$9:$CC$22,MATCH(3,$CI$9:$CI$22,0)),""),100),"00")&amp;"~"&amp;TEXT(INT(IFERROR(INDEX($CD$9:$CD$22,MATCH(3,$CI$9:$CI$22,0)),"")/10000),"00")&amp;":"&amp;TEXT(MOD(INT(IFERROR(INDEX($CD$9:$CD$22,MATCH(3,$CI$9:$CI$22,0)),"")/100),100),"00")&amp;":"&amp;TEXT(MOD(IFERROR(INDEX($CD$9:$CD$22,MATCH(3,$CI$9:$CI$22,0)),""),100),"00"))</f>
        <v>13:14:22~13:17:47</v>
      </c>
      <c r="K25" s="79"/>
      <c r="L25" s="80" t="str">
        <f>IF(IFERROR(INDEX($CF$9:$CF$22,MATCH(3,$CI$9:$CI$22,0)),"")=0,"",IFERROR(INDEX($CF$9:$CF$22,MATCH(3,$CI$9:$CI$22,0)),"")&amp;"회 평균"&amp;IF(IFERROR(INDEX($CH$9:$CH$22,MATCH(3,$CI$9:$CI$22,0)),"")&gt;0," · "&amp;IFERROR(INDEX($CH$9:$CH$22,MATCH(3,$CI$9:$CI$22,0)),"")&amp;"회 제외","")&amp;IF(IFERROR(INDEX($CF$9:$CF$22,MATCH(3,$CI$9:$CI$22,0)),"")&lt;10," · 읽음이 적습니다 — 재측정 확인",""))</f>
        <v>2회 평균 · 40회 제외 · 읽음이 적습니다 — 재측정 확인</v>
      </c>
      <c r="M25" s="79"/>
      <c r="N25" s="79"/>
      <c r="Q25">
        <f t="shared" si="45"/>
        <v>1</v>
      </c>
      <c r="R25">
        <f t="shared" si="0"/>
        <v>111712</v>
      </c>
      <c r="S25">
        <f t="shared" si="1"/>
        <v>51388.95</v>
      </c>
      <c r="T25" t="str">
        <f t="shared" si="2"/>
        <v>96</v>
      </c>
      <c r="U25">
        <f t="shared" si="3"/>
        <v>1</v>
      </c>
      <c r="V25">
        <f t="shared" si="46"/>
        <v>1</v>
      </c>
      <c r="W25">
        <f t="shared" si="4"/>
        <v>114822</v>
      </c>
      <c r="X25">
        <f t="shared" si="5"/>
        <v>51388.95</v>
      </c>
      <c r="Y25" t="str">
        <f t="shared" si="6"/>
        <v>96</v>
      </c>
      <c r="Z25">
        <f t="shared" si="7"/>
        <v>1</v>
      </c>
      <c r="AA25">
        <f t="shared" si="47"/>
        <v>1</v>
      </c>
      <c r="AB25">
        <f t="shared" si="8"/>
        <v>121917</v>
      </c>
      <c r="AC25">
        <f t="shared" si="9"/>
        <v>51388.54</v>
      </c>
      <c r="AD25" t="str">
        <f t="shared" si="10"/>
        <v>97</v>
      </c>
      <c r="AE25">
        <f t="shared" si="11"/>
        <v>1</v>
      </c>
      <c r="AF25">
        <f t="shared" si="48"/>
        <v>1</v>
      </c>
      <c r="AG25">
        <f t="shared" si="12"/>
        <v>123617</v>
      </c>
      <c r="AH25">
        <f t="shared" si="13"/>
        <v>51398.48</v>
      </c>
      <c r="AI25" t="str">
        <f t="shared" si="14"/>
        <v>63</v>
      </c>
      <c r="AJ25">
        <f t="shared" si="15"/>
        <v>1</v>
      </c>
      <c r="AK25">
        <f t="shared" si="49"/>
        <v>1</v>
      </c>
      <c r="AL25">
        <f t="shared" si="16"/>
        <v>130432</v>
      </c>
      <c r="AM25">
        <f t="shared" si="17"/>
        <v>51406.17</v>
      </c>
      <c r="AN25" t="str">
        <f t="shared" si="18"/>
        <v>95</v>
      </c>
      <c r="AO25">
        <f t="shared" si="19"/>
        <v>1</v>
      </c>
      <c r="CM25" t="s">
        <v>633</v>
      </c>
    </row>
    <row r="26" spans="1:99" ht="30" customHeight="1" x14ac:dyDescent="0.4">
      <c r="A26" t="str">
        <f>IF($CM$6=0,"",IF(INDEX('⑩ 원문 보관'!$A:$E,$CM$6+ROW()-9,COLUMN())="","",INDEX('⑩ 원문 보관'!$A:$E,$CM$6+ROW()-9,COLUMN())))</f>
        <v xml:space="preserve">111717.0  51389.48 96 </v>
      </c>
      <c r="B26" t="str">
        <f>IF($CM$6=0,"",IF(INDEX('⑩ 원문 보관'!$A:$E,$CM$6+ROW()-9,COLUMN())="","",INDEX('⑩ 원문 보관'!$A:$E,$CM$6+ROW()-9,COLUMN())))</f>
        <v xml:space="preserve">114827.0  51389.03 96 </v>
      </c>
      <c r="C26" t="str">
        <f>IF($CM$6=0,"",IF(INDEX('⑩ 원문 보관'!$A:$E,$CM$6+ROW()-9,COLUMN())="","",INDEX('⑩ 원문 보관'!$A:$E,$CM$6+ROW()-9,COLUMN())))</f>
        <v xml:space="preserve">121922.0  51388.59 98 </v>
      </c>
      <c r="D26" t="str">
        <f>IF($CM$6=0,"",IF(INDEX('⑩ 원문 보관'!$A:$E,$CM$6+ROW()-9,COLUMN())="","",INDEX('⑩ 원문 보관'!$A:$E,$CM$6+ROW()-9,COLUMN())))</f>
        <v xml:space="preserve">123622.0  51399.77 44 </v>
      </c>
      <c r="E26" t="str">
        <f>IF($CM$6=0,"",IF(INDEX('⑩ 원문 보관'!$A:$E,$CM$6+ROW()-9,COLUMN())="","",INDEX('⑩ 원문 보관'!$A:$E,$CM$6+ROW()-9,COLUMN())))</f>
        <v xml:space="preserve">130437.0  51406.05 95 </v>
      </c>
      <c r="G26" s="57" t="s">
        <v>634</v>
      </c>
      <c r="H26" s="57" t="s">
        <v>635</v>
      </c>
      <c r="I26" s="56">
        <f>IFERROR(INDEX($CG$9:$CG$22,MATCH(4,$CI$9:$CI$22,0)),"")</f>
        <v>51455.71</v>
      </c>
      <c r="J26" s="79" t="str">
        <f>IF(IFERROR(INDEX($CC$9:$CC$22,MATCH(4,$CI$9:$CI$22,0)),"")="","",TEXT(INT(IFERROR(INDEX($CC$9:$CC$22,MATCH(4,$CI$9:$CI$22,0)),"")/10000),"00")&amp;":"&amp;TEXT(MOD(INT(IFERROR(INDEX($CC$9:$CC$22,MATCH(4,$CI$9:$CI$22,0)),"")/100),100),"00")&amp;":"&amp;TEXT(MOD(IFERROR(INDEX($CC$9:$CC$22,MATCH(4,$CI$9:$CI$22,0)),""),100),"00")&amp;"~"&amp;TEXT(INT(IFERROR(INDEX($CD$9:$CD$22,MATCH(4,$CI$9:$CI$22,0)),"")/10000),"00")&amp;":"&amp;TEXT(MOD(INT(IFERROR(INDEX($CD$9:$CD$22,MATCH(4,$CI$9:$CI$22,0)),"")/100),100),"00")&amp;":"&amp;TEXT(MOD(IFERROR(INDEX($CD$9:$CD$22,MATCH(4,$CI$9:$CI$22,0)),""),100),"00"))</f>
        <v>13:19:02~13:21:17</v>
      </c>
      <c r="K26" s="79"/>
      <c r="L26" s="80" t="str">
        <f>IF(IFERROR(INDEX($CF$9:$CF$22,MATCH(4,$CI$9:$CI$22,0)),"")=0,"",IFERROR(INDEX($CF$9:$CF$22,MATCH(4,$CI$9:$CI$22,0)),"")&amp;"회 평균"&amp;IF(IFERROR(INDEX($CH$9:$CH$22,MATCH(4,$CI$9:$CI$22,0)),"")&gt;0," · "&amp;IFERROR(INDEX($CH$9:$CH$22,MATCH(4,$CI$9:$CI$22,0)),"")&amp;"회 제외","")&amp;IF(IFERROR(INDEX($CF$9:$CF$22,MATCH(4,$CI$9:$CI$22,0)),"")&lt;10," · 읽음이 적습니다 — 재측정 확인",""))</f>
        <v>9회 평균 · 19회 제외 · 읽음이 적습니다 — 재측정 확인</v>
      </c>
      <c r="M26" s="79"/>
      <c r="N26" s="79"/>
      <c r="Q26">
        <f t="shared" si="45"/>
        <v>1</v>
      </c>
      <c r="R26">
        <f t="shared" si="0"/>
        <v>111717</v>
      </c>
      <c r="S26">
        <f t="shared" si="1"/>
        <v>51389.48</v>
      </c>
      <c r="T26" t="str">
        <f t="shared" si="2"/>
        <v>96</v>
      </c>
      <c r="U26">
        <f t="shared" si="3"/>
        <v>1</v>
      </c>
      <c r="V26">
        <f t="shared" si="46"/>
        <v>1</v>
      </c>
      <c r="W26">
        <f t="shared" si="4"/>
        <v>114827</v>
      </c>
      <c r="X26">
        <f t="shared" si="5"/>
        <v>51389.03</v>
      </c>
      <c r="Y26" t="str">
        <f t="shared" si="6"/>
        <v>96</v>
      </c>
      <c r="Z26">
        <f t="shared" si="7"/>
        <v>1</v>
      </c>
      <c r="AA26">
        <f t="shared" si="47"/>
        <v>1</v>
      </c>
      <c r="AB26">
        <f t="shared" si="8"/>
        <v>121922</v>
      </c>
      <c r="AC26">
        <f t="shared" si="9"/>
        <v>51388.59</v>
      </c>
      <c r="AD26" t="str">
        <f t="shared" si="10"/>
        <v>98</v>
      </c>
      <c r="AE26">
        <f t="shared" si="11"/>
        <v>1</v>
      </c>
      <c r="AF26">
        <f t="shared" si="48"/>
        <v>1</v>
      </c>
      <c r="AG26">
        <f t="shared" si="12"/>
        <v>123622</v>
      </c>
      <c r="AH26">
        <f t="shared" si="13"/>
        <v>51399.77</v>
      </c>
      <c r="AI26" t="str">
        <f t="shared" si="14"/>
        <v>44</v>
      </c>
      <c r="AJ26">
        <f t="shared" si="15"/>
        <v>1</v>
      </c>
      <c r="AK26">
        <f t="shared" si="49"/>
        <v>1</v>
      </c>
      <c r="AL26">
        <f t="shared" si="16"/>
        <v>130437</v>
      </c>
      <c r="AM26">
        <f t="shared" si="17"/>
        <v>51406.05</v>
      </c>
      <c r="AN26" t="str">
        <f t="shared" si="18"/>
        <v>95</v>
      </c>
      <c r="AO26">
        <f t="shared" si="19"/>
        <v>1</v>
      </c>
      <c r="CM26" t="s">
        <v>636</v>
      </c>
    </row>
    <row r="27" spans="1:99" ht="16.95" customHeight="1" x14ac:dyDescent="0.4">
      <c r="A27" t="str">
        <f>IF($CM$6=0,"",IF(INDEX('⑩ 원문 보관'!$A:$E,$CM$6+ROW()-9,COLUMN())="","",INDEX('⑩ 원문 보관'!$A:$E,$CM$6+ROW()-9,COLUMN())))</f>
        <v xml:space="preserve">111722.0  51389.19 95 </v>
      </c>
      <c r="B27" t="str">
        <f>IF($CM$6=0,"",IF(INDEX('⑩ 원문 보관'!$A:$E,$CM$6+ROW()-9,COLUMN())="","",INDEX('⑩ 원문 보관'!$A:$E,$CM$6+ROW()-9,COLUMN())))</f>
        <v xml:space="preserve">114832.0  51389.21 96 </v>
      </c>
      <c r="C27" t="str">
        <f>IF($CM$6=0,"",IF(INDEX('⑩ 원문 보관'!$A:$E,$CM$6+ROW()-9,COLUMN())="","",INDEX('⑩ 원문 보관'!$A:$E,$CM$6+ROW()-9,COLUMN())))</f>
        <v xml:space="preserve">121927.0  51388.60 97 </v>
      </c>
      <c r="D27" t="str">
        <f>IF($CM$6=0,"",IF(INDEX('⑩ 원문 보관'!$A:$E,$CM$6+ROW()-9,COLUMN())="","",INDEX('⑩ 원문 보관'!$A:$E,$CM$6+ROW()-9,COLUMN())))</f>
        <v xml:space="preserve">123627.0  51398.55 63 </v>
      </c>
      <c r="E27" t="str">
        <f>IF($CM$6=0,"",IF(INDEX('⑩ 원문 보관'!$A:$E,$CM$6+ROW()-9,COLUMN())="","",INDEX('⑩ 원문 보관'!$A:$E,$CM$6+ROW()-9,COLUMN())))</f>
        <v xml:space="preserve">130442.0  51406.19 95 </v>
      </c>
      <c r="G27" s="83" t="s">
        <v>637</v>
      </c>
      <c r="H27" s="68"/>
      <c r="I27" s="68"/>
      <c r="J27" s="68"/>
      <c r="K27" s="68"/>
      <c r="L27" s="68"/>
      <c r="M27" s="68"/>
      <c r="N27" s="68"/>
      <c r="O27" s="68"/>
      <c r="Q27">
        <f t="shared" si="45"/>
        <v>1</v>
      </c>
      <c r="R27">
        <f t="shared" si="0"/>
        <v>111722</v>
      </c>
      <c r="S27">
        <f t="shared" si="1"/>
        <v>51389.19</v>
      </c>
      <c r="T27" t="str">
        <f t="shared" si="2"/>
        <v>95</v>
      </c>
      <c r="U27">
        <f t="shared" si="3"/>
        <v>1</v>
      </c>
      <c r="V27">
        <f t="shared" si="46"/>
        <v>1</v>
      </c>
      <c r="W27">
        <f t="shared" si="4"/>
        <v>114832</v>
      </c>
      <c r="X27">
        <f t="shared" si="5"/>
        <v>51389.21</v>
      </c>
      <c r="Y27" t="str">
        <f t="shared" si="6"/>
        <v>96</v>
      </c>
      <c r="Z27">
        <f t="shared" si="7"/>
        <v>1</v>
      </c>
      <c r="AA27">
        <f t="shared" si="47"/>
        <v>1</v>
      </c>
      <c r="AB27">
        <f t="shared" si="8"/>
        <v>121927</v>
      </c>
      <c r="AC27">
        <f t="shared" si="9"/>
        <v>51388.6</v>
      </c>
      <c r="AD27" t="str">
        <f t="shared" si="10"/>
        <v>97</v>
      </c>
      <c r="AE27">
        <f t="shared" si="11"/>
        <v>1</v>
      </c>
      <c r="AF27">
        <f t="shared" si="48"/>
        <v>1</v>
      </c>
      <c r="AG27">
        <f t="shared" si="12"/>
        <v>123627</v>
      </c>
      <c r="AH27">
        <f t="shared" si="13"/>
        <v>51398.55</v>
      </c>
      <c r="AI27" t="str">
        <f t="shared" si="14"/>
        <v>63</v>
      </c>
      <c r="AJ27">
        <f t="shared" si="15"/>
        <v>1</v>
      </c>
      <c r="AK27">
        <f t="shared" si="49"/>
        <v>1</v>
      </c>
      <c r="AL27">
        <f t="shared" si="16"/>
        <v>130442</v>
      </c>
      <c r="AM27">
        <f t="shared" si="17"/>
        <v>51406.19</v>
      </c>
      <c r="AN27" t="str">
        <f t="shared" si="18"/>
        <v>95</v>
      </c>
      <c r="AO27">
        <f t="shared" si="19"/>
        <v>1</v>
      </c>
      <c r="CM27" t="s">
        <v>638</v>
      </c>
    </row>
    <row r="28" spans="1:99" x14ac:dyDescent="0.4">
      <c r="A28" t="str">
        <f>IF($CM$6=0,"",IF(INDEX('⑩ 원문 보관'!$A:$E,$CM$6+ROW()-9,COLUMN())="","",INDEX('⑩ 원문 보관'!$A:$E,$CM$6+ROW()-9,COLUMN())))</f>
        <v xml:space="preserve">111727.0  51389.41 95 </v>
      </c>
      <c r="B28" t="str">
        <f>IF($CM$6=0,"",IF(INDEX('⑩ 원문 보관'!$A:$E,$CM$6+ROW()-9,COLUMN())="","",INDEX('⑩ 원문 보관'!$A:$E,$CM$6+ROW()-9,COLUMN())))</f>
        <v xml:space="preserve">114837.0  51389.03 96 </v>
      </c>
      <c r="C28" t="str">
        <f>IF($CM$6=0,"",IF(INDEX('⑩ 원문 보관'!$A:$E,$CM$6+ROW()-9,COLUMN())="","",INDEX('⑩ 원문 보관'!$A:$E,$CM$6+ROW()-9,COLUMN())))</f>
        <v xml:space="preserve">121932.0  51388.69 97 </v>
      </c>
      <c r="D28" t="str">
        <f>IF($CM$6=0,"",IF(INDEX('⑩ 원문 보관'!$A:$E,$CM$6+ROW()-9,COLUMN())="","",INDEX('⑩ 원문 보관'!$A:$E,$CM$6+ROW()-9,COLUMN())))</f>
        <v xml:space="preserve">123632.0  51398.26 53 </v>
      </c>
      <c r="E28" t="str">
        <f>IF($CM$6=0,"",IF(INDEX('⑩ 원문 보관'!$A:$E,$CM$6+ROW()-9,COLUMN())="","",INDEX('⑩ 원문 보관'!$A:$E,$CM$6+ROW()-9,COLUMN())))</f>
        <v xml:space="preserve">130447.0  51406.21 95 </v>
      </c>
      <c r="G28" s="74" t="s">
        <v>639</v>
      </c>
      <c r="H28" s="68"/>
      <c r="I28" s="68"/>
      <c r="J28" s="68"/>
      <c r="K28" s="68"/>
      <c r="L28" s="68"/>
      <c r="M28" s="68"/>
      <c r="N28" s="68"/>
      <c r="O28" s="68"/>
      <c r="Q28">
        <f t="shared" si="45"/>
        <v>1</v>
      </c>
      <c r="R28">
        <f t="shared" si="0"/>
        <v>111727</v>
      </c>
      <c r="S28">
        <f t="shared" si="1"/>
        <v>51389.41</v>
      </c>
      <c r="T28" t="str">
        <f t="shared" si="2"/>
        <v>95</v>
      </c>
      <c r="U28">
        <f t="shared" si="3"/>
        <v>1</v>
      </c>
      <c r="V28">
        <f t="shared" si="46"/>
        <v>1</v>
      </c>
      <c r="W28">
        <f t="shared" si="4"/>
        <v>114837</v>
      </c>
      <c r="X28">
        <f t="shared" si="5"/>
        <v>51389.03</v>
      </c>
      <c r="Y28" t="str">
        <f t="shared" si="6"/>
        <v>96</v>
      </c>
      <c r="Z28">
        <f t="shared" si="7"/>
        <v>1</v>
      </c>
      <c r="AA28">
        <f t="shared" si="47"/>
        <v>1</v>
      </c>
      <c r="AB28">
        <f t="shared" si="8"/>
        <v>121932</v>
      </c>
      <c r="AC28">
        <f t="shared" si="9"/>
        <v>51388.69</v>
      </c>
      <c r="AD28" t="str">
        <f t="shared" si="10"/>
        <v>97</v>
      </c>
      <c r="AE28">
        <f t="shared" si="11"/>
        <v>1</v>
      </c>
      <c r="AF28">
        <f t="shared" si="48"/>
        <v>1</v>
      </c>
      <c r="AG28">
        <f t="shared" si="12"/>
        <v>123632</v>
      </c>
      <c r="AH28">
        <f t="shared" si="13"/>
        <v>51398.26</v>
      </c>
      <c r="AI28" t="str">
        <f t="shared" si="14"/>
        <v>53</v>
      </c>
      <c r="AJ28">
        <f t="shared" si="15"/>
        <v>1</v>
      </c>
      <c r="AK28">
        <f t="shared" si="49"/>
        <v>1</v>
      </c>
      <c r="AL28">
        <f t="shared" si="16"/>
        <v>130447</v>
      </c>
      <c r="AM28">
        <f t="shared" si="17"/>
        <v>51406.21</v>
      </c>
      <c r="AN28" t="str">
        <f t="shared" si="18"/>
        <v>95</v>
      </c>
      <c r="AO28">
        <f t="shared" si="19"/>
        <v>1</v>
      </c>
      <c r="CM28" t="s">
        <v>640</v>
      </c>
    </row>
    <row r="29" spans="1:99" x14ac:dyDescent="0.4">
      <c r="A29" t="str">
        <f>IF($CM$6=0,"",IF(INDEX('⑩ 원문 보관'!$A:$E,$CM$6+ROW()-9,COLUMN())="","",INDEX('⑩ 원문 보관'!$A:$E,$CM$6+ROW()-9,COLUMN())))</f>
        <v xml:space="preserve">111732.0  51389.24 96 </v>
      </c>
      <c r="B29" t="str">
        <f>IF($CM$6=0,"",IF(INDEX('⑩ 원문 보관'!$A:$E,$CM$6+ROW()-9,COLUMN())="","",INDEX('⑩ 원문 보관'!$A:$E,$CM$6+ROW()-9,COLUMN())))</f>
        <v xml:space="preserve">114842.0  51389.10 96 </v>
      </c>
      <c r="C29" t="str">
        <f>IF($CM$6=0,"",IF(INDEX('⑩ 원문 보관'!$A:$E,$CM$6+ROW()-9,COLUMN())="","",INDEX('⑩ 원문 보관'!$A:$E,$CM$6+ROW()-9,COLUMN())))</f>
        <v xml:space="preserve">121937.0  51388.53 97 </v>
      </c>
      <c r="D29" t="str">
        <f>IF($CM$6=0,"",IF(INDEX('⑩ 원문 보관'!$A:$E,$CM$6+ROW()-9,COLUMN())="","",INDEX('⑩ 원문 보관'!$A:$E,$CM$6+ROW()-9,COLUMN())))</f>
        <v xml:space="preserve">123637.0  51399.30 44 </v>
      </c>
      <c r="E29" t="str">
        <f>IF($CM$6=0,"",IF(INDEX('⑩ 원문 보관'!$A:$E,$CM$6+ROW()-9,COLUMN())="","",INDEX('⑩ 원문 보관'!$A:$E,$CM$6+ROW()-9,COLUMN())))</f>
        <v xml:space="preserve">130452.0  51406.07 95 </v>
      </c>
      <c r="G29" s="53" t="s">
        <v>287</v>
      </c>
      <c r="H29" s="53" t="s">
        <v>641</v>
      </c>
      <c r="I29" s="53" t="s">
        <v>1995</v>
      </c>
      <c r="J29" s="53" t="s">
        <v>1996</v>
      </c>
      <c r="K29" s="53" t="s">
        <v>642</v>
      </c>
      <c r="L29" s="53" t="s">
        <v>288</v>
      </c>
      <c r="M29" s="75" t="s">
        <v>643</v>
      </c>
      <c r="N29" s="76"/>
      <c r="O29" s="53" t="s">
        <v>644</v>
      </c>
      <c r="Q29">
        <f t="shared" si="45"/>
        <v>1</v>
      </c>
      <c r="R29">
        <f t="shared" si="0"/>
        <v>111732</v>
      </c>
      <c r="S29">
        <f t="shared" si="1"/>
        <v>51389.24</v>
      </c>
      <c r="T29" t="str">
        <f t="shared" si="2"/>
        <v>96</v>
      </c>
      <c r="U29">
        <f t="shared" si="3"/>
        <v>1</v>
      </c>
      <c r="V29">
        <f t="shared" si="46"/>
        <v>1</v>
      </c>
      <c r="W29">
        <f t="shared" si="4"/>
        <v>114842</v>
      </c>
      <c r="X29">
        <f t="shared" si="5"/>
        <v>51389.1</v>
      </c>
      <c r="Y29" t="str">
        <f t="shared" si="6"/>
        <v>96</v>
      </c>
      <c r="Z29">
        <f t="shared" si="7"/>
        <v>1</v>
      </c>
      <c r="AA29">
        <f t="shared" si="47"/>
        <v>1</v>
      </c>
      <c r="AB29">
        <f t="shared" si="8"/>
        <v>121937</v>
      </c>
      <c r="AC29">
        <f t="shared" si="9"/>
        <v>51388.53</v>
      </c>
      <c r="AD29" t="str">
        <f t="shared" si="10"/>
        <v>97</v>
      </c>
      <c r="AE29">
        <f t="shared" si="11"/>
        <v>1</v>
      </c>
      <c r="AF29">
        <f t="shared" si="48"/>
        <v>1</v>
      </c>
      <c r="AG29">
        <f t="shared" si="12"/>
        <v>123637</v>
      </c>
      <c r="AH29">
        <f t="shared" si="13"/>
        <v>51399.3</v>
      </c>
      <c r="AI29" t="str">
        <f t="shared" si="14"/>
        <v>44</v>
      </c>
      <c r="AJ29">
        <f t="shared" si="15"/>
        <v>1</v>
      </c>
      <c r="AK29">
        <f t="shared" si="49"/>
        <v>1</v>
      </c>
      <c r="AL29">
        <f t="shared" si="16"/>
        <v>130452</v>
      </c>
      <c r="AM29">
        <f t="shared" si="17"/>
        <v>51406.07</v>
      </c>
      <c r="AN29" t="str">
        <f t="shared" si="18"/>
        <v>95</v>
      </c>
      <c r="AO29">
        <f t="shared" si="19"/>
        <v>1</v>
      </c>
      <c r="CM29" t="s">
        <v>645</v>
      </c>
    </row>
    <row r="30" spans="1:99" ht="19.05" customHeight="1" x14ac:dyDescent="0.4">
      <c r="A30" t="str">
        <f>IF($CM$6=0,"",IF(INDEX('⑩ 원문 보관'!$A:$E,$CM$6+ROW()-9,COLUMN())="","",INDEX('⑩ 원문 보관'!$A:$E,$CM$6+ROW()-9,COLUMN())))</f>
        <v xml:space="preserve">111737.0  51389.27 95 </v>
      </c>
      <c r="B30" t="str">
        <f>IF($CM$6=0,"",IF(INDEX('⑩ 원문 보관'!$A:$E,$CM$6+ROW()-9,COLUMN())="","",INDEX('⑩ 원문 보관'!$A:$E,$CM$6+ROW()-9,COLUMN())))</f>
        <v xml:space="preserve">114847.0  51389.00 96 </v>
      </c>
      <c r="C30" t="str">
        <f>IF($CM$6=0,"",IF(INDEX('⑩ 원문 보관'!$A:$E,$CM$6+ROW()-9,COLUMN())="","",INDEX('⑩ 원문 보관'!$A:$E,$CM$6+ROW()-9,COLUMN())))</f>
        <v xml:space="preserve">121942.0  51388.71 98 </v>
      </c>
      <c r="D30" t="str">
        <f>IF($CM$6=0,"",IF(INDEX('⑩ 원문 보관'!$A:$E,$CM$6+ROW()-9,COLUMN())="","",INDEX('⑩ 원문 보관'!$A:$E,$CM$6+ROW()-9,COLUMN())))</f>
        <v xml:space="preserve">123642.0  51399.20 53 </v>
      </c>
      <c r="E30" t="str">
        <f>IF($CM$6=0,"",IF(INDEX('⑩ 원문 보관'!$A:$E,$CM$6+ROW()-9,COLUMN())="","",INDEX('⑩ 원문 보관'!$A:$E,$CM$6+ROW()-9,COLUMN())))</f>
        <v xml:space="preserve">130457.0  51406.35 95 </v>
      </c>
      <c r="G30" s="57" t="s">
        <v>290</v>
      </c>
      <c r="H30" s="57" t="str">
        <f>IF(COUNT($AS$9:$AS$22)&lt;3,"",(COUNT($AS$9:$AS$22)-2)&amp;" m")</f>
        <v>6 m</v>
      </c>
      <c r="I30" s="58">
        <f>IF(COUNT($I$9,$I$20)&lt;2,"",$I$20-$I$9)</f>
        <v>-5.0100000000020373</v>
      </c>
      <c r="J30" s="58">
        <f>IF(COUNT($I$9:$I$19)&lt;2,"",MAX($I$9:$I$19)-MIN($I$9:$I$19))</f>
        <v>60.139999999999418</v>
      </c>
      <c r="K30" s="58">
        <f>IF(COUNT($CR$9:$CR$18)=0,"",MAX($CR$9:$CR$18))</f>
        <v>26.720000000001164</v>
      </c>
      <c r="L30" s="57" t="str">
        <f>IF(K30="","",INDEX($CQ$9:$CQ$18,MATCH(K30,$CR$9:$CR$18,0)))</f>
        <v>P0~1 m</v>
      </c>
      <c r="M30" s="79" t="str">
        <f>IF(COUNT($AS$9:$AS$22)=0,"",SUM($AV$9:$AV$22)&amp;" / "&amp;SUM($AX$9:$AX$22))</f>
        <v>245 / 10</v>
      </c>
      <c r="N30" s="79"/>
      <c r="O30" s="57" t="str">
        <f>IF(COUNTIFS($Q$9:$Q$708,0,$R$9:$R$708,"&gt;0")&gt;0,"첫 /time 이 없습니다 — 머리글째 다시",IF(COUNT($AS$9:$AS$22)=0,"원문을 붙여 넣어 주세요",IF(AND(COUNT($AS$9:$AS$22)&gt;1,MAX($AS$9:$AS$22)-MIN($AS$9:$AS$22)&gt;120000),"시각이 12시간 넘게 벌어짐 — 자정 확인",IF(COUNTIFS($AS$9:$AS$22,"&gt;=180000")+COUNTIFS($AS$9:$AS$22,"&gt;0",$AS$9:$AS$22,"&lt;60000")&gt;0,"야간 시각 "&amp;COUNTIFS($AS$9:$AS$22,"&gt;=180000")+COUNTIFS($AS$9:$AS$22,"&gt;0",$AS$9:$AS$22,"&lt;60000")&amp;"개 — 확인",IF(COUNT($AS$9:$AS$22)&gt;12,"블록 "&amp;COUNT($AS$9:$AS$22)&amp;"개 — 10 m 까지만 표시",IF(COUNT($AS$9:$AS$22)&lt;3,"블록이 "&amp;COUNT($AS$9:$AS$22)&amp;"개뿐 — P0 전·후가 다 있는지 보세요",IF(COUNTIFS($AV$9:$AV$22,"&gt;0",$AV$9:$AV$22,"&lt;10")&gt;0,COUNTIFS($AV$9:$AV$22,"&gt;0",$AV$9:$AV$22,"&lt;10")&amp;"개 지점 읽음 부족 — 확인",IF(SUMPRODUCT(($AX$9:$AX$22&lt;&gt;"")*($AV$9:$AV$22&gt;0)*($AX$9:$AX$22&gt;$AV$9:$AV$22))&gt;0,SUMPRODUCT(($AX$9:$AX$22&lt;&gt;"")*($AV$9:$AV$22&gt;0)*($AX$9:$AX$22&gt;$AV$9:$AV$22))&amp;"개 지점 제외 과다 — 확인","정상"))))))))</f>
        <v>정상</v>
      </c>
      <c r="Q30">
        <f t="shared" si="45"/>
        <v>1</v>
      </c>
      <c r="R30">
        <f t="shared" si="0"/>
        <v>111737</v>
      </c>
      <c r="S30">
        <f t="shared" si="1"/>
        <v>51389.27</v>
      </c>
      <c r="T30" t="str">
        <f t="shared" si="2"/>
        <v>95</v>
      </c>
      <c r="U30">
        <f t="shared" si="3"/>
        <v>1</v>
      </c>
      <c r="V30">
        <f t="shared" si="46"/>
        <v>1</v>
      </c>
      <c r="W30">
        <f t="shared" si="4"/>
        <v>114847</v>
      </c>
      <c r="X30">
        <f t="shared" si="5"/>
        <v>51389</v>
      </c>
      <c r="Y30" t="str">
        <f t="shared" si="6"/>
        <v>96</v>
      </c>
      <c r="Z30">
        <f t="shared" si="7"/>
        <v>1</v>
      </c>
      <c r="AA30">
        <f t="shared" si="47"/>
        <v>1</v>
      </c>
      <c r="AB30">
        <f t="shared" si="8"/>
        <v>121942</v>
      </c>
      <c r="AC30">
        <f t="shared" si="9"/>
        <v>51388.71</v>
      </c>
      <c r="AD30" t="str">
        <f t="shared" si="10"/>
        <v>98</v>
      </c>
      <c r="AE30">
        <f t="shared" si="11"/>
        <v>1</v>
      </c>
      <c r="AF30">
        <f t="shared" si="48"/>
        <v>1</v>
      </c>
      <c r="AG30">
        <f t="shared" si="12"/>
        <v>123642</v>
      </c>
      <c r="AH30">
        <f t="shared" si="13"/>
        <v>51399.199999999997</v>
      </c>
      <c r="AI30" t="str">
        <f t="shared" si="14"/>
        <v>53</v>
      </c>
      <c r="AJ30">
        <f t="shared" si="15"/>
        <v>1</v>
      </c>
      <c r="AK30">
        <f t="shared" si="49"/>
        <v>1</v>
      </c>
      <c r="AL30">
        <f t="shared" si="16"/>
        <v>130457</v>
      </c>
      <c r="AM30">
        <f t="shared" si="17"/>
        <v>51406.35</v>
      </c>
      <c r="AN30" t="str">
        <f t="shared" si="18"/>
        <v>95</v>
      </c>
      <c r="AO30">
        <f t="shared" si="19"/>
        <v>1</v>
      </c>
      <c r="CM30" t="s">
        <v>646</v>
      </c>
    </row>
    <row r="31" spans="1:99" ht="19.05" customHeight="1" x14ac:dyDescent="0.4">
      <c r="A31" t="str">
        <f>IF($CM$6=0,"",IF(INDEX('⑩ 원문 보관'!$A:$E,$CM$6+ROW()-9,COLUMN())="","",INDEX('⑩ 원문 보관'!$A:$E,$CM$6+ROW()-9,COLUMN())))</f>
        <v xml:space="preserve">111742.0  51389.19 96 </v>
      </c>
      <c r="B31" t="str">
        <f>IF($CM$6=0,"",IF(INDEX('⑩ 원문 보관'!$A:$E,$CM$6+ROW()-9,COLUMN())="","",INDEX('⑩ 원문 보관'!$A:$E,$CM$6+ROW()-9,COLUMN())))</f>
        <v xml:space="preserve">114852.0  51388.93 96 </v>
      </c>
      <c r="C31" t="str">
        <f>IF($CM$6=0,"",IF(INDEX('⑩ 원문 보관'!$A:$E,$CM$6+ROW()-9,COLUMN())="","",INDEX('⑩ 원문 보관'!$A:$E,$CM$6+ROW()-9,COLUMN())))</f>
        <v xml:space="preserve">121947.0  51388.67 97 </v>
      </c>
      <c r="D31" t="str">
        <f>IF($CM$6=0,"",IF(INDEX('⑩ 원문 보관'!$A:$E,$CM$6+ROW()-9,COLUMN())="","",INDEX('⑩ 원문 보관'!$A:$E,$CM$6+ROW()-9,COLUMN())))</f>
        <v xml:space="preserve">123647.0  51397.97 53 </v>
      </c>
      <c r="E31" t="str">
        <f>IF($CM$6=0,"",IF(INDEX('⑩ 원문 보관'!$A:$E,$CM$6+ROW()-9,COLUMN())="","",INDEX('⑩ 원문 보관'!$A:$E,$CM$6+ROW()-9,COLUMN())))</f>
        <v xml:space="preserve">130502.0  51406.19 94 </v>
      </c>
      <c r="G31" s="57" t="s">
        <v>291</v>
      </c>
      <c r="H31" s="57" t="str">
        <f>IF(COUNT($BB$9:$BB$22)&lt;3,"",(COUNT($BB$9:$BB$22)-2)&amp;" m")</f>
        <v>10 m</v>
      </c>
      <c r="I31" s="58">
        <f>IF(COUNT($K$9,$K$20)&lt;2,"",$K$20-$K$9)</f>
        <v>-20.639999999999418</v>
      </c>
      <c r="J31" s="58">
        <f>IF(COUNT($K$9:$K$19)&lt;2,"",MAX($K$9:$K$19)-MIN($K$9:$K$19))</f>
        <v>1010.2800000000061</v>
      </c>
      <c r="K31" s="58">
        <f>IF(COUNT($CS$9:$CS$18)=0,"",MAX($CS$9:$CS$18))</f>
        <v>387.76000000000204</v>
      </c>
      <c r="L31" s="57" t="str">
        <f>IF(K31="","",INDEX($CQ$9:$CQ$18,MATCH(K31,$CS$9:$CS$18,0)))</f>
        <v>7~8 m</v>
      </c>
      <c r="M31" s="79" t="str">
        <f>IF(COUNT($BB$9:$BB$22)=0,"",SUM($BE$9:$BE$22)&amp;" / "&amp;SUM($BG$9:$BG$22))</f>
        <v>332 / 14</v>
      </c>
      <c r="N31" s="79"/>
      <c r="O31" s="57" t="str">
        <f>IF(COUNTIFS($V$9:$V$708,0,$W$9:$W$708,"&gt;0")&gt;0,"첫 /time 이 없습니다 — 머리글째 다시",IF(COUNT($BB$9:$BB$22)=0,"원문을 붙여 넣어 주세요",IF(AND(COUNT($BB$9:$BB$22)&gt;1,MAX($BB$9:$BB$22)-MIN($BB$9:$BB$22)&gt;120000),"시각이 12시간 넘게 벌어짐 — 자정 확인",IF(COUNTIFS($BB$9:$BB$22,"&gt;=180000")+COUNTIFS($BB$9:$BB$22,"&gt;0",$BB$9:$BB$22,"&lt;60000")&gt;0,"야간 시각 "&amp;COUNTIFS($BB$9:$BB$22,"&gt;=180000")+COUNTIFS($BB$9:$BB$22,"&gt;0",$BB$9:$BB$22,"&lt;60000")&amp;"개 — 확인",IF(COUNT($BB$9:$BB$22)&gt;12,"블록 "&amp;COUNT($BB$9:$BB$22)&amp;"개 — 10 m 까지만 표시",IF(COUNT($BB$9:$BB$22)&lt;3,"블록이 "&amp;COUNT($BB$9:$BB$22)&amp;"개뿐 — P0 전·후가 다 있는지 보세요",IF(COUNTIFS($BE$9:$BE$22,"&gt;0",$BE$9:$BE$22,"&lt;10")&gt;0,COUNTIFS($BE$9:$BE$22,"&gt;0",$BE$9:$BE$22,"&lt;10")&amp;"개 지점 읽음 부족 — 확인",IF(SUMPRODUCT(($BG$9:$BG$22&lt;&gt;"")*($BE$9:$BE$22&gt;0)*($BG$9:$BG$22&gt;$BE$9:$BE$22))&gt;0,SUMPRODUCT(($BG$9:$BG$22&lt;&gt;"")*($BE$9:$BE$22&gt;0)*($BG$9:$BG$22&gt;$BE$9:$BE$22))&amp;"개 지점 제외 과다 — 확인","정상"))))))))</f>
        <v>정상</v>
      </c>
      <c r="Q31">
        <f t="shared" si="45"/>
        <v>1</v>
      </c>
      <c r="R31">
        <f t="shared" si="0"/>
        <v>111742</v>
      </c>
      <c r="S31">
        <f t="shared" si="1"/>
        <v>51389.19</v>
      </c>
      <c r="T31" t="str">
        <f t="shared" si="2"/>
        <v>96</v>
      </c>
      <c r="U31">
        <f t="shared" si="3"/>
        <v>1</v>
      </c>
      <c r="V31">
        <f t="shared" si="46"/>
        <v>1</v>
      </c>
      <c r="W31">
        <f t="shared" si="4"/>
        <v>114852</v>
      </c>
      <c r="X31">
        <f t="shared" si="5"/>
        <v>51388.93</v>
      </c>
      <c r="Y31" t="str">
        <f t="shared" si="6"/>
        <v>96</v>
      </c>
      <c r="Z31">
        <f t="shared" si="7"/>
        <v>1</v>
      </c>
      <c r="AA31">
        <f t="shared" si="47"/>
        <v>1</v>
      </c>
      <c r="AB31">
        <f t="shared" si="8"/>
        <v>121947</v>
      </c>
      <c r="AC31">
        <f t="shared" si="9"/>
        <v>51388.67</v>
      </c>
      <c r="AD31" t="str">
        <f t="shared" si="10"/>
        <v>97</v>
      </c>
      <c r="AE31">
        <f t="shared" si="11"/>
        <v>1</v>
      </c>
      <c r="AF31">
        <f t="shared" si="48"/>
        <v>1</v>
      </c>
      <c r="AG31">
        <f t="shared" si="12"/>
        <v>123647</v>
      </c>
      <c r="AH31">
        <f t="shared" si="13"/>
        <v>51397.97</v>
      </c>
      <c r="AI31" t="str">
        <f t="shared" si="14"/>
        <v>53</v>
      </c>
      <c r="AJ31">
        <f t="shared" si="15"/>
        <v>1</v>
      </c>
      <c r="AK31">
        <f t="shared" si="49"/>
        <v>1</v>
      </c>
      <c r="AL31">
        <f t="shared" si="16"/>
        <v>130502</v>
      </c>
      <c r="AM31">
        <f t="shared" si="17"/>
        <v>51406.19</v>
      </c>
      <c r="AN31" t="str">
        <f t="shared" si="18"/>
        <v>94</v>
      </c>
      <c r="AO31">
        <f t="shared" si="19"/>
        <v>1</v>
      </c>
      <c r="CM31" t="s">
        <v>647</v>
      </c>
    </row>
    <row r="32" spans="1:99" ht="19.05" customHeight="1" x14ac:dyDescent="0.4">
      <c r="A32" t="str">
        <f>IF($CM$6=0,"",IF(INDEX('⑩ 원문 보관'!$A:$E,$CM$6+ROW()-9,COLUMN())="","",INDEX('⑩ 원문 보관'!$A:$E,$CM$6+ROW()-9,COLUMN())))</f>
        <v xml:space="preserve">111747.0  51389.23 96 </v>
      </c>
      <c r="B32" t="str">
        <f>IF($CM$6=0,"",IF(INDEX('⑩ 원문 보관'!$A:$E,$CM$6+ROW()-9,COLUMN())="","",INDEX('⑩ 원문 보관'!$A:$E,$CM$6+ROW()-9,COLUMN())))</f>
        <v xml:space="preserve">114857.0  51388.96 96 </v>
      </c>
      <c r="C32" t="str">
        <f>IF($CM$6=0,"",IF(INDEX('⑩ 원문 보관'!$A:$E,$CM$6+ROW()-9,COLUMN())="","",INDEX('⑩ 원문 보관'!$A:$E,$CM$6+ROW()-9,COLUMN())))</f>
        <v xml:space="preserve">121952.0  51388.65 97 </v>
      </c>
      <c r="D32" t="str">
        <f>IF($CM$6=0,"",IF(INDEX('⑩ 원문 보관'!$A:$E,$CM$6+ROW()-9,COLUMN())="","",INDEX('⑩ 원문 보관'!$A:$E,$CM$6+ROW()-9,COLUMN())))</f>
        <v xml:space="preserve">123652.0  51398.83 54 </v>
      </c>
      <c r="E32" t="str">
        <f>IF($CM$6=0,"",IF(INDEX('⑩ 원문 보관'!$A:$E,$CM$6+ROW()-9,COLUMN())="","",INDEX('⑩ 원문 보관'!$A:$E,$CM$6+ROW()-9,COLUMN())))</f>
        <v xml:space="preserve">130507.0  51406.37 95 </v>
      </c>
      <c r="G32" s="57" t="s">
        <v>292</v>
      </c>
      <c r="H32" s="57" t="str">
        <f>IF(COUNT($BK$9:$BK$22)&lt;3,"",(COUNT($BK$9:$BK$22)-2)&amp;" m")</f>
        <v>4 m</v>
      </c>
      <c r="I32" s="58">
        <f>IF(COUNT($M$9,$M$20)&lt;2,"",$M$20-$M$9)</f>
        <v>9.2199999999938882</v>
      </c>
      <c r="J32" s="58">
        <f>IF(COUNT($M$9:$M$19)&lt;2,"",MAX($M$9:$M$19)-MIN($M$9:$M$19))</f>
        <v>57.980000000003201</v>
      </c>
      <c r="K32" s="58">
        <f>IF(COUNT($CT$9:$CT$18)=0,"",MAX($CT$9:$CT$18))</f>
        <v>20.090000000003783</v>
      </c>
      <c r="L32" s="57" t="str">
        <f>IF(K32="","",INDEX($CQ$9:$CQ$18,MATCH(K32,$CT$9:$CT$18,0)))</f>
        <v>P0~1 m</v>
      </c>
      <c r="M32" s="79" t="str">
        <f>IF(COUNT($BK$9:$BK$22)=0,"",SUM($BN$9:$BN$22)&amp;" / "&amp;SUM($BP$9:$BP$22))</f>
        <v>163 / 0</v>
      </c>
      <c r="N32" s="79"/>
      <c r="O32" s="57" t="str">
        <f>IF(COUNTIFS($AA$9:$AA$708,0,$AB$9:$AB$708,"&gt;0")&gt;0,"첫 /time 이 없습니다 — 머리글째 다시",IF(COUNT($BK$9:$BK$22)=0,"원문을 붙여 넣어 주세요",IF(AND(COUNT($BK$9:$BK$22)&gt;1,MAX($BK$9:$BK$22)-MIN($BK$9:$BK$22)&gt;120000),"시각이 12시간 넘게 벌어짐 — 자정 확인",IF(COUNTIFS($BK$9:$BK$22,"&gt;=180000")+COUNTIFS($BK$9:$BK$22,"&gt;0",$BK$9:$BK$22,"&lt;60000")&gt;0,"야간 시각 "&amp;COUNTIFS($BK$9:$BK$22,"&gt;=180000")+COUNTIFS($BK$9:$BK$22,"&gt;0",$BK$9:$BK$22,"&lt;60000")&amp;"개 — 확인",IF(COUNT($BK$9:$BK$22)&gt;12,"블록 "&amp;COUNT($BK$9:$BK$22)&amp;"개 — 10 m 까지만 표시",IF(COUNT($BK$9:$BK$22)&lt;3,"블록이 "&amp;COUNT($BK$9:$BK$22)&amp;"개뿐 — P0 전·후가 다 있는지 보세요",IF(COUNTIFS($BN$9:$BN$22,"&gt;0",$BN$9:$BN$22,"&lt;10")&gt;0,COUNTIFS($BN$9:$BN$22,"&gt;0",$BN$9:$BN$22,"&lt;10")&amp;"개 지점 읽음 부족 — 확인",IF(SUMPRODUCT(($BP$9:$BP$22&lt;&gt;"")*($BN$9:$BN$22&gt;0)*($BP$9:$BP$22&gt;$BN$9:$BN$22))&gt;0,SUMPRODUCT(($BP$9:$BP$22&lt;&gt;"")*($BN$9:$BN$22&gt;0)*($BP$9:$BP$22&gt;$BN$9:$BN$22))&amp;"개 지점 제외 과다 — 확인","정상"))))))))</f>
        <v>정상</v>
      </c>
      <c r="Q32">
        <f t="shared" si="45"/>
        <v>1</v>
      </c>
      <c r="R32">
        <f t="shared" si="0"/>
        <v>111747</v>
      </c>
      <c r="S32">
        <f t="shared" si="1"/>
        <v>51389.23</v>
      </c>
      <c r="T32" t="str">
        <f t="shared" si="2"/>
        <v>96</v>
      </c>
      <c r="U32">
        <f t="shared" si="3"/>
        <v>1</v>
      </c>
      <c r="V32">
        <f t="shared" si="46"/>
        <v>1</v>
      </c>
      <c r="W32">
        <f t="shared" si="4"/>
        <v>114857</v>
      </c>
      <c r="X32">
        <f t="shared" si="5"/>
        <v>51388.959999999999</v>
      </c>
      <c r="Y32" t="str">
        <f t="shared" si="6"/>
        <v>96</v>
      </c>
      <c r="Z32">
        <f t="shared" si="7"/>
        <v>1</v>
      </c>
      <c r="AA32">
        <f t="shared" si="47"/>
        <v>1</v>
      </c>
      <c r="AB32">
        <f t="shared" si="8"/>
        <v>121952</v>
      </c>
      <c r="AC32">
        <f t="shared" si="9"/>
        <v>51388.65</v>
      </c>
      <c r="AD32" t="str">
        <f t="shared" si="10"/>
        <v>97</v>
      </c>
      <c r="AE32">
        <f t="shared" si="11"/>
        <v>1</v>
      </c>
      <c r="AF32">
        <f t="shared" si="48"/>
        <v>1</v>
      </c>
      <c r="AG32">
        <f t="shared" si="12"/>
        <v>123652</v>
      </c>
      <c r="AH32">
        <f t="shared" si="13"/>
        <v>51398.83</v>
      </c>
      <c r="AI32" t="str">
        <f t="shared" si="14"/>
        <v>54</v>
      </c>
      <c r="AJ32">
        <f t="shared" si="15"/>
        <v>1</v>
      </c>
      <c r="AK32">
        <f t="shared" si="49"/>
        <v>1</v>
      </c>
      <c r="AL32">
        <f t="shared" si="16"/>
        <v>130507</v>
      </c>
      <c r="AM32">
        <f t="shared" si="17"/>
        <v>51406.37</v>
      </c>
      <c r="AN32" t="str">
        <f t="shared" si="18"/>
        <v>95</v>
      </c>
      <c r="AO32">
        <f t="shared" si="19"/>
        <v>1</v>
      </c>
      <c r="CM32" t="s">
        <v>648</v>
      </c>
    </row>
    <row r="33" spans="1:91" ht="19.05" customHeight="1" x14ac:dyDescent="0.4">
      <c r="A33" t="str">
        <f>IF($CM$6=0,"",IF(INDEX('⑩ 원문 보관'!$A:$E,$CM$6+ROW()-9,COLUMN())="","",INDEX('⑩ 원문 보관'!$A:$E,$CM$6+ROW()-9,COLUMN())))</f>
        <v xml:space="preserve">111752.0  51389.43 96 </v>
      </c>
      <c r="B33" t="str">
        <f>IF($CM$6=0,"",IF(INDEX('⑩ 원문 보관'!$A:$E,$CM$6+ROW()-9,COLUMN())="","",INDEX('⑩ 원문 보관'!$A:$E,$CM$6+ROW()-9,COLUMN())))</f>
        <v xml:space="preserve">114902.0  51388.92 96 </v>
      </c>
      <c r="C33" t="str">
        <f>IF($CM$6=0,"",IF(INDEX('⑩ 원문 보관'!$A:$E,$CM$6+ROW()-9,COLUMN())="","",INDEX('⑩ 원문 보관'!$A:$E,$CM$6+ROW()-9,COLUMN())))</f>
        <v xml:space="preserve">121957.0  51388.68 97 </v>
      </c>
      <c r="D33" t="str">
        <f>IF($CM$6=0,"",IF(INDEX('⑩ 원문 보관'!$A:$E,$CM$6+ROW()-9,COLUMN())="","",INDEX('⑩ 원문 보관'!$A:$E,$CM$6+ROW()-9,COLUMN())))</f>
        <v xml:space="preserve">123657.0  51399.23 43 </v>
      </c>
      <c r="E33" t="str">
        <f>IF($CM$6=0,"",IF(INDEX('⑩ 원문 보관'!$A:$E,$CM$6+ROW()-9,COLUMN())="","",INDEX('⑩ 원문 보관'!$A:$E,$CM$6+ROW()-9,COLUMN())))</f>
        <v xml:space="preserve">130512.0  51406.21 95 </v>
      </c>
      <c r="G33" s="57" t="s">
        <v>293</v>
      </c>
      <c r="H33" s="57" t="str">
        <f>IF(COUNT($BT$9:$BT$22)&lt;3,"",(COUNT($BT$9:$BT$22)-2)&amp;" m")</f>
        <v>8 m</v>
      </c>
      <c r="I33" s="58">
        <f>IF(COUNT($O$9,$O$20)&lt;2,"",$O$20-$O$9)</f>
        <v>-0.62999999999738066</v>
      </c>
      <c r="J33" s="58">
        <f>IF(COUNT($O$9:$O$19)&lt;2,"",MAX($O$9:$O$19)-MIN($O$9:$O$19))</f>
        <v>1130.5599999999977</v>
      </c>
      <c r="K33" s="58">
        <f>IF(COUNT($CU$9:$CU$18)=0,"",MAX($CU$9:$CU$18))</f>
        <v>867.30999999999767</v>
      </c>
      <c r="L33" s="57" t="str">
        <f>IF(K33="","",INDEX($CQ$9:$CQ$18,MATCH(K33,$CU$9:$CU$18,0)))</f>
        <v>7~8 m</v>
      </c>
      <c r="M33" s="79" t="str">
        <f>IF(COUNT($BT$9:$BT$22)=0,"",SUM($BW$9:$BW$22)&amp;" / "&amp;SUM($BY$9:$BY$22))</f>
        <v>258 / 16</v>
      </c>
      <c r="N33" s="79"/>
      <c r="O33" s="57" t="str">
        <f>IF(COUNTIFS($AF$9:$AF$708,0,$AG$9:$AG$708,"&gt;0")&gt;0,"첫 /time 이 없습니다 — 머리글째 다시",IF(COUNT($BT$9:$BT$22)=0,"원문을 붙여 넣어 주세요",IF(AND(COUNT($BT$9:$BT$22)&gt;1,MAX($BT$9:$BT$22)-MIN($BT$9:$BT$22)&gt;120000),"시각이 12시간 넘게 벌어짐 — 자정 확인",IF(COUNTIFS($BT$9:$BT$22,"&gt;=180000")+COUNTIFS($BT$9:$BT$22,"&gt;0",$BT$9:$BT$22,"&lt;60000")&gt;0,"야간 시각 "&amp;COUNTIFS($BT$9:$BT$22,"&gt;=180000")+COUNTIFS($BT$9:$BT$22,"&gt;0",$BT$9:$BT$22,"&lt;60000")&amp;"개 — 확인",IF(COUNT($BT$9:$BT$22)&gt;12,"블록 "&amp;COUNT($BT$9:$BT$22)&amp;"개 — 10 m 까지만 표시",IF(COUNT($BT$9:$BT$22)&lt;3,"블록이 "&amp;COUNT($BT$9:$BT$22)&amp;"개뿐 — P0 전·후가 다 있는지 보세요",IF(COUNTIFS($BW$9:$BW$22,"&gt;0",$BW$9:$BW$22,"&lt;10")&gt;0,COUNTIFS($BW$9:$BW$22,"&gt;0",$BW$9:$BW$22,"&lt;10")&amp;"개 지점 읽음 부족 — 확인",IF(SUMPRODUCT(($BY$9:$BY$22&lt;&gt;"")*($BW$9:$BW$22&gt;0)*($BY$9:$BY$22&gt;$BW$9:$BW$22))&gt;0,SUMPRODUCT(($BY$9:$BY$22&lt;&gt;"")*($BW$9:$BW$22&gt;0)*($BY$9:$BY$22&gt;$BW$9:$BW$22))&amp;"개 지점 제외 과다 — 확인","정상"))))))))</f>
        <v>정상</v>
      </c>
      <c r="Q33">
        <f t="shared" si="45"/>
        <v>1</v>
      </c>
      <c r="R33">
        <f t="shared" si="0"/>
        <v>111752</v>
      </c>
      <c r="S33">
        <f t="shared" si="1"/>
        <v>51389.43</v>
      </c>
      <c r="T33" t="str">
        <f t="shared" si="2"/>
        <v>96</v>
      </c>
      <c r="U33">
        <f t="shared" si="3"/>
        <v>1</v>
      </c>
      <c r="V33">
        <f t="shared" si="46"/>
        <v>1</v>
      </c>
      <c r="W33">
        <f t="shared" si="4"/>
        <v>114902</v>
      </c>
      <c r="X33">
        <f t="shared" si="5"/>
        <v>51388.92</v>
      </c>
      <c r="Y33" t="str">
        <f t="shared" si="6"/>
        <v>96</v>
      </c>
      <c r="Z33">
        <f t="shared" si="7"/>
        <v>1</v>
      </c>
      <c r="AA33">
        <f t="shared" si="47"/>
        <v>1</v>
      </c>
      <c r="AB33">
        <f t="shared" si="8"/>
        <v>121957</v>
      </c>
      <c r="AC33">
        <f t="shared" si="9"/>
        <v>51388.68</v>
      </c>
      <c r="AD33" t="str">
        <f t="shared" si="10"/>
        <v>97</v>
      </c>
      <c r="AE33">
        <f t="shared" si="11"/>
        <v>1</v>
      </c>
      <c r="AF33">
        <f t="shared" si="48"/>
        <v>1</v>
      </c>
      <c r="AG33">
        <f t="shared" si="12"/>
        <v>123657</v>
      </c>
      <c r="AH33">
        <f t="shared" si="13"/>
        <v>51399.23</v>
      </c>
      <c r="AI33" t="str">
        <f t="shared" si="14"/>
        <v>43</v>
      </c>
      <c r="AJ33">
        <f t="shared" si="15"/>
        <v>1</v>
      </c>
      <c r="AK33">
        <f t="shared" si="49"/>
        <v>1</v>
      </c>
      <c r="AL33">
        <f t="shared" si="16"/>
        <v>130512</v>
      </c>
      <c r="AM33">
        <f t="shared" si="17"/>
        <v>51406.21</v>
      </c>
      <c r="AN33" t="str">
        <f t="shared" si="18"/>
        <v>95</v>
      </c>
      <c r="AO33">
        <f t="shared" si="19"/>
        <v>1</v>
      </c>
      <c r="CM33" t="s">
        <v>649</v>
      </c>
    </row>
    <row r="34" spans="1:91" x14ac:dyDescent="0.4">
      <c r="A34" t="str">
        <f>IF($CM$6=0,"",IF(INDEX('⑩ 원문 보관'!$A:$E,$CM$6+ROW()-9,COLUMN())="","",INDEX('⑩ 원문 보관'!$A:$E,$CM$6+ROW()-9,COLUMN())))</f>
        <v xml:space="preserve">111757.0  51389.23 96 </v>
      </c>
      <c r="B34" t="str">
        <f>IF($CM$6=0,"",IF(INDEX('⑩ 원문 보관'!$A:$E,$CM$6+ROW()-9,COLUMN())="","",INDEX('⑩ 원문 보관'!$A:$E,$CM$6+ROW()-9,COLUMN())))</f>
        <v xml:space="preserve">114907.0  51388.96 97 </v>
      </c>
      <c r="C34" t="str">
        <f>IF($CM$6=0,"",IF(INDEX('⑩ 원문 보관'!$A:$E,$CM$6+ROW()-9,COLUMN())="","",INDEX('⑩ 원문 보관'!$A:$E,$CM$6+ROW()-9,COLUMN())))</f>
        <v xml:space="preserve">122002.0  51388.77 97 </v>
      </c>
      <c r="D34" t="str">
        <f>IF($CM$6=0,"",IF(INDEX('⑩ 원문 보관'!$A:$E,$CM$6+ROW()-9,COLUMN())="","",INDEX('⑩ 원문 보관'!$A:$E,$CM$6+ROW()-9,COLUMN())))</f>
        <v xml:space="preserve">123702.0  51398.82 73 </v>
      </c>
      <c r="E34" t="str">
        <f>IF($CM$6=0,"",IF(INDEX('⑩ 원문 보관'!$A:$E,$CM$6+ROW()-9,COLUMN())="","",INDEX('⑩ 원문 보관'!$A:$E,$CM$6+ROW()-9,COLUMN())))</f>
        <v xml:space="preserve">130517.0  51406.26 95 </v>
      </c>
      <c r="Q34">
        <f t="shared" si="45"/>
        <v>1</v>
      </c>
      <c r="R34">
        <f t="shared" si="0"/>
        <v>111757</v>
      </c>
      <c r="S34">
        <f t="shared" si="1"/>
        <v>51389.23</v>
      </c>
      <c r="T34" t="str">
        <f t="shared" si="2"/>
        <v>96</v>
      </c>
      <c r="U34">
        <f t="shared" si="3"/>
        <v>1</v>
      </c>
      <c r="V34">
        <f t="shared" si="46"/>
        <v>1</v>
      </c>
      <c r="W34">
        <f t="shared" si="4"/>
        <v>114907</v>
      </c>
      <c r="X34">
        <f t="shared" si="5"/>
        <v>51388.959999999999</v>
      </c>
      <c r="Y34" t="str">
        <f t="shared" si="6"/>
        <v>97</v>
      </c>
      <c r="Z34">
        <f t="shared" si="7"/>
        <v>1</v>
      </c>
      <c r="AA34">
        <f t="shared" si="47"/>
        <v>1</v>
      </c>
      <c r="AB34">
        <f t="shared" si="8"/>
        <v>122002</v>
      </c>
      <c r="AC34">
        <f t="shared" si="9"/>
        <v>51388.77</v>
      </c>
      <c r="AD34" t="str">
        <f t="shared" si="10"/>
        <v>97</v>
      </c>
      <c r="AE34">
        <f t="shared" si="11"/>
        <v>1</v>
      </c>
      <c r="AF34">
        <f t="shared" si="48"/>
        <v>1</v>
      </c>
      <c r="AG34">
        <f t="shared" si="12"/>
        <v>123702</v>
      </c>
      <c r="AH34">
        <f t="shared" si="13"/>
        <v>51398.82</v>
      </c>
      <c r="AI34" t="str">
        <f t="shared" si="14"/>
        <v>73</v>
      </c>
      <c r="AJ34">
        <f t="shared" si="15"/>
        <v>1</v>
      </c>
      <c r="AK34">
        <f t="shared" si="49"/>
        <v>1</v>
      </c>
      <c r="AL34">
        <f t="shared" si="16"/>
        <v>130517</v>
      </c>
      <c r="AM34">
        <f t="shared" si="17"/>
        <v>51406.26</v>
      </c>
      <c r="AN34" t="str">
        <f t="shared" si="18"/>
        <v>95</v>
      </c>
      <c r="AO34">
        <f t="shared" si="19"/>
        <v>1</v>
      </c>
      <c r="CM34" t="s">
        <v>650</v>
      </c>
    </row>
    <row r="35" spans="1:91" x14ac:dyDescent="0.4">
      <c r="A35" t="str">
        <f>IF($CM$6=0,"",IF(INDEX('⑩ 원문 보관'!$A:$E,$CM$6+ROW()-9,COLUMN())="","",INDEX('⑩ 원문 보관'!$A:$E,$CM$6+ROW()-9,COLUMN())))</f>
        <v xml:space="preserve">111802.0  51389.12 96 </v>
      </c>
      <c r="B35" t="str">
        <f>IF($CM$6=0,"",IF(INDEX('⑩ 원문 보관'!$A:$E,$CM$6+ROW()-9,COLUMN())="","",INDEX('⑩ 원문 보관'!$A:$E,$CM$6+ROW()-9,COLUMN())))</f>
        <v xml:space="preserve">114912.0  51388.77 96 </v>
      </c>
      <c r="C35" t="str">
        <f>IF($CM$6=0,"",IF(INDEX('⑩ 원문 보관'!$A:$E,$CM$6+ROW()-9,COLUMN())="","",INDEX('⑩ 원문 보관'!$A:$E,$CM$6+ROW()-9,COLUMN())))</f>
        <v xml:space="preserve">122007.0  51388.64 97 </v>
      </c>
      <c r="D35" t="str">
        <f>IF($CM$6=0,"",IF(INDEX('⑩ 원문 보관'!$A:$E,$CM$6+ROW()-9,COLUMN())="","",INDEX('⑩ 원문 보관'!$A:$E,$CM$6+ROW()-9,COLUMN())))</f>
        <v xml:space="preserve">123707.0  51398.25 63 </v>
      </c>
      <c r="E35" t="str">
        <f>IF($CM$6=0,"",IF(INDEX('⑩ 원문 보관'!$A:$E,$CM$6+ROW()-9,COLUMN())="","",INDEX('⑩ 원문 보관'!$A:$E,$CM$6+ROW()-9,COLUMN())))</f>
        <v xml:space="preserve">130522.0  51406.16 95 </v>
      </c>
      <c r="G35" s="81" t="s">
        <v>651</v>
      </c>
      <c r="H35" s="82"/>
      <c r="I35" s="82"/>
      <c r="J35" s="82"/>
      <c r="K35" s="82"/>
      <c r="L35" s="82"/>
      <c r="M35" s="82"/>
      <c r="N35" s="82"/>
      <c r="O35" s="82"/>
      <c r="Q35">
        <f t="shared" si="45"/>
        <v>1</v>
      </c>
      <c r="R35">
        <f t="shared" si="0"/>
        <v>111802</v>
      </c>
      <c r="S35">
        <f t="shared" si="1"/>
        <v>51389.120000000003</v>
      </c>
      <c r="T35" t="str">
        <f t="shared" si="2"/>
        <v>96</v>
      </c>
      <c r="U35">
        <f t="shared" si="3"/>
        <v>1</v>
      </c>
      <c r="V35">
        <f t="shared" si="46"/>
        <v>1</v>
      </c>
      <c r="W35">
        <f t="shared" si="4"/>
        <v>114912</v>
      </c>
      <c r="X35">
        <f t="shared" si="5"/>
        <v>51388.77</v>
      </c>
      <c r="Y35" t="str">
        <f t="shared" si="6"/>
        <v>96</v>
      </c>
      <c r="Z35">
        <f t="shared" si="7"/>
        <v>1</v>
      </c>
      <c r="AA35">
        <f t="shared" si="47"/>
        <v>1</v>
      </c>
      <c r="AB35">
        <f t="shared" si="8"/>
        <v>122007</v>
      </c>
      <c r="AC35">
        <f t="shared" si="9"/>
        <v>51388.639999999999</v>
      </c>
      <c r="AD35" t="str">
        <f t="shared" si="10"/>
        <v>97</v>
      </c>
      <c r="AE35">
        <f t="shared" si="11"/>
        <v>1</v>
      </c>
      <c r="AF35">
        <f t="shared" si="48"/>
        <v>1</v>
      </c>
      <c r="AG35">
        <f t="shared" si="12"/>
        <v>123707</v>
      </c>
      <c r="AH35">
        <f t="shared" si="13"/>
        <v>51398.25</v>
      </c>
      <c r="AI35" t="str">
        <f t="shared" si="14"/>
        <v>63</v>
      </c>
      <c r="AJ35">
        <f t="shared" si="15"/>
        <v>1</v>
      </c>
      <c r="AK35">
        <f t="shared" si="49"/>
        <v>1</v>
      </c>
      <c r="AL35">
        <f t="shared" si="16"/>
        <v>130522</v>
      </c>
      <c r="AM35">
        <f t="shared" si="17"/>
        <v>51406.16</v>
      </c>
      <c r="AN35" t="str">
        <f t="shared" si="18"/>
        <v>95</v>
      </c>
      <c r="AO35">
        <f t="shared" si="19"/>
        <v>1</v>
      </c>
      <c r="CM35" t="s">
        <v>652</v>
      </c>
    </row>
    <row r="36" spans="1:91" x14ac:dyDescent="0.4">
      <c r="A36" t="str">
        <f>IF($CM$6=0,"",IF(INDEX('⑩ 원문 보관'!$A:$E,$CM$6+ROW()-9,COLUMN())="","",INDEX('⑩ 원문 보관'!$A:$E,$CM$6+ROW()-9,COLUMN())))</f>
        <v xml:space="preserve">111807.0  51389.35 96 </v>
      </c>
      <c r="B36" t="str">
        <f>IF($CM$6=0,"",IF(INDEX('⑩ 원문 보관'!$A:$E,$CM$6+ROW()-9,COLUMN())="","",INDEX('⑩ 원문 보관'!$A:$E,$CM$6+ROW()-9,COLUMN())))</f>
        <v xml:space="preserve">114917.0  51388.86 96 </v>
      </c>
      <c r="C36" t="str">
        <f>IF($CM$6=0,"",IF(INDEX('⑩ 원문 보관'!$A:$E,$CM$6+ROW()-9,COLUMN())="","",INDEX('⑩ 원문 보관'!$A:$E,$CM$6+ROW()-9,COLUMN())))</f>
        <v xml:space="preserve">122012.0  51388.54 98 </v>
      </c>
      <c r="D36" t="str">
        <f>IF($CM$6=0,"",IF(INDEX('⑩ 원문 보관'!$A:$E,$CM$6+ROW()-9,COLUMN())="","",INDEX('⑩ 원문 보관'!$A:$E,$CM$6+ROW()-9,COLUMN())))</f>
        <v xml:space="preserve">123712.0  51397.28 44 </v>
      </c>
      <c r="E36" t="str">
        <f>IF($CM$6=0,"",IF(INDEX('⑩ 원문 보관'!$A:$E,$CM$6+ROW()-9,COLUMN())="","",INDEX('⑩ 원문 보관'!$A:$E,$CM$6+ROW()-9,COLUMN())))</f>
        <v xml:space="preserve">130527.0  51406.50 95 </v>
      </c>
      <c r="G36" s="82"/>
      <c r="H36" s="82"/>
      <c r="I36" s="82"/>
      <c r="J36" s="82"/>
      <c r="K36" s="82"/>
      <c r="L36" s="82"/>
      <c r="M36" s="82"/>
      <c r="N36" s="82"/>
      <c r="O36" s="82"/>
      <c r="Q36">
        <f t="shared" si="45"/>
        <v>1</v>
      </c>
      <c r="R36">
        <f t="shared" si="0"/>
        <v>111807</v>
      </c>
      <c r="S36">
        <f t="shared" si="1"/>
        <v>51389.35</v>
      </c>
      <c r="T36" t="str">
        <f t="shared" si="2"/>
        <v>96</v>
      </c>
      <c r="U36">
        <f t="shared" si="3"/>
        <v>1</v>
      </c>
      <c r="V36">
        <f t="shared" si="46"/>
        <v>1</v>
      </c>
      <c r="W36">
        <f t="shared" si="4"/>
        <v>114917</v>
      </c>
      <c r="X36">
        <f t="shared" si="5"/>
        <v>51388.86</v>
      </c>
      <c r="Y36" t="str">
        <f t="shared" si="6"/>
        <v>96</v>
      </c>
      <c r="Z36">
        <f t="shared" si="7"/>
        <v>1</v>
      </c>
      <c r="AA36">
        <f t="shared" si="47"/>
        <v>1</v>
      </c>
      <c r="AB36">
        <f t="shared" si="8"/>
        <v>122012</v>
      </c>
      <c r="AC36">
        <f t="shared" si="9"/>
        <v>51388.54</v>
      </c>
      <c r="AD36" t="str">
        <f t="shared" si="10"/>
        <v>98</v>
      </c>
      <c r="AE36">
        <f t="shared" si="11"/>
        <v>1</v>
      </c>
      <c r="AF36">
        <f t="shared" si="48"/>
        <v>1</v>
      </c>
      <c r="AG36">
        <f t="shared" si="12"/>
        <v>123712</v>
      </c>
      <c r="AH36">
        <f t="shared" si="13"/>
        <v>51397.279999999999</v>
      </c>
      <c r="AI36" t="str">
        <f t="shared" si="14"/>
        <v>44</v>
      </c>
      <c r="AJ36">
        <f t="shared" si="15"/>
        <v>1</v>
      </c>
      <c r="AK36">
        <f t="shared" si="49"/>
        <v>1</v>
      </c>
      <c r="AL36">
        <f t="shared" si="16"/>
        <v>130527</v>
      </c>
      <c r="AM36">
        <f t="shared" si="17"/>
        <v>51406.5</v>
      </c>
      <c r="AN36" t="str">
        <f t="shared" si="18"/>
        <v>95</v>
      </c>
      <c r="AO36">
        <f t="shared" si="19"/>
        <v>1</v>
      </c>
      <c r="CM36" t="s">
        <v>653</v>
      </c>
    </row>
    <row r="37" spans="1:91" x14ac:dyDescent="0.4">
      <c r="A37" t="str">
        <f>IF($CM$6=0,"",IF(INDEX('⑩ 원문 보관'!$A:$E,$CM$6+ROW()-9,COLUMN())="","",INDEX('⑩ 원문 보관'!$A:$E,$CM$6+ROW()-9,COLUMN())))</f>
        <v xml:space="preserve">111812.0  51389.46 96 </v>
      </c>
      <c r="B37" t="str">
        <f>IF($CM$6=0,"",IF(INDEX('⑩ 원문 보관'!$A:$E,$CM$6+ROW()-9,COLUMN())="","",INDEX('⑩ 원문 보관'!$A:$E,$CM$6+ROW()-9,COLUMN())))</f>
        <v xml:space="preserve">114922.0  51388.66 96 </v>
      </c>
      <c r="C37" t="str">
        <f>IF($CM$6=0,"",IF(INDEX('⑩ 원문 보관'!$A:$E,$CM$6+ROW()-9,COLUMN())="","",INDEX('⑩ 원문 보관'!$A:$E,$CM$6+ROW()-9,COLUMN())))</f>
        <v xml:space="preserve">122017.0  51388.57 97 </v>
      </c>
      <c r="D37" t="str">
        <f>IF($CM$6=0,"",IF(INDEX('⑩ 원문 보관'!$A:$E,$CM$6+ROW()-9,COLUMN())="","",INDEX('⑩ 원문 보관'!$A:$E,$CM$6+ROW()-9,COLUMN())))</f>
        <v xml:space="preserve">123717.0  51399.52 53 </v>
      </c>
      <c r="E37" t="str">
        <f>IF($CM$6=0,"",IF(INDEX('⑩ 원문 보관'!$A:$E,$CM$6+ROW()-9,COLUMN())="","",INDEX('⑩ 원문 보관'!$A:$E,$CM$6+ROW()-9,COLUMN())))</f>
        <v xml:space="preserve">130532.0  51406.40 95 </v>
      </c>
      <c r="G37" s="82"/>
      <c r="H37" s="82"/>
      <c r="I37" s="82"/>
      <c r="J37" s="82"/>
      <c r="K37" s="82"/>
      <c r="L37" s="82"/>
      <c r="M37" s="82"/>
      <c r="N37" s="82"/>
      <c r="O37" s="82"/>
      <c r="Q37">
        <f t="shared" si="45"/>
        <v>1</v>
      </c>
      <c r="R37">
        <f t="shared" si="0"/>
        <v>111812</v>
      </c>
      <c r="S37">
        <f t="shared" si="1"/>
        <v>51389.46</v>
      </c>
      <c r="T37" t="str">
        <f t="shared" si="2"/>
        <v>96</v>
      </c>
      <c r="U37">
        <f t="shared" si="3"/>
        <v>1</v>
      </c>
      <c r="V37">
        <f t="shared" si="46"/>
        <v>1</v>
      </c>
      <c r="W37">
        <f t="shared" si="4"/>
        <v>114922</v>
      </c>
      <c r="X37">
        <f t="shared" si="5"/>
        <v>51388.66</v>
      </c>
      <c r="Y37" t="str">
        <f t="shared" si="6"/>
        <v>96</v>
      </c>
      <c r="Z37">
        <f t="shared" si="7"/>
        <v>1</v>
      </c>
      <c r="AA37">
        <f t="shared" si="47"/>
        <v>1</v>
      </c>
      <c r="AB37">
        <f t="shared" si="8"/>
        <v>122017</v>
      </c>
      <c r="AC37">
        <f t="shared" si="9"/>
        <v>51388.57</v>
      </c>
      <c r="AD37" t="str">
        <f t="shared" si="10"/>
        <v>97</v>
      </c>
      <c r="AE37">
        <f t="shared" si="11"/>
        <v>1</v>
      </c>
      <c r="AF37">
        <f t="shared" si="48"/>
        <v>1</v>
      </c>
      <c r="AG37">
        <f t="shared" si="12"/>
        <v>123717</v>
      </c>
      <c r="AH37">
        <f t="shared" si="13"/>
        <v>51399.519999999997</v>
      </c>
      <c r="AI37" t="str">
        <f t="shared" si="14"/>
        <v>53</v>
      </c>
      <c r="AJ37">
        <f t="shared" si="15"/>
        <v>1</v>
      </c>
      <c r="AK37">
        <f t="shared" si="49"/>
        <v>1</v>
      </c>
      <c r="AL37">
        <f t="shared" si="16"/>
        <v>130532</v>
      </c>
      <c r="AM37">
        <f t="shared" si="17"/>
        <v>51406.400000000001</v>
      </c>
      <c r="AN37" t="str">
        <f t="shared" si="18"/>
        <v>95</v>
      </c>
      <c r="AO37">
        <f t="shared" si="19"/>
        <v>1</v>
      </c>
      <c r="CM37" t="s">
        <v>654</v>
      </c>
    </row>
    <row r="38" spans="1:91" x14ac:dyDescent="0.4">
      <c r="A38" t="str">
        <f>IF($CM$6=0,"",IF(INDEX('⑩ 원문 보관'!$A:$E,$CM$6+ROW()-9,COLUMN())="","",INDEX('⑩ 원문 보관'!$A:$E,$CM$6+ROW()-9,COLUMN())))</f>
        <v xml:space="preserve">111817.0  51389.39 96 </v>
      </c>
      <c r="B38" t="str">
        <f>IF($CM$6=0,"",IF(INDEX('⑩ 원문 보관'!$A:$E,$CM$6+ROW()-9,COLUMN())="","",INDEX('⑩ 원문 보관'!$A:$E,$CM$6+ROW()-9,COLUMN())))</f>
        <v xml:space="preserve">114927.0  51388.87 96 </v>
      </c>
      <c r="C38" t="str">
        <f>IF($CM$6=0,"",IF(INDEX('⑩ 원문 보관'!$A:$E,$CM$6+ROW()-9,COLUMN())="","",INDEX('⑩ 원문 보관'!$A:$E,$CM$6+ROW()-9,COLUMN())))</f>
        <v xml:space="preserve">122022.0  51388.59 98 </v>
      </c>
      <c r="D38" t="str">
        <f>IF($CM$6=0,"",IF(INDEX('⑩ 원문 보관'!$A:$E,$CM$6+ROW()-9,COLUMN())="","",INDEX('⑩ 원문 보관'!$A:$E,$CM$6+ROW()-9,COLUMN())))</f>
        <v xml:space="preserve">123722.0  51398.65 63 </v>
      </c>
      <c r="E38" t="str">
        <f>IF($CM$6=0,"",IF(INDEX('⑩ 원문 보관'!$A:$E,$CM$6+ROW()-9,COLUMN())="","",INDEX('⑩ 원문 보관'!$A:$E,$CM$6+ROW()-9,COLUMN())))</f>
        <v xml:space="preserve">130537.0  51406.52 95 </v>
      </c>
      <c r="Q38">
        <f t="shared" si="45"/>
        <v>1</v>
      </c>
      <c r="R38">
        <f t="shared" si="0"/>
        <v>111817</v>
      </c>
      <c r="S38">
        <f t="shared" si="1"/>
        <v>51389.39</v>
      </c>
      <c r="T38" t="str">
        <f t="shared" si="2"/>
        <v>96</v>
      </c>
      <c r="U38">
        <f t="shared" si="3"/>
        <v>1</v>
      </c>
      <c r="V38">
        <f t="shared" si="46"/>
        <v>1</v>
      </c>
      <c r="W38">
        <f t="shared" si="4"/>
        <v>114927</v>
      </c>
      <c r="X38">
        <f t="shared" si="5"/>
        <v>51388.87</v>
      </c>
      <c r="Y38" t="str">
        <f t="shared" si="6"/>
        <v>96</v>
      </c>
      <c r="Z38">
        <f t="shared" si="7"/>
        <v>1</v>
      </c>
      <c r="AA38">
        <f t="shared" si="47"/>
        <v>1</v>
      </c>
      <c r="AB38">
        <f t="shared" si="8"/>
        <v>122022</v>
      </c>
      <c r="AC38">
        <f t="shared" si="9"/>
        <v>51388.59</v>
      </c>
      <c r="AD38" t="str">
        <f t="shared" si="10"/>
        <v>98</v>
      </c>
      <c r="AE38">
        <f t="shared" si="11"/>
        <v>1</v>
      </c>
      <c r="AF38">
        <f t="shared" si="48"/>
        <v>1</v>
      </c>
      <c r="AG38">
        <f t="shared" si="12"/>
        <v>123722</v>
      </c>
      <c r="AH38">
        <f t="shared" si="13"/>
        <v>51398.65</v>
      </c>
      <c r="AI38" t="str">
        <f t="shared" si="14"/>
        <v>63</v>
      </c>
      <c r="AJ38">
        <f t="shared" si="15"/>
        <v>1</v>
      </c>
      <c r="AK38">
        <f t="shared" si="49"/>
        <v>1</v>
      </c>
      <c r="AL38">
        <f t="shared" si="16"/>
        <v>130537</v>
      </c>
      <c r="AM38">
        <f t="shared" si="17"/>
        <v>51406.52</v>
      </c>
      <c r="AN38" t="str">
        <f t="shared" si="18"/>
        <v>95</v>
      </c>
      <c r="AO38">
        <f t="shared" si="19"/>
        <v>1</v>
      </c>
      <c r="CM38" t="s">
        <v>655</v>
      </c>
    </row>
    <row r="39" spans="1:91" x14ac:dyDescent="0.4">
      <c r="A39" t="str">
        <f>IF($CM$6=0,"",IF(INDEX('⑩ 원문 보관'!$A:$E,$CM$6+ROW()-9,COLUMN())="","",INDEX('⑩ 원문 보관'!$A:$E,$CM$6+ROW()-9,COLUMN())))</f>
        <v xml:space="preserve">111822.0  51389.30 96 </v>
      </c>
      <c r="B39" t="str">
        <f>IF($CM$6=0,"",IF(INDEX('⑩ 원문 보관'!$A:$E,$CM$6+ROW()-9,COLUMN())="","",INDEX('⑩ 원문 보관'!$A:$E,$CM$6+ROW()-9,COLUMN())))</f>
        <v xml:space="preserve">114932.0  51388.86 96 </v>
      </c>
      <c r="C39" t="str">
        <f>IF($CM$6=0,"",IF(INDEX('⑩ 원문 보관'!$A:$E,$CM$6+ROW()-9,COLUMN())="","",INDEX('⑩ 원문 보관'!$A:$E,$CM$6+ROW()-9,COLUMN())))</f>
        <v xml:space="preserve">122027.0  51388.54 97 </v>
      </c>
      <c r="D39" t="str">
        <f>IF($CM$6=0,"",IF(INDEX('⑩ 원문 보관'!$A:$E,$CM$6+ROW()-9,COLUMN())="","",INDEX('⑩ 원문 보관'!$A:$E,$CM$6+ROW()-9,COLUMN())))</f>
        <v xml:space="preserve">123727.0  51398.69 53 </v>
      </c>
      <c r="E39" t="str">
        <f>IF($CM$6=0,"",IF(INDEX('⑩ 원문 보관'!$A:$E,$CM$6+ROW()-9,COLUMN())="","",INDEX('⑩ 원문 보관'!$A:$E,$CM$6+ROW()-9,COLUMN())))</f>
        <v xml:space="preserve">130542.0  51406.29 95 </v>
      </c>
      <c r="Q39">
        <f t="shared" si="45"/>
        <v>1</v>
      </c>
      <c r="R39">
        <f t="shared" si="0"/>
        <v>111822</v>
      </c>
      <c r="S39">
        <f t="shared" si="1"/>
        <v>51389.3</v>
      </c>
      <c r="T39" t="str">
        <f t="shared" si="2"/>
        <v>96</v>
      </c>
      <c r="U39">
        <f t="shared" si="3"/>
        <v>1</v>
      </c>
      <c r="V39">
        <f t="shared" si="46"/>
        <v>1</v>
      </c>
      <c r="W39">
        <f t="shared" si="4"/>
        <v>114932</v>
      </c>
      <c r="X39">
        <f t="shared" si="5"/>
        <v>51388.86</v>
      </c>
      <c r="Y39" t="str">
        <f t="shared" si="6"/>
        <v>96</v>
      </c>
      <c r="Z39">
        <f t="shared" si="7"/>
        <v>1</v>
      </c>
      <c r="AA39">
        <f t="shared" si="47"/>
        <v>1</v>
      </c>
      <c r="AB39">
        <f t="shared" si="8"/>
        <v>122027</v>
      </c>
      <c r="AC39">
        <f t="shared" si="9"/>
        <v>51388.54</v>
      </c>
      <c r="AD39" t="str">
        <f t="shared" si="10"/>
        <v>97</v>
      </c>
      <c r="AE39">
        <f t="shared" si="11"/>
        <v>1</v>
      </c>
      <c r="AF39">
        <f t="shared" si="48"/>
        <v>1</v>
      </c>
      <c r="AG39">
        <f t="shared" si="12"/>
        <v>123727</v>
      </c>
      <c r="AH39">
        <f t="shared" si="13"/>
        <v>51398.69</v>
      </c>
      <c r="AI39" t="str">
        <f t="shared" si="14"/>
        <v>53</v>
      </c>
      <c r="AJ39">
        <f t="shared" si="15"/>
        <v>1</v>
      </c>
      <c r="AK39">
        <f t="shared" si="49"/>
        <v>1</v>
      </c>
      <c r="AL39">
        <f t="shared" si="16"/>
        <v>130542</v>
      </c>
      <c r="AM39">
        <f t="shared" si="17"/>
        <v>51406.29</v>
      </c>
      <c r="AN39" t="str">
        <f t="shared" si="18"/>
        <v>95</v>
      </c>
      <c r="AO39">
        <f t="shared" si="19"/>
        <v>1</v>
      </c>
      <c r="CM39" t="s">
        <v>656</v>
      </c>
    </row>
    <row r="40" spans="1:91" x14ac:dyDescent="0.4">
      <c r="A40" t="str">
        <f>IF($CM$6=0,"",IF(INDEX('⑩ 원문 보관'!$A:$E,$CM$6+ROW()-9,COLUMN())="","",INDEX('⑩ 원문 보관'!$A:$E,$CM$6+ROW()-9,COLUMN())))</f>
        <v xml:space="preserve">111827.0  51389.58 95 </v>
      </c>
      <c r="B40" t="str">
        <f>IF($CM$6=0,"",IF(INDEX('⑩ 원문 보관'!$A:$E,$CM$6+ROW()-9,COLUMN())="","",INDEX('⑩ 원문 보관'!$A:$E,$CM$6+ROW()-9,COLUMN())))</f>
        <v xml:space="preserve">114937.0  51388.81 96 </v>
      </c>
      <c r="C40" t="str">
        <f>IF($CM$6=0,"",IF(INDEX('⑩ 원문 보관'!$A:$E,$CM$6+ROW()-9,COLUMN())="","",INDEX('⑩ 원문 보관'!$A:$E,$CM$6+ROW()-9,COLUMN())))</f>
        <v/>
      </c>
      <c r="D40" t="str">
        <f>IF($CM$6=0,"",IF(INDEX('⑩ 원문 보관'!$A:$E,$CM$6+ROW()-9,COLUMN())="","",INDEX('⑩ 원문 보관'!$A:$E,$CM$6+ROW()-9,COLUMN())))</f>
        <v xml:space="preserve">123732.0  51397.94 43 </v>
      </c>
      <c r="E40" t="str">
        <f>IF($CM$6=0,"",IF(INDEX('⑩ 원문 보관'!$A:$E,$CM$6+ROW()-9,COLUMN())="","",INDEX('⑩ 원문 보관'!$A:$E,$CM$6+ROW()-9,COLUMN())))</f>
        <v xml:space="preserve">130547.0  51406.52 96 </v>
      </c>
      <c r="Q40">
        <f t="shared" si="45"/>
        <v>1</v>
      </c>
      <c r="R40">
        <f t="shared" si="0"/>
        <v>111827</v>
      </c>
      <c r="S40">
        <f t="shared" si="1"/>
        <v>51389.58</v>
      </c>
      <c r="T40" t="str">
        <f t="shared" si="2"/>
        <v>95</v>
      </c>
      <c r="U40">
        <f t="shared" si="3"/>
        <v>1</v>
      </c>
      <c r="V40">
        <f t="shared" si="46"/>
        <v>1</v>
      </c>
      <c r="W40">
        <f t="shared" si="4"/>
        <v>114937</v>
      </c>
      <c r="X40">
        <f t="shared" si="5"/>
        <v>51388.81</v>
      </c>
      <c r="Y40" t="str">
        <f t="shared" si="6"/>
        <v>96</v>
      </c>
      <c r="Z40">
        <f t="shared" si="7"/>
        <v>1</v>
      </c>
      <c r="AA40">
        <f t="shared" si="47"/>
        <v>1</v>
      </c>
      <c r="AB40" t="str">
        <f t="shared" si="8"/>
        <v/>
      </c>
      <c r="AC40" t="str">
        <f t="shared" si="9"/>
        <v/>
      </c>
      <c r="AD40" t="str">
        <f t="shared" si="10"/>
        <v/>
      </c>
      <c r="AE40">
        <f t="shared" si="11"/>
        <v>0</v>
      </c>
      <c r="AF40">
        <f t="shared" si="48"/>
        <v>1</v>
      </c>
      <c r="AG40">
        <f t="shared" si="12"/>
        <v>123732</v>
      </c>
      <c r="AH40">
        <f t="shared" si="13"/>
        <v>51397.94</v>
      </c>
      <c r="AI40" t="str">
        <f t="shared" si="14"/>
        <v>43</v>
      </c>
      <c r="AJ40">
        <f t="shared" si="15"/>
        <v>1</v>
      </c>
      <c r="AK40">
        <f t="shared" si="49"/>
        <v>1</v>
      </c>
      <c r="AL40">
        <f t="shared" si="16"/>
        <v>130547</v>
      </c>
      <c r="AM40">
        <f t="shared" si="17"/>
        <v>51406.52</v>
      </c>
      <c r="AN40" t="str">
        <f t="shared" si="18"/>
        <v>96</v>
      </c>
      <c r="AO40">
        <f t="shared" si="19"/>
        <v>1</v>
      </c>
      <c r="CM40" t="s">
        <v>657</v>
      </c>
    </row>
    <row r="41" spans="1:91" x14ac:dyDescent="0.4">
      <c r="A41" t="str">
        <f>IF($CM$6=0,"",IF(INDEX('⑩ 원문 보관'!$A:$E,$CM$6+ROW()-9,COLUMN())="","",INDEX('⑩ 원문 보관'!$A:$E,$CM$6+ROW()-9,COLUMN())))</f>
        <v xml:space="preserve">111832.0  51389.66 95 </v>
      </c>
      <c r="B41" t="str">
        <f>IF($CM$6=0,"",IF(INDEX('⑩ 원문 보관'!$A:$E,$CM$6+ROW()-9,COLUMN())="","",INDEX('⑩ 원문 보관'!$A:$E,$CM$6+ROW()-9,COLUMN())))</f>
        <v xml:space="preserve">114942.0  51388.83 97 </v>
      </c>
      <c r="C41" t="str">
        <f>IF($CM$6=0,"",IF(INDEX('⑩ 원문 보관'!$A:$E,$CM$6+ROW()-9,COLUMN())="","",INDEX('⑩ 원문 보관'!$A:$E,$CM$6+ROW()-9,COLUMN())))</f>
        <v/>
      </c>
      <c r="D41" t="str">
        <f>IF($CM$6=0,"",IF(INDEX('⑩ 원문 보관'!$A:$E,$CM$6+ROW()-9,COLUMN())="","",INDEX('⑩ 원문 보관'!$A:$E,$CM$6+ROW()-9,COLUMN())))</f>
        <v xml:space="preserve">123737.0  51397.63 33 </v>
      </c>
      <c r="E41" t="str">
        <f>IF($CM$6=0,"",IF(INDEX('⑩ 원문 보관'!$A:$E,$CM$6+ROW()-9,COLUMN())="","",INDEX('⑩ 원문 보관'!$A:$E,$CM$6+ROW()-9,COLUMN())))</f>
        <v xml:space="preserve">130552.0  51406.60 95 </v>
      </c>
      <c r="Q41">
        <f t="shared" si="45"/>
        <v>1</v>
      </c>
      <c r="R41">
        <f t="shared" si="0"/>
        <v>111832</v>
      </c>
      <c r="S41">
        <f t="shared" si="1"/>
        <v>51389.66</v>
      </c>
      <c r="T41" t="str">
        <f t="shared" si="2"/>
        <v>95</v>
      </c>
      <c r="U41">
        <f t="shared" si="3"/>
        <v>1</v>
      </c>
      <c r="V41">
        <f t="shared" si="46"/>
        <v>1</v>
      </c>
      <c r="W41">
        <f t="shared" si="4"/>
        <v>114942</v>
      </c>
      <c r="X41">
        <f t="shared" si="5"/>
        <v>51388.83</v>
      </c>
      <c r="Y41" t="str">
        <f t="shared" si="6"/>
        <v>97</v>
      </c>
      <c r="Z41">
        <f t="shared" si="7"/>
        <v>1</v>
      </c>
      <c r="AA41">
        <f t="shared" si="47"/>
        <v>1</v>
      </c>
      <c r="AB41" t="str">
        <f t="shared" si="8"/>
        <v/>
      </c>
      <c r="AC41" t="str">
        <f t="shared" si="9"/>
        <v/>
      </c>
      <c r="AD41" t="str">
        <f t="shared" si="10"/>
        <v/>
      </c>
      <c r="AE41">
        <f t="shared" si="11"/>
        <v>0</v>
      </c>
      <c r="AF41">
        <f t="shared" si="48"/>
        <v>1</v>
      </c>
      <c r="AG41">
        <f t="shared" si="12"/>
        <v>123737</v>
      </c>
      <c r="AH41">
        <f t="shared" si="13"/>
        <v>51397.63</v>
      </c>
      <c r="AI41" t="str">
        <f t="shared" si="14"/>
        <v>33</v>
      </c>
      <c r="AJ41">
        <f t="shared" si="15"/>
        <v>1</v>
      </c>
      <c r="AK41">
        <f t="shared" si="49"/>
        <v>1</v>
      </c>
      <c r="AL41">
        <f t="shared" si="16"/>
        <v>130552</v>
      </c>
      <c r="AM41">
        <f t="shared" si="17"/>
        <v>51406.6</v>
      </c>
      <c r="AN41" t="str">
        <f t="shared" si="18"/>
        <v>95</v>
      </c>
      <c r="AO41">
        <f t="shared" si="19"/>
        <v>1</v>
      </c>
      <c r="CM41" t="s">
        <v>658</v>
      </c>
    </row>
    <row r="42" spans="1:91" x14ac:dyDescent="0.4">
      <c r="A42" t="str">
        <f>IF($CM$6=0,"",IF(INDEX('⑩ 원문 보관'!$A:$E,$CM$6+ROW()-9,COLUMN())="","",INDEX('⑩ 원문 보관'!$A:$E,$CM$6+ROW()-9,COLUMN())))</f>
        <v xml:space="preserve">111837.0  51389.61 96 </v>
      </c>
      <c r="B42" t="str">
        <f>IF($CM$6=0,"",IF(INDEX('⑩ 원문 보관'!$A:$E,$CM$6+ROW()-9,COLUMN())="","",INDEX('⑩ 원문 보관'!$A:$E,$CM$6+ROW()-9,COLUMN())))</f>
        <v xml:space="preserve">114947.0  51388.94 96 </v>
      </c>
      <c r="C42" t="str">
        <f>IF($CM$6=0,"",IF(INDEX('⑩ 원문 보관'!$A:$E,$CM$6+ROW()-9,COLUMN())="","",INDEX('⑩ 원문 보관'!$A:$E,$CM$6+ROW()-9,COLUMN())))</f>
        <v xml:space="preserve">/Gem Systems GSM-19T 4106808 v7.0 26 IX 2014 M t-e2l..v7o                         </v>
      </c>
      <c r="D42" t="str">
        <f>IF($CM$6=0,"",IF(INDEX('⑩ 원문 보관'!$A:$E,$CM$6+ROW()-9,COLUMN())="","",INDEX('⑩ 원문 보관'!$A:$E,$CM$6+ROW()-9,COLUMN())))</f>
        <v xml:space="preserve">123742.0  51398.95 73 </v>
      </c>
      <c r="E42" t="str">
        <f>IF($CM$6=0,"",IF(INDEX('⑩ 원문 보관'!$A:$E,$CM$6+ROW()-9,COLUMN())="","",INDEX('⑩ 원문 보관'!$A:$E,$CM$6+ROW()-9,COLUMN())))</f>
        <v xml:space="preserve">130557.0  51406.92 95 </v>
      </c>
      <c r="Q42">
        <f t="shared" si="45"/>
        <v>1</v>
      </c>
      <c r="R42">
        <f t="shared" si="0"/>
        <v>111837</v>
      </c>
      <c r="S42">
        <f t="shared" si="1"/>
        <v>51389.61</v>
      </c>
      <c r="T42" t="str">
        <f t="shared" si="2"/>
        <v>96</v>
      </c>
      <c r="U42">
        <f t="shared" si="3"/>
        <v>1</v>
      </c>
      <c r="V42">
        <f t="shared" si="46"/>
        <v>1</v>
      </c>
      <c r="W42">
        <f t="shared" si="4"/>
        <v>114947</v>
      </c>
      <c r="X42">
        <f t="shared" si="5"/>
        <v>51388.94</v>
      </c>
      <c r="Y42" t="str">
        <f t="shared" si="6"/>
        <v>96</v>
      </c>
      <c r="Z42">
        <f t="shared" si="7"/>
        <v>1</v>
      </c>
      <c r="AA42">
        <f t="shared" si="47"/>
        <v>1</v>
      </c>
      <c r="AB42" t="str">
        <f t="shared" si="8"/>
        <v/>
      </c>
      <c r="AC42" t="str">
        <f t="shared" si="9"/>
        <v/>
      </c>
      <c r="AD42" t="str">
        <f t="shared" si="10"/>
        <v>GSM-19T</v>
      </c>
      <c r="AE42">
        <f t="shared" si="11"/>
        <v>0</v>
      </c>
      <c r="AF42">
        <f t="shared" si="48"/>
        <v>1</v>
      </c>
      <c r="AG42">
        <f t="shared" si="12"/>
        <v>123742</v>
      </c>
      <c r="AH42">
        <f t="shared" si="13"/>
        <v>51398.95</v>
      </c>
      <c r="AI42" t="str">
        <f t="shared" si="14"/>
        <v>73</v>
      </c>
      <c r="AJ42">
        <f t="shared" si="15"/>
        <v>1</v>
      </c>
      <c r="AK42">
        <f t="shared" si="49"/>
        <v>1</v>
      </c>
      <c r="AL42">
        <f t="shared" si="16"/>
        <v>130557</v>
      </c>
      <c r="AM42">
        <f t="shared" si="17"/>
        <v>51406.92</v>
      </c>
      <c r="AN42" t="str">
        <f t="shared" si="18"/>
        <v>95</v>
      </c>
      <c r="AO42">
        <f t="shared" si="19"/>
        <v>1</v>
      </c>
      <c r="CM42" t="s">
        <v>659</v>
      </c>
    </row>
    <row r="43" spans="1:91" x14ac:dyDescent="0.4">
      <c r="A43" t="str">
        <f>IF($CM$6=0,"",IF(INDEX('⑩ 원문 보관'!$A:$E,$CM$6+ROW()-9,COLUMN())="","",INDEX('⑩ 원문 보관'!$A:$E,$CM$6+ROW()-9,COLUMN())))</f>
        <v xml:space="preserve">111842.0  51389.86 95 </v>
      </c>
      <c r="B43" t="str">
        <f>IF($CM$6=0,"",IF(INDEX('⑩ 원문 보관'!$A:$E,$CM$6+ROW()-9,COLUMN())="","",INDEX('⑩ 원문 보관'!$A:$E,$CM$6+ROW()-9,COLUMN())))</f>
        <v xml:space="preserve">114952.0  51389.03 96 </v>
      </c>
      <c r="C43" t="str">
        <f>IF($CM$6=0,"",IF(INDEX('⑩ 원문 보관'!$A:$E,$CM$6+ROW()-9,COLUMN())="","",INDEX('⑩ 원문 보관'!$A:$E,$CM$6+ROW()-9,COLUMN())))</f>
        <v>/ID 2666 file 23survey.b   21 IX 26</v>
      </c>
      <c r="D43" t="str">
        <f>IF($CM$6=0,"",IF(INDEX('⑩ 원문 보관'!$A:$E,$CM$6+ROW()-9,COLUMN())="","",INDEX('⑩ 원문 보관'!$A:$E,$CM$6+ROW()-9,COLUMN())))</f>
        <v xml:space="preserve">123747.0  51392.67 33 </v>
      </c>
      <c r="E43" t="str">
        <f>IF($CM$6=0,"",IF(INDEX('⑩ 원문 보관'!$A:$E,$CM$6+ROW()-9,COLUMN())="","",INDEX('⑩ 원문 보관'!$A:$E,$CM$6+ROW()-9,COLUMN())))</f>
        <v xml:space="preserve">130602.0  51406.82 95 </v>
      </c>
      <c r="Q43">
        <f t="shared" si="45"/>
        <v>1</v>
      </c>
      <c r="R43">
        <f t="shared" si="0"/>
        <v>111842</v>
      </c>
      <c r="S43">
        <f t="shared" si="1"/>
        <v>51389.86</v>
      </c>
      <c r="T43" t="str">
        <f t="shared" si="2"/>
        <v>95</v>
      </c>
      <c r="U43">
        <f t="shared" si="3"/>
        <v>1</v>
      </c>
      <c r="V43">
        <f t="shared" si="46"/>
        <v>1</v>
      </c>
      <c r="W43">
        <f t="shared" si="4"/>
        <v>114952</v>
      </c>
      <c r="X43">
        <f t="shared" si="5"/>
        <v>51389.03</v>
      </c>
      <c r="Y43" t="str">
        <f t="shared" si="6"/>
        <v>96</v>
      </c>
      <c r="Z43">
        <f t="shared" si="7"/>
        <v>1</v>
      </c>
      <c r="AA43">
        <f t="shared" si="47"/>
        <v>1</v>
      </c>
      <c r="AB43" t="str">
        <f t="shared" si="8"/>
        <v/>
      </c>
      <c r="AC43">
        <f t="shared" si="9"/>
        <v>2666</v>
      </c>
      <c r="AD43" t="str">
        <f t="shared" si="10"/>
        <v>file</v>
      </c>
      <c r="AE43">
        <f t="shared" si="11"/>
        <v>0</v>
      </c>
      <c r="AF43">
        <f t="shared" si="48"/>
        <v>1</v>
      </c>
      <c r="AG43">
        <f t="shared" si="12"/>
        <v>123747</v>
      </c>
      <c r="AH43">
        <f t="shared" si="13"/>
        <v>51392.67</v>
      </c>
      <c r="AI43" t="str">
        <f t="shared" si="14"/>
        <v>33</v>
      </c>
      <c r="AJ43">
        <f t="shared" si="15"/>
        <v>1</v>
      </c>
      <c r="AK43">
        <f t="shared" si="49"/>
        <v>1</v>
      </c>
      <c r="AL43">
        <f t="shared" si="16"/>
        <v>130602</v>
      </c>
      <c r="AM43">
        <f t="shared" si="17"/>
        <v>51406.82</v>
      </c>
      <c r="AN43" t="str">
        <f t="shared" si="18"/>
        <v>95</v>
      </c>
      <c r="AO43">
        <f t="shared" si="19"/>
        <v>1</v>
      </c>
      <c r="CM43" t="s">
        <v>660</v>
      </c>
    </row>
    <row r="44" spans="1:91" x14ac:dyDescent="0.4">
      <c r="A44" t="str">
        <f>IF($CM$6=0,"",IF(INDEX('⑩ 원문 보관'!$A:$E,$CM$6+ROW()-9,COLUMN())="","",INDEX('⑩ 원문 보관'!$A:$E,$CM$6+ROW()-9,COLUMN())))</f>
        <v xml:space="preserve">111847.0  51389.50 96 </v>
      </c>
      <c r="B44" t="str">
        <f>IF($CM$6=0,"",IF(INDEX('⑩ 원문 보관'!$A:$E,$CM$6+ROW()-9,COLUMN())="","",INDEX('⑩ 원문 보관'!$A:$E,$CM$6+ROW()-9,COLUMN())))</f>
        <v/>
      </c>
      <c r="C44" t="str">
        <f>IF($CM$6=0,"",IF(INDEX('⑩ 원문 보관'!$A:$E,$CM$6+ROW()-9,COLUMN())="","",INDEX('⑩ 원문 보관'!$A:$E,$CM$6+ROW()-9,COLUMN())))</f>
        <v>/datum  57000.00</v>
      </c>
      <c r="D44" t="str">
        <f>IF($CM$6=0,"",IF(INDEX('⑩ 원문 보관'!$A:$E,$CM$6+ROW()-9,COLUMN())="","",INDEX('⑩ 원문 보관'!$A:$E,$CM$6+ROW()-9,COLUMN())))</f>
        <v/>
      </c>
      <c r="E44" t="str">
        <f>IF($CM$6=0,"",IF(INDEX('⑩ 원문 보관'!$A:$E,$CM$6+ROW()-9,COLUMN())="","",INDEX('⑩ 원문 보관'!$A:$E,$CM$6+ROW()-9,COLUMN())))</f>
        <v/>
      </c>
      <c r="Q44">
        <f t="shared" si="45"/>
        <v>1</v>
      </c>
      <c r="R44">
        <f t="shared" si="0"/>
        <v>111847</v>
      </c>
      <c r="S44">
        <f t="shared" si="1"/>
        <v>51389.5</v>
      </c>
      <c r="T44" t="str">
        <f t="shared" si="2"/>
        <v>96</v>
      </c>
      <c r="U44">
        <f t="shared" si="3"/>
        <v>1</v>
      </c>
      <c r="V44">
        <f t="shared" si="46"/>
        <v>1</v>
      </c>
      <c r="W44" t="str">
        <f t="shared" si="4"/>
        <v/>
      </c>
      <c r="X44" t="str">
        <f t="shared" si="5"/>
        <v/>
      </c>
      <c r="Y44" t="str">
        <f t="shared" si="6"/>
        <v/>
      </c>
      <c r="Z44">
        <f t="shared" si="7"/>
        <v>0</v>
      </c>
      <c r="AA44">
        <f t="shared" si="47"/>
        <v>1</v>
      </c>
      <c r="AB44" t="str">
        <f t="shared" si="8"/>
        <v/>
      </c>
      <c r="AC44">
        <f t="shared" si="9"/>
        <v>57000</v>
      </c>
      <c r="AD44" t="str">
        <f t="shared" si="10"/>
        <v/>
      </c>
      <c r="AE44">
        <f t="shared" si="11"/>
        <v>0</v>
      </c>
      <c r="AF44">
        <f t="shared" si="48"/>
        <v>1</v>
      </c>
      <c r="AG44" t="str">
        <f t="shared" si="12"/>
        <v/>
      </c>
      <c r="AH44" t="str">
        <f t="shared" si="13"/>
        <v/>
      </c>
      <c r="AI44" t="str">
        <f t="shared" si="14"/>
        <v/>
      </c>
      <c r="AJ44">
        <f t="shared" si="15"/>
        <v>0</v>
      </c>
      <c r="AK44">
        <f t="shared" si="49"/>
        <v>1</v>
      </c>
      <c r="AL44" t="str">
        <f t="shared" si="16"/>
        <v/>
      </c>
      <c r="AM44" t="str">
        <f t="shared" si="17"/>
        <v/>
      </c>
      <c r="AN44" t="str">
        <f t="shared" si="18"/>
        <v/>
      </c>
      <c r="AO44">
        <f t="shared" si="19"/>
        <v>0</v>
      </c>
      <c r="CM44" t="s">
        <v>661</v>
      </c>
    </row>
    <row r="45" spans="1:91" x14ac:dyDescent="0.4">
      <c r="A45" t="str">
        <f>IF($CM$6=0,"",IF(INDEX('⑩ 원문 보관'!$A:$E,$CM$6+ROW()-9,COLUMN())="","",INDEX('⑩ 원문 보관'!$A:$E,$CM$6+ROW()-9,COLUMN())))</f>
        <v xml:space="preserve">111852.0  51389.59 95 </v>
      </c>
      <c r="B45" t="str">
        <f>IF($CM$6=0,"",IF(INDEX('⑩ 원문 보관'!$A:$E,$CM$6+ROW()-9,COLUMN())="","",INDEX('⑩ 원문 보관'!$A:$E,$CM$6+ROW()-9,COLUMN())))</f>
        <v/>
      </c>
      <c r="C45" t="str">
        <f>IF($CM$6=0,"",IF(INDEX('⑩ 원문 보관'!$A:$E,$CM$6+ROW()-9,COLUMN())="","",INDEX('⑩ 원문 보관'!$A:$E,$CM$6+ROW()-9,COLUMN())))</f>
        <v>/</v>
      </c>
      <c r="D45" t="str">
        <f>IF($CM$6=0,"",IF(INDEX('⑩ 원문 보관'!$A:$E,$CM$6+ROW()-9,COLUMN())="","",INDEX('⑩ 원문 보관'!$A:$E,$CM$6+ROW()-9,COLUMN())))</f>
        <v/>
      </c>
      <c r="E45" t="str">
        <f>IF($CM$6=0,"",IF(INDEX('⑩ 원문 보관'!$A:$E,$CM$6+ROW()-9,COLUMN())="","",INDEX('⑩ 원문 보관'!$A:$E,$CM$6+ROW()-9,COLUMN())))</f>
        <v/>
      </c>
      <c r="Q45">
        <f t="shared" si="45"/>
        <v>1</v>
      </c>
      <c r="R45">
        <f t="shared" si="0"/>
        <v>111852</v>
      </c>
      <c r="S45">
        <f t="shared" si="1"/>
        <v>51389.59</v>
      </c>
      <c r="T45" t="str">
        <f t="shared" si="2"/>
        <v>95</v>
      </c>
      <c r="U45">
        <f t="shared" si="3"/>
        <v>1</v>
      </c>
      <c r="V45">
        <f t="shared" si="46"/>
        <v>1</v>
      </c>
      <c r="W45" t="str">
        <f t="shared" si="4"/>
        <v/>
      </c>
      <c r="X45" t="str">
        <f t="shared" si="5"/>
        <v/>
      </c>
      <c r="Y45" t="str">
        <f t="shared" si="6"/>
        <v/>
      </c>
      <c r="Z45">
        <f t="shared" si="7"/>
        <v>0</v>
      </c>
      <c r="AA45">
        <f t="shared" si="47"/>
        <v>1</v>
      </c>
      <c r="AB45" t="str">
        <f t="shared" si="8"/>
        <v/>
      </c>
      <c r="AC45" t="str">
        <f t="shared" si="9"/>
        <v/>
      </c>
      <c r="AD45" t="str">
        <f t="shared" si="10"/>
        <v/>
      </c>
      <c r="AE45">
        <f t="shared" si="11"/>
        <v>0</v>
      </c>
      <c r="AF45">
        <f t="shared" si="48"/>
        <v>1</v>
      </c>
      <c r="AG45" t="str">
        <f t="shared" si="12"/>
        <v/>
      </c>
      <c r="AH45" t="str">
        <f t="shared" si="13"/>
        <v/>
      </c>
      <c r="AI45" t="str">
        <f t="shared" si="14"/>
        <v/>
      </c>
      <c r="AJ45">
        <f t="shared" si="15"/>
        <v>0</v>
      </c>
      <c r="AK45">
        <f t="shared" si="49"/>
        <v>1</v>
      </c>
      <c r="AL45" t="str">
        <f t="shared" si="16"/>
        <v/>
      </c>
      <c r="AM45" t="str">
        <f t="shared" si="17"/>
        <v/>
      </c>
      <c r="AN45" t="str">
        <f t="shared" si="18"/>
        <v/>
      </c>
      <c r="AO45">
        <f t="shared" si="19"/>
        <v>0</v>
      </c>
      <c r="CM45" t="s">
        <v>662</v>
      </c>
    </row>
    <row r="46" spans="1:91" x14ac:dyDescent="0.4">
      <c r="A46" t="str">
        <f>IF($CM$6=0,"",IF(INDEX('⑩ 원문 보관'!$A:$E,$CM$6+ROW()-9,COLUMN())="","",INDEX('⑩ 원문 보관'!$A:$E,$CM$6+ROW()-9,COLUMN())))</f>
        <v xml:space="preserve">111857.0  51389.45 96 </v>
      </c>
      <c r="B46" t="str">
        <f>IF($CM$6=0,"",IF(INDEX('⑩ 원문 보관'!$A:$E,$CM$6+ROW()-9,COLUMN())="","",INDEX('⑩ 원문 보관'!$A:$E,$CM$6+ROW()-9,COLUMN())))</f>
        <v xml:space="preserve">/Gem Systems GSM-19T 4106808 v7.0 26 IX 2014 M t-e2l..v7o                         </v>
      </c>
      <c r="C46" t="str">
        <f>IF($CM$6=0,"",IF(INDEX('⑩ 원문 보관'!$A:$E,$CM$6+ROW()-9,COLUMN())="","",INDEX('⑩ 원문 보관'!$A:$E,$CM$6+ROW()-9,COLUMN())))</f>
        <v/>
      </c>
      <c r="D46" t="str">
        <f>IF($CM$6=0,"",IF(INDEX('⑩ 원문 보관'!$A:$E,$CM$6+ROW()-9,COLUMN())="","",INDEX('⑩ 원문 보관'!$A:$E,$CM$6+ROW()-9,COLUMN())))</f>
        <v xml:space="preserve">/Gem Systems GSM-19T 4106808 v7.0 26 IX 2014 M t-e2l..v7o                         </v>
      </c>
      <c r="E46" t="str">
        <f>IF($CM$6=0,"",IF(INDEX('⑩ 원문 보관'!$A:$E,$CM$6+ROW()-9,COLUMN())="","",INDEX('⑩ 원문 보관'!$A:$E,$CM$6+ROW()-9,COLUMN())))</f>
        <v xml:space="preserve">/Gem Systems GSM-19T 4106808 v7.0 26 IX 2014 M t-e2l..v7o                         </v>
      </c>
      <c r="Q46">
        <f t="shared" si="45"/>
        <v>1</v>
      </c>
      <c r="R46">
        <f t="shared" si="0"/>
        <v>111857</v>
      </c>
      <c r="S46">
        <f t="shared" si="1"/>
        <v>51389.45</v>
      </c>
      <c r="T46" t="str">
        <f t="shared" si="2"/>
        <v>96</v>
      </c>
      <c r="U46">
        <f t="shared" si="3"/>
        <v>1</v>
      </c>
      <c r="V46">
        <f t="shared" si="46"/>
        <v>1</v>
      </c>
      <c r="W46" t="str">
        <f t="shared" si="4"/>
        <v/>
      </c>
      <c r="X46" t="str">
        <f t="shared" si="5"/>
        <v/>
      </c>
      <c r="Y46" t="str">
        <f t="shared" si="6"/>
        <v>GSM-19T</v>
      </c>
      <c r="Z46">
        <f t="shared" si="7"/>
        <v>0</v>
      </c>
      <c r="AA46">
        <f t="shared" si="47"/>
        <v>1</v>
      </c>
      <c r="AB46" t="str">
        <f t="shared" si="8"/>
        <v/>
      </c>
      <c r="AC46" t="str">
        <f t="shared" si="9"/>
        <v/>
      </c>
      <c r="AD46" t="str">
        <f t="shared" si="10"/>
        <v/>
      </c>
      <c r="AE46">
        <f t="shared" si="11"/>
        <v>0</v>
      </c>
      <c r="AF46">
        <f t="shared" si="48"/>
        <v>1</v>
      </c>
      <c r="AG46" t="str">
        <f t="shared" si="12"/>
        <v/>
      </c>
      <c r="AH46" t="str">
        <f t="shared" si="13"/>
        <v/>
      </c>
      <c r="AI46" t="str">
        <f t="shared" si="14"/>
        <v>GSM-19T</v>
      </c>
      <c r="AJ46">
        <f t="shared" si="15"/>
        <v>0</v>
      </c>
      <c r="AK46">
        <f t="shared" si="49"/>
        <v>1</v>
      </c>
      <c r="AL46" t="str">
        <f t="shared" si="16"/>
        <v/>
      </c>
      <c r="AM46" t="str">
        <f t="shared" si="17"/>
        <v/>
      </c>
      <c r="AN46" t="str">
        <f t="shared" si="18"/>
        <v>GSM-19T</v>
      </c>
      <c r="AO46">
        <f t="shared" si="19"/>
        <v>0</v>
      </c>
      <c r="CM46" t="s">
        <v>663</v>
      </c>
    </row>
    <row r="47" spans="1:91" x14ac:dyDescent="0.4">
      <c r="A47" t="str">
        <f>IF($CM$6=0,"",IF(INDEX('⑩ 원문 보관'!$A:$E,$CM$6+ROW()-9,COLUMN())="","",INDEX('⑩ 원문 보관'!$A:$E,$CM$6+ROW()-9,COLUMN())))</f>
        <v xml:space="preserve">111902.0  51389.68 96 </v>
      </c>
      <c r="B47" t="str">
        <f>IF($CM$6=0,"",IF(INDEX('⑩ 원문 보관'!$A:$E,$CM$6+ROW()-9,COLUMN())="","",INDEX('⑩ 원문 보관'!$A:$E,$CM$6+ROW()-9,COLUMN())))</f>
        <v>/ID 2666 file 10survey.b   21 IX 26</v>
      </c>
      <c r="C47" t="str">
        <f>IF($CM$6=0,"",IF(INDEX('⑩ 원문 보관'!$A:$E,$CM$6+ROW()-9,COLUMN())="","",INDEX('⑩ 원문 보관'!$A:$E,$CM$6+ROW()-9,COLUMN())))</f>
        <v xml:space="preserve">/time nT sq </v>
      </c>
      <c r="D47" t="str">
        <f>IF($CM$6=0,"",IF(INDEX('⑩ 원문 보관'!$A:$E,$CM$6+ROW()-9,COLUMN())="","",INDEX('⑩ 원문 보관'!$A:$E,$CM$6+ROW()-9,COLUMN())))</f>
        <v>/ID 2666 file 29survey.b   21 IX 26</v>
      </c>
      <c r="E47" t="str">
        <f>IF($CM$6=0,"",IF(INDEX('⑩ 원문 보관'!$A:$E,$CM$6+ROW()-9,COLUMN())="","",INDEX('⑩ 원문 보관'!$A:$E,$CM$6+ROW()-9,COLUMN())))</f>
        <v>/ID 2666 file 39survey.b   21 IX 26</v>
      </c>
      <c r="Q47">
        <f t="shared" si="45"/>
        <v>1</v>
      </c>
      <c r="R47">
        <f t="shared" si="0"/>
        <v>111902</v>
      </c>
      <c r="S47">
        <f t="shared" si="1"/>
        <v>51389.68</v>
      </c>
      <c r="T47" t="str">
        <f t="shared" si="2"/>
        <v>96</v>
      </c>
      <c r="U47">
        <f t="shared" si="3"/>
        <v>1</v>
      </c>
      <c r="V47">
        <f t="shared" si="46"/>
        <v>1</v>
      </c>
      <c r="W47" t="str">
        <f t="shared" si="4"/>
        <v/>
      </c>
      <c r="X47">
        <f t="shared" si="5"/>
        <v>2666</v>
      </c>
      <c r="Y47" t="str">
        <f t="shared" si="6"/>
        <v>file</v>
      </c>
      <c r="Z47">
        <f t="shared" si="7"/>
        <v>0</v>
      </c>
      <c r="AA47">
        <f t="shared" si="47"/>
        <v>2</v>
      </c>
      <c r="AB47" t="str">
        <f t="shared" si="8"/>
        <v/>
      </c>
      <c r="AC47" t="str">
        <f t="shared" si="9"/>
        <v/>
      </c>
      <c r="AD47" t="str">
        <f t="shared" si="10"/>
        <v>sq</v>
      </c>
      <c r="AE47">
        <f t="shared" si="11"/>
        <v>0</v>
      </c>
      <c r="AF47">
        <f t="shared" si="48"/>
        <v>1</v>
      </c>
      <c r="AG47" t="str">
        <f t="shared" si="12"/>
        <v/>
      </c>
      <c r="AH47">
        <f t="shared" si="13"/>
        <v>2666</v>
      </c>
      <c r="AI47" t="str">
        <f t="shared" si="14"/>
        <v>file</v>
      </c>
      <c r="AJ47">
        <f t="shared" si="15"/>
        <v>0</v>
      </c>
      <c r="AK47">
        <f t="shared" si="49"/>
        <v>1</v>
      </c>
      <c r="AL47" t="str">
        <f t="shared" si="16"/>
        <v/>
      </c>
      <c r="AM47">
        <f t="shared" si="17"/>
        <v>2666</v>
      </c>
      <c r="AN47" t="str">
        <f t="shared" si="18"/>
        <v>file</v>
      </c>
      <c r="AO47">
        <f t="shared" si="19"/>
        <v>0</v>
      </c>
      <c r="CM47" t="s">
        <v>664</v>
      </c>
    </row>
    <row r="48" spans="1:91" x14ac:dyDescent="0.4">
      <c r="A48" t="str">
        <f>IF($CM$6=0,"",IF(INDEX('⑩ 원문 보관'!$A:$E,$CM$6+ROW()-9,COLUMN())="","",INDEX('⑩ 원문 보관'!$A:$E,$CM$6+ROW()-9,COLUMN())))</f>
        <v xml:space="preserve">111907.0  51388.80 96 </v>
      </c>
      <c r="B48" t="str">
        <f>IF($CM$6=0,"",IF(INDEX('⑩ 원문 보관'!$A:$E,$CM$6+ROW()-9,COLUMN())="","",INDEX('⑩ 원문 보관'!$A:$E,$CM$6+ROW()-9,COLUMN())))</f>
        <v>/datum  57000.00</v>
      </c>
      <c r="C48" t="str">
        <f>IF($CM$6=0,"",IF(INDEX('⑩ 원문 보관'!$A:$E,$CM$6+ROW()-9,COLUMN())="","",INDEX('⑩ 원문 보관'!$A:$E,$CM$6+ROW()-9,COLUMN())))</f>
        <v xml:space="preserve">122117.0  51367.96 95 </v>
      </c>
      <c r="D48" t="str">
        <f>IF($CM$6=0,"",IF(INDEX('⑩ 원문 보관'!$A:$E,$CM$6+ROW()-9,COLUMN())="","",INDEX('⑩ 원문 보관'!$A:$E,$CM$6+ROW()-9,COLUMN())))</f>
        <v>/datum  57000.00</v>
      </c>
      <c r="E48" t="str">
        <f>IF($CM$6=0,"",IF(INDEX('⑩ 원문 보관'!$A:$E,$CM$6+ROW()-9,COLUMN())="","",INDEX('⑩ 원문 보관'!$A:$E,$CM$6+ROW()-9,COLUMN())))</f>
        <v>/datum  57000.00</v>
      </c>
      <c r="Q48">
        <f t="shared" si="45"/>
        <v>1</v>
      </c>
      <c r="R48">
        <f t="shared" si="0"/>
        <v>111907</v>
      </c>
      <c r="S48">
        <f t="shared" si="1"/>
        <v>51388.800000000003</v>
      </c>
      <c r="T48" t="str">
        <f t="shared" si="2"/>
        <v>96</v>
      </c>
      <c r="U48">
        <f t="shared" si="3"/>
        <v>1</v>
      </c>
      <c r="V48">
        <f t="shared" si="46"/>
        <v>1</v>
      </c>
      <c r="W48" t="str">
        <f t="shared" si="4"/>
        <v/>
      </c>
      <c r="X48">
        <f t="shared" si="5"/>
        <v>57000</v>
      </c>
      <c r="Y48" t="str">
        <f t="shared" si="6"/>
        <v/>
      </c>
      <c r="Z48">
        <f t="shared" si="7"/>
        <v>0</v>
      </c>
      <c r="AA48">
        <f t="shared" si="47"/>
        <v>2</v>
      </c>
      <c r="AB48">
        <f t="shared" si="8"/>
        <v>122117</v>
      </c>
      <c r="AC48">
        <f t="shared" si="9"/>
        <v>51367.96</v>
      </c>
      <c r="AD48" t="str">
        <f t="shared" si="10"/>
        <v>95</v>
      </c>
      <c r="AE48">
        <f t="shared" si="11"/>
        <v>1</v>
      </c>
      <c r="AF48">
        <f t="shared" si="48"/>
        <v>1</v>
      </c>
      <c r="AG48" t="str">
        <f t="shared" si="12"/>
        <v/>
      </c>
      <c r="AH48">
        <f t="shared" si="13"/>
        <v>57000</v>
      </c>
      <c r="AI48" t="str">
        <f t="shared" si="14"/>
        <v/>
      </c>
      <c r="AJ48">
        <f t="shared" si="15"/>
        <v>0</v>
      </c>
      <c r="AK48">
        <f t="shared" si="49"/>
        <v>1</v>
      </c>
      <c r="AL48" t="str">
        <f t="shared" si="16"/>
        <v/>
      </c>
      <c r="AM48">
        <f t="shared" si="17"/>
        <v>57000</v>
      </c>
      <c r="AN48" t="str">
        <f t="shared" si="18"/>
        <v/>
      </c>
      <c r="AO48">
        <f t="shared" si="19"/>
        <v>0</v>
      </c>
      <c r="CM48" t="s">
        <v>665</v>
      </c>
    </row>
    <row r="49" spans="1:91" x14ac:dyDescent="0.4">
      <c r="A49" t="str">
        <f>IF($CM$6=0,"",IF(INDEX('⑩ 원문 보관'!$A:$E,$CM$6+ROW()-9,COLUMN())="","",INDEX('⑩ 원문 보관'!$A:$E,$CM$6+ROW()-9,COLUMN())))</f>
        <v/>
      </c>
      <c r="B49" t="str">
        <f>IF($CM$6=0,"",IF(INDEX('⑩ 원문 보관'!$A:$E,$CM$6+ROW()-9,COLUMN())="","",INDEX('⑩ 원문 보관'!$A:$E,$CM$6+ROW()-9,COLUMN())))</f>
        <v>/</v>
      </c>
      <c r="C49" t="str">
        <f>IF($CM$6=0,"",IF(INDEX('⑩ 원문 보관'!$A:$E,$CM$6+ROW()-9,COLUMN())="","",INDEX('⑩ 원문 보관'!$A:$E,$CM$6+ROW()-9,COLUMN())))</f>
        <v xml:space="preserve">122122.0  51368.29 94 </v>
      </c>
      <c r="D49" t="str">
        <f>IF($CM$6=0,"",IF(INDEX('⑩ 원문 보관'!$A:$E,$CM$6+ROW()-9,COLUMN())="","",INDEX('⑩ 원문 보관'!$A:$E,$CM$6+ROW()-9,COLUMN())))</f>
        <v>/</v>
      </c>
      <c r="E49" t="str">
        <f>IF($CM$6=0,"",IF(INDEX('⑩ 원문 보관'!$A:$E,$CM$6+ROW()-9,COLUMN())="","",INDEX('⑩ 원문 보관'!$A:$E,$CM$6+ROW()-9,COLUMN())))</f>
        <v>/</v>
      </c>
      <c r="Q49">
        <f t="shared" si="45"/>
        <v>1</v>
      </c>
      <c r="R49" t="str">
        <f t="shared" si="0"/>
        <v/>
      </c>
      <c r="S49" t="str">
        <f t="shared" si="1"/>
        <v/>
      </c>
      <c r="T49" t="str">
        <f t="shared" si="2"/>
        <v/>
      </c>
      <c r="U49">
        <f t="shared" si="3"/>
        <v>0</v>
      </c>
      <c r="V49">
        <f t="shared" si="46"/>
        <v>1</v>
      </c>
      <c r="W49" t="str">
        <f t="shared" si="4"/>
        <v/>
      </c>
      <c r="X49" t="str">
        <f t="shared" si="5"/>
        <v/>
      </c>
      <c r="Y49" t="str">
        <f t="shared" si="6"/>
        <v/>
      </c>
      <c r="Z49">
        <f t="shared" si="7"/>
        <v>0</v>
      </c>
      <c r="AA49">
        <f t="shared" si="47"/>
        <v>2</v>
      </c>
      <c r="AB49">
        <f t="shared" si="8"/>
        <v>122122</v>
      </c>
      <c r="AC49">
        <f t="shared" si="9"/>
        <v>51368.29</v>
      </c>
      <c r="AD49" t="str">
        <f t="shared" si="10"/>
        <v>94</v>
      </c>
      <c r="AE49">
        <f t="shared" si="11"/>
        <v>1</v>
      </c>
      <c r="AF49">
        <f t="shared" si="48"/>
        <v>1</v>
      </c>
      <c r="AG49" t="str">
        <f t="shared" si="12"/>
        <v/>
      </c>
      <c r="AH49" t="str">
        <f t="shared" si="13"/>
        <v/>
      </c>
      <c r="AI49" t="str">
        <f t="shared" si="14"/>
        <v/>
      </c>
      <c r="AJ49">
        <f t="shared" si="15"/>
        <v>0</v>
      </c>
      <c r="AK49">
        <f t="shared" si="49"/>
        <v>1</v>
      </c>
      <c r="AL49" t="str">
        <f t="shared" si="16"/>
        <v/>
      </c>
      <c r="AM49" t="str">
        <f t="shared" si="17"/>
        <v/>
      </c>
      <c r="AN49" t="str">
        <f t="shared" si="18"/>
        <v/>
      </c>
      <c r="AO49">
        <f t="shared" si="19"/>
        <v>0</v>
      </c>
      <c r="CM49" t="s">
        <v>666</v>
      </c>
    </row>
    <row r="50" spans="1:91" x14ac:dyDescent="0.4">
      <c r="A50" t="str">
        <f>IF($CM$6=0,"",IF(INDEX('⑩ 원문 보관'!$A:$E,$CM$6+ROW()-9,COLUMN())="","",INDEX('⑩ 원문 보관'!$A:$E,$CM$6+ROW()-9,COLUMN())))</f>
        <v/>
      </c>
      <c r="B50" t="str">
        <f>IF($CM$6=0,"",IF(INDEX('⑩ 원문 보관'!$A:$E,$CM$6+ROW()-9,COLUMN())="","",INDEX('⑩ 원문 보관'!$A:$E,$CM$6+ROW()-9,COLUMN())))</f>
        <v/>
      </c>
      <c r="C50" t="str">
        <f>IF($CM$6=0,"",IF(INDEX('⑩ 원문 보관'!$A:$E,$CM$6+ROW()-9,COLUMN())="","",INDEX('⑩ 원문 보관'!$A:$E,$CM$6+ROW()-9,COLUMN())))</f>
        <v xml:space="preserve">122127.0  51368.29 95 </v>
      </c>
      <c r="D50" t="str">
        <f>IF($CM$6=0,"",IF(INDEX('⑩ 원문 보관'!$A:$E,$CM$6+ROW()-9,COLUMN())="","",INDEX('⑩ 원문 보관'!$A:$E,$CM$6+ROW()-9,COLUMN())))</f>
        <v/>
      </c>
      <c r="E50" t="str">
        <f>IF($CM$6=0,"",IF(INDEX('⑩ 원문 보관'!$A:$E,$CM$6+ROW()-9,COLUMN())="","",INDEX('⑩ 원문 보관'!$A:$E,$CM$6+ROW()-9,COLUMN())))</f>
        <v/>
      </c>
      <c r="Q50">
        <f t="shared" si="45"/>
        <v>1</v>
      </c>
      <c r="R50" t="str">
        <f t="shared" si="0"/>
        <v/>
      </c>
      <c r="S50" t="str">
        <f t="shared" si="1"/>
        <v/>
      </c>
      <c r="T50" t="str">
        <f t="shared" si="2"/>
        <v/>
      </c>
      <c r="U50">
        <f t="shared" si="3"/>
        <v>0</v>
      </c>
      <c r="V50">
        <f t="shared" si="46"/>
        <v>1</v>
      </c>
      <c r="W50" t="str">
        <f t="shared" si="4"/>
        <v/>
      </c>
      <c r="X50" t="str">
        <f t="shared" si="5"/>
        <v/>
      </c>
      <c r="Y50" t="str">
        <f t="shared" si="6"/>
        <v/>
      </c>
      <c r="Z50">
        <f t="shared" si="7"/>
        <v>0</v>
      </c>
      <c r="AA50">
        <f t="shared" si="47"/>
        <v>2</v>
      </c>
      <c r="AB50">
        <f t="shared" si="8"/>
        <v>122127</v>
      </c>
      <c r="AC50">
        <f t="shared" si="9"/>
        <v>51368.29</v>
      </c>
      <c r="AD50" t="str">
        <f t="shared" si="10"/>
        <v>95</v>
      </c>
      <c r="AE50">
        <f t="shared" si="11"/>
        <v>1</v>
      </c>
      <c r="AF50">
        <f t="shared" si="48"/>
        <v>1</v>
      </c>
      <c r="AG50" t="str">
        <f t="shared" si="12"/>
        <v/>
      </c>
      <c r="AH50" t="str">
        <f t="shared" si="13"/>
        <v/>
      </c>
      <c r="AI50" t="str">
        <f t="shared" si="14"/>
        <v/>
      </c>
      <c r="AJ50">
        <f t="shared" si="15"/>
        <v>0</v>
      </c>
      <c r="AK50">
        <f t="shared" si="49"/>
        <v>1</v>
      </c>
      <c r="AL50" t="str">
        <f t="shared" si="16"/>
        <v/>
      </c>
      <c r="AM50" t="str">
        <f t="shared" si="17"/>
        <v/>
      </c>
      <c r="AN50" t="str">
        <f t="shared" si="18"/>
        <v/>
      </c>
      <c r="AO50">
        <f t="shared" si="19"/>
        <v>0</v>
      </c>
      <c r="CM50" t="s">
        <v>667</v>
      </c>
    </row>
    <row r="51" spans="1:91" x14ac:dyDescent="0.4">
      <c r="A51" t="str">
        <f>IF($CM$6=0,"",IF(INDEX('⑩ 원문 보관'!$A:$E,$CM$6+ROW()-9,COLUMN())="","",INDEX('⑩ 원문 보관'!$A:$E,$CM$6+ROW()-9,COLUMN())))</f>
        <v xml:space="preserve">/Gem Systems GSM-19T 4106808 v7.0 26 IX 2014 M t-e2l..v7o                         </v>
      </c>
      <c r="B51" t="str">
        <f>IF($CM$6=0,"",IF(INDEX('⑩ 원문 보관'!$A:$E,$CM$6+ROW()-9,COLUMN())="","",INDEX('⑩ 원문 보관'!$A:$E,$CM$6+ROW()-9,COLUMN())))</f>
        <v xml:space="preserve">/time nT sq </v>
      </c>
      <c r="C51" t="str">
        <f>IF($CM$6=0,"",IF(INDEX('⑩ 원문 보관'!$A:$E,$CM$6+ROW()-9,COLUMN())="","",INDEX('⑩ 원문 보관'!$A:$E,$CM$6+ROW()-9,COLUMN())))</f>
        <v xml:space="preserve">122132.0  51368.08 94 </v>
      </c>
      <c r="D51" t="str">
        <f>IF($CM$6=0,"",IF(INDEX('⑩ 원문 보관'!$A:$E,$CM$6+ROW()-9,COLUMN())="","",INDEX('⑩ 원문 보관'!$A:$E,$CM$6+ROW()-9,COLUMN())))</f>
        <v xml:space="preserve">/time nT sq </v>
      </c>
      <c r="E51" t="str">
        <f>IF($CM$6=0,"",IF(INDEX('⑩ 원문 보관'!$A:$E,$CM$6+ROW()-9,COLUMN())="","",INDEX('⑩ 원문 보관'!$A:$E,$CM$6+ROW()-9,COLUMN())))</f>
        <v xml:space="preserve">/time nT sq </v>
      </c>
      <c r="Q51">
        <f t="shared" si="45"/>
        <v>1</v>
      </c>
      <c r="R51" t="str">
        <f t="shared" si="0"/>
        <v/>
      </c>
      <c r="S51" t="str">
        <f t="shared" si="1"/>
        <v/>
      </c>
      <c r="T51" t="str">
        <f t="shared" si="2"/>
        <v>GSM-19T</v>
      </c>
      <c r="U51">
        <f t="shared" si="3"/>
        <v>0</v>
      </c>
      <c r="V51">
        <f t="shared" si="46"/>
        <v>2</v>
      </c>
      <c r="W51" t="str">
        <f t="shared" si="4"/>
        <v/>
      </c>
      <c r="X51" t="str">
        <f t="shared" si="5"/>
        <v/>
      </c>
      <c r="Y51" t="str">
        <f t="shared" si="6"/>
        <v>sq</v>
      </c>
      <c r="Z51">
        <f t="shared" si="7"/>
        <v>0</v>
      </c>
      <c r="AA51">
        <f t="shared" si="47"/>
        <v>2</v>
      </c>
      <c r="AB51">
        <f t="shared" si="8"/>
        <v>122132</v>
      </c>
      <c r="AC51">
        <f t="shared" si="9"/>
        <v>51368.08</v>
      </c>
      <c r="AD51" t="str">
        <f t="shared" si="10"/>
        <v>94</v>
      </c>
      <c r="AE51">
        <f t="shared" si="11"/>
        <v>1</v>
      </c>
      <c r="AF51">
        <f t="shared" si="48"/>
        <v>2</v>
      </c>
      <c r="AG51" t="str">
        <f t="shared" si="12"/>
        <v/>
      </c>
      <c r="AH51" t="str">
        <f t="shared" si="13"/>
        <v/>
      </c>
      <c r="AI51" t="str">
        <f t="shared" si="14"/>
        <v>sq</v>
      </c>
      <c r="AJ51">
        <f t="shared" si="15"/>
        <v>0</v>
      </c>
      <c r="AK51">
        <f t="shared" si="49"/>
        <v>2</v>
      </c>
      <c r="AL51" t="str">
        <f t="shared" si="16"/>
        <v/>
      </c>
      <c r="AM51" t="str">
        <f t="shared" si="17"/>
        <v/>
      </c>
      <c r="AN51" t="str">
        <f t="shared" si="18"/>
        <v>sq</v>
      </c>
      <c r="AO51">
        <f t="shared" si="19"/>
        <v>0</v>
      </c>
      <c r="CM51" t="s">
        <v>668</v>
      </c>
    </row>
    <row r="52" spans="1:91" x14ac:dyDescent="0.4">
      <c r="A52" t="str">
        <f>IF($CM$6=0,"",IF(INDEX('⑩ 원문 보관'!$A:$E,$CM$6+ROW()-9,COLUMN())="","",INDEX('⑩ 원문 보관'!$A:$E,$CM$6+ROW()-9,COLUMN())))</f>
        <v>/ID 2666 file 02survey.b   21 IX 26</v>
      </c>
      <c r="B52" t="str">
        <f>IF($CM$6=0,"",IF(INDEX('⑩ 원문 보관'!$A:$E,$CM$6+ROW()-9,COLUMN())="","",INDEX('⑩ 원문 보관'!$A:$E,$CM$6+ROW()-9,COLUMN())))</f>
        <v xml:space="preserve">114357.0  51409.89 54 </v>
      </c>
      <c r="C52" t="str">
        <f>IF($CM$6=0,"",IF(INDEX('⑩ 원문 보관'!$A:$E,$CM$6+ROW()-9,COLUMN())="","",INDEX('⑩ 원문 보관'!$A:$E,$CM$6+ROW()-9,COLUMN())))</f>
        <v xml:space="preserve">122137.0  51368.47 95 </v>
      </c>
      <c r="D52" t="str">
        <f>IF($CM$6=0,"",IF(INDEX('⑩ 원문 보관'!$A:$E,$CM$6+ROW()-9,COLUMN())="","",INDEX('⑩ 원문 보관'!$A:$E,$CM$6+ROW()-9,COLUMN())))</f>
        <v xml:space="preserve">123817.0  51454.66 98 </v>
      </c>
      <c r="E52" t="str">
        <f>IF($CM$6=0,"",IF(INDEX('⑩ 원문 보관'!$A:$E,$CM$6+ROW()-9,COLUMN())="","",INDEX('⑩ 원문 보관'!$A:$E,$CM$6+ROW()-9,COLUMN())))</f>
        <v xml:space="preserve">130722.0  51400.07 73 </v>
      </c>
      <c r="Q52">
        <f t="shared" si="45"/>
        <v>1</v>
      </c>
      <c r="R52" t="str">
        <f t="shared" si="0"/>
        <v/>
      </c>
      <c r="S52">
        <f t="shared" si="1"/>
        <v>2666</v>
      </c>
      <c r="T52" t="str">
        <f t="shared" si="2"/>
        <v>file</v>
      </c>
      <c r="U52">
        <f t="shared" si="3"/>
        <v>0</v>
      </c>
      <c r="V52">
        <f t="shared" si="46"/>
        <v>2</v>
      </c>
      <c r="W52">
        <f t="shared" si="4"/>
        <v>114357</v>
      </c>
      <c r="X52">
        <f t="shared" si="5"/>
        <v>51409.89</v>
      </c>
      <c r="Y52" t="str">
        <f t="shared" si="6"/>
        <v>54</v>
      </c>
      <c r="Z52">
        <f t="shared" si="7"/>
        <v>1</v>
      </c>
      <c r="AA52">
        <f t="shared" si="47"/>
        <v>2</v>
      </c>
      <c r="AB52">
        <f t="shared" si="8"/>
        <v>122137</v>
      </c>
      <c r="AC52">
        <f t="shared" si="9"/>
        <v>51368.47</v>
      </c>
      <c r="AD52" t="str">
        <f t="shared" si="10"/>
        <v>95</v>
      </c>
      <c r="AE52">
        <f t="shared" si="11"/>
        <v>1</v>
      </c>
      <c r="AF52">
        <f t="shared" si="48"/>
        <v>2</v>
      </c>
      <c r="AG52">
        <f t="shared" si="12"/>
        <v>123817</v>
      </c>
      <c r="AH52">
        <f t="shared" si="13"/>
        <v>51454.66</v>
      </c>
      <c r="AI52" t="str">
        <f t="shared" si="14"/>
        <v>98</v>
      </c>
      <c r="AJ52">
        <f t="shared" si="15"/>
        <v>1</v>
      </c>
      <c r="AK52">
        <f t="shared" si="49"/>
        <v>2</v>
      </c>
      <c r="AL52">
        <f t="shared" si="16"/>
        <v>130722</v>
      </c>
      <c r="AM52">
        <f t="shared" si="17"/>
        <v>51400.07</v>
      </c>
      <c r="AN52" t="str">
        <f t="shared" si="18"/>
        <v>73</v>
      </c>
      <c r="AO52">
        <f t="shared" si="19"/>
        <v>1</v>
      </c>
      <c r="CM52" t="s">
        <v>669</v>
      </c>
    </row>
    <row r="53" spans="1:91" x14ac:dyDescent="0.4">
      <c r="A53" t="str">
        <f>IF($CM$6=0,"",IF(INDEX('⑩ 원문 보관'!$A:$E,$CM$6+ROW()-9,COLUMN())="","",INDEX('⑩ 원문 보관'!$A:$E,$CM$6+ROW()-9,COLUMN())))</f>
        <v>/datum  57000.00</v>
      </c>
      <c r="B53" t="str">
        <f>IF($CM$6=0,"",IF(INDEX('⑩ 원문 보관'!$A:$E,$CM$6+ROW()-9,COLUMN())="","",INDEX('⑩ 원문 보관'!$A:$E,$CM$6+ROW()-9,COLUMN())))</f>
        <v xml:space="preserve">114402.0  51409.65 54 </v>
      </c>
      <c r="C53" t="str">
        <f>IF($CM$6=0,"",IF(INDEX('⑩ 원문 보관'!$A:$E,$CM$6+ROW()-9,COLUMN())="","",INDEX('⑩ 원문 보관'!$A:$E,$CM$6+ROW()-9,COLUMN())))</f>
        <v xml:space="preserve">122142.0  51368.14 95 </v>
      </c>
      <c r="D53" t="str">
        <f>IF($CM$6=0,"",IF(INDEX('⑩ 원문 보관'!$A:$E,$CM$6+ROW()-9,COLUMN())="","",INDEX('⑩ 원문 보관'!$A:$E,$CM$6+ROW()-9,COLUMN())))</f>
        <v xml:space="preserve">123822.0  51454.96 98 </v>
      </c>
      <c r="E53" t="str">
        <f>IF($CM$6=0,"",IF(INDEX('⑩ 원문 보관'!$A:$E,$CM$6+ROW()-9,COLUMN())="","",INDEX('⑩ 원문 보관'!$A:$E,$CM$6+ROW()-9,COLUMN())))</f>
        <v xml:space="preserve">130727.0  51399.59 33 </v>
      </c>
      <c r="Q53">
        <f t="shared" si="45"/>
        <v>1</v>
      </c>
      <c r="R53" t="str">
        <f t="shared" si="0"/>
        <v/>
      </c>
      <c r="S53">
        <f t="shared" si="1"/>
        <v>57000</v>
      </c>
      <c r="T53" t="str">
        <f t="shared" si="2"/>
        <v/>
      </c>
      <c r="U53">
        <f t="shared" si="3"/>
        <v>0</v>
      </c>
      <c r="V53">
        <f t="shared" si="46"/>
        <v>2</v>
      </c>
      <c r="W53">
        <f t="shared" si="4"/>
        <v>114402</v>
      </c>
      <c r="X53">
        <f t="shared" si="5"/>
        <v>51409.65</v>
      </c>
      <c r="Y53" t="str">
        <f t="shared" si="6"/>
        <v>54</v>
      </c>
      <c r="Z53">
        <f t="shared" si="7"/>
        <v>1</v>
      </c>
      <c r="AA53">
        <f t="shared" si="47"/>
        <v>2</v>
      </c>
      <c r="AB53">
        <f t="shared" si="8"/>
        <v>122142</v>
      </c>
      <c r="AC53">
        <f t="shared" si="9"/>
        <v>51368.14</v>
      </c>
      <c r="AD53" t="str">
        <f t="shared" si="10"/>
        <v>95</v>
      </c>
      <c r="AE53">
        <f t="shared" si="11"/>
        <v>1</v>
      </c>
      <c r="AF53">
        <f t="shared" si="48"/>
        <v>2</v>
      </c>
      <c r="AG53">
        <f t="shared" si="12"/>
        <v>123822</v>
      </c>
      <c r="AH53">
        <f t="shared" si="13"/>
        <v>51454.96</v>
      </c>
      <c r="AI53" t="str">
        <f t="shared" si="14"/>
        <v>98</v>
      </c>
      <c r="AJ53">
        <f t="shared" si="15"/>
        <v>1</v>
      </c>
      <c r="AK53">
        <f t="shared" si="49"/>
        <v>2</v>
      </c>
      <c r="AL53">
        <f t="shared" si="16"/>
        <v>130727</v>
      </c>
      <c r="AM53">
        <f t="shared" si="17"/>
        <v>51399.59</v>
      </c>
      <c r="AN53" t="str">
        <f t="shared" si="18"/>
        <v>33</v>
      </c>
      <c r="AO53">
        <f t="shared" si="19"/>
        <v>1</v>
      </c>
      <c r="CM53" t="s">
        <v>670</v>
      </c>
    </row>
    <row r="54" spans="1:91" x14ac:dyDescent="0.4">
      <c r="A54" t="str">
        <f>IF($CM$6=0,"",IF(INDEX('⑩ 원문 보관'!$A:$E,$CM$6+ROW()-9,COLUMN())="","",INDEX('⑩ 원문 보관'!$A:$E,$CM$6+ROW()-9,COLUMN())))</f>
        <v>/</v>
      </c>
      <c r="B54" t="str">
        <f>IF($CM$6=0,"",IF(INDEX('⑩ 원문 보관'!$A:$E,$CM$6+ROW()-9,COLUMN())="","",INDEX('⑩ 원문 보관'!$A:$E,$CM$6+ROW()-9,COLUMN())))</f>
        <v xml:space="preserve">114407.0  51408.10 44 </v>
      </c>
      <c r="C54" t="str">
        <f>IF($CM$6=0,"",IF(INDEX('⑩ 원문 보관'!$A:$E,$CM$6+ROW()-9,COLUMN())="","",INDEX('⑩ 원문 보관'!$A:$E,$CM$6+ROW()-9,COLUMN())))</f>
        <v xml:space="preserve">122147.0  51368.89 94 </v>
      </c>
      <c r="D54" t="str">
        <f>IF($CM$6=0,"",IF(INDEX('⑩ 원문 보관'!$A:$E,$CM$6+ROW()-9,COLUMN())="","",INDEX('⑩ 원문 보관'!$A:$E,$CM$6+ROW()-9,COLUMN())))</f>
        <v xml:space="preserve">123827.0  51454.86 98 </v>
      </c>
      <c r="E54" t="str">
        <f>IF($CM$6=0,"",IF(INDEX('⑩ 원문 보관'!$A:$E,$CM$6+ROW()-9,COLUMN())="","",INDEX('⑩ 원문 보관'!$A:$E,$CM$6+ROW()-9,COLUMN())))</f>
        <v xml:space="preserve">130732.0  51399.56 54 </v>
      </c>
      <c r="Q54">
        <f t="shared" si="45"/>
        <v>1</v>
      </c>
      <c r="R54" t="str">
        <f t="shared" si="0"/>
        <v/>
      </c>
      <c r="S54" t="str">
        <f t="shared" si="1"/>
        <v/>
      </c>
      <c r="T54" t="str">
        <f t="shared" si="2"/>
        <v/>
      </c>
      <c r="U54">
        <f t="shared" si="3"/>
        <v>0</v>
      </c>
      <c r="V54">
        <f t="shared" si="46"/>
        <v>2</v>
      </c>
      <c r="W54">
        <f t="shared" si="4"/>
        <v>114407</v>
      </c>
      <c r="X54">
        <f t="shared" si="5"/>
        <v>51408.1</v>
      </c>
      <c r="Y54" t="str">
        <f t="shared" si="6"/>
        <v>44</v>
      </c>
      <c r="Z54">
        <f t="shared" si="7"/>
        <v>1</v>
      </c>
      <c r="AA54">
        <f t="shared" si="47"/>
        <v>2</v>
      </c>
      <c r="AB54">
        <f t="shared" si="8"/>
        <v>122147</v>
      </c>
      <c r="AC54">
        <f t="shared" si="9"/>
        <v>51368.89</v>
      </c>
      <c r="AD54" t="str">
        <f t="shared" si="10"/>
        <v>94</v>
      </c>
      <c r="AE54">
        <f t="shared" si="11"/>
        <v>1</v>
      </c>
      <c r="AF54">
        <f t="shared" si="48"/>
        <v>2</v>
      </c>
      <c r="AG54">
        <f t="shared" si="12"/>
        <v>123827</v>
      </c>
      <c r="AH54">
        <f t="shared" si="13"/>
        <v>51454.86</v>
      </c>
      <c r="AI54" t="str">
        <f t="shared" si="14"/>
        <v>98</v>
      </c>
      <c r="AJ54">
        <f t="shared" si="15"/>
        <v>1</v>
      </c>
      <c r="AK54">
        <f t="shared" si="49"/>
        <v>2</v>
      </c>
      <c r="AL54">
        <f t="shared" si="16"/>
        <v>130732</v>
      </c>
      <c r="AM54">
        <f t="shared" si="17"/>
        <v>51399.56</v>
      </c>
      <c r="AN54" t="str">
        <f t="shared" si="18"/>
        <v>54</v>
      </c>
      <c r="AO54">
        <f t="shared" si="19"/>
        <v>1</v>
      </c>
      <c r="CM54" t="s">
        <v>671</v>
      </c>
    </row>
    <row r="55" spans="1:91" x14ac:dyDescent="0.4">
      <c r="A55" t="str">
        <f>IF($CM$6=0,"",IF(INDEX('⑩ 원문 보관'!$A:$E,$CM$6+ROW()-9,COLUMN())="","",INDEX('⑩ 원문 보관'!$A:$E,$CM$6+ROW()-9,COLUMN())))</f>
        <v/>
      </c>
      <c r="B55" t="str">
        <f>IF($CM$6=0,"",IF(INDEX('⑩ 원문 보관'!$A:$E,$CM$6+ROW()-9,COLUMN())="","",INDEX('⑩ 원문 보관'!$A:$E,$CM$6+ROW()-9,COLUMN())))</f>
        <v xml:space="preserve">114412.0  51408.94 34 </v>
      </c>
      <c r="C55" t="str">
        <f>IF($CM$6=0,"",IF(INDEX('⑩ 원문 보관'!$A:$E,$CM$6+ROW()-9,COLUMN())="","",INDEX('⑩ 원문 보관'!$A:$E,$CM$6+ROW()-9,COLUMN())))</f>
        <v xml:space="preserve">122152.0  51368.52 84 </v>
      </c>
      <c r="D55" t="str">
        <f>IF($CM$6=0,"",IF(INDEX('⑩ 원문 보관'!$A:$E,$CM$6+ROW()-9,COLUMN())="","",INDEX('⑩ 원문 보관'!$A:$E,$CM$6+ROW()-9,COLUMN())))</f>
        <v xml:space="preserve">123832.0  51454.85 98 </v>
      </c>
      <c r="E55" t="str">
        <f>IF($CM$6=0,"",IF(INDEX('⑩ 원문 보관'!$A:$E,$CM$6+ROW()-9,COLUMN())="","",INDEX('⑩ 원문 보관'!$A:$E,$CM$6+ROW()-9,COLUMN())))</f>
        <v xml:space="preserve">130737.0  51399.01 64 </v>
      </c>
      <c r="Q55">
        <f t="shared" si="45"/>
        <v>1</v>
      </c>
      <c r="R55" t="str">
        <f t="shared" si="0"/>
        <v/>
      </c>
      <c r="S55" t="str">
        <f t="shared" si="1"/>
        <v/>
      </c>
      <c r="T55" t="str">
        <f t="shared" si="2"/>
        <v/>
      </c>
      <c r="U55">
        <f t="shared" si="3"/>
        <v>0</v>
      </c>
      <c r="V55">
        <f t="shared" si="46"/>
        <v>2</v>
      </c>
      <c r="W55">
        <f t="shared" si="4"/>
        <v>114412</v>
      </c>
      <c r="X55">
        <f t="shared" si="5"/>
        <v>51408.94</v>
      </c>
      <c r="Y55" t="str">
        <f t="shared" si="6"/>
        <v>34</v>
      </c>
      <c r="Z55">
        <f t="shared" si="7"/>
        <v>1</v>
      </c>
      <c r="AA55">
        <f t="shared" si="47"/>
        <v>2</v>
      </c>
      <c r="AB55">
        <f t="shared" si="8"/>
        <v>122152</v>
      </c>
      <c r="AC55">
        <f t="shared" si="9"/>
        <v>51368.52</v>
      </c>
      <c r="AD55" t="str">
        <f t="shared" si="10"/>
        <v>84</v>
      </c>
      <c r="AE55">
        <f t="shared" si="11"/>
        <v>1</v>
      </c>
      <c r="AF55">
        <f t="shared" si="48"/>
        <v>2</v>
      </c>
      <c r="AG55">
        <f t="shared" si="12"/>
        <v>123832</v>
      </c>
      <c r="AH55">
        <f t="shared" si="13"/>
        <v>51454.85</v>
      </c>
      <c r="AI55" t="str">
        <f t="shared" si="14"/>
        <v>98</v>
      </c>
      <c r="AJ55">
        <f t="shared" si="15"/>
        <v>1</v>
      </c>
      <c r="AK55">
        <f t="shared" si="49"/>
        <v>2</v>
      </c>
      <c r="AL55">
        <f t="shared" si="16"/>
        <v>130737</v>
      </c>
      <c r="AM55">
        <f t="shared" si="17"/>
        <v>51399.01</v>
      </c>
      <c r="AN55" t="str">
        <f t="shared" si="18"/>
        <v>64</v>
      </c>
      <c r="AO55">
        <f t="shared" si="19"/>
        <v>1</v>
      </c>
      <c r="CM55" t="s">
        <v>672</v>
      </c>
    </row>
    <row r="56" spans="1:91" x14ac:dyDescent="0.4">
      <c r="A56" t="str">
        <f>IF($CM$6=0,"",IF(INDEX('⑩ 원문 보관'!$A:$E,$CM$6+ROW()-9,COLUMN())="","",INDEX('⑩ 원문 보관'!$A:$E,$CM$6+ROW()-9,COLUMN())))</f>
        <v xml:space="preserve">/time nT sq </v>
      </c>
      <c r="B56" t="str">
        <f>IF($CM$6=0,"",IF(INDEX('⑩ 원문 보관'!$A:$E,$CM$6+ROW()-9,COLUMN())="","",INDEX('⑩ 원문 보관'!$A:$E,$CM$6+ROW()-9,COLUMN())))</f>
        <v xml:space="preserve">114417.0  51409.33 84 </v>
      </c>
      <c r="C56" t="str">
        <f>IF($CM$6=0,"",IF(INDEX('⑩ 원문 보관'!$A:$E,$CM$6+ROW()-9,COLUMN())="","",INDEX('⑩ 원문 보관'!$A:$E,$CM$6+ROW()-9,COLUMN())))</f>
        <v xml:space="preserve">122157.0  51368.67 95 </v>
      </c>
      <c r="D56" t="str">
        <f>IF($CM$6=0,"",IF(INDEX('⑩ 원문 보관'!$A:$E,$CM$6+ROW()-9,COLUMN())="","",INDEX('⑩ 원문 보관'!$A:$E,$CM$6+ROW()-9,COLUMN())))</f>
        <v xml:space="preserve">123837.0  51454.85 98 </v>
      </c>
      <c r="E56" t="str">
        <f>IF($CM$6=0,"",IF(INDEX('⑩ 원문 보관'!$A:$E,$CM$6+ROW()-9,COLUMN())="","",INDEX('⑩ 원문 보관'!$A:$E,$CM$6+ROW()-9,COLUMN())))</f>
        <v xml:space="preserve">130742.0  51399.80 53 </v>
      </c>
      <c r="Q56">
        <f t="shared" si="45"/>
        <v>2</v>
      </c>
      <c r="R56" t="str">
        <f t="shared" si="0"/>
        <v/>
      </c>
      <c r="S56" t="str">
        <f t="shared" si="1"/>
        <v/>
      </c>
      <c r="T56" t="str">
        <f t="shared" si="2"/>
        <v>sq</v>
      </c>
      <c r="U56">
        <f t="shared" si="3"/>
        <v>0</v>
      </c>
      <c r="V56">
        <f t="shared" si="46"/>
        <v>2</v>
      </c>
      <c r="W56">
        <f t="shared" si="4"/>
        <v>114417</v>
      </c>
      <c r="X56">
        <f t="shared" si="5"/>
        <v>51409.33</v>
      </c>
      <c r="Y56" t="str">
        <f t="shared" si="6"/>
        <v>84</v>
      </c>
      <c r="Z56">
        <f t="shared" si="7"/>
        <v>1</v>
      </c>
      <c r="AA56">
        <f t="shared" si="47"/>
        <v>2</v>
      </c>
      <c r="AB56">
        <f t="shared" si="8"/>
        <v>122157</v>
      </c>
      <c r="AC56">
        <f t="shared" si="9"/>
        <v>51368.67</v>
      </c>
      <c r="AD56" t="str">
        <f t="shared" si="10"/>
        <v>95</v>
      </c>
      <c r="AE56">
        <f t="shared" si="11"/>
        <v>1</v>
      </c>
      <c r="AF56">
        <f t="shared" si="48"/>
        <v>2</v>
      </c>
      <c r="AG56">
        <f t="shared" si="12"/>
        <v>123837</v>
      </c>
      <c r="AH56">
        <f t="shared" si="13"/>
        <v>51454.85</v>
      </c>
      <c r="AI56" t="str">
        <f t="shared" si="14"/>
        <v>98</v>
      </c>
      <c r="AJ56">
        <f t="shared" si="15"/>
        <v>1</v>
      </c>
      <c r="AK56">
        <f t="shared" si="49"/>
        <v>2</v>
      </c>
      <c r="AL56">
        <f t="shared" si="16"/>
        <v>130742</v>
      </c>
      <c r="AM56">
        <f t="shared" si="17"/>
        <v>51399.8</v>
      </c>
      <c r="AN56" t="str">
        <f t="shared" si="18"/>
        <v>53</v>
      </c>
      <c r="AO56">
        <f t="shared" si="19"/>
        <v>1</v>
      </c>
      <c r="CM56" t="s">
        <v>673</v>
      </c>
    </row>
    <row r="57" spans="1:91" x14ac:dyDescent="0.4">
      <c r="A57" t="str">
        <f>IF($CM$6=0,"",IF(INDEX('⑩ 원문 보관'!$A:$E,$CM$6+ROW()-9,COLUMN())="","",INDEX('⑩ 원문 보관'!$A:$E,$CM$6+ROW()-9,COLUMN())))</f>
        <v xml:space="preserve">111952.0  51361.54 99 </v>
      </c>
      <c r="B57" t="str">
        <f>IF($CM$6=0,"",IF(INDEX('⑩ 원문 보관'!$A:$E,$CM$6+ROW()-9,COLUMN())="","",INDEX('⑩ 원문 보관'!$A:$E,$CM$6+ROW()-9,COLUMN())))</f>
        <v xml:space="preserve">114422.0  51409.43 54 </v>
      </c>
      <c r="C57" t="str">
        <f>IF($CM$6=0,"",IF(INDEX('⑩ 원문 보관'!$A:$E,$CM$6+ROW()-9,COLUMN())="","",INDEX('⑩ 원문 보관'!$A:$E,$CM$6+ROW()-9,COLUMN())))</f>
        <v xml:space="preserve">122202.0  51368.43 95 </v>
      </c>
      <c r="D57" t="str">
        <f>IF($CM$6=0,"",IF(INDEX('⑩ 원문 보관'!$A:$E,$CM$6+ROW()-9,COLUMN())="","",INDEX('⑩ 원문 보관'!$A:$E,$CM$6+ROW()-9,COLUMN())))</f>
        <v xml:space="preserve">123842.0  51454.85 98 </v>
      </c>
      <c r="E57" t="str">
        <f>IF($CM$6=0,"",IF(INDEX('⑩ 원문 보관'!$A:$E,$CM$6+ROW()-9,COLUMN())="","",INDEX('⑩ 원문 보관'!$A:$E,$CM$6+ROW()-9,COLUMN())))</f>
        <v xml:space="preserve">130747.0  51400.39 74 </v>
      </c>
      <c r="Q57">
        <f t="shared" si="45"/>
        <v>2</v>
      </c>
      <c r="R57">
        <f t="shared" si="0"/>
        <v>111952</v>
      </c>
      <c r="S57">
        <f t="shared" si="1"/>
        <v>51361.54</v>
      </c>
      <c r="T57" t="str">
        <f t="shared" si="2"/>
        <v>99</v>
      </c>
      <c r="U57">
        <f t="shared" si="3"/>
        <v>1</v>
      </c>
      <c r="V57">
        <f t="shared" si="46"/>
        <v>2</v>
      </c>
      <c r="W57">
        <f t="shared" si="4"/>
        <v>114422</v>
      </c>
      <c r="X57">
        <f t="shared" si="5"/>
        <v>51409.43</v>
      </c>
      <c r="Y57" t="str">
        <f t="shared" si="6"/>
        <v>54</v>
      </c>
      <c r="Z57">
        <f t="shared" si="7"/>
        <v>1</v>
      </c>
      <c r="AA57">
        <f t="shared" si="47"/>
        <v>2</v>
      </c>
      <c r="AB57">
        <f t="shared" si="8"/>
        <v>122202</v>
      </c>
      <c r="AC57">
        <f t="shared" si="9"/>
        <v>51368.43</v>
      </c>
      <c r="AD57" t="str">
        <f t="shared" si="10"/>
        <v>95</v>
      </c>
      <c r="AE57">
        <f t="shared" si="11"/>
        <v>1</v>
      </c>
      <c r="AF57">
        <f t="shared" si="48"/>
        <v>2</v>
      </c>
      <c r="AG57">
        <f t="shared" si="12"/>
        <v>123842</v>
      </c>
      <c r="AH57">
        <f t="shared" si="13"/>
        <v>51454.85</v>
      </c>
      <c r="AI57" t="str">
        <f t="shared" si="14"/>
        <v>98</v>
      </c>
      <c r="AJ57">
        <f t="shared" si="15"/>
        <v>1</v>
      </c>
      <c r="AK57">
        <f t="shared" si="49"/>
        <v>2</v>
      </c>
      <c r="AL57">
        <f t="shared" si="16"/>
        <v>130747</v>
      </c>
      <c r="AM57">
        <f t="shared" si="17"/>
        <v>51400.39</v>
      </c>
      <c r="AN57" t="str">
        <f t="shared" si="18"/>
        <v>74</v>
      </c>
      <c r="AO57">
        <f t="shared" si="19"/>
        <v>1</v>
      </c>
      <c r="CM57" t="s">
        <v>674</v>
      </c>
    </row>
    <row r="58" spans="1:91" x14ac:dyDescent="0.4">
      <c r="A58" t="str">
        <f>IF($CM$6=0,"",IF(INDEX('⑩ 원문 보관'!$A:$E,$CM$6+ROW()-9,COLUMN())="","",INDEX('⑩ 원문 보관'!$A:$E,$CM$6+ROW()-9,COLUMN())))</f>
        <v xml:space="preserve">111957.0  51363.87 99 </v>
      </c>
      <c r="B58" t="str">
        <f>IF($CM$6=0,"",IF(INDEX('⑩ 원문 보관'!$A:$E,$CM$6+ROW()-9,COLUMN())="","",INDEX('⑩ 원문 보관'!$A:$E,$CM$6+ROW()-9,COLUMN())))</f>
        <v xml:space="preserve">114427.0  51409.41 84 </v>
      </c>
      <c r="C58" t="str">
        <f>IF($CM$6=0,"",IF(INDEX('⑩ 원문 보관'!$A:$E,$CM$6+ROW()-9,COLUMN())="","",INDEX('⑩ 원문 보관'!$A:$E,$CM$6+ROW()-9,COLUMN())))</f>
        <v xml:space="preserve">122207.0  51368.56 95 </v>
      </c>
      <c r="D58" t="str">
        <f>IF($CM$6=0,"",IF(INDEX('⑩ 원문 보관'!$A:$E,$CM$6+ROW()-9,COLUMN())="","",INDEX('⑩ 원문 보관'!$A:$E,$CM$6+ROW()-9,COLUMN())))</f>
        <v xml:space="preserve">123847.0  51454.91 99 </v>
      </c>
      <c r="E58" t="str">
        <f>IF($CM$6=0,"",IF(INDEX('⑩ 원문 보관'!$A:$E,$CM$6+ROW()-9,COLUMN())="","",INDEX('⑩ 원문 보관'!$A:$E,$CM$6+ROW()-9,COLUMN())))</f>
        <v xml:space="preserve">130752.0  51399.41 73 </v>
      </c>
      <c r="Q58">
        <f t="shared" si="45"/>
        <v>2</v>
      </c>
      <c r="R58">
        <f t="shared" si="0"/>
        <v>111957</v>
      </c>
      <c r="S58">
        <f t="shared" si="1"/>
        <v>51363.87</v>
      </c>
      <c r="T58" t="str">
        <f t="shared" si="2"/>
        <v>99</v>
      </c>
      <c r="U58">
        <f t="shared" si="3"/>
        <v>1</v>
      </c>
      <c r="V58">
        <f t="shared" si="46"/>
        <v>2</v>
      </c>
      <c r="W58">
        <f t="shared" si="4"/>
        <v>114427</v>
      </c>
      <c r="X58">
        <f t="shared" si="5"/>
        <v>51409.41</v>
      </c>
      <c r="Y58" t="str">
        <f t="shared" si="6"/>
        <v>84</v>
      </c>
      <c r="Z58">
        <f t="shared" si="7"/>
        <v>1</v>
      </c>
      <c r="AA58">
        <f t="shared" si="47"/>
        <v>2</v>
      </c>
      <c r="AB58">
        <f t="shared" si="8"/>
        <v>122207</v>
      </c>
      <c r="AC58">
        <f t="shared" si="9"/>
        <v>51368.56</v>
      </c>
      <c r="AD58" t="str">
        <f t="shared" si="10"/>
        <v>95</v>
      </c>
      <c r="AE58">
        <f t="shared" si="11"/>
        <v>1</v>
      </c>
      <c r="AF58">
        <f t="shared" si="48"/>
        <v>2</v>
      </c>
      <c r="AG58">
        <f t="shared" si="12"/>
        <v>123847</v>
      </c>
      <c r="AH58">
        <f t="shared" si="13"/>
        <v>51454.91</v>
      </c>
      <c r="AI58" t="str">
        <f t="shared" si="14"/>
        <v>99</v>
      </c>
      <c r="AJ58">
        <f t="shared" si="15"/>
        <v>1</v>
      </c>
      <c r="AK58">
        <f t="shared" si="49"/>
        <v>2</v>
      </c>
      <c r="AL58">
        <f t="shared" si="16"/>
        <v>130752</v>
      </c>
      <c r="AM58">
        <f t="shared" si="17"/>
        <v>51399.41</v>
      </c>
      <c r="AN58" t="str">
        <f t="shared" si="18"/>
        <v>73</v>
      </c>
      <c r="AO58">
        <f t="shared" si="19"/>
        <v>1</v>
      </c>
      <c r="CM58" t="s">
        <v>675</v>
      </c>
    </row>
    <row r="59" spans="1:91" x14ac:dyDescent="0.4">
      <c r="A59" t="str">
        <f>IF($CM$6=0,"",IF(INDEX('⑩ 원문 보관'!$A:$E,$CM$6+ROW()-9,COLUMN())="","",INDEX('⑩ 원문 보관'!$A:$E,$CM$6+ROW()-9,COLUMN())))</f>
        <v xml:space="preserve">112002.0  51362.77 99 </v>
      </c>
      <c r="B59" t="str">
        <f>IF($CM$6=0,"",IF(INDEX('⑩ 원문 보관'!$A:$E,$CM$6+ROW()-9,COLUMN())="","",INDEX('⑩ 원문 보관'!$A:$E,$CM$6+ROW()-9,COLUMN())))</f>
        <v xml:space="preserve">114432.0  51409.24 74 </v>
      </c>
      <c r="C59" t="str">
        <f>IF($CM$6=0,"",IF(INDEX('⑩ 원문 보관'!$A:$E,$CM$6+ROW()-9,COLUMN())="","",INDEX('⑩ 원문 보관'!$A:$E,$CM$6+ROW()-9,COLUMN())))</f>
        <v xml:space="preserve">122212.0  51368.43 84 </v>
      </c>
      <c r="D59" t="str">
        <f>IF($CM$6=0,"",IF(INDEX('⑩ 원문 보관'!$A:$E,$CM$6+ROW()-9,COLUMN())="","",INDEX('⑩ 원문 보관'!$A:$E,$CM$6+ROW()-9,COLUMN())))</f>
        <v xml:space="preserve">123852.0  51455.01 98 </v>
      </c>
      <c r="E59" t="str">
        <f>IF($CM$6=0,"",IF(INDEX('⑩ 원문 보관'!$A:$E,$CM$6+ROW()-9,COLUMN())="","",INDEX('⑩ 원문 보관'!$A:$E,$CM$6+ROW()-9,COLUMN())))</f>
        <v xml:space="preserve">130757.0  51399.88 43 </v>
      </c>
      <c r="Q59">
        <f t="shared" si="45"/>
        <v>2</v>
      </c>
      <c r="R59">
        <f t="shared" si="0"/>
        <v>112002</v>
      </c>
      <c r="S59">
        <f t="shared" si="1"/>
        <v>51362.77</v>
      </c>
      <c r="T59" t="str">
        <f t="shared" si="2"/>
        <v>99</v>
      </c>
      <c r="U59">
        <f t="shared" si="3"/>
        <v>1</v>
      </c>
      <c r="V59">
        <f t="shared" si="46"/>
        <v>2</v>
      </c>
      <c r="W59">
        <f t="shared" si="4"/>
        <v>114432</v>
      </c>
      <c r="X59">
        <f t="shared" si="5"/>
        <v>51409.24</v>
      </c>
      <c r="Y59" t="str">
        <f t="shared" si="6"/>
        <v>74</v>
      </c>
      <c r="Z59">
        <f t="shared" si="7"/>
        <v>1</v>
      </c>
      <c r="AA59">
        <f t="shared" si="47"/>
        <v>2</v>
      </c>
      <c r="AB59">
        <f t="shared" si="8"/>
        <v>122212</v>
      </c>
      <c r="AC59">
        <f t="shared" si="9"/>
        <v>51368.43</v>
      </c>
      <c r="AD59" t="str">
        <f t="shared" si="10"/>
        <v>84</v>
      </c>
      <c r="AE59">
        <f t="shared" si="11"/>
        <v>1</v>
      </c>
      <c r="AF59">
        <f t="shared" si="48"/>
        <v>2</v>
      </c>
      <c r="AG59">
        <f t="shared" si="12"/>
        <v>123852</v>
      </c>
      <c r="AH59">
        <f t="shared" si="13"/>
        <v>51455.01</v>
      </c>
      <c r="AI59" t="str">
        <f t="shared" si="14"/>
        <v>98</v>
      </c>
      <c r="AJ59">
        <f t="shared" si="15"/>
        <v>1</v>
      </c>
      <c r="AK59">
        <f t="shared" si="49"/>
        <v>2</v>
      </c>
      <c r="AL59">
        <f t="shared" si="16"/>
        <v>130757</v>
      </c>
      <c r="AM59">
        <f t="shared" si="17"/>
        <v>51399.88</v>
      </c>
      <c r="AN59" t="str">
        <f t="shared" si="18"/>
        <v>43</v>
      </c>
      <c r="AO59">
        <f t="shared" si="19"/>
        <v>1</v>
      </c>
    </row>
    <row r="60" spans="1:91" x14ac:dyDescent="0.4">
      <c r="A60" t="str">
        <f>IF($CM$6=0,"",IF(INDEX('⑩ 원문 보관'!$A:$E,$CM$6+ROW()-9,COLUMN())="","",INDEX('⑩ 원문 보관'!$A:$E,$CM$6+ROW()-9,COLUMN())))</f>
        <v xml:space="preserve">112007.0  51362.75 99 </v>
      </c>
      <c r="B60" t="str">
        <f>IF($CM$6=0,"",IF(INDEX('⑩ 원문 보관'!$A:$E,$CM$6+ROW()-9,COLUMN())="","",INDEX('⑩ 원문 보관'!$A:$E,$CM$6+ROW()-9,COLUMN())))</f>
        <v xml:space="preserve">114437.0  51408.58 64 </v>
      </c>
      <c r="C60" t="str">
        <f>IF($CM$6=0,"",IF(INDEX('⑩ 원문 보관'!$A:$E,$CM$6+ROW()-9,COLUMN())="","",INDEX('⑩ 원문 보관'!$A:$E,$CM$6+ROW()-9,COLUMN())))</f>
        <v xml:space="preserve">122217.0  51368.40 95 </v>
      </c>
      <c r="D60" t="str">
        <f>IF($CM$6=0,"",IF(INDEX('⑩ 원문 보관'!$A:$E,$CM$6+ROW()-9,COLUMN())="","",INDEX('⑩ 원문 보관'!$A:$E,$CM$6+ROW()-9,COLUMN())))</f>
        <v xml:space="preserve">123857.0  51455.06 98 </v>
      </c>
      <c r="E60" t="str">
        <f>IF($CM$6=0,"",IF(INDEX('⑩ 원문 보관'!$A:$E,$CM$6+ROW()-9,COLUMN())="","",INDEX('⑩ 원문 보관'!$A:$E,$CM$6+ROW()-9,COLUMN())))</f>
        <v xml:space="preserve">130802.0  51399.90 73 </v>
      </c>
      <c r="Q60">
        <f t="shared" si="45"/>
        <v>2</v>
      </c>
      <c r="R60">
        <f t="shared" si="0"/>
        <v>112007</v>
      </c>
      <c r="S60">
        <f t="shared" si="1"/>
        <v>51362.75</v>
      </c>
      <c r="T60" t="str">
        <f t="shared" si="2"/>
        <v>99</v>
      </c>
      <c r="U60">
        <f t="shared" si="3"/>
        <v>1</v>
      </c>
      <c r="V60">
        <f t="shared" si="46"/>
        <v>2</v>
      </c>
      <c r="W60">
        <f t="shared" si="4"/>
        <v>114437</v>
      </c>
      <c r="X60">
        <f t="shared" si="5"/>
        <v>51408.58</v>
      </c>
      <c r="Y60" t="str">
        <f t="shared" si="6"/>
        <v>64</v>
      </c>
      <c r="Z60">
        <f t="shared" si="7"/>
        <v>1</v>
      </c>
      <c r="AA60">
        <f t="shared" si="47"/>
        <v>2</v>
      </c>
      <c r="AB60">
        <f t="shared" si="8"/>
        <v>122217</v>
      </c>
      <c r="AC60">
        <f t="shared" si="9"/>
        <v>51368.4</v>
      </c>
      <c r="AD60" t="str">
        <f t="shared" si="10"/>
        <v>95</v>
      </c>
      <c r="AE60">
        <f t="shared" si="11"/>
        <v>1</v>
      </c>
      <c r="AF60">
        <f t="shared" si="48"/>
        <v>2</v>
      </c>
      <c r="AG60">
        <f t="shared" si="12"/>
        <v>123857</v>
      </c>
      <c r="AH60">
        <f t="shared" si="13"/>
        <v>51455.06</v>
      </c>
      <c r="AI60" t="str">
        <f t="shared" si="14"/>
        <v>98</v>
      </c>
      <c r="AJ60">
        <f t="shared" si="15"/>
        <v>1</v>
      </c>
      <c r="AK60">
        <f t="shared" si="49"/>
        <v>2</v>
      </c>
      <c r="AL60">
        <f t="shared" si="16"/>
        <v>130802</v>
      </c>
      <c r="AM60">
        <f t="shared" si="17"/>
        <v>51399.9</v>
      </c>
      <c r="AN60" t="str">
        <f t="shared" si="18"/>
        <v>73</v>
      </c>
      <c r="AO60">
        <f t="shared" si="19"/>
        <v>1</v>
      </c>
    </row>
    <row r="61" spans="1:91" x14ac:dyDescent="0.4">
      <c r="A61" t="str">
        <f>IF($CM$6=0,"",IF(INDEX('⑩ 원문 보관'!$A:$E,$CM$6+ROW()-9,COLUMN())="","",INDEX('⑩ 원문 보관'!$A:$E,$CM$6+ROW()-9,COLUMN())))</f>
        <v xml:space="preserve">112012.0  51362.64 99 </v>
      </c>
      <c r="B61" t="str">
        <f>IF($CM$6=0,"",IF(INDEX('⑩ 원문 보관'!$A:$E,$CM$6+ROW()-9,COLUMN())="","",INDEX('⑩ 원문 보관'!$A:$E,$CM$6+ROW()-9,COLUMN())))</f>
        <v xml:space="preserve">114442.0  51408.86 53 </v>
      </c>
      <c r="C61" t="str">
        <f>IF($CM$6=0,"",IF(INDEX('⑩ 원문 보관'!$A:$E,$CM$6+ROW()-9,COLUMN())="","",INDEX('⑩ 원문 보관'!$A:$E,$CM$6+ROW()-9,COLUMN())))</f>
        <v xml:space="preserve">122222.0  51368.08 94 </v>
      </c>
      <c r="D61" t="str">
        <f>IF($CM$6=0,"",IF(INDEX('⑩ 원문 보관'!$A:$E,$CM$6+ROW()-9,COLUMN())="","",INDEX('⑩ 원문 보관'!$A:$E,$CM$6+ROW()-9,COLUMN())))</f>
        <v xml:space="preserve">123902.0  51455.04 98 </v>
      </c>
      <c r="E61" t="str">
        <f>IF($CM$6=0,"",IF(INDEX('⑩ 원문 보관'!$A:$E,$CM$6+ROW()-9,COLUMN())="","",INDEX('⑩ 원문 보관'!$A:$E,$CM$6+ROW()-9,COLUMN())))</f>
        <v xml:space="preserve">130807.0  51400.04 63 </v>
      </c>
      <c r="Q61">
        <f t="shared" si="45"/>
        <v>2</v>
      </c>
      <c r="R61">
        <f t="shared" si="0"/>
        <v>112012</v>
      </c>
      <c r="S61">
        <f t="shared" si="1"/>
        <v>51362.64</v>
      </c>
      <c r="T61" t="str">
        <f t="shared" si="2"/>
        <v>99</v>
      </c>
      <c r="U61">
        <f t="shared" si="3"/>
        <v>1</v>
      </c>
      <c r="V61">
        <f t="shared" si="46"/>
        <v>2</v>
      </c>
      <c r="W61">
        <f t="shared" si="4"/>
        <v>114442</v>
      </c>
      <c r="X61">
        <f t="shared" si="5"/>
        <v>51408.86</v>
      </c>
      <c r="Y61" t="str">
        <f t="shared" si="6"/>
        <v>53</v>
      </c>
      <c r="Z61">
        <f t="shared" si="7"/>
        <v>1</v>
      </c>
      <c r="AA61">
        <f t="shared" si="47"/>
        <v>2</v>
      </c>
      <c r="AB61">
        <f t="shared" si="8"/>
        <v>122222</v>
      </c>
      <c r="AC61">
        <f t="shared" si="9"/>
        <v>51368.08</v>
      </c>
      <c r="AD61" t="str">
        <f t="shared" si="10"/>
        <v>94</v>
      </c>
      <c r="AE61">
        <f t="shared" si="11"/>
        <v>1</v>
      </c>
      <c r="AF61">
        <f t="shared" si="48"/>
        <v>2</v>
      </c>
      <c r="AG61">
        <f t="shared" si="12"/>
        <v>123902</v>
      </c>
      <c r="AH61">
        <f t="shared" si="13"/>
        <v>51455.040000000001</v>
      </c>
      <c r="AI61" t="str">
        <f t="shared" si="14"/>
        <v>98</v>
      </c>
      <c r="AJ61">
        <f t="shared" si="15"/>
        <v>1</v>
      </c>
      <c r="AK61">
        <f t="shared" si="49"/>
        <v>2</v>
      </c>
      <c r="AL61">
        <f t="shared" si="16"/>
        <v>130807</v>
      </c>
      <c r="AM61">
        <f t="shared" si="17"/>
        <v>51400.04</v>
      </c>
      <c r="AN61" t="str">
        <f t="shared" si="18"/>
        <v>63</v>
      </c>
      <c r="AO61">
        <f t="shared" si="19"/>
        <v>1</v>
      </c>
    </row>
    <row r="62" spans="1:91" x14ac:dyDescent="0.4">
      <c r="A62" t="str">
        <f>IF($CM$6=0,"",IF(INDEX('⑩ 원문 보관'!$A:$E,$CM$6+ROW()-9,COLUMN())="","",INDEX('⑩ 원문 보관'!$A:$E,$CM$6+ROW()-9,COLUMN())))</f>
        <v xml:space="preserve">112017.0  51362.64 99 </v>
      </c>
      <c r="B62" t="str">
        <f>IF($CM$6=0,"",IF(INDEX('⑩ 원문 보관'!$A:$E,$CM$6+ROW()-9,COLUMN())="","",INDEX('⑩ 원문 보관'!$A:$E,$CM$6+ROW()-9,COLUMN())))</f>
        <v xml:space="preserve">114447.0  51409.35 64 </v>
      </c>
      <c r="C62" t="str">
        <f>IF($CM$6=0,"",IF(INDEX('⑩ 원문 보관'!$A:$E,$CM$6+ROW()-9,COLUMN())="","",INDEX('⑩ 원문 보관'!$A:$E,$CM$6+ROW()-9,COLUMN())))</f>
        <v xml:space="preserve">122227.0  51368.74 94 </v>
      </c>
      <c r="D62" t="str">
        <f>IF($CM$6=0,"",IF(INDEX('⑩ 원문 보관'!$A:$E,$CM$6+ROW()-9,COLUMN())="","",INDEX('⑩ 원문 보관'!$A:$E,$CM$6+ROW()-9,COLUMN())))</f>
        <v xml:space="preserve">123907.0  51455.07 98 </v>
      </c>
      <c r="E62" t="str">
        <f>IF($CM$6=0,"",IF(INDEX('⑩ 원문 보관'!$A:$E,$CM$6+ROW()-9,COLUMN())="","",INDEX('⑩ 원문 보관'!$A:$E,$CM$6+ROW()-9,COLUMN())))</f>
        <v xml:space="preserve">130812.0  51399.65 83 </v>
      </c>
      <c r="Q62">
        <f t="shared" si="45"/>
        <v>2</v>
      </c>
      <c r="R62">
        <f t="shared" si="0"/>
        <v>112017</v>
      </c>
      <c r="S62">
        <f t="shared" si="1"/>
        <v>51362.64</v>
      </c>
      <c r="T62" t="str">
        <f t="shared" si="2"/>
        <v>99</v>
      </c>
      <c r="U62">
        <f t="shared" si="3"/>
        <v>1</v>
      </c>
      <c r="V62">
        <f t="shared" si="46"/>
        <v>2</v>
      </c>
      <c r="W62">
        <f t="shared" si="4"/>
        <v>114447</v>
      </c>
      <c r="X62">
        <f t="shared" si="5"/>
        <v>51409.35</v>
      </c>
      <c r="Y62" t="str">
        <f t="shared" si="6"/>
        <v>64</v>
      </c>
      <c r="Z62">
        <f t="shared" si="7"/>
        <v>1</v>
      </c>
      <c r="AA62">
        <f t="shared" si="47"/>
        <v>2</v>
      </c>
      <c r="AB62">
        <f t="shared" si="8"/>
        <v>122227</v>
      </c>
      <c r="AC62">
        <f t="shared" si="9"/>
        <v>51368.74</v>
      </c>
      <c r="AD62" t="str">
        <f t="shared" si="10"/>
        <v>94</v>
      </c>
      <c r="AE62">
        <f t="shared" si="11"/>
        <v>1</v>
      </c>
      <c r="AF62">
        <f t="shared" si="48"/>
        <v>2</v>
      </c>
      <c r="AG62">
        <f t="shared" si="12"/>
        <v>123907</v>
      </c>
      <c r="AH62">
        <f t="shared" si="13"/>
        <v>51455.07</v>
      </c>
      <c r="AI62" t="str">
        <f t="shared" si="14"/>
        <v>98</v>
      </c>
      <c r="AJ62">
        <f t="shared" si="15"/>
        <v>1</v>
      </c>
      <c r="AK62">
        <f t="shared" si="49"/>
        <v>2</v>
      </c>
      <c r="AL62">
        <f t="shared" si="16"/>
        <v>130812</v>
      </c>
      <c r="AM62">
        <f t="shared" si="17"/>
        <v>51399.65</v>
      </c>
      <c r="AN62" t="str">
        <f t="shared" si="18"/>
        <v>83</v>
      </c>
      <c r="AO62">
        <f t="shared" si="19"/>
        <v>1</v>
      </c>
    </row>
    <row r="63" spans="1:91" x14ac:dyDescent="0.4">
      <c r="A63" t="str">
        <f>IF($CM$6=0,"",IF(INDEX('⑩ 원문 보관'!$A:$E,$CM$6+ROW()-9,COLUMN())="","",INDEX('⑩ 원문 보관'!$A:$E,$CM$6+ROW()-9,COLUMN())))</f>
        <v xml:space="preserve">112022.0  51362.68 99 </v>
      </c>
      <c r="B63" t="str">
        <f>IF($CM$6=0,"",IF(INDEX('⑩ 원문 보관'!$A:$E,$CM$6+ROW()-9,COLUMN())="","",INDEX('⑩ 원문 보관'!$A:$E,$CM$6+ROW()-9,COLUMN())))</f>
        <v xml:space="preserve">114452.0  51409.47 74 </v>
      </c>
      <c r="C63" t="str">
        <f>IF($CM$6=0,"",IF(INDEX('⑩ 원문 보관'!$A:$E,$CM$6+ROW()-9,COLUMN())="","",INDEX('⑩ 원문 보관'!$A:$E,$CM$6+ROW()-9,COLUMN())))</f>
        <v xml:space="preserve">122232.0  51368.61 95 </v>
      </c>
      <c r="D63" t="str">
        <f>IF($CM$6=0,"",IF(INDEX('⑩ 원문 보관'!$A:$E,$CM$6+ROW()-9,COLUMN())="","",INDEX('⑩ 원문 보관'!$A:$E,$CM$6+ROW()-9,COLUMN())))</f>
        <v xml:space="preserve">123912.0  51455.18 98 </v>
      </c>
      <c r="E63" t="str">
        <f>IF($CM$6=0,"",IF(INDEX('⑩ 원문 보관'!$A:$E,$CM$6+ROW()-9,COLUMN())="","",INDEX('⑩ 원문 보관'!$A:$E,$CM$6+ROW()-9,COLUMN())))</f>
        <v xml:space="preserve">130817.0  51399.54 54 </v>
      </c>
      <c r="Q63">
        <f t="shared" si="45"/>
        <v>2</v>
      </c>
      <c r="R63">
        <f t="shared" si="0"/>
        <v>112022</v>
      </c>
      <c r="S63">
        <f t="shared" si="1"/>
        <v>51362.68</v>
      </c>
      <c r="T63" t="str">
        <f t="shared" si="2"/>
        <v>99</v>
      </c>
      <c r="U63">
        <f t="shared" si="3"/>
        <v>1</v>
      </c>
      <c r="V63">
        <f t="shared" si="46"/>
        <v>2</v>
      </c>
      <c r="W63">
        <f t="shared" si="4"/>
        <v>114452</v>
      </c>
      <c r="X63">
        <f t="shared" si="5"/>
        <v>51409.47</v>
      </c>
      <c r="Y63" t="str">
        <f t="shared" si="6"/>
        <v>74</v>
      </c>
      <c r="Z63">
        <f t="shared" si="7"/>
        <v>1</v>
      </c>
      <c r="AA63">
        <f t="shared" si="47"/>
        <v>2</v>
      </c>
      <c r="AB63">
        <f t="shared" si="8"/>
        <v>122232</v>
      </c>
      <c r="AC63">
        <f t="shared" si="9"/>
        <v>51368.61</v>
      </c>
      <c r="AD63" t="str">
        <f t="shared" si="10"/>
        <v>95</v>
      </c>
      <c r="AE63">
        <f t="shared" si="11"/>
        <v>1</v>
      </c>
      <c r="AF63">
        <f t="shared" si="48"/>
        <v>2</v>
      </c>
      <c r="AG63">
        <f t="shared" si="12"/>
        <v>123912</v>
      </c>
      <c r="AH63">
        <f t="shared" si="13"/>
        <v>51455.18</v>
      </c>
      <c r="AI63" t="str">
        <f t="shared" si="14"/>
        <v>98</v>
      </c>
      <c r="AJ63">
        <f t="shared" si="15"/>
        <v>1</v>
      </c>
      <c r="AK63">
        <f t="shared" si="49"/>
        <v>2</v>
      </c>
      <c r="AL63">
        <f t="shared" si="16"/>
        <v>130817</v>
      </c>
      <c r="AM63">
        <f t="shared" si="17"/>
        <v>51399.54</v>
      </c>
      <c r="AN63" t="str">
        <f t="shared" si="18"/>
        <v>54</v>
      </c>
      <c r="AO63">
        <f t="shared" si="19"/>
        <v>1</v>
      </c>
    </row>
    <row r="64" spans="1:91" x14ac:dyDescent="0.4">
      <c r="A64" t="str">
        <f>IF($CM$6=0,"",IF(INDEX('⑩ 원문 보관'!$A:$E,$CM$6+ROW()-9,COLUMN())="","",INDEX('⑩ 원문 보관'!$A:$E,$CM$6+ROW()-9,COLUMN())))</f>
        <v xml:space="preserve">112027.0  51362.65 99 </v>
      </c>
      <c r="B64" t="str">
        <f>IF($CM$6=0,"",IF(INDEX('⑩ 원문 보관'!$A:$E,$CM$6+ROW()-9,COLUMN())="","",INDEX('⑩ 원문 보관'!$A:$E,$CM$6+ROW()-9,COLUMN())))</f>
        <v xml:space="preserve">114457.0  51408.77 64 </v>
      </c>
      <c r="C64" t="str">
        <f>IF($CM$6=0,"",IF(INDEX('⑩ 원문 보관'!$A:$E,$CM$6+ROW()-9,COLUMN())="","",INDEX('⑩ 원문 보관'!$A:$E,$CM$6+ROW()-9,COLUMN())))</f>
        <v xml:space="preserve">122237.0  51368.62 94 </v>
      </c>
      <c r="D64" t="str">
        <f>IF($CM$6=0,"",IF(INDEX('⑩ 원문 보관'!$A:$E,$CM$6+ROW()-9,COLUMN())="","",INDEX('⑩ 원문 보관'!$A:$E,$CM$6+ROW()-9,COLUMN())))</f>
        <v xml:space="preserve">123917.0  51455.18 98 </v>
      </c>
      <c r="E64" t="str">
        <f>IF($CM$6=0,"",IF(INDEX('⑩ 원문 보관'!$A:$E,$CM$6+ROW()-9,COLUMN())="","",INDEX('⑩ 원문 보관'!$A:$E,$CM$6+ROW()-9,COLUMN())))</f>
        <v xml:space="preserve">130822.0  51399.51 33 </v>
      </c>
      <c r="Q64">
        <f t="shared" si="45"/>
        <v>2</v>
      </c>
      <c r="R64">
        <f t="shared" si="0"/>
        <v>112027</v>
      </c>
      <c r="S64">
        <f t="shared" si="1"/>
        <v>51362.65</v>
      </c>
      <c r="T64" t="str">
        <f t="shared" si="2"/>
        <v>99</v>
      </c>
      <c r="U64">
        <f t="shared" si="3"/>
        <v>1</v>
      </c>
      <c r="V64">
        <f t="shared" si="46"/>
        <v>2</v>
      </c>
      <c r="W64">
        <f t="shared" si="4"/>
        <v>114457</v>
      </c>
      <c r="X64">
        <f t="shared" si="5"/>
        <v>51408.77</v>
      </c>
      <c r="Y64" t="str">
        <f t="shared" si="6"/>
        <v>64</v>
      </c>
      <c r="Z64">
        <f t="shared" si="7"/>
        <v>1</v>
      </c>
      <c r="AA64">
        <f t="shared" si="47"/>
        <v>2</v>
      </c>
      <c r="AB64">
        <f t="shared" si="8"/>
        <v>122237</v>
      </c>
      <c r="AC64">
        <f t="shared" si="9"/>
        <v>51368.62</v>
      </c>
      <c r="AD64" t="str">
        <f t="shared" si="10"/>
        <v>94</v>
      </c>
      <c r="AE64">
        <f t="shared" si="11"/>
        <v>1</v>
      </c>
      <c r="AF64">
        <f t="shared" si="48"/>
        <v>2</v>
      </c>
      <c r="AG64">
        <f t="shared" si="12"/>
        <v>123917</v>
      </c>
      <c r="AH64">
        <f t="shared" si="13"/>
        <v>51455.18</v>
      </c>
      <c r="AI64" t="str">
        <f t="shared" si="14"/>
        <v>98</v>
      </c>
      <c r="AJ64">
        <f t="shared" si="15"/>
        <v>1</v>
      </c>
      <c r="AK64">
        <f t="shared" si="49"/>
        <v>2</v>
      </c>
      <c r="AL64">
        <f t="shared" si="16"/>
        <v>130822</v>
      </c>
      <c r="AM64">
        <f t="shared" si="17"/>
        <v>51399.51</v>
      </c>
      <c r="AN64" t="str">
        <f t="shared" si="18"/>
        <v>33</v>
      </c>
      <c r="AO64">
        <f t="shared" si="19"/>
        <v>1</v>
      </c>
    </row>
    <row r="65" spans="1:41" x14ac:dyDescent="0.4">
      <c r="A65" t="str">
        <f>IF($CM$6=0,"",IF(INDEX('⑩ 원문 보관'!$A:$E,$CM$6+ROW()-9,COLUMN())="","",INDEX('⑩ 원문 보관'!$A:$E,$CM$6+ROW()-9,COLUMN())))</f>
        <v xml:space="preserve">112032.0  51362.68 99 </v>
      </c>
      <c r="B65" t="str">
        <f>IF($CM$6=0,"",IF(INDEX('⑩ 원문 보관'!$A:$E,$CM$6+ROW()-9,COLUMN())="","",INDEX('⑩ 원문 보관'!$A:$E,$CM$6+ROW()-9,COLUMN())))</f>
        <v xml:space="preserve">114502.0  51409.28 63 </v>
      </c>
      <c r="C65" t="str">
        <f>IF($CM$6=0,"",IF(INDEX('⑩ 원문 보관'!$A:$E,$CM$6+ROW()-9,COLUMN())="","",INDEX('⑩ 원문 보관'!$A:$E,$CM$6+ROW()-9,COLUMN())))</f>
        <v xml:space="preserve">122242.0  51368.33 94 </v>
      </c>
      <c r="D65" t="str">
        <f>IF($CM$6=0,"",IF(INDEX('⑩ 원문 보관'!$A:$E,$CM$6+ROW()-9,COLUMN())="","",INDEX('⑩ 원문 보관'!$A:$E,$CM$6+ROW()-9,COLUMN())))</f>
        <v xml:space="preserve">123922.0  51455.23 99 </v>
      </c>
      <c r="E65" t="str">
        <f>IF($CM$6=0,"",IF(INDEX('⑩ 원문 보관'!$A:$E,$CM$6+ROW()-9,COLUMN())="","",INDEX('⑩ 원문 보관'!$A:$E,$CM$6+ROW()-9,COLUMN())))</f>
        <v xml:space="preserve">130827.0  51398.90 73 </v>
      </c>
      <c r="Q65">
        <f t="shared" si="45"/>
        <v>2</v>
      </c>
      <c r="R65">
        <f t="shared" si="0"/>
        <v>112032</v>
      </c>
      <c r="S65">
        <f t="shared" si="1"/>
        <v>51362.68</v>
      </c>
      <c r="T65" t="str">
        <f t="shared" si="2"/>
        <v>99</v>
      </c>
      <c r="U65">
        <f t="shared" si="3"/>
        <v>1</v>
      </c>
      <c r="V65">
        <f t="shared" si="46"/>
        <v>2</v>
      </c>
      <c r="W65">
        <f t="shared" si="4"/>
        <v>114502</v>
      </c>
      <c r="X65">
        <f t="shared" si="5"/>
        <v>51409.279999999999</v>
      </c>
      <c r="Y65" t="str">
        <f t="shared" si="6"/>
        <v>63</v>
      </c>
      <c r="Z65">
        <f t="shared" si="7"/>
        <v>1</v>
      </c>
      <c r="AA65">
        <f t="shared" si="47"/>
        <v>2</v>
      </c>
      <c r="AB65">
        <f t="shared" si="8"/>
        <v>122242</v>
      </c>
      <c r="AC65">
        <f t="shared" si="9"/>
        <v>51368.33</v>
      </c>
      <c r="AD65" t="str">
        <f t="shared" si="10"/>
        <v>94</v>
      </c>
      <c r="AE65">
        <f t="shared" si="11"/>
        <v>1</v>
      </c>
      <c r="AF65">
        <f t="shared" si="48"/>
        <v>2</v>
      </c>
      <c r="AG65">
        <f t="shared" si="12"/>
        <v>123922</v>
      </c>
      <c r="AH65">
        <f t="shared" si="13"/>
        <v>51455.23</v>
      </c>
      <c r="AI65" t="str">
        <f t="shared" si="14"/>
        <v>99</v>
      </c>
      <c r="AJ65">
        <f t="shared" si="15"/>
        <v>1</v>
      </c>
      <c r="AK65">
        <f t="shared" si="49"/>
        <v>2</v>
      </c>
      <c r="AL65">
        <f t="shared" si="16"/>
        <v>130827</v>
      </c>
      <c r="AM65">
        <f t="shared" si="17"/>
        <v>51398.9</v>
      </c>
      <c r="AN65" t="str">
        <f t="shared" si="18"/>
        <v>73</v>
      </c>
      <c r="AO65">
        <f t="shared" si="19"/>
        <v>1</v>
      </c>
    </row>
    <row r="66" spans="1:41" x14ac:dyDescent="0.4">
      <c r="A66" t="str">
        <f>IF($CM$6=0,"",IF(INDEX('⑩ 원문 보관'!$A:$E,$CM$6+ROW()-9,COLUMN())="","",INDEX('⑩ 원문 보관'!$A:$E,$CM$6+ROW()-9,COLUMN())))</f>
        <v xml:space="preserve">112037.0  51362.69 99 </v>
      </c>
      <c r="B66" t="str">
        <f>IF($CM$6=0,"",IF(INDEX('⑩ 원문 보관'!$A:$E,$CM$6+ROW()-9,COLUMN())="","",INDEX('⑩ 원문 보관'!$A:$E,$CM$6+ROW()-9,COLUMN())))</f>
        <v xml:space="preserve">114507.0  51408.33 43 </v>
      </c>
      <c r="C66" t="str">
        <f>IF($CM$6=0,"",IF(INDEX('⑩ 원문 보관'!$A:$E,$CM$6+ROW()-9,COLUMN())="","",INDEX('⑩ 원문 보관'!$A:$E,$CM$6+ROW()-9,COLUMN())))</f>
        <v xml:space="preserve">122247.0  51368.47 74 </v>
      </c>
      <c r="D66" t="str">
        <f>IF($CM$6=0,"",IF(INDEX('⑩ 원문 보관'!$A:$E,$CM$6+ROW()-9,COLUMN())="","",INDEX('⑩ 원문 보관'!$A:$E,$CM$6+ROW()-9,COLUMN())))</f>
        <v xml:space="preserve">123927.0  51455.20 98 </v>
      </c>
      <c r="E66" t="str">
        <f>IF($CM$6=0,"",IF(INDEX('⑩ 원문 보관'!$A:$E,$CM$6+ROW()-9,COLUMN())="","",INDEX('⑩ 원문 보관'!$A:$E,$CM$6+ROW()-9,COLUMN())))</f>
        <v xml:space="preserve">130832.0  51399.28 63 </v>
      </c>
      <c r="Q66">
        <f t="shared" si="45"/>
        <v>2</v>
      </c>
      <c r="R66">
        <f t="shared" si="0"/>
        <v>112037</v>
      </c>
      <c r="S66">
        <f t="shared" si="1"/>
        <v>51362.69</v>
      </c>
      <c r="T66" t="str">
        <f t="shared" si="2"/>
        <v>99</v>
      </c>
      <c r="U66">
        <f t="shared" si="3"/>
        <v>1</v>
      </c>
      <c r="V66">
        <f t="shared" si="46"/>
        <v>2</v>
      </c>
      <c r="W66">
        <f t="shared" si="4"/>
        <v>114507</v>
      </c>
      <c r="X66">
        <f t="shared" si="5"/>
        <v>51408.33</v>
      </c>
      <c r="Y66" t="str">
        <f t="shared" si="6"/>
        <v>43</v>
      </c>
      <c r="Z66">
        <f t="shared" si="7"/>
        <v>1</v>
      </c>
      <c r="AA66">
        <f t="shared" si="47"/>
        <v>2</v>
      </c>
      <c r="AB66">
        <f t="shared" si="8"/>
        <v>122247</v>
      </c>
      <c r="AC66">
        <f t="shared" si="9"/>
        <v>51368.47</v>
      </c>
      <c r="AD66" t="str">
        <f t="shared" si="10"/>
        <v>74</v>
      </c>
      <c r="AE66">
        <f t="shared" si="11"/>
        <v>1</v>
      </c>
      <c r="AF66">
        <f t="shared" si="48"/>
        <v>2</v>
      </c>
      <c r="AG66">
        <f t="shared" si="12"/>
        <v>123927</v>
      </c>
      <c r="AH66">
        <f t="shared" si="13"/>
        <v>51455.199999999997</v>
      </c>
      <c r="AI66" t="str">
        <f t="shared" si="14"/>
        <v>98</v>
      </c>
      <c r="AJ66">
        <f t="shared" si="15"/>
        <v>1</v>
      </c>
      <c r="AK66">
        <f t="shared" si="49"/>
        <v>2</v>
      </c>
      <c r="AL66">
        <f t="shared" si="16"/>
        <v>130832</v>
      </c>
      <c r="AM66">
        <f t="shared" si="17"/>
        <v>51399.28</v>
      </c>
      <c r="AN66" t="str">
        <f t="shared" si="18"/>
        <v>63</v>
      </c>
      <c r="AO66">
        <f t="shared" si="19"/>
        <v>1</v>
      </c>
    </row>
    <row r="67" spans="1:41" x14ac:dyDescent="0.4">
      <c r="A67" t="str">
        <f>IF($CM$6=0,"",IF(INDEX('⑩ 원문 보관'!$A:$E,$CM$6+ROW()-9,COLUMN())="","",INDEX('⑩ 원문 보관'!$A:$E,$CM$6+ROW()-9,COLUMN())))</f>
        <v xml:space="preserve">112042.0  51362.65 99 </v>
      </c>
      <c r="B67" t="str">
        <f>IF($CM$6=0,"",IF(INDEX('⑩ 원문 보관'!$A:$E,$CM$6+ROW()-9,COLUMN())="","",INDEX('⑩ 원문 보관'!$A:$E,$CM$6+ROW()-9,COLUMN())))</f>
        <v xml:space="preserve">114512.0  51408.63 64 </v>
      </c>
      <c r="C67" t="str">
        <f>IF($CM$6=0,"",IF(INDEX('⑩ 원문 보관'!$A:$E,$CM$6+ROW()-9,COLUMN())="","",INDEX('⑩ 원문 보관'!$A:$E,$CM$6+ROW()-9,COLUMN())))</f>
        <v xml:space="preserve">122252.0  51368.65 94 </v>
      </c>
      <c r="D67" t="str">
        <f>IF($CM$6=0,"",IF(INDEX('⑩ 원문 보관'!$A:$E,$CM$6+ROW()-9,COLUMN())="","",INDEX('⑩ 원문 보관'!$A:$E,$CM$6+ROW()-9,COLUMN())))</f>
        <v xml:space="preserve">123932.0  51455.09 98 </v>
      </c>
      <c r="E67" t="str">
        <f>IF($CM$6=0,"",IF(INDEX('⑩ 원문 보관'!$A:$E,$CM$6+ROW()-9,COLUMN())="","",INDEX('⑩ 원문 보관'!$A:$E,$CM$6+ROW()-9,COLUMN())))</f>
        <v xml:space="preserve">130837.0  51397.73 34 </v>
      </c>
      <c r="Q67">
        <f t="shared" si="45"/>
        <v>2</v>
      </c>
      <c r="R67">
        <f t="shared" si="0"/>
        <v>112042</v>
      </c>
      <c r="S67">
        <f t="shared" si="1"/>
        <v>51362.65</v>
      </c>
      <c r="T67" t="str">
        <f t="shared" si="2"/>
        <v>99</v>
      </c>
      <c r="U67">
        <f t="shared" si="3"/>
        <v>1</v>
      </c>
      <c r="V67">
        <f t="shared" si="46"/>
        <v>2</v>
      </c>
      <c r="W67">
        <f t="shared" si="4"/>
        <v>114512</v>
      </c>
      <c r="X67">
        <f t="shared" si="5"/>
        <v>51408.63</v>
      </c>
      <c r="Y67" t="str">
        <f t="shared" si="6"/>
        <v>64</v>
      </c>
      <c r="Z67">
        <f t="shared" si="7"/>
        <v>1</v>
      </c>
      <c r="AA67">
        <f t="shared" si="47"/>
        <v>2</v>
      </c>
      <c r="AB67">
        <f t="shared" si="8"/>
        <v>122252</v>
      </c>
      <c r="AC67">
        <f t="shared" si="9"/>
        <v>51368.65</v>
      </c>
      <c r="AD67" t="str">
        <f t="shared" si="10"/>
        <v>94</v>
      </c>
      <c r="AE67">
        <f t="shared" si="11"/>
        <v>1</v>
      </c>
      <c r="AF67">
        <f t="shared" si="48"/>
        <v>2</v>
      </c>
      <c r="AG67">
        <f t="shared" si="12"/>
        <v>123932</v>
      </c>
      <c r="AH67">
        <f t="shared" si="13"/>
        <v>51455.09</v>
      </c>
      <c r="AI67" t="str">
        <f t="shared" si="14"/>
        <v>98</v>
      </c>
      <c r="AJ67">
        <f t="shared" si="15"/>
        <v>1</v>
      </c>
      <c r="AK67">
        <f t="shared" si="49"/>
        <v>2</v>
      </c>
      <c r="AL67">
        <f t="shared" si="16"/>
        <v>130837</v>
      </c>
      <c r="AM67">
        <f t="shared" si="17"/>
        <v>51397.73</v>
      </c>
      <c r="AN67" t="str">
        <f t="shared" si="18"/>
        <v>34</v>
      </c>
      <c r="AO67">
        <f t="shared" si="19"/>
        <v>1</v>
      </c>
    </row>
    <row r="68" spans="1:41" x14ac:dyDescent="0.4">
      <c r="A68" t="str">
        <f>IF($CM$6=0,"",IF(INDEX('⑩ 원문 보관'!$A:$E,$CM$6+ROW()-9,COLUMN())="","",INDEX('⑩ 원문 보관'!$A:$E,$CM$6+ROW()-9,COLUMN())))</f>
        <v xml:space="preserve">112047.0  51362.69 99 </v>
      </c>
      <c r="B68" t="str">
        <f>IF($CM$6=0,"",IF(INDEX('⑩ 원문 보관'!$A:$E,$CM$6+ROW()-9,COLUMN())="","",INDEX('⑩ 원문 보관'!$A:$E,$CM$6+ROW()-9,COLUMN())))</f>
        <v xml:space="preserve">114517.0  51409.49 64 </v>
      </c>
      <c r="C68" t="str">
        <f>IF($CM$6=0,"",IF(INDEX('⑩ 원문 보관'!$A:$E,$CM$6+ROW()-9,COLUMN())="","",INDEX('⑩ 원문 보관'!$A:$E,$CM$6+ROW()-9,COLUMN())))</f>
        <v xml:space="preserve">122257.0  51368.90 65 </v>
      </c>
      <c r="D68" t="str">
        <f>IF($CM$6=0,"",IF(INDEX('⑩ 원문 보관'!$A:$E,$CM$6+ROW()-9,COLUMN())="","",INDEX('⑩ 원문 보관'!$A:$E,$CM$6+ROW()-9,COLUMN())))</f>
        <v xml:space="preserve">123937.0  51455.26 98 </v>
      </c>
      <c r="E68" t="str">
        <f>IF($CM$6=0,"",IF(INDEX('⑩ 원문 보관'!$A:$E,$CM$6+ROW()-9,COLUMN())="","",INDEX('⑩ 원문 보관'!$A:$E,$CM$6+ROW()-9,COLUMN())))</f>
        <v xml:space="preserve">130842.0  51400.21 53 </v>
      </c>
      <c r="Q68">
        <f t="shared" si="45"/>
        <v>2</v>
      </c>
      <c r="R68">
        <f t="shared" si="0"/>
        <v>112047</v>
      </c>
      <c r="S68">
        <f t="shared" si="1"/>
        <v>51362.69</v>
      </c>
      <c r="T68" t="str">
        <f t="shared" si="2"/>
        <v>99</v>
      </c>
      <c r="U68">
        <f t="shared" si="3"/>
        <v>1</v>
      </c>
      <c r="V68">
        <f t="shared" si="46"/>
        <v>2</v>
      </c>
      <c r="W68">
        <f t="shared" si="4"/>
        <v>114517</v>
      </c>
      <c r="X68">
        <f t="shared" si="5"/>
        <v>51409.49</v>
      </c>
      <c r="Y68" t="str">
        <f t="shared" si="6"/>
        <v>64</v>
      </c>
      <c r="Z68">
        <f t="shared" si="7"/>
        <v>1</v>
      </c>
      <c r="AA68">
        <f t="shared" si="47"/>
        <v>2</v>
      </c>
      <c r="AB68">
        <f t="shared" si="8"/>
        <v>122257</v>
      </c>
      <c r="AC68">
        <f t="shared" si="9"/>
        <v>51368.9</v>
      </c>
      <c r="AD68" t="str">
        <f t="shared" si="10"/>
        <v>65</v>
      </c>
      <c r="AE68">
        <f t="shared" si="11"/>
        <v>1</v>
      </c>
      <c r="AF68">
        <f t="shared" si="48"/>
        <v>2</v>
      </c>
      <c r="AG68">
        <f t="shared" si="12"/>
        <v>123937</v>
      </c>
      <c r="AH68">
        <f t="shared" si="13"/>
        <v>51455.26</v>
      </c>
      <c r="AI68" t="str">
        <f t="shared" si="14"/>
        <v>98</v>
      </c>
      <c r="AJ68">
        <f t="shared" si="15"/>
        <v>1</v>
      </c>
      <c r="AK68">
        <f t="shared" si="49"/>
        <v>2</v>
      </c>
      <c r="AL68">
        <f t="shared" si="16"/>
        <v>130842</v>
      </c>
      <c r="AM68">
        <f t="shared" si="17"/>
        <v>51400.21</v>
      </c>
      <c r="AN68" t="str">
        <f t="shared" si="18"/>
        <v>53</v>
      </c>
      <c r="AO68">
        <f t="shared" si="19"/>
        <v>1</v>
      </c>
    </row>
    <row r="69" spans="1:41" x14ac:dyDescent="0.4">
      <c r="A69" t="str">
        <f>IF($CM$6=0,"",IF(INDEX('⑩ 원문 보관'!$A:$E,$CM$6+ROW()-9,COLUMN())="","",INDEX('⑩ 원문 보관'!$A:$E,$CM$6+ROW()-9,COLUMN())))</f>
        <v xml:space="preserve">112052.0  51362.60 99 </v>
      </c>
      <c r="B69" t="str">
        <f>IF($CM$6=0,"",IF(INDEX('⑩ 원문 보관'!$A:$E,$CM$6+ROW()-9,COLUMN())="","",INDEX('⑩ 원문 보관'!$A:$E,$CM$6+ROW()-9,COLUMN())))</f>
        <v xml:space="preserve">114522.0  51408.87 64 </v>
      </c>
      <c r="C69" t="str">
        <f>IF($CM$6=0,"",IF(INDEX('⑩ 원문 보관'!$A:$E,$CM$6+ROW()-9,COLUMN())="","",INDEX('⑩ 원문 보관'!$A:$E,$CM$6+ROW()-9,COLUMN())))</f>
        <v xml:space="preserve">122302.0  51368.78 94 </v>
      </c>
      <c r="D69" t="str">
        <f>IF($CM$6=0,"",IF(INDEX('⑩ 원문 보관'!$A:$E,$CM$6+ROW()-9,COLUMN())="","",INDEX('⑩ 원문 보관'!$A:$E,$CM$6+ROW()-9,COLUMN())))</f>
        <v xml:space="preserve">123942.0  51455.26 98 </v>
      </c>
      <c r="E69" t="str">
        <f>IF($CM$6=0,"",IF(INDEX('⑩ 원문 보관'!$A:$E,$CM$6+ROW()-9,COLUMN())="","",INDEX('⑩ 원문 보관'!$A:$E,$CM$6+ROW()-9,COLUMN())))</f>
        <v xml:space="preserve">130847.0  51399.42 73 </v>
      </c>
      <c r="Q69">
        <f t="shared" si="45"/>
        <v>2</v>
      </c>
      <c r="R69">
        <f t="shared" si="0"/>
        <v>112052</v>
      </c>
      <c r="S69">
        <f t="shared" si="1"/>
        <v>51362.6</v>
      </c>
      <c r="T69" t="str">
        <f t="shared" si="2"/>
        <v>99</v>
      </c>
      <c r="U69">
        <f t="shared" si="3"/>
        <v>1</v>
      </c>
      <c r="V69">
        <f t="shared" si="46"/>
        <v>2</v>
      </c>
      <c r="W69">
        <f t="shared" si="4"/>
        <v>114522</v>
      </c>
      <c r="X69">
        <f t="shared" si="5"/>
        <v>51408.87</v>
      </c>
      <c r="Y69" t="str">
        <f t="shared" si="6"/>
        <v>64</v>
      </c>
      <c r="Z69">
        <f t="shared" si="7"/>
        <v>1</v>
      </c>
      <c r="AA69">
        <f t="shared" si="47"/>
        <v>2</v>
      </c>
      <c r="AB69">
        <f t="shared" si="8"/>
        <v>122302</v>
      </c>
      <c r="AC69">
        <f t="shared" si="9"/>
        <v>51368.78</v>
      </c>
      <c r="AD69" t="str">
        <f t="shared" si="10"/>
        <v>94</v>
      </c>
      <c r="AE69">
        <f t="shared" si="11"/>
        <v>1</v>
      </c>
      <c r="AF69">
        <f t="shared" si="48"/>
        <v>2</v>
      </c>
      <c r="AG69">
        <f t="shared" si="12"/>
        <v>123942</v>
      </c>
      <c r="AH69">
        <f t="shared" si="13"/>
        <v>51455.26</v>
      </c>
      <c r="AI69" t="str">
        <f t="shared" si="14"/>
        <v>98</v>
      </c>
      <c r="AJ69">
        <f t="shared" si="15"/>
        <v>1</v>
      </c>
      <c r="AK69">
        <f t="shared" si="49"/>
        <v>2</v>
      </c>
      <c r="AL69">
        <f t="shared" si="16"/>
        <v>130847</v>
      </c>
      <c r="AM69">
        <f t="shared" si="17"/>
        <v>51399.42</v>
      </c>
      <c r="AN69" t="str">
        <f t="shared" si="18"/>
        <v>73</v>
      </c>
      <c r="AO69">
        <f t="shared" si="19"/>
        <v>1</v>
      </c>
    </row>
    <row r="70" spans="1:41" x14ac:dyDescent="0.4">
      <c r="A70" t="str">
        <f>IF($CM$6=0,"",IF(INDEX('⑩ 원문 보관'!$A:$E,$CM$6+ROW()-9,COLUMN())="","",INDEX('⑩ 원문 보관'!$A:$E,$CM$6+ROW()-9,COLUMN())))</f>
        <v xml:space="preserve">112057.0  51362.63 99 </v>
      </c>
      <c r="B70" t="str">
        <f>IF($CM$6=0,"",IF(INDEX('⑩ 원문 보관'!$A:$E,$CM$6+ROW()-9,COLUMN())="","",INDEX('⑩ 원문 보관'!$A:$E,$CM$6+ROW()-9,COLUMN())))</f>
        <v xml:space="preserve">114527.0  51409.45 93 </v>
      </c>
      <c r="C70" t="str">
        <f>IF($CM$6=0,"",IF(INDEX('⑩ 원문 보관'!$A:$E,$CM$6+ROW()-9,COLUMN())="","",INDEX('⑩ 원문 보관'!$A:$E,$CM$6+ROW()-9,COLUMN())))</f>
        <v xml:space="preserve">122307.0  51368.95 74 </v>
      </c>
      <c r="D70" t="str">
        <f>IF($CM$6=0,"",IF(INDEX('⑩ 원문 보관'!$A:$E,$CM$6+ROW()-9,COLUMN())="","",INDEX('⑩ 원문 보관'!$A:$E,$CM$6+ROW()-9,COLUMN())))</f>
        <v xml:space="preserve">123947.0  51455.25 98 </v>
      </c>
      <c r="E70" t="str">
        <f>IF($CM$6=0,"",IF(INDEX('⑩ 원문 보관'!$A:$E,$CM$6+ROW()-9,COLUMN())="","",INDEX('⑩ 원문 보관'!$A:$E,$CM$6+ROW()-9,COLUMN())))</f>
        <v xml:space="preserve">130852.0  51399.21 73 </v>
      </c>
      <c r="Q70">
        <f t="shared" si="45"/>
        <v>2</v>
      </c>
      <c r="R70">
        <f t="shared" si="0"/>
        <v>112057</v>
      </c>
      <c r="S70">
        <f t="shared" si="1"/>
        <v>51362.63</v>
      </c>
      <c r="T70" t="str">
        <f t="shared" si="2"/>
        <v>99</v>
      </c>
      <c r="U70">
        <f t="shared" si="3"/>
        <v>1</v>
      </c>
      <c r="V70">
        <f t="shared" si="46"/>
        <v>2</v>
      </c>
      <c r="W70">
        <f t="shared" si="4"/>
        <v>114527</v>
      </c>
      <c r="X70">
        <f t="shared" si="5"/>
        <v>51409.45</v>
      </c>
      <c r="Y70" t="str">
        <f t="shared" si="6"/>
        <v>93</v>
      </c>
      <c r="Z70">
        <f t="shared" si="7"/>
        <v>1</v>
      </c>
      <c r="AA70">
        <f t="shared" si="47"/>
        <v>2</v>
      </c>
      <c r="AB70">
        <f t="shared" si="8"/>
        <v>122307</v>
      </c>
      <c r="AC70">
        <f t="shared" si="9"/>
        <v>51368.95</v>
      </c>
      <c r="AD70" t="str">
        <f t="shared" si="10"/>
        <v>74</v>
      </c>
      <c r="AE70">
        <f t="shared" si="11"/>
        <v>1</v>
      </c>
      <c r="AF70">
        <f t="shared" si="48"/>
        <v>2</v>
      </c>
      <c r="AG70">
        <f t="shared" si="12"/>
        <v>123947</v>
      </c>
      <c r="AH70">
        <f t="shared" si="13"/>
        <v>51455.25</v>
      </c>
      <c r="AI70" t="str">
        <f t="shared" si="14"/>
        <v>98</v>
      </c>
      <c r="AJ70">
        <f t="shared" si="15"/>
        <v>1</v>
      </c>
      <c r="AK70">
        <f t="shared" si="49"/>
        <v>2</v>
      </c>
      <c r="AL70">
        <f t="shared" si="16"/>
        <v>130852</v>
      </c>
      <c r="AM70">
        <f t="shared" si="17"/>
        <v>51399.21</v>
      </c>
      <c r="AN70" t="str">
        <f t="shared" si="18"/>
        <v>73</v>
      </c>
      <c r="AO70">
        <f t="shared" si="19"/>
        <v>1</v>
      </c>
    </row>
    <row r="71" spans="1:41" x14ac:dyDescent="0.4">
      <c r="A71" t="str">
        <f>IF($CM$6=0,"",IF(INDEX('⑩ 원문 보관'!$A:$E,$CM$6+ROW()-9,COLUMN())="","",INDEX('⑩ 원문 보관'!$A:$E,$CM$6+ROW()-9,COLUMN())))</f>
        <v xml:space="preserve">112102.0  51362.60 99 </v>
      </c>
      <c r="B71" t="str">
        <f>IF($CM$6=0,"",IF(INDEX('⑩ 원문 보관'!$A:$E,$CM$6+ROW()-9,COLUMN())="","",INDEX('⑩ 원문 보관'!$A:$E,$CM$6+ROW()-9,COLUMN())))</f>
        <v xml:space="preserve">114532.0  51409.93 44 </v>
      </c>
      <c r="C71" t="str">
        <f>IF($CM$6=0,"",IF(INDEX('⑩ 원문 보관'!$A:$E,$CM$6+ROW()-9,COLUMN())="","",INDEX('⑩ 원문 보관'!$A:$E,$CM$6+ROW()-9,COLUMN())))</f>
        <v xml:space="preserve">122312.0  51369.00 94 </v>
      </c>
      <c r="D71" t="str">
        <f>IF($CM$6=0,"",IF(INDEX('⑩ 원문 보관'!$A:$E,$CM$6+ROW()-9,COLUMN())="","",INDEX('⑩ 원문 보관'!$A:$E,$CM$6+ROW()-9,COLUMN())))</f>
        <v xml:space="preserve">123952.0  51455.28 98 </v>
      </c>
      <c r="E71" t="str">
        <f>IF($CM$6=0,"",IF(INDEX('⑩ 원문 보관'!$A:$E,$CM$6+ROW()-9,COLUMN())="","",INDEX('⑩ 원문 보관'!$A:$E,$CM$6+ROW()-9,COLUMN())))</f>
        <v xml:space="preserve">130857.0  51398.90 43 </v>
      </c>
      <c r="Q71">
        <f t="shared" si="45"/>
        <v>2</v>
      </c>
      <c r="R71">
        <f t="shared" si="0"/>
        <v>112102</v>
      </c>
      <c r="S71">
        <f t="shared" si="1"/>
        <v>51362.6</v>
      </c>
      <c r="T71" t="str">
        <f t="shared" si="2"/>
        <v>99</v>
      </c>
      <c r="U71">
        <f t="shared" si="3"/>
        <v>1</v>
      </c>
      <c r="V71">
        <f t="shared" si="46"/>
        <v>2</v>
      </c>
      <c r="W71">
        <f t="shared" si="4"/>
        <v>114532</v>
      </c>
      <c r="X71">
        <f t="shared" si="5"/>
        <v>51409.93</v>
      </c>
      <c r="Y71" t="str">
        <f t="shared" si="6"/>
        <v>44</v>
      </c>
      <c r="Z71">
        <f t="shared" si="7"/>
        <v>1</v>
      </c>
      <c r="AA71">
        <f t="shared" si="47"/>
        <v>2</v>
      </c>
      <c r="AB71">
        <f t="shared" si="8"/>
        <v>122312</v>
      </c>
      <c r="AC71">
        <f t="shared" si="9"/>
        <v>51369</v>
      </c>
      <c r="AD71" t="str">
        <f t="shared" si="10"/>
        <v>94</v>
      </c>
      <c r="AE71">
        <f t="shared" si="11"/>
        <v>1</v>
      </c>
      <c r="AF71">
        <f t="shared" si="48"/>
        <v>2</v>
      </c>
      <c r="AG71">
        <f t="shared" si="12"/>
        <v>123952</v>
      </c>
      <c r="AH71">
        <f t="shared" si="13"/>
        <v>51455.28</v>
      </c>
      <c r="AI71" t="str">
        <f t="shared" si="14"/>
        <v>98</v>
      </c>
      <c r="AJ71">
        <f t="shared" si="15"/>
        <v>1</v>
      </c>
      <c r="AK71">
        <f t="shared" si="49"/>
        <v>2</v>
      </c>
      <c r="AL71">
        <f t="shared" si="16"/>
        <v>130857</v>
      </c>
      <c r="AM71">
        <f t="shared" si="17"/>
        <v>51398.9</v>
      </c>
      <c r="AN71" t="str">
        <f t="shared" si="18"/>
        <v>43</v>
      </c>
      <c r="AO71">
        <f t="shared" si="19"/>
        <v>1</v>
      </c>
    </row>
    <row r="72" spans="1:41" x14ac:dyDescent="0.4">
      <c r="A72" t="str">
        <f>IF($CM$6=0,"",IF(INDEX('⑩ 원문 보관'!$A:$E,$CM$6+ROW()-9,COLUMN())="","",INDEX('⑩ 원문 보관'!$A:$E,$CM$6+ROW()-9,COLUMN())))</f>
        <v xml:space="preserve">112107.0  51362.51 99 </v>
      </c>
      <c r="B72" t="str">
        <f>IF($CM$6=0,"",IF(INDEX('⑩ 원문 보관'!$A:$E,$CM$6+ROW()-9,COLUMN())="","",INDEX('⑩ 원문 보관'!$A:$E,$CM$6+ROW()-9,COLUMN())))</f>
        <v xml:space="preserve">114537.0  51408.93 84 </v>
      </c>
      <c r="C72" t="str">
        <f>IF($CM$6=0,"",IF(INDEX('⑩ 원문 보관'!$A:$E,$CM$6+ROW()-9,COLUMN())="","",INDEX('⑩ 원문 보관'!$A:$E,$CM$6+ROW()-9,COLUMN())))</f>
        <v xml:space="preserve">122317.0  51369.02 94 </v>
      </c>
      <c r="D72" t="str">
        <f>IF($CM$6=0,"",IF(INDEX('⑩ 원문 보관'!$A:$E,$CM$6+ROW()-9,COLUMN())="","",INDEX('⑩ 원문 보관'!$A:$E,$CM$6+ROW()-9,COLUMN())))</f>
        <v xml:space="preserve">123957.0  51455.23 99 </v>
      </c>
      <c r="E72" t="str">
        <f>IF($CM$6=0,"",IF(INDEX('⑩ 원문 보관'!$A:$E,$CM$6+ROW()-9,COLUMN())="","",INDEX('⑩ 원문 보관'!$A:$E,$CM$6+ROW()-9,COLUMN())))</f>
        <v xml:space="preserve">130902.0  51399.41 53 </v>
      </c>
      <c r="Q72">
        <f t="shared" si="45"/>
        <v>2</v>
      </c>
      <c r="R72">
        <f t="shared" si="0"/>
        <v>112107</v>
      </c>
      <c r="S72">
        <f t="shared" si="1"/>
        <v>51362.51</v>
      </c>
      <c r="T72" t="str">
        <f t="shared" si="2"/>
        <v>99</v>
      </c>
      <c r="U72">
        <f t="shared" si="3"/>
        <v>1</v>
      </c>
      <c r="V72">
        <f t="shared" si="46"/>
        <v>2</v>
      </c>
      <c r="W72">
        <f t="shared" si="4"/>
        <v>114537</v>
      </c>
      <c r="X72">
        <f t="shared" si="5"/>
        <v>51408.93</v>
      </c>
      <c r="Y72" t="str">
        <f t="shared" si="6"/>
        <v>84</v>
      </c>
      <c r="Z72">
        <f t="shared" si="7"/>
        <v>1</v>
      </c>
      <c r="AA72">
        <f t="shared" si="47"/>
        <v>2</v>
      </c>
      <c r="AB72">
        <f t="shared" si="8"/>
        <v>122317</v>
      </c>
      <c r="AC72">
        <f t="shared" si="9"/>
        <v>51369.02</v>
      </c>
      <c r="AD72" t="str">
        <f t="shared" si="10"/>
        <v>94</v>
      </c>
      <c r="AE72">
        <f t="shared" si="11"/>
        <v>1</v>
      </c>
      <c r="AF72">
        <f t="shared" si="48"/>
        <v>2</v>
      </c>
      <c r="AG72">
        <f t="shared" si="12"/>
        <v>123957</v>
      </c>
      <c r="AH72">
        <f t="shared" si="13"/>
        <v>51455.23</v>
      </c>
      <c r="AI72" t="str">
        <f t="shared" si="14"/>
        <v>99</v>
      </c>
      <c r="AJ72">
        <f t="shared" si="15"/>
        <v>1</v>
      </c>
      <c r="AK72">
        <f t="shared" si="49"/>
        <v>2</v>
      </c>
      <c r="AL72">
        <f t="shared" si="16"/>
        <v>130902</v>
      </c>
      <c r="AM72">
        <f t="shared" si="17"/>
        <v>51399.41</v>
      </c>
      <c r="AN72" t="str">
        <f t="shared" si="18"/>
        <v>53</v>
      </c>
      <c r="AO72">
        <f t="shared" si="19"/>
        <v>1</v>
      </c>
    </row>
    <row r="73" spans="1:41" x14ac:dyDescent="0.4">
      <c r="A73" t="str">
        <f>IF($CM$6=0,"",IF(INDEX('⑩ 원문 보관'!$A:$E,$CM$6+ROW()-9,COLUMN())="","",INDEX('⑩ 원문 보관'!$A:$E,$CM$6+ROW()-9,COLUMN())))</f>
        <v xml:space="preserve">112112.0  51362.67 99 </v>
      </c>
      <c r="B73" t="str">
        <f>IF($CM$6=0,"",IF(INDEX('⑩ 원문 보관'!$A:$E,$CM$6+ROW()-9,COLUMN())="","",INDEX('⑩ 원문 보관'!$A:$E,$CM$6+ROW()-9,COLUMN())))</f>
        <v xml:space="preserve">114542.0  51409.01 54 </v>
      </c>
      <c r="C73" t="str">
        <f>IF($CM$6=0,"",IF(INDEX('⑩ 원문 보관'!$A:$E,$CM$6+ROW()-9,COLUMN())="","",INDEX('⑩ 원문 보관'!$A:$E,$CM$6+ROW()-9,COLUMN())))</f>
        <v xml:space="preserve">122322.0  51368.86 95 </v>
      </c>
      <c r="D73" t="str">
        <f>IF($CM$6=0,"",IF(INDEX('⑩ 원문 보관'!$A:$E,$CM$6+ROW()-9,COLUMN())="","",INDEX('⑩ 원문 보관'!$A:$E,$CM$6+ROW()-9,COLUMN())))</f>
        <v xml:space="preserve">124002.0  51455.30 98 </v>
      </c>
      <c r="E73" t="str">
        <f>IF($CM$6=0,"",IF(INDEX('⑩ 원문 보관'!$A:$E,$CM$6+ROW()-9,COLUMN())="","",INDEX('⑩ 원문 보관'!$A:$E,$CM$6+ROW()-9,COLUMN())))</f>
        <v xml:space="preserve">130907.0  51399.98 53 </v>
      </c>
      <c r="Q73">
        <f t="shared" si="45"/>
        <v>2</v>
      </c>
      <c r="R73">
        <f t="shared" ref="R73:R136" si="50">IFERROR(IF(ISNUMBER(--LEFT(TRIM(A73),1)),VALUE(LEFT(TRIM(A73),6)),""),"")</f>
        <v>112112</v>
      </c>
      <c r="S73">
        <f t="shared" ref="S73:S136" si="51">IFERROR(VALUE(TRIM(MID(SUBSTITUTE(TRIM(A73)," ",REPT(" ",30)),31,30))),"")</f>
        <v>51362.67</v>
      </c>
      <c r="T73" t="str">
        <f t="shared" ref="T73:T136" si="52">IFERROR(TRIM(MID(SUBSTITUTE(TRIM(A73)," ",REPT(" ",30)),61,30)),"")</f>
        <v>99</v>
      </c>
      <c r="U73">
        <f t="shared" ref="U73:U136" si="53">IF(OR(R73="",S73="",T73=""),0,IF(AND(S73&gt;1000,RIGHT(T73,1)&lt;&gt;"0"),1,0))</f>
        <v>1</v>
      </c>
      <c r="V73">
        <f t="shared" si="46"/>
        <v>2</v>
      </c>
      <c r="W73">
        <f t="shared" ref="W73:W136" si="54">IFERROR(IF(ISNUMBER(--LEFT(TRIM(B73),1)),VALUE(LEFT(TRIM(B73),6)),""),"")</f>
        <v>114542</v>
      </c>
      <c r="X73">
        <f t="shared" ref="X73:X136" si="55">IFERROR(VALUE(TRIM(MID(SUBSTITUTE(TRIM(B73)," ",REPT(" ",30)),31,30))),"")</f>
        <v>51409.01</v>
      </c>
      <c r="Y73" t="str">
        <f t="shared" ref="Y73:Y136" si="56">IFERROR(TRIM(MID(SUBSTITUTE(TRIM(B73)," ",REPT(" ",30)),61,30)),"")</f>
        <v>54</v>
      </c>
      <c r="Z73">
        <f t="shared" ref="Z73:Z136" si="57">IF(OR(W73="",X73="",Y73=""),0,IF(AND(X73&gt;1000,RIGHT(Y73,1)&lt;&gt;"0"),1,0))</f>
        <v>1</v>
      </c>
      <c r="AA73">
        <f t="shared" si="47"/>
        <v>2</v>
      </c>
      <c r="AB73">
        <f t="shared" ref="AB73:AB136" si="58">IFERROR(IF(ISNUMBER(--LEFT(TRIM(C73),1)),VALUE(LEFT(TRIM(C73),6)),""),"")</f>
        <v>122322</v>
      </c>
      <c r="AC73">
        <f t="shared" ref="AC73:AC136" si="59">IFERROR(VALUE(TRIM(MID(SUBSTITUTE(TRIM(C73)," ",REPT(" ",30)),31,30))),"")</f>
        <v>51368.86</v>
      </c>
      <c r="AD73" t="str">
        <f t="shared" ref="AD73:AD136" si="60">IFERROR(TRIM(MID(SUBSTITUTE(TRIM(C73)," ",REPT(" ",30)),61,30)),"")</f>
        <v>95</v>
      </c>
      <c r="AE73">
        <f t="shared" ref="AE73:AE136" si="61">IF(OR(AB73="",AC73="",AD73=""),0,IF(AND(AC73&gt;1000,RIGHT(AD73,1)&lt;&gt;"0"),1,0))</f>
        <v>1</v>
      </c>
      <c r="AF73">
        <f t="shared" si="48"/>
        <v>2</v>
      </c>
      <c r="AG73">
        <f t="shared" ref="AG73:AG136" si="62">IFERROR(IF(ISNUMBER(--LEFT(TRIM(D73),1)),VALUE(LEFT(TRIM(D73),6)),""),"")</f>
        <v>124002</v>
      </c>
      <c r="AH73">
        <f t="shared" ref="AH73:AH136" si="63">IFERROR(VALUE(TRIM(MID(SUBSTITUTE(TRIM(D73)," ",REPT(" ",30)),31,30))),"")</f>
        <v>51455.3</v>
      </c>
      <c r="AI73" t="str">
        <f t="shared" ref="AI73:AI136" si="64">IFERROR(TRIM(MID(SUBSTITUTE(TRIM(D73)," ",REPT(" ",30)),61,30)),"")</f>
        <v>98</v>
      </c>
      <c r="AJ73">
        <f t="shared" ref="AJ73:AJ136" si="65">IF(OR(AG73="",AH73="",AI73=""),0,IF(AND(AH73&gt;1000,RIGHT(AI73,1)&lt;&gt;"0"),1,0))</f>
        <v>1</v>
      </c>
      <c r="AK73">
        <f t="shared" si="49"/>
        <v>2</v>
      </c>
      <c r="AL73">
        <f t="shared" ref="AL73:AL136" si="66">IFERROR(IF(ISNUMBER(--LEFT(TRIM(E73),1)),VALUE(LEFT(TRIM(E73),6)),""),"")</f>
        <v>130907</v>
      </c>
      <c r="AM73">
        <f t="shared" ref="AM73:AM136" si="67">IFERROR(VALUE(TRIM(MID(SUBSTITUTE(TRIM(E73)," ",REPT(" ",30)),31,30))),"")</f>
        <v>51399.98</v>
      </c>
      <c r="AN73" t="str">
        <f t="shared" ref="AN73:AN136" si="68">IFERROR(TRIM(MID(SUBSTITUTE(TRIM(E73)," ",REPT(" ",30)),61,30)),"")</f>
        <v>53</v>
      </c>
      <c r="AO73">
        <f t="shared" ref="AO73:AO136" si="69">IF(OR(AL73="",AM73="",AN73=""),0,IF(AND(AM73&gt;1000,RIGHT(AN73,1)&lt;&gt;"0"),1,0))</f>
        <v>1</v>
      </c>
    </row>
    <row r="74" spans="1:41" x14ac:dyDescent="0.4">
      <c r="A74" t="str">
        <f>IF($CM$6=0,"",IF(INDEX('⑩ 원문 보관'!$A:$E,$CM$6+ROW()-9,COLUMN())="","",INDEX('⑩ 원문 보관'!$A:$E,$CM$6+ROW()-9,COLUMN())))</f>
        <v xml:space="preserve">112117.0  51362.58 99 </v>
      </c>
      <c r="B74" t="str">
        <f>IF($CM$6=0,"",IF(INDEX('⑩ 원문 보관'!$A:$E,$CM$6+ROW()-9,COLUMN())="","",INDEX('⑩ 원문 보관'!$A:$E,$CM$6+ROW()-9,COLUMN())))</f>
        <v xml:space="preserve">114547.0  51409.37 94 </v>
      </c>
      <c r="C74" t="str">
        <f>IF($CM$6=0,"",IF(INDEX('⑩ 원문 보관'!$A:$E,$CM$6+ROW()-9,COLUMN())="","",INDEX('⑩ 원문 보관'!$A:$E,$CM$6+ROW()-9,COLUMN())))</f>
        <v xml:space="preserve">122327.0  51369.19 95 </v>
      </c>
      <c r="D74" t="str">
        <f>IF($CM$6=0,"",IF(INDEX('⑩ 원문 보관'!$A:$E,$CM$6+ROW()-9,COLUMN())="","",INDEX('⑩ 원문 보관'!$A:$E,$CM$6+ROW()-9,COLUMN())))</f>
        <v xml:space="preserve">124007.0  51455.29 98 </v>
      </c>
      <c r="E74" t="str">
        <f>IF($CM$6=0,"",IF(INDEX('⑩ 원문 보관'!$A:$E,$CM$6+ROW()-9,COLUMN())="","",INDEX('⑩ 원문 보관'!$A:$E,$CM$6+ROW()-9,COLUMN())))</f>
        <v xml:space="preserve">130912.0  51400.29 64 </v>
      </c>
      <c r="Q74">
        <f t="shared" ref="Q74:Q137" si="70">IF(A74="",N(Q73),IF(LEFT(TRIM(A74),5)="/time",N(Q73)+1,N(Q73)))</f>
        <v>2</v>
      </c>
      <c r="R74">
        <f t="shared" si="50"/>
        <v>112117</v>
      </c>
      <c r="S74">
        <f t="shared" si="51"/>
        <v>51362.58</v>
      </c>
      <c r="T74" t="str">
        <f t="shared" si="52"/>
        <v>99</v>
      </c>
      <c r="U74">
        <f t="shared" si="53"/>
        <v>1</v>
      </c>
      <c r="V74">
        <f t="shared" ref="V74:V137" si="71">IF(B74="",N(V73),IF(LEFT(TRIM(B74),5)="/time",N(V73)+1,N(V73)))</f>
        <v>2</v>
      </c>
      <c r="W74">
        <f t="shared" si="54"/>
        <v>114547</v>
      </c>
      <c r="X74">
        <f t="shared" si="55"/>
        <v>51409.37</v>
      </c>
      <c r="Y74" t="str">
        <f t="shared" si="56"/>
        <v>94</v>
      </c>
      <c r="Z74">
        <f t="shared" si="57"/>
        <v>1</v>
      </c>
      <c r="AA74">
        <f t="shared" ref="AA74:AA137" si="72">IF(C74="",N(AA73),IF(LEFT(TRIM(C74),5)="/time",N(AA73)+1,N(AA73)))</f>
        <v>2</v>
      </c>
      <c r="AB74">
        <f t="shared" si="58"/>
        <v>122327</v>
      </c>
      <c r="AC74">
        <f t="shared" si="59"/>
        <v>51369.19</v>
      </c>
      <c r="AD74" t="str">
        <f t="shared" si="60"/>
        <v>95</v>
      </c>
      <c r="AE74">
        <f t="shared" si="61"/>
        <v>1</v>
      </c>
      <c r="AF74">
        <f t="shared" ref="AF74:AF137" si="73">IF(D74="",N(AF73),IF(LEFT(TRIM(D74),5)="/time",N(AF73)+1,N(AF73)))</f>
        <v>2</v>
      </c>
      <c r="AG74">
        <f t="shared" si="62"/>
        <v>124007</v>
      </c>
      <c r="AH74">
        <f t="shared" si="63"/>
        <v>51455.29</v>
      </c>
      <c r="AI74" t="str">
        <f t="shared" si="64"/>
        <v>98</v>
      </c>
      <c r="AJ74">
        <f t="shared" si="65"/>
        <v>1</v>
      </c>
      <c r="AK74">
        <f t="shared" ref="AK74:AK137" si="74">IF(E74="",N(AK73),IF(LEFT(TRIM(E74),5)="/time",N(AK73)+1,N(AK73)))</f>
        <v>2</v>
      </c>
      <c r="AL74">
        <f t="shared" si="66"/>
        <v>130912</v>
      </c>
      <c r="AM74">
        <f t="shared" si="67"/>
        <v>51400.29</v>
      </c>
      <c r="AN74" t="str">
        <f t="shared" si="68"/>
        <v>64</v>
      </c>
      <c r="AO74">
        <f t="shared" si="69"/>
        <v>1</v>
      </c>
    </row>
    <row r="75" spans="1:41" x14ac:dyDescent="0.4">
      <c r="A75" t="str">
        <f>IF($CM$6=0,"",IF(INDEX('⑩ 원문 보관'!$A:$E,$CM$6+ROW()-9,COLUMN())="","",INDEX('⑩ 원문 보관'!$A:$E,$CM$6+ROW()-9,COLUMN())))</f>
        <v xml:space="preserve">112122.0  51362.57 99 </v>
      </c>
      <c r="B75" t="str">
        <f>IF($CM$6=0,"",IF(INDEX('⑩ 원문 보관'!$A:$E,$CM$6+ROW()-9,COLUMN())="","",INDEX('⑩ 원문 보관'!$A:$E,$CM$6+ROW()-9,COLUMN())))</f>
        <v xml:space="preserve">114552.0  51409.42 74 </v>
      </c>
      <c r="C75" t="str">
        <f>IF($CM$6=0,"",IF(INDEX('⑩ 원문 보관'!$A:$E,$CM$6+ROW()-9,COLUMN())="","",INDEX('⑩ 원문 보관'!$A:$E,$CM$6+ROW()-9,COLUMN())))</f>
        <v/>
      </c>
      <c r="D75" t="str">
        <f>IF($CM$6=0,"",IF(INDEX('⑩ 원문 보관'!$A:$E,$CM$6+ROW()-9,COLUMN())="","",INDEX('⑩ 원문 보관'!$A:$E,$CM$6+ROW()-9,COLUMN())))</f>
        <v xml:space="preserve">124012.0  51455.40 98 </v>
      </c>
      <c r="E75" t="str">
        <f>IF($CM$6=0,"",IF(INDEX('⑩ 원문 보관'!$A:$E,$CM$6+ROW()-9,COLUMN())="","",INDEX('⑩ 원문 보관'!$A:$E,$CM$6+ROW()-9,COLUMN())))</f>
        <v xml:space="preserve">130917.0  51399.95 64 </v>
      </c>
      <c r="Q75">
        <f t="shared" si="70"/>
        <v>2</v>
      </c>
      <c r="R75">
        <f t="shared" si="50"/>
        <v>112122</v>
      </c>
      <c r="S75">
        <f t="shared" si="51"/>
        <v>51362.57</v>
      </c>
      <c r="T75" t="str">
        <f t="shared" si="52"/>
        <v>99</v>
      </c>
      <c r="U75">
        <f t="shared" si="53"/>
        <v>1</v>
      </c>
      <c r="V75">
        <f t="shared" si="71"/>
        <v>2</v>
      </c>
      <c r="W75">
        <f t="shared" si="54"/>
        <v>114552</v>
      </c>
      <c r="X75">
        <f t="shared" si="55"/>
        <v>51409.42</v>
      </c>
      <c r="Y75" t="str">
        <f t="shared" si="56"/>
        <v>74</v>
      </c>
      <c r="Z75">
        <f t="shared" si="57"/>
        <v>1</v>
      </c>
      <c r="AA75">
        <f t="shared" si="72"/>
        <v>2</v>
      </c>
      <c r="AB75" t="str">
        <f t="shared" si="58"/>
        <v/>
      </c>
      <c r="AC75" t="str">
        <f t="shared" si="59"/>
        <v/>
      </c>
      <c r="AD75" t="str">
        <f t="shared" si="60"/>
        <v/>
      </c>
      <c r="AE75">
        <f t="shared" si="61"/>
        <v>0</v>
      </c>
      <c r="AF75">
        <f t="shared" si="73"/>
        <v>2</v>
      </c>
      <c r="AG75">
        <f t="shared" si="62"/>
        <v>124012</v>
      </c>
      <c r="AH75">
        <f t="shared" si="63"/>
        <v>51455.4</v>
      </c>
      <c r="AI75" t="str">
        <f t="shared" si="64"/>
        <v>98</v>
      </c>
      <c r="AJ75">
        <f t="shared" si="65"/>
        <v>1</v>
      </c>
      <c r="AK75">
        <f t="shared" si="74"/>
        <v>2</v>
      </c>
      <c r="AL75">
        <f t="shared" si="66"/>
        <v>130917</v>
      </c>
      <c r="AM75">
        <f t="shared" si="67"/>
        <v>51399.95</v>
      </c>
      <c r="AN75" t="str">
        <f t="shared" si="68"/>
        <v>64</v>
      </c>
      <c r="AO75">
        <f t="shared" si="69"/>
        <v>1</v>
      </c>
    </row>
    <row r="76" spans="1:41" x14ac:dyDescent="0.4">
      <c r="A76" t="str">
        <f>IF($CM$6=0,"",IF(INDEX('⑩ 원문 보관'!$A:$E,$CM$6+ROW()-9,COLUMN())="","",INDEX('⑩ 원문 보관'!$A:$E,$CM$6+ROW()-9,COLUMN())))</f>
        <v xml:space="preserve">112127.0  51362.60 99 </v>
      </c>
      <c r="B76" t="str">
        <f>IF($CM$6=0,"",IF(INDEX('⑩ 원문 보관'!$A:$E,$CM$6+ROW()-9,COLUMN())="","",INDEX('⑩ 원문 보관'!$A:$E,$CM$6+ROW()-9,COLUMN())))</f>
        <v xml:space="preserve">114557.0  51408.72 54 </v>
      </c>
      <c r="C76" t="str">
        <f>IF($CM$6=0,"",IF(INDEX('⑩ 원문 보관'!$A:$E,$CM$6+ROW()-9,COLUMN())="","",INDEX('⑩ 원문 보관'!$A:$E,$CM$6+ROW()-9,COLUMN())))</f>
        <v/>
      </c>
      <c r="D76" t="str">
        <f>IF($CM$6=0,"",IF(INDEX('⑩ 원문 보관'!$A:$E,$CM$6+ROW()-9,COLUMN())="","",INDEX('⑩ 원문 보관'!$A:$E,$CM$6+ROW()-9,COLUMN())))</f>
        <v xml:space="preserve">124017.0  51455.39 99 </v>
      </c>
      <c r="E76" t="str">
        <f>IF($CM$6=0,"",IF(INDEX('⑩ 원문 보관'!$A:$E,$CM$6+ROW()-9,COLUMN())="","",INDEX('⑩ 원문 보관'!$A:$E,$CM$6+ROW()-9,COLUMN())))</f>
        <v xml:space="preserve">130922.0  51400.76 73 </v>
      </c>
      <c r="Q76">
        <f t="shared" si="70"/>
        <v>2</v>
      </c>
      <c r="R76">
        <f t="shared" si="50"/>
        <v>112127</v>
      </c>
      <c r="S76">
        <f t="shared" si="51"/>
        <v>51362.6</v>
      </c>
      <c r="T76" t="str">
        <f t="shared" si="52"/>
        <v>99</v>
      </c>
      <c r="U76">
        <f t="shared" si="53"/>
        <v>1</v>
      </c>
      <c r="V76">
        <f t="shared" si="71"/>
        <v>2</v>
      </c>
      <c r="W76">
        <f t="shared" si="54"/>
        <v>114557</v>
      </c>
      <c r="X76">
        <f t="shared" si="55"/>
        <v>51408.72</v>
      </c>
      <c r="Y76" t="str">
        <f t="shared" si="56"/>
        <v>54</v>
      </c>
      <c r="Z76">
        <f t="shared" si="57"/>
        <v>1</v>
      </c>
      <c r="AA76">
        <f t="shared" si="72"/>
        <v>2</v>
      </c>
      <c r="AB76" t="str">
        <f t="shared" si="58"/>
        <v/>
      </c>
      <c r="AC76" t="str">
        <f t="shared" si="59"/>
        <v/>
      </c>
      <c r="AD76" t="str">
        <f t="shared" si="60"/>
        <v/>
      </c>
      <c r="AE76">
        <f t="shared" si="61"/>
        <v>0</v>
      </c>
      <c r="AF76">
        <f t="shared" si="73"/>
        <v>2</v>
      </c>
      <c r="AG76">
        <f t="shared" si="62"/>
        <v>124017</v>
      </c>
      <c r="AH76">
        <f t="shared" si="63"/>
        <v>51455.39</v>
      </c>
      <c r="AI76" t="str">
        <f t="shared" si="64"/>
        <v>99</v>
      </c>
      <c r="AJ76">
        <f t="shared" si="65"/>
        <v>1</v>
      </c>
      <c r="AK76">
        <f t="shared" si="74"/>
        <v>2</v>
      </c>
      <c r="AL76">
        <f t="shared" si="66"/>
        <v>130922</v>
      </c>
      <c r="AM76">
        <f t="shared" si="67"/>
        <v>51400.76</v>
      </c>
      <c r="AN76" t="str">
        <f t="shared" si="68"/>
        <v>73</v>
      </c>
      <c r="AO76">
        <f t="shared" si="69"/>
        <v>1</v>
      </c>
    </row>
    <row r="77" spans="1:41" x14ac:dyDescent="0.4">
      <c r="A77" t="str">
        <f>IF($CM$6=0,"",IF(INDEX('⑩ 원문 보관'!$A:$E,$CM$6+ROW()-9,COLUMN())="","",INDEX('⑩ 원문 보관'!$A:$E,$CM$6+ROW()-9,COLUMN())))</f>
        <v xml:space="preserve">112132.0  51362.58 98 </v>
      </c>
      <c r="B77" t="str">
        <f>IF($CM$6=0,"",IF(INDEX('⑩ 원문 보관'!$A:$E,$CM$6+ROW()-9,COLUMN())="","",INDEX('⑩ 원문 보관'!$A:$E,$CM$6+ROW()-9,COLUMN())))</f>
        <v xml:space="preserve">114602.0  51409.84 64 </v>
      </c>
      <c r="C77" t="str">
        <f>IF($CM$6=0,"",IF(INDEX('⑩ 원문 보관'!$A:$E,$CM$6+ROW()-9,COLUMN())="","",INDEX('⑩ 원문 보관'!$A:$E,$CM$6+ROW()-9,COLUMN())))</f>
        <v xml:space="preserve">/Gem Systems GSM-19T 4106808 v7.0 26 IX 2014 M t-e2l..v7o                         </v>
      </c>
      <c r="D77" t="str">
        <f>IF($CM$6=0,"",IF(INDEX('⑩ 원문 보관'!$A:$E,$CM$6+ROW()-9,COLUMN())="","",INDEX('⑩ 원문 보관'!$A:$E,$CM$6+ROW()-9,COLUMN())))</f>
        <v xml:space="preserve">124022.0  51455.48 99 </v>
      </c>
      <c r="E77" t="str">
        <f>IF($CM$6=0,"",IF(INDEX('⑩ 원문 보관'!$A:$E,$CM$6+ROW()-9,COLUMN())="","",INDEX('⑩ 원문 보관'!$A:$E,$CM$6+ROW()-9,COLUMN())))</f>
        <v xml:space="preserve">130927.0  51399.72 74 </v>
      </c>
      <c r="Q77">
        <f t="shared" si="70"/>
        <v>2</v>
      </c>
      <c r="R77">
        <f t="shared" si="50"/>
        <v>112132</v>
      </c>
      <c r="S77">
        <f t="shared" si="51"/>
        <v>51362.58</v>
      </c>
      <c r="T77" t="str">
        <f t="shared" si="52"/>
        <v>98</v>
      </c>
      <c r="U77">
        <f t="shared" si="53"/>
        <v>1</v>
      </c>
      <c r="V77">
        <f t="shared" si="71"/>
        <v>2</v>
      </c>
      <c r="W77">
        <f t="shared" si="54"/>
        <v>114602</v>
      </c>
      <c r="X77">
        <f t="shared" si="55"/>
        <v>51409.84</v>
      </c>
      <c r="Y77" t="str">
        <f t="shared" si="56"/>
        <v>64</v>
      </c>
      <c r="Z77">
        <f t="shared" si="57"/>
        <v>1</v>
      </c>
      <c r="AA77">
        <f t="shared" si="72"/>
        <v>2</v>
      </c>
      <c r="AB77" t="str">
        <f t="shared" si="58"/>
        <v/>
      </c>
      <c r="AC77" t="str">
        <f t="shared" si="59"/>
        <v/>
      </c>
      <c r="AD77" t="str">
        <f t="shared" si="60"/>
        <v>GSM-19T</v>
      </c>
      <c r="AE77">
        <f t="shared" si="61"/>
        <v>0</v>
      </c>
      <c r="AF77">
        <f t="shared" si="73"/>
        <v>2</v>
      </c>
      <c r="AG77">
        <f t="shared" si="62"/>
        <v>124022</v>
      </c>
      <c r="AH77">
        <f t="shared" si="63"/>
        <v>51455.48</v>
      </c>
      <c r="AI77" t="str">
        <f t="shared" si="64"/>
        <v>99</v>
      </c>
      <c r="AJ77">
        <f t="shared" si="65"/>
        <v>1</v>
      </c>
      <c r="AK77">
        <f t="shared" si="74"/>
        <v>2</v>
      </c>
      <c r="AL77">
        <f t="shared" si="66"/>
        <v>130927</v>
      </c>
      <c r="AM77">
        <f t="shared" si="67"/>
        <v>51399.72</v>
      </c>
      <c r="AN77" t="str">
        <f t="shared" si="68"/>
        <v>74</v>
      </c>
      <c r="AO77">
        <f t="shared" si="69"/>
        <v>1</v>
      </c>
    </row>
    <row r="78" spans="1:41" x14ac:dyDescent="0.4">
      <c r="A78" t="str">
        <f>IF($CM$6=0,"",IF(INDEX('⑩ 원문 보관'!$A:$E,$CM$6+ROW()-9,COLUMN())="","",INDEX('⑩ 원문 보관'!$A:$E,$CM$6+ROW()-9,COLUMN())))</f>
        <v xml:space="preserve">112137.0  51362.54 99 </v>
      </c>
      <c r="B78" t="str">
        <f>IF($CM$6=0,"",IF(INDEX('⑩ 원문 보관'!$A:$E,$CM$6+ROW()-9,COLUMN())="","",INDEX('⑩ 원문 보관'!$A:$E,$CM$6+ROW()-9,COLUMN())))</f>
        <v xml:space="preserve">114607.0  51409.55 54 </v>
      </c>
      <c r="C78" t="str">
        <f>IF($CM$6=0,"",IF(INDEX('⑩ 원문 보관'!$A:$E,$CM$6+ROW()-9,COLUMN())="","",INDEX('⑩ 원문 보관'!$A:$E,$CM$6+ROW()-9,COLUMN())))</f>
        <v>/ID 2666 file 24survey.b   21 IX 26</v>
      </c>
      <c r="D78" t="str">
        <f>IF($CM$6=0,"",IF(INDEX('⑩ 원문 보관'!$A:$E,$CM$6+ROW()-9,COLUMN())="","",INDEX('⑩ 원문 보관'!$A:$E,$CM$6+ROW()-9,COLUMN())))</f>
        <v/>
      </c>
      <c r="E78" t="str">
        <f>IF($CM$6=0,"",IF(INDEX('⑩ 원문 보관'!$A:$E,$CM$6+ROW()-9,COLUMN())="","",INDEX('⑩ 원문 보관'!$A:$E,$CM$6+ROW()-9,COLUMN())))</f>
        <v xml:space="preserve">130932.0  51399.59 44 </v>
      </c>
      <c r="Q78">
        <f t="shared" si="70"/>
        <v>2</v>
      </c>
      <c r="R78">
        <f t="shared" si="50"/>
        <v>112137</v>
      </c>
      <c r="S78">
        <f t="shared" si="51"/>
        <v>51362.54</v>
      </c>
      <c r="T78" t="str">
        <f t="shared" si="52"/>
        <v>99</v>
      </c>
      <c r="U78">
        <f t="shared" si="53"/>
        <v>1</v>
      </c>
      <c r="V78">
        <f t="shared" si="71"/>
        <v>2</v>
      </c>
      <c r="W78">
        <f t="shared" si="54"/>
        <v>114607</v>
      </c>
      <c r="X78">
        <f t="shared" si="55"/>
        <v>51409.55</v>
      </c>
      <c r="Y78" t="str">
        <f t="shared" si="56"/>
        <v>54</v>
      </c>
      <c r="Z78">
        <f t="shared" si="57"/>
        <v>1</v>
      </c>
      <c r="AA78">
        <f t="shared" si="72"/>
        <v>2</v>
      </c>
      <c r="AB78" t="str">
        <f t="shared" si="58"/>
        <v/>
      </c>
      <c r="AC78">
        <f t="shared" si="59"/>
        <v>2666</v>
      </c>
      <c r="AD78" t="str">
        <f t="shared" si="60"/>
        <v>file</v>
      </c>
      <c r="AE78">
        <f t="shared" si="61"/>
        <v>0</v>
      </c>
      <c r="AF78">
        <f t="shared" si="73"/>
        <v>2</v>
      </c>
      <c r="AG78" t="str">
        <f t="shared" si="62"/>
        <v/>
      </c>
      <c r="AH78" t="str">
        <f t="shared" si="63"/>
        <v/>
      </c>
      <c r="AI78" t="str">
        <f t="shared" si="64"/>
        <v/>
      </c>
      <c r="AJ78">
        <f t="shared" si="65"/>
        <v>0</v>
      </c>
      <c r="AK78">
        <f t="shared" si="74"/>
        <v>2</v>
      </c>
      <c r="AL78">
        <f t="shared" si="66"/>
        <v>130932</v>
      </c>
      <c r="AM78">
        <f t="shared" si="67"/>
        <v>51399.59</v>
      </c>
      <c r="AN78" t="str">
        <f t="shared" si="68"/>
        <v>44</v>
      </c>
      <c r="AO78">
        <f t="shared" si="69"/>
        <v>1</v>
      </c>
    </row>
    <row r="79" spans="1:41" x14ac:dyDescent="0.4">
      <c r="A79" t="str">
        <f>IF($CM$6=0,"",IF(INDEX('⑩ 원문 보관'!$A:$E,$CM$6+ROW()-9,COLUMN())="","",INDEX('⑩ 원문 보관'!$A:$E,$CM$6+ROW()-9,COLUMN())))</f>
        <v xml:space="preserve">112142.0  51362.54 99 </v>
      </c>
      <c r="B79" t="str">
        <f>IF($CM$6=0,"",IF(INDEX('⑩ 원문 보관'!$A:$E,$CM$6+ROW()-9,COLUMN())="","",INDEX('⑩ 원문 보관'!$A:$E,$CM$6+ROW()-9,COLUMN())))</f>
        <v xml:space="preserve">114612.0  51408.71 64 </v>
      </c>
      <c r="C79" t="str">
        <f>IF($CM$6=0,"",IF(INDEX('⑩ 원문 보관'!$A:$E,$CM$6+ROW()-9,COLUMN())="","",INDEX('⑩ 원문 보관'!$A:$E,$CM$6+ROW()-9,COLUMN())))</f>
        <v>/datum  57000.00</v>
      </c>
      <c r="D79" t="str">
        <f>IF($CM$6=0,"",IF(INDEX('⑩ 원문 보관'!$A:$E,$CM$6+ROW()-9,COLUMN())="","",INDEX('⑩ 원문 보관'!$A:$E,$CM$6+ROW()-9,COLUMN())))</f>
        <v/>
      </c>
      <c r="E79" t="str">
        <f>IF($CM$6=0,"",IF(INDEX('⑩ 원문 보관'!$A:$E,$CM$6+ROW()-9,COLUMN())="","",INDEX('⑩ 원문 보관'!$A:$E,$CM$6+ROW()-9,COLUMN())))</f>
        <v xml:space="preserve">130937.0  51399.21 33 </v>
      </c>
      <c r="Q79">
        <f t="shared" si="70"/>
        <v>2</v>
      </c>
      <c r="R79">
        <f t="shared" si="50"/>
        <v>112142</v>
      </c>
      <c r="S79">
        <f t="shared" si="51"/>
        <v>51362.54</v>
      </c>
      <c r="T79" t="str">
        <f t="shared" si="52"/>
        <v>99</v>
      </c>
      <c r="U79">
        <f t="shared" si="53"/>
        <v>1</v>
      </c>
      <c r="V79">
        <f t="shared" si="71"/>
        <v>2</v>
      </c>
      <c r="W79">
        <f t="shared" si="54"/>
        <v>114612</v>
      </c>
      <c r="X79">
        <f t="shared" si="55"/>
        <v>51408.71</v>
      </c>
      <c r="Y79" t="str">
        <f t="shared" si="56"/>
        <v>64</v>
      </c>
      <c r="Z79">
        <f t="shared" si="57"/>
        <v>1</v>
      </c>
      <c r="AA79">
        <f t="shared" si="72"/>
        <v>2</v>
      </c>
      <c r="AB79" t="str">
        <f t="shared" si="58"/>
        <v/>
      </c>
      <c r="AC79">
        <f t="shared" si="59"/>
        <v>57000</v>
      </c>
      <c r="AD79" t="str">
        <f t="shared" si="60"/>
        <v/>
      </c>
      <c r="AE79">
        <f t="shared" si="61"/>
        <v>0</v>
      </c>
      <c r="AF79">
        <f t="shared" si="73"/>
        <v>2</v>
      </c>
      <c r="AG79" t="str">
        <f t="shared" si="62"/>
        <v/>
      </c>
      <c r="AH79" t="str">
        <f t="shared" si="63"/>
        <v/>
      </c>
      <c r="AI79" t="str">
        <f t="shared" si="64"/>
        <v/>
      </c>
      <c r="AJ79">
        <f t="shared" si="65"/>
        <v>0</v>
      </c>
      <c r="AK79">
        <f t="shared" si="74"/>
        <v>2</v>
      </c>
      <c r="AL79">
        <f t="shared" si="66"/>
        <v>130937</v>
      </c>
      <c r="AM79">
        <f t="shared" si="67"/>
        <v>51399.21</v>
      </c>
      <c r="AN79" t="str">
        <f t="shared" si="68"/>
        <v>33</v>
      </c>
      <c r="AO79">
        <f t="shared" si="69"/>
        <v>1</v>
      </c>
    </row>
    <row r="80" spans="1:41" x14ac:dyDescent="0.4">
      <c r="A80" t="str">
        <f>IF($CM$6=0,"",IF(INDEX('⑩ 원문 보관'!$A:$E,$CM$6+ROW()-9,COLUMN())="","",INDEX('⑩ 원문 보관'!$A:$E,$CM$6+ROW()-9,COLUMN())))</f>
        <v xml:space="preserve">112147.0  51362.70 99 </v>
      </c>
      <c r="B80" t="str">
        <f>IF($CM$6=0,"",IF(INDEX('⑩ 원문 보관'!$A:$E,$CM$6+ROW()-9,COLUMN())="","",INDEX('⑩ 원문 보관'!$A:$E,$CM$6+ROW()-9,COLUMN())))</f>
        <v xml:space="preserve">114617.0  51410.39 54 </v>
      </c>
      <c r="C80" t="str">
        <f>IF($CM$6=0,"",IF(INDEX('⑩ 원문 보관'!$A:$E,$CM$6+ROW()-9,COLUMN())="","",INDEX('⑩ 원문 보관'!$A:$E,$CM$6+ROW()-9,COLUMN())))</f>
        <v>/</v>
      </c>
      <c r="D80" t="str">
        <f>IF($CM$6=0,"",IF(INDEX('⑩ 원문 보관'!$A:$E,$CM$6+ROW()-9,COLUMN())="","",INDEX('⑩ 원문 보관'!$A:$E,$CM$6+ROW()-9,COLUMN())))</f>
        <v xml:space="preserve">/Gem Systems GSM-19T 4106808 v7.0 26 IX 2014 M t-e2l..v7o                         </v>
      </c>
      <c r="E80" t="str">
        <f>IF($CM$6=0,"",IF(INDEX('⑩ 원문 보관'!$A:$E,$CM$6+ROW()-9,COLUMN())="","",INDEX('⑩ 원문 보관'!$A:$E,$CM$6+ROW()-9,COLUMN())))</f>
        <v xml:space="preserve">130942.0  51405.71 64 </v>
      </c>
      <c r="Q80">
        <f t="shared" si="70"/>
        <v>2</v>
      </c>
      <c r="R80">
        <f t="shared" si="50"/>
        <v>112147</v>
      </c>
      <c r="S80">
        <f t="shared" si="51"/>
        <v>51362.7</v>
      </c>
      <c r="T80" t="str">
        <f t="shared" si="52"/>
        <v>99</v>
      </c>
      <c r="U80">
        <f t="shared" si="53"/>
        <v>1</v>
      </c>
      <c r="V80">
        <f t="shared" si="71"/>
        <v>2</v>
      </c>
      <c r="W80">
        <f t="shared" si="54"/>
        <v>114617</v>
      </c>
      <c r="X80">
        <f t="shared" si="55"/>
        <v>51410.39</v>
      </c>
      <c r="Y80" t="str">
        <f t="shared" si="56"/>
        <v>54</v>
      </c>
      <c r="Z80">
        <f t="shared" si="57"/>
        <v>1</v>
      </c>
      <c r="AA80">
        <f t="shared" si="72"/>
        <v>2</v>
      </c>
      <c r="AB80" t="str">
        <f t="shared" si="58"/>
        <v/>
      </c>
      <c r="AC80" t="str">
        <f t="shared" si="59"/>
        <v/>
      </c>
      <c r="AD80" t="str">
        <f t="shared" si="60"/>
        <v/>
      </c>
      <c r="AE80">
        <f t="shared" si="61"/>
        <v>0</v>
      </c>
      <c r="AF80">
        <f t="shared" si="73"/>
        <v>2</v>
      </c>
      <c r="AG80" t="str">
        <f t="shared" si="62"/>
        <v/>
      </c>
      <c r="AH80" t="str">
        <f t="shared" si="63"/>
        <v/>
      </c>
      <c r="AI80" t="str">
        <f t="shared" si="64"/>
        <v>GSM-19T</v>
      </c>
      <c r="AJ80">
        <f t="shared" si="65"/>
        <v>0</v>
      </c>
      <c r="AK80">
        <f t="shared" si="74"/>
        <v>2</v>
      </c>
      <c r="AL80">
        <f t="shared" si="66"/>
        <v>130942</v>
      </c>
      <c r="AM80">
        <f t="shared" si="67"/>
        <v>51405.71</v>
      </c>
      <c r="AN80" t="str">
        <f t="shared" si="68"/>
        <v>64</v>
      </c>
      <c r="AO80">
        <f t="shared" si="69"/>
        <v>1</v>
      </c>
    </row>
    <row r="81" spans="1:41" x14ac:dyDescent="0.4">
      <c r="A81" t="str">
        <f>IF($CM$6=0,"",IF(INDEX('⑩ 원문 보관'!$A:$E,$CM$6+ROW()-9,COLUMN())="","",INDEX('⑩ 원문 보관'!$A:$E,$CM$6+ROW()-9,COLUMN())))</f>
        <v xml:space="preserve">112152.0  51362.51 99 </v>
      </c>
      <c r="B81" t="str">
        <f>IF($CM$6=0,"",IF(INDEX('⑩ 원문 보관'!$A:$E,$CM$6+ROW()-9,COLUMN())="","",INDEX('⑩ 원문 보관'!$A:$E,$CM$6+ROW()-9,COLUMN())))</f>
        <v xml:space="preserve">114622.0  51409.00 64 </v>
      </c>
      <c r="C81" t="str">
        <f>IF($CM$6=0,"",IF(INDEX('⑩ 원문 보관'!$A:$E,$CM$6+ROW()-9,COLUMN())="","",INDEX('⑩ 원문 보관'!$A:$E,$CM$6+ROW()-9,COLUMN())))</f>
        <v/>
      </c>
      <c r="D81" t="str">
        <f>IF($CM$6=0,"",IF(INDEX('⑩ 원문 보관'!$A:$E,$CM$6+ROW()-9,COLUMN())="","",INDEX('⑩ 원문 보관'!$A:$E,$CM$6+ROW()-9,COLUMN())))</f>
        <v>/ID 2666 file 30survey.b   21 IX 26</v>
      </c>
      <c r="E81" t="str">
        <f>IF($CM$6=0,"",IF(INDEX('⑩ 원문 보관'!$A:$E,$CM$6+ROW()-9,COLUMN())="","",INDEX('⑩ 원문 보관'!$A:$E,$CM$6+ROW()-9,COLUMN())))</f>
        <v/>
      </c>
      <c r="Q81">
        <f t="shared" si="70"/>
        <v>2</v>
      </c>
      <c r="R81">
        <f t="shared" si="50"/>
        <v>112152</v>
      </c>
      <c r="S81">
        <f t="shared" si="51"/>
        <v>51362.51</v>
      </c>
      <c r="T81" t="str">
        <f t="shared" si="52"/>
        <v>99</v>
      </c>
      <c r="U81">
        <f t="shared" si="53"/>
        <v>1</v>
      </c>
      <c r="V81">
        <f t="shared" si="71"/>
        <v>2</v>
      </c>
      <c r="W81">
        <f t="shared" si="54"/>
        <v>114622</v>
      </c>
      <c r="X81">
        <f t="shared" si="55"/>
        <v>51409</v>
      </c>
      <c r="Y81" t="str">
        <f t="shared" si="56"/>
        <v>64</v>
      </c>
      <c r="Z81">
        <f t="shared" si="57"/>
        <v>1</v>
      </c>
      <c r="AA81">
        <f t="shared" si="72"/>
        <v>2</v>
      </c>
      <c r="AB81" t="str">
        <f t="shared" si="58"/>
        <v/>
      </c>
      <c r="AC81" t="str">
        <f t="shared" si="59"/>
        <v/>
      </c>
      <c r="AD81" t="str">
        <f t="shared" si="60"/>
        <v/>
      </c>
      <c r="AE81">
        <f t="shared" si="61"/>
        <v>0</v>
      </c>
      <c r="AF81">
        <f t="shared" si="73"/>
        <v>2</v>
      </c>
      <c r="AG81" t="str">
        <f t="shared" si="62"/>
        <v/>
      </c>
      <c r="AH81">
        <f t="shared" si="63"/>
        <v>2666</v>
      </c>
      <c r="AI81" t="str">
        <f t="shared" si="64"/>
        <v>file</v>
      </c>
      <c r="AJ81">
        <f t="shared" si="65"/>
        <v>0</v>
      </c>
      <c r="AK81">
        <f t="shared" si="74"/>
        <v>2</v>
      </c>
      <c r="AL81" t="str">
        <f t="shared" si="66"/>
        <v/>
      </c>
      <c r="AM81" t="str">
        <f t="shared" si="67"/>
        <v/>
      </c>
      <c r="AN81" t="str">
        <f t="shared" si="68"/>
        <v/>
      </c>
      <c r="AO81">
        <f t="shared" si="69"/>
        <v>0</v>
      </c>
    </row>
    <row r="82" spans="1:41" x14ac:dyDescent="0.4">
      <c r="A82" t="str">
        <f>IF($CM$6=0,"",IF(INDEX('⑩ 원문 보관'!$A:$E,$CM$6+ROW()-9,COLUMN())="","",INDEX('⑩ 원문 보관'!$A:$E,$CM$6+ROW()-9,COLUMN())))</f>
        <v xml:space="preserve">112157.0  51362.59 99 </v>
      </c>
      <c r="B82" t="str">
        <f>IF($CM$6=0,"",IF(INDEX('⑩ 원문 보관'!$A:$E,$CM$6+ROW()-9,COLUMN())="","",INDEX('⑩ 원문 보관'!$A:$E,$CM$6+ROW()-9,COLUMN())))</f>
        <v xml:space="preserve">114627.0  51408.41 44 </v>
      </c>
      <c r="C82" t="str">
        <f>IF($CM$6=0,"",IF(INDEX('⑩ 원문 보관'!$A:$E,$CM$6+ROW()-9,COLUMN())="","",INDEX('⑩ 원문 보관'!$A:$E,$CM$6+ROW()-9,COLUMN())))</f>
        <v xml:space="preserve">/time nT sq </v>
      </c>
      <c r="D82" t="str">
        <f>IF($CM$6=0,"",IF(INDEX('⑩ 원문 보관'!$A:$E,$CM$6+ROW()-9,COLUMN())="","",INDEX('⑩ 원문 보관'!$A:$E,$CM$6+ROW()-9,COLUMN())))</f>
        <v>/datum  57000.00</v>
      </c>
      <c r="E82" t="str">
        <f>IF($CM$6=0,"",IF(INDEX('⑩ 원문 보관'!$A:$E,$CM$6+ROW()-9,COLUMN())="","",INDEX('⑩ 원문 보관'!$A:$E,$CM$6+ROW()-9,COLUMN())))</f>
        <v/>
      </c>
      <c r="Q82">
        <f t="shared" si="70"/>
        <v>2</v>
      </c>
      <c r="R82">
        <f t="shared" si="50"/>
        <v>112157</v>
      </c>
      <c r="S82">
        <f t="shared" si="51"/>
        <v>51362.59</v>
      </c>
      <c r="T82" t="str">
        <f t="shared" si="52"/>
        <v>99</v>
      </c>
      <c r="U82">
        <f t="shared" si="53"/>
        <v>1</v>
      </c>
      <c r="V82">
        <f t="shared" si="71"/>
        <v>2</v>
      </c>
      <c r="W82">
        <f t="shared" si="54"/>
        <v>114627</v>
      </c>
      <c r="X82">
        <f t="shared" si="55"/>
        <v>51408.41</v>
      </c>
      <c r="Y82" t="str">
        <f t="shared" si="56"/>
        <v>44</v>
      </c>
      <c r="Z82">
        <f t="shared" si="57"/>
        <v>1</v>
      </c>
      <c r="AA82">
        <f t="shared" si="72"/>
        <v>3</v>
      </c>
      <c r="AB82" t="str">
        <f t="shared" si="58"/>
        <v/>
      </c>
      <c r="AC82" t="str">
        <f t="shared" si="59"/>
        <v/>
      </c>
      <c r="AD82" t="str">
        <f t="shared" si="60"/>
        <v>sq</v>
      </c>
      <c r="AE82">
        <f t="shared" si="61"/>
        <v>0</v>
      </c>
      <c r="AF82">
        <f t="shared" si="73"/>
        <v>2</v>
      </c>
      <c r="AG82" t="str">
        <f t="shared" si="62"/>
        <v/>
      </c>
      <c r="AH82">
        <f t="shared" si="63"/>
        <v>57000</v>
      </c>
      <c r="AI82" t="str">
        <f t="shared" si="64"/>
        <v/>
      </c>
      <c r="AJ82">
        <f t="shared" si="65"/>
        <v>0</v>
      </c>
      <c r="AK82">
        <f t="shared" si="74"/>
        <v>2</v>
      </c>
      <c r="AL82" t="str">
        <f t="shared" si="66"/>
        <v/>
      </c>
      <c r="AM82" t="str">
        <f t="shared" si="67"/>
        <v/>
      </c>
      <c r="AN82" t="str">
        <f t="shared" si="68"/>
        <v/>
      </c>
      <c r="AO82">
        <f t="shared" si="69"/>
        <v>0</v>
      </c>
    </row>
    <row r="83" spans="1:41" x14ac:dyDescent="0.4">
      <c r="A83" t="str">
        <f>IF($CM$6=0,"",IF(INDEX('⑩ 원문 보관'!$A:$E,$CM$6+ROW()-9,COLUMN())="","",INDEX('⑩ 원문 보관'!$A:$E,$CM$6+ROW()-9,COLUMN())))</f>
        <v xml:space="preserve">112202.0  51362.55 99 </v>
      </c>
      <c r="B83" t="str">
        <f>IF($CM$6=0,"",IF(INDEX('⑩ 원문 보관'!$A:$E,$CM$6+ROW()-9,COLUMN())="","",INDEX('⑩ 원문 보관'!$A:$E,$CM$6+ROW()-9,COLUMN())))</f>
        <v xml:space="preserve">114632.0  51408.54 84 </v>
      </c>
      <c r="C83" t="str">
        <f>IF($CM$6=0,"",IF(INDEX('⑩ 원문 보관'!$A:$E,$CM$6+ROW()-9,COLUMN())="","",INDEX('⑩ 원문 보관'!$A:$E,$CM$6+ROW()-9,COLUMN())))</f>
        <v xml:space="preserve">122412.0  51353.59 43 </v>
      </c>
      <c r="D83" t="str">
        <f>IF($CM$6=0,"",IF(INDEX('⑩ 원문 보관'!$A:$E,$CM$6+ROW()-9,COLUMN())="","",INDEX('⑩ 원문 보관'!$A:$E,$CM$6+ROW()-9,COLUMN())))</f>
        <v>/</v>
      </c>
      <c r="E83" t="str">
        <f>IF($CM$6=0,"",IF(INDEX('⑩ 원문 보관'!$A:$E,$CM$6+ROW()-9,COLUMN())="","",INDEX('⑩ 원문 보관'!$A:$E,$CM$6+ROW()-9,COLUMN())))</f>
        <v xml:space="preserve">/Gem Systems GSM-19T 4106808 v7.0 26 IX 2014 M t-e2l..v7o                         </v>
      </c>
      <c r="Q83">
        <f t="shared" si="70"/>
        <v>2</v>
      </c>
      <c r="R83">
        <f t="shared" si="50"/>
        <v>112202</v>
      </c>
      <c r="S83">
        <f t="shared" si="51"/>
        <v>51362.55</v>
      </c>
      <c r="T83" t="str">
        <f t="shared" si="52"/>
        <v>99</v>
      </c>
      <c r="U83">
        <f t="shared" si="53"/>
        <v>1</v>
      </c>
      <c r="V83">
        <f t="shared" si="71"/>
        <v>2</v>
      </c>
      <c r="W83">
        <f t="shared" si="54"/>
        <v>114632</v>
      </c>
      <c r="X83">
        <f t="shared" si="55"/>
        <v>51408.54</v>
      </c>
      <c r="Y83" t="str">
        <f t="shared" si="56"/>
        <v>84</v>
      </c>
      <c r="Z83">
        <f t="shared" si="57"/>
        <v>1</v>
      </c>
      <c r="AA83">
        <f t="shared" si="72"/>
        <v>3</v>
      </c>
      <c r="AB83">
        <f t="shared" si="58"/>
        <v>122412</v>
      </c>
      <c r="AC83">
        <f t="shared" si="59"/>
        <v>51353.59</v>
      </c>
      <c r="AD83" t="str">
        <f t="shared" si="60"/>
        <v>43</v>
      </c>
      <c r="AE83">
        <f t="shared" si="61"/>
        <v>1</v>
      </c>
      <c r="AF83">
        <f t="shared" si="73"/>
        <v>2</v>
      </c>
      <c r="AG83" t="str">
        <f t="shared" si="62"/>
        <v/>
      </c>
      <c r="AH83" t="str">
        <f t="shared" si="63"/>
        <v/>
      </c>
      <c r="AI83" t="str">
        <f t="shared" si="64"/>
        <v/>
      </c>
      <c r="AJ83">
        <f t="shared" si="65"/>
        <v>0</v>
      </c>
      <c r="AK83">
        <f t="shared" si="74"/>
        <v>2</v>
      </c>
      <c r="AL83" t="str">
        <f t="shared" si="66"/>
        <v/>
      </c>
      <c r="AM83" t="str">
        <f t="shared" si="67"/>
        <v/>
      </c>
      <c r="AN83" t="str">
        <f t="shared" si="68"/>
        <v>GSM-19T</v>
      </c>
      <c r="AO83">
        <f t="shared" si="69"/>
        <v>0</v>
      </c>
    </row>
    <row r="84" spans="1:41" x14ac:dyDescent="0.4">
      <c r="A84" t="str">
        <f>IF($CM$6=0,"",IF(INDEX('⑩ 원문 보관'!$A:$E,$CM$6+ROW()-9,COLUMN())="","",INDEX('⑩ 원문 보관'!$A:$E,$CM$6+ROW()-9,COLUMN())))</f>
        <v xml:space="preserve">112207.0  51362.64 99 </v>
      </c>
      <c r="B84" t="str">
        <f>IF($CM$6=0,"",IF(INDEX('⑩ 원문 보관'!$A:$E,$CM$6+ROW()-9,COLUMN())="","",INDEX('⑩ 원문 보관'!$A:$E,$CM$6+ROW()-9,COLUMN())))</f>
        <v xml:space="preserve">114637.0  51409.07 64 </v>
      </c>
      <c r="C84" t="str">
        <f>IF($CM$6=0,"",IF(INDEX('⑩ 원문 보관'!$A:$E,$CM$6+ROW()-9,COLUMN())="","",INDEX('⑩ 원문 보관'!$A:$E,$CM$6+ROW()-9,COLUMN())))</f>
        <v xml:space="preserve">122417.0  51354.15 43 </v>
      </c>
      <c r="D84" t="str">
        <f>IF($CM$6=0,"",IF(INDEX('⑩ 원문 보관'!$A:$E,$CM$6+ROW()-9,COLUMN())="","",INDEX('⑩ 원문 보관'!$A:$E,$CM$6+ROW()-9,COLUMN())))</f>
        <v/>
      </c>
      <c r="E84" t="str">
        <f>IF($CM$6=0,"",IF(INDEX('⑩ 원문 보관'!$A:$E,$CM$6+ROW()-9,COLUMN())="","",INDEX('⑩ 원문 보관'!$A:$E,$CM$6+ROW()-9,COLUMN())))</f>
        <v>/ID 2666 file 41survey.b   21 IX 26</v>
      </c>
      <c r="Q84">
        <f t="shared" si="70"/>
        <v>2</v>
      </c>
      <c r="R84">
        <f t="shared" si="50"/>
        <v>112207</v>
      </c>
      <c r="S84">
        <f t="shared" si="51"/>
        <v>51362.64</v>
      </c>
      <c r="T84" t="str">
        <f t="shared" si="52"/>
        <v>99</v>
      </c>
      <c r="U84">
        <f t="shared" si="53"/>
        <v>1</v>
      </c>
      <c r="V84">
        <f t="shared" si="71"/>
        <v>2</v>
      </c>
      <c r="W84">
        <f t="shared" si="54"/>
        <v>114637</v>
      </c>
      <c r="X84">
        <f t="shared" si="55"/>
        <v>51409.07</v>
      </c>
      <c r="Y84" t="str">
        <f t="shared" si="56"/>
        <v>64</v>
      </c>
      <c r="Z84">
        <f t="shared" si="57"/>
        <v>1</v>
      </c>
      <c r="AA84">
        <f t="shared" si="72"/>
        <v>3</v>
      </c>
      <c r="AB84">
        <f t="shared" si="58"/>
        <v>122417</v>
      </c>
      <c r="AC84">
        <f t="shared" si="59"/>
        <v>51354.15</v>
      </c>
      <c r="AD84" t="str">
        <f t="shared" si="60"/>
        <v>43</v>
      </c>
      <c r="AE84">
        <f t="shared" si="61"/>
        <v>1</v>
      </c>
      <c r="AF84">
        <f t="shared" si="73"/>
        <v>2</v>
      </c>
      <c r="AG84" t="str">
        <f t="shared" si="62"/>
        <v/>
      </c>
      <c r="AH84" t="str">
        <f t="shared" si="63"/>
        <v/>
      </c>
      <c r="AI84" t="str">
        <f t="shared" si="64"/>
        <v/>
      </c>
      <c r="AJ84">
        <f t="shared" si="65"/>
        <v>0</v>
      </c>
      <c r="AK84">
        <f t="shared" si="74"/>
        <v>2</v>
      </c>
      <c r="AL84" t="str">
        <f t="shared" si="66"/>
        <v/>
      </c>
      <c r="AM84">
        <f t="shared" si="67"/>
        <v>2666</v>
      </c>
      <c r="AN84" t="str">
        <f t="shared" si="68"/>
        <v>file</v>
      </c>
      <c r="AO84">
        <f t="shared" si="69"/>
        <v>0</v>
      </c>
    </row>
    <row r="85" spans="1:41" x14ac:dyDescent="0.4">
      <c r="A85" t="str">
        <f>IF($CM$6=0,"",IF(INDEX('⑩ 원문 보관'!$A:$E,$CM$6+ROW()-9,COLUMN())="","",INDEX('⑩ 원문 보관'!$A:$E,$CM$6+ROW()-9,COLUMN())))</f>
        <v xml:space="preserve">112212.0  51362.43 99 </v>
      </c>
      <c r="B85" t="str">
        <f>IF($CM$6=0,"",IF(INDEX('⑩ 원문 보관'!$A:$E,$CM$6+ROW()-9,COLUMN())="","",INDEX('⑩ 원문 보관'!$A:$E,$CM$6+ROW()-9,COLUMN())))</f>
        <v xml:space="preserve">114642.0  51409.09 63 </v>
      </c>
      <c r="C85" t="str">
        <f>IF($CM$6=0,"",IF(INDEX('⑩ 원문 보관'!$A:$E,$CM$6+ROW()-9,COLUMN())="","",INDEX('⑩ 원문 보관'!$A:$E,$CM$6+ROW()-9,COLUMN())))</f>
        <v xml:space="preserve">122422.0  51354.03 73 </v>
      </c>
      <c r="D85" t="str">
        <f>IF($CM$6=0,"",IF(INDEX('⑩ 원문 보관'!$A:$E,$CM$6+ROW()-9,COLUMN())="","",INDEX('⑩ 원문 보관'!$A:$E,$CM$6+ROW()-9,COLUMN())))</f>
        <v xml:space="preserve">/time nT sq </v>
      </c>
      <c r="E85" t="str">
        <f>IF($CM$6=0,"",IF(INDEX('⑩ 원문 보관'!$A:$E,$CM$6+ROW()-9,COLUMN())="","",INDEX('⑩ 원문 보관'!$A:$E,$CM$6+ROW()-9,COLUMN())))</f>
        <v>/datum  57000.00</v>
      </c>
      <c r="Q85">
        <f t="shared" si="70"/>
        <v>2</v>
      </c>
      <c r="R85">
        <f t="shared" si="50"/>
        <v>112212</v>
      </c>
      <c r="S85">
        <f t="shared" si="51"/>
        <v>51362.43</v>
      </c>
      <c r="T85" t="str">
        <f t="shared" si="52"/>
        <v>99</v>
      </c>
      <c r="U85">
        <f t="shared" si="53"/>
        <v>1</v>
      </c>
      <c r="V85">
        <f t="shared" si="71"/>
        <v>2</v>
      </c>
      <c r="W85">
        <f t="shared" si="54"/>
        <v>114642</v>
      </c>
      <c r="X85">
        <f t="shared" si="55"/>
        <v>51409.09</v>
      </c>
      <c r="Y85" t="str">
        <f t="shared" si="56"/>
        <v>63</v>
      </c>
      <c r="Z85">
        <f t="shared" si="57"/>
        <v>1</v>
      </c>
      <c r="AA85">
        <f t="shared" si="72"/>
        <v>3</v>
      </c>
      <c r="AB85">
        <f t="shared" si="58"/>
        <v>122422</v>
      </c>
      <c r="AC85">
        <f t="shared" si="59"/>
        <v>51354.03</v>
      </c>
      <c r="AD85" t="str">
        <f t="shared" si="60"/>
        <v>73</v>
      </c>
      <c r="AE85">
        <f t="shared" si="61"/>
        <v>1</v>
      </c>
      <c r="AF85">
        <f t="shared" si="73"/>
        <v>3</v>
      </c>
      <c r="AG85" t="str">
        <f t="shared" si="62"/>
        <v/>
      </c>
      <c r="AH85" t="str">
        <f t="shared" si="63"/>
        <v/>
      </c>
      <c r="AI85" t="str">
        <f t="shared" si="64"/>
        <v>sq</v>
      </c>
      <c r="AJ85">
        <f t="shared" si="65"/>
        <v>0</v>
      </c>
      <c r="AK85">
        <f t="shared" si="74"/>
        <v>2</v>
      </c>
      <c r="AL85" t="str">
        <f t="shared" si="66"/>
        <v/>
      </c>
      <c r="AM85">
        <f t="shared" si="67"/>
        <v>57000</v>
      </c>
      <c r="AN85" t="str">
        <f t="shared" si="68"/>
        <v/>
      </c>
      <c r="AO85">
        <f t="shared" si="69"/>
        <v>0</v>
      </c>
    </row>
    <row r="86" spans="1:41" x14ac:dyDescent="0.4">
      <c r="A86" t="str">
        <f>IF($CM$6=0,"",IF(INDEX('⑩ 원문 보관'!$A:$E,$CM$6+ROW()-9,COLUMN())="","",INDEX('⑩ 원문 보관'!$A:$E,$CM$6+ROW()-9,COLUMN())))</f>
        <v xml:space="preserve">112217.0  51362.61 99 </v>
      </c>
      <c r="B86" t="str">
        <f>IF($CM$6=0,"",IF(INDEX('⑩ 원문 보관'!$A:$E,$CM$6+ROW()-9,COLUMN())="","",INDEX('⑩ 원문 보관'!$A:$E,$CM$6+ROW()-9,COLUMN())))</f>
        <v xml:space="preserve">114647.0  51409.10 43 </v>
      </c>
      <c r="C86" t="str">
        <f>IF($CM$6=0,"",IF(INDEX('⑩ 원문 보관'!$A:$E,$CM$6+ROW()-9,COLUMN())="","",INDEX('⑩ 원문 보관'!$A:$E,$CM$6+ROW()-9,COLUMN())))</f>
        <v xml:space="preserve">122427.0  51353.92 53 </v>
      </c>
      <c r="D86" t="str">
        <f>IF($CM$6=0,"",IF(INDEX('⑩ 원문 보관'!$A:$E,$CM$6+ROW()-9,COLUMN())="","",INDEX('⑩ 원문 보관'!$A:$E,$CM$6+ROW()-9,COLUMN())))</f>
        <v xml:space="preserve">124102.0  51551.10 64 </v>
      </c>
      <c r="E86" t="str">
        <f>IF($CM$6=0,"",IF(INDEX('⑩ 원문 보관'!$A:$E,$CM$6+ROW()-9,COLUMN())="","",INDEX('⑩ 원문 보관'!$A:$E,$CM$6+ROW()-9,COLUMN())))</f>
        <v>/</v>
      </c>
      <c r="Q86">
        <f t="shared" si="70"/>
        <v>2</v>
      </c>
      <c r="R86">
        <f t="shared" si="50"/>
        <v>112217</v>
      </c>
      <c r="S86">
        <f t="shared" si="51"/>
        <v>51362.61</v>
      </c>
      <c r="T86" t="str">
        <f t="shared" si="52"/>
        <v>99</v>
      </c>
      <c r="U86">
        <f t="shared" si="53"/>
        <v>1</v>
      </c>
      <c r="V86">
        <f t="shared" si="71"/>
        <v>2</v>
      </c>
      <c r="W86">
        <f t="shared" si="54"/>
        <v>114647</v>
      </c>
      <c r="X86">
        <f t="shared" si="55"/>
        <v>51409.1</v>
      </c>
      <c r="Y86" t="str">
        <f t="shared" si="56"/>
        <v>43</v>
      </c>
      <c r="Z86">
        <f t="shared" si="57"/>
        <v>1</v>
      </c>
      <c r="AA86">
        <f t="shared" si="72"/>
        <v>3</v>
      </c>
      <c r="AB86">
        <f t="shared" si="58"/>
        <v>122427</v>
      </c>
      <c r="AC86">
        <f t="shared" si="59"/>
        <v>51353.919999999998</v>
      </c>
      <c r="AD86" t="str">
        <f t="shared" si="60"/>
        <v>53</v>
      </c>
      <c r="AE86">
        <f t="shared" si="61"/>
        <v>1</v>
      </c>
      <c r="AF86">
        <f t="shared" si="73"/>
        <v>3</v>
      </c>
      <c r="AG86">
        <f t="shared" si="62"/>
        <v>124102</v>
      </c>
      <c r="AH86">
        <f t="shared" si="63"/>
        <v>51551.1</v>
      </c>
      <c r="AI86" t="str">
        <f t="shared" si="64"/>
        <v>64</v>
      </c>
      <c r="AJ86">
        <f t="shared" si="65"/>
        <v>1</v>
      </c>
      <c r="AK86">
        <f t="shared" si="74"/>
        <v>2</v>
      </c>
      <c r="AL86" t="str">
        <f t="shared" si="66"/>
        <v/>
      </c>
      <c r="AM86" t="str">
        <f t="shared" si="67"/>
        <v/>
      </c>
      <c r="AN86" t="str">
        <f t="shared" si="68"/>
        <v/>
      </c>
      <c r="AO86">
        <f t="shared" si="69"/>
        <v>0</v>
      </c>
    </row>
    <row r="87" spans="1:41" x14ac:dyDescent="0.4">
      <c r="A87" t="str">
        <f>IF($CM$6=0,"",IF(INDEX('⑩ 원문 보관'!$A:$E,$CM$6+ROW()-9,COLUMN())="","",INDEX('⑩ 원문 보관'!$A:$E,$CM$6+ROW()-9,COLUMN())))</f>
        <v xml:space="preserve">112222.0  51362.97 99 </v>
      </c>
      <c r="B87" t="str">
        <f>IF($CM$6=0,"",IF(INDEX('⑩ 원문 보관'!$A:$E,$CM$6+ROW()-9,COLUMN())="","",INDEX('⑩ 원문 보관'!$A:$E,$CM$6+ROW()-9,COLUMN())))</f>
        <v xml:space="preserve">114652.0  51410.13 64 </v>
      </c>
      <c r="C87" t="str">
        <f>IF($CM$6=0,"",IF(INDEX('⑩ 원문 보관'!$A:$E,$CM$6+ROW()-9,COLUMN())="","",INDEX('⑩ 원문 보관'!$A:$E,$CM$6+ROW()-9,COLUMN())))</f>
        <v xml:space="preserve">122432.0  51353.98 63 </v>
      </c>
      <c r="D87" t="str">
        <f>IF($CM$6=0,"",IF(INDEX('⑩ 원문 보관'!$A:$E,$CM$6+ROW()-9,COLUMN())="","",INDEX('⑩ 원문 보관'!$A:$E,$CM$6+ROW()-9,COLUMN())))</f>
        <v xml:space="preserve">124107.0  51550.18 73 </v>
      </c>
      <c r="E87" t="str">
        <f>IF($CM$6=0,"",IF(INDEX('⑩ 원문 보관'!$A:$E,$CM$6+ROW()-9,COLUMN())="","",INDEX('⑩ 원문 보관'!$A:$E,$CM$6+ROW()-9,COLUMN())))</f>
        <v/>
      </c>
      <c r="Q87">
        <f t="shared" si="70"/>
        <v>2</v>
      </c>
      <c r="R87">
        <f t="shared" si="50"/>
        <v>112222</v>
      </c>
      <c r="S87">
        <f t="shared" si="51"/>
        <v>51362.97</v>
      </c>
      <c r="T87" t="str">
        <f t="shared" si="52"/>
        <v>99</v>
      </c>
      <c r="U87">
        <f t="shared" si="53"/>
        <v>1</v>
      </c>
      <c r="V87">
        <f t="shared" si="71"/>
        <v>2</v>
      </c>
      <c r="W87">
        <f t="shared" si="54"/>
        <v>114652</v>
      </c>
      <c r="X87">
        <f t="shared" si="55"/>
        <v>51410.13</v>
      </c>
      <c r="Y87" t="str">
        <f t="shared" si="56"/>
        <v>64</v>
      </c>
      <c r="Z87">
        <f t="shared" si="57"/>
        <v>1</v>
      </c>
      <c r="AA87">
        <f t="shared" si="72"/>
        <v>3</v>
      </c>
      <c r="AB87">
        <f t="shared" si="58"/>
        <v>122432</v>
      </c>
      <c r="AC87">
        <f t="shared" si="59"/>
        <v>51353.98</v>
      </c>
      <c r="AD87" t="str">
        <f t="shared" si="60"/>
        <v>63</v>
      </c>
      <c r="AE87">
        <f t="shared" si="61"/>
        <v>1</v>
      </c>
      <c r="AF87">
        <f t="shared" si="73"/>
        <v>3</v>
      </c>
      <c r="AG87">
        <f t="shared" si="62"/>
        <v>124107</v>
      </c>
      <c r="AH87">
        <f t="shared" si="63"/>
        <v>51550.18</v>
      </c>
      <c r="AI87" t="str">
        <f t="shared" si="64"/>
        <v>73</v>
      </c>
      <c r="AJ87">
        <f t="shared" si="65"/>
        <v>1</v>
      </c>
      <c r="AK87">
        <f t="shared" si="74"/>
        <v>2</v>
      </c>
      <c r="AL87" t="str">
        <f t="shared" si="66"/>
        <v/>
      </c>
      <c r="AM87" t="str">
        <f t="shared" si="67"/>
        <v/>
      </c>
      <c r="AN87" t="str">
        <f t="shared" si="68"/>
        <v/>
      </c>
      <c r="AO87">
        <f t="shared" si="69"/>
        <v>0</v>
      </c>
    </row>
    <row r="88" spans="1:41" x14ac:dyDescent="0.4">
      <c r="A88" t="str">
        <f>IF($CM$6=0,"",IF(INDEX('⑩ 원문 보관'!$A:$E,$CM$6+ROW()-9,COLUMN())="","",INDEX('⑩ 원문 보관'!$A:$E,$CM$6+ROW()-9,COLUMN())))</f>
        <v/>
      </c>
      <c r="B88" t="str">
        <f>IF($CM$6=0,"",IF(INDEX('⑩ 원문 보관'!$A:$E,$CM$6+ROW()-9,COLUMN())="","",INDEX('⑩ 원문 보관'!$A:$E,$CM$6+ROW()-9,COLUMN())))</f>
        <v xml:space="preserve">114657.0  51410.46 64 </v>
      </c>
      <c r="C88" t="str">
        <f>IF($CM$6=0,"",IF(INDEX('⑩ 원문 보관'!$A:$E,$CM$6+ROW()-9,COLUMN())="","",INDEX('⑩ 원문 보관'!$A:$E,$CM$6+ROW()-9,COLUMN())))</f>
        <v xml:space="preserve">122437.0  51353.52 53 </v>
      </c>
      <c r="D88" t="str">
        <f>IF($CM$6=0,"",IF(INDEX('⑩ 원문 보관'!$A:$E,$CM$6+ROW()-9,COLUMN())="","",INDEX('⑩ 원문 보관'!$A:$E,$CM$6+ROW()-9,COLUMN())))</f>
        <v xml:space="preserve">124112.0  51550.69 74 </v>
      </c>
      <c r="E88" t="str">
        <f>IF($CM$6=0,"",IF(INDEX('⑩ 원문 보관'!$A:$E,$CM$6+ROW()-9,COLUMN())="","",INDEX('⑩ 원문 보관'!$A:$E,$CM$6+ROW()-9,COLUMN())))</f>
        <v xml:space="preserve">/time nT sq </v>
      </c>
      <c r="Q88">
        <f t="shared" si="70"/>
        <v>2</v>
      </c>
      <c r="R88" t="str">
        <f t="shared" si="50"/>
        <v/>
      </c>
      <c r="S88" t="str">
        <f t="shared" si="51"/>
        <v/>
      </c>
      <c r="T88" t="str">
        <f t="shared" si="52"/>
        <v/>
      </c>
      <c r="U88">
        <f t="shared" si="53"/>
        <v>0</v>
      </c>
      <c r="V88">
        <f t="shared" si="71"/>
        <v>2</v>
      </c>
      <c r="W88">
        <f t="shared" si="54"/>
        <v>114657</v>
      </c>
      <c r="X88">
        <f t="shared" si="55"/>
        <v>51410.46</v>
      </c>
      <c r="Y88" t="str">
        <f t="shared" si="56"/>
        <v>64</v>
      </c>
      <c r="Z88">
        <f t="shared" si="57"/>
        <v>1</v>
      </c>
      <c r="AA88">
        <f t="shared" si="72"/>
        <v>3</v>
      </c>
      <c r="AB88">
        <f t="shared" si="58"/>
        <v>122437</v>
      </c>
      <c r="AC88">
        <f t="shared" si="59"/>
        <v>51353.52</v>
      </c>
      <c r="AD88" t="str">
        <f t="shared" si="60"/>
        <v>53</v>
      </c>
      <c r="AE88">
        <f t="shared" si="61"/>
        <v>1</v>
      </c>
      <c r="AF88">
        <f t="shared" si="73"/>
        <v>3</v>
      </c>
      <c r="AG88">
        <f t="shared" si="62"/>
        <v>124112</v>
      </c>
      <c r="AH88">
        <f t="shared" si="63"/>
        <v>51550.69</v>
      </c>
      <c r="AI88" t="str">
        <f t="shared" si="64"/>
        <v>74</v>
      </c>
      <c r="AJ88">
        <f t="shared" si="65"/>
        <v>1</v>
      </c>
      <c r="AK88">
        <f t="shared" si="74"/>
        <v>3</v>
      </c>
      <c r="AL88" t="str">
        <f t="shared" si="66"/>
        <v/>
      </c>
      <c r="AM88" t="str">
        <f t="shared" si="67"/>
        <v/>
      </c>
      <c r="AN88" t="str">
        <f t="shared" si="68"/>
        <v>sq</v>
      </c>
      <c r="AO88">
        <f t="shared" si="69"/>
        <v>0</v>
      </c>
    </row>
    <row r="89" spans="1:41" x14ac:dyDescent="0.4">
      <c r="A89" t="str">
        <f>IF($CM$6=0,"",IF(INDEX('⑩ 원문 보관'!$A:$E,$CM$6+ROW()-9,COLUMN())="","",INDEX('⑩ 원문 보관'!$A:$E,$CM$6+ROW()-9,COLUMN())))</f>
        <v/>
      </c>
      <c r="B89" t="str">
        <f>IF($CM$6=0,"",IF(INDEX('⑩ 원문 보관'!$A:$E,$CM$6+ROW()-9,COLUMN())="","",INDEX('⑩ 원문 보관'!$A:$E,$CM$6+ROW()-9,COLUMN())))</f>
        <v xml:space="preserve">114702.0  51471.92 56 </v>
      </c>
      <c r="C89" t="str">
        <f>IF($CM$6=0,"",IF(INDEX('⑩ 원문 보관'!$A:$E,$CM$6+ROW()-9,COLUMN())="","",INDEX('⑩ 원문 보관'!$A:$E,$CM$6+ROW()-9,COLUMN())))</f>
        <v xml:space="preserve">122442.0  51355.89 43 </v>
      </c>
      <c r="D89" t="str">
        <f>IF($CM$6=0,"",IF(INDEX('⑩ 원문 보관'!$A:$E,$CM$6+ROW()-9,COLUMN())="","",INDEX('⑩ 원문 보관'!$A:$E,$CM$6+ROW()-9,COLUMN())))</f>
        <v xml:space="preserve">124117.0  51550.64 84 </v>
      </c>
      <c r="E89" t="str">
        <f>IF($CM$6=0,"",IF(INDEX('⑩ 원문 보관'!$A:$E,$CM$6+ROW()-9,COLUMN())="","",INDEX('⑩ 원문 보관'!$A:$E,$CM$6+ROW()-9,COLUMN())))</f>
        <v xml:space="preserve">131422.0  51319.00 03 </v>
      </c>
      <c r="Q89">
        <f t="shared" si="70"/>
        <v>2</v>
      </c>
      <c r="R89" t="str">
        <f t="shared" si="50"/>
        <v/>
      </c>
      <c r="S89" t="str">
        <f t="shared" si="51"/>
        <v/>
      </c>
      <c r="T89" t="str">
        <f t="shared" si="52"/>
        <v/>
      </c>
      <c r="U89">
        <f t="shared" si="53"/>
        <v>0</v>
      </c>
      <c r="V89">
        <f t="shared" si="71"/>
        <v>2</v>
      </c>
      <c r="W89">
        <f t="shared" si="54"/>
        <v>114702</v>
      </c>
      <c r="X89">
        <f t="shared" si="55"/>
        <v>51471.92</v>
      </c>
      <c r="Y89" t="str">
        <f t="shared" si="56"/>
        <v>56</v>
      </c>
      <c r="Z89">
        <f t="shared" si="57"/>
        <v>1</v>
      </c>
      <c r="AA89">
        <f t="shared" si="72"/>
        <v>3</v>
      </c>
      <c r="AB89">
        <f t="shared" si="58"/>
        <v>122442</v>
      </c>
      <c r="AC89">
        <f t="shared" si="59"/>
        <v>51355.89</v>
      </c>
      <c r="AD89" t="str">
        <f t="shared" si="60"/>
        <v>43</v>
      </c>
      <c r="AE89">
        <f t="shared" si="61"/>
        <v>1</v>
      </c>
      <c r="AF89">
        <f t="shared" si="73"/>
        <v>3</v>
      </c>
      <c r="AG89">
        <f t="shared" si="62"/>
        <v>124117</v>
      </c>
      <c r="AH89">
        <f t="shared" si="63"/>
        <v>51550.64</v>
      </c>
      <c r="AI89" t="str">
        <f t="shared" si="64"/>
        <v>84</v>
      </c>
      <c r="AJ89">
        <f t="shared" si="65"/>
        <v>1</v>
      </c>
      <c r="AK89">
        <f t="shared" si="74"/>
        <v>3</v>
      </c>
      <c r="AL89">
        <f t="shared" si="66"/>
        <v>131422</v>
      </c>
      <c r="AM89">
        <f t="shared" si="67"/>
        <v>51319</v>
      </c>
      <c r="AN89" t="str">
        <f t="shared" si="68"/>
        <v>03</v>
      </c>
      <c r="AO89">
        <f t="shared" si="69"/>
        <v>1</v>
      </c>
    </row>
    <row r="90" spans="1:41" x14ac:dyDescent="0.4">
      <c r="A90" t="str">
        <f>IF($CM$6=0,"",IF(INDEX('⑩ 원문 보관'!$A:$E,$CM$6+ROW()-9,COLUMN())="","",INDEX('⑩ 원문 보관'!$A:$E,$CM$6+ROW()-9,COLUMN())))</f>
        <v/>
      </c>
      <c r="B90" t="str">
        <f>IF($CM$6=0,"",IF(INDEX('⑩ 원문 보관'!$A:$E,$CM$6+ROW()-9,COLUMN())="","",INDEX('⑩ 원문 보관'!$A:$E,$CM$6+ROW()-9,COLUMN())))</f>
        <v xml:space="preserve">114707.0  51402.54 55 </v>
      </c>
      <c r="C90" t="str">
        <f>IF($CM$6=0,"",IF(INDEX('⑩ 원문 보관'!$A:$E,$CM$6+ROW()-9,COLUMN())="","",INDEX('⑩ 원문 보관'!$A:$E,$CM$6+ROW()-9,COLUMN())))</f>
        <v xml:space="preserve">122447.0  51352.66 43 </v>
      </c>
      <c r="D90" t="str">
        <f>IF($CM$6=0,"",IF(INDEX('⑩ 원문 보관'!$A:$E,$CM$6+ROW()-9,COLUMN())="","",INDEX('⑩ 원문 보관'!$A:$E,$CM$6+ROW()-9,COLUMN())))</f>
        <v xml:space="preserve">124122.0  51550.57 83 </v>
      </c>
      <c r="E90" t="str">
        <f>IF($CM$6=0,"",IF(INDEX('⑩ 원문 보관'!$A:$E,$CM$6+ROW()-9,COLUMN())="","",INDEX('⑩ 원문 보관'!$A:$E,$CM$6+ROW()-9,COLUMN())))</f>
        <v xml:space="preserve">131427.0  00000.00 02 </v>
      </c>
      <c r="Q90">
        <f t="shared" si="70"/>
        <v>2</v>
      </c>
      <c r="R90" t="str">
        <f t="shared" si="50"/>
        <v/>
      </c>
      <c r="S90" t="str">
        <f t="shared" si="51"/>
        <v/>
      </c>
      <c r="T90" t="str">
        <f t="shared" si="52"/>
        <v/>
      </c>
      <c r="U90">
        <f t="shared" si="53"/>
        <v>0</v>
      </c>
      <c r="V90">
        <f t="shared" si="71"/>
        <v>2</v>
      </c>
      <c r="W90">
        <f t="shared" si="54"/>
        <v>114707</v>
      </c>
      <c r="X90">
        <f t="shared" si="55"/>
        <v>51402.54</v>
      </c>
      <c r="Y90" t="str">
        <f t="shared" si="56"/>
        <v>55</v>
      </c>
      <c r="Z90">
        <f t="shared" si="57"/>
        <v>1</v>
      </c>
      <c r="AA90">
        <f t="shared" si="72"/>
        <v>3</v>
      </c>
      <c r="AB90">
        <f t="shared" si="58"/>
        <v>122447</v>
      </c>
      <c r="AC90">
        <f t="shared" si="59"/>
        <v>51352.66</v>
      </c>
      <c r="AD90" t="str">
        <f t="shared" si="60"/>
        <v>43</v>
      </c>
      <c r="AE90">
        <f t="shared" si="61"/>
        <v>1</v>
      </c>
      <c r="AF90">
        <f t="shared" si="73"/>
        <v>3</v>
      </c>
      <c r="AG90">
        <f t="shared" si="62"/>
        <v>124122</v>
      </c>
      <c r="AH90">
        <f t="shared" si="63"/>
        <v>51550.57</v>
      </c>
      <c r="AI90" t="str">
        <f t="shared" si="64"/>
        <v>83</v>
      </c>
      <c r="AJ90">
        <f t="shared" si="65"/>
        <v>1</v>
      </c>
      <c r="AK90">
        <f t="shared" si="74"/>
        <v>3</v>
      </c>
      <c r="AL90">
        <f t="shared" si="66"/>
        <v>131427</v>
      </c>
      <c r="AM90">
        <f t="shared" si="67"/>
        <v>0</v>
      </c>
      <c r="AN90" t="str">
        <f t="shared" si="68"/>
        <v>02</v>
      </c>
      <c r="AO90">
        <f t="shared" si="69"/>
        <v>0</v>
      </c>
    </row>
    <row r="91" spans="1:41" x14ac:dyDescent="0.4">
      <c r="A91" t="str">
        <f>IF($CM$6=0,"",IF(INDEX('⑩ 원문 보관'!$A:$E,$CM$6+ROW()-9,COLUMN())="","",INDEX('⑩ 원문 보관'!$A:$E,$CM$6+ROW()-9,COLUMN())))</f>
        <v xml:space="preserve">/Gem Systems GSM-19T 4106808 v7.0 26 IX 2014 M t-e2l..v7o                         </v>
      </c>
      <c r="B91" t="str">
        <f>IF($CM$6=0,"",IF(INDEX('⑩ 원문 보관'!$A:$E,$CM$6+ROW()-9,COLUMN())="","",INDEX('⑩ 원문 보관'!$A:$E,$CM$6+ROW()-9,COLUMN())))</f>
        <v xml:space="preserve">114712.0  51385.00 84 </v>
      </c>
      <c r="C91" t="str">
        <f>IF($CM$6=0,"",IF(INDEX('⑩ 원문 보관'!$A:$E,$CM$6+ROW()-9,COLUMN())="","",INDEX('⑩ 원문 보관'!$A:$E,$CM$6+ROW()-9,COLUMN())))</f>
        <v xml:space="preserve">122452.0  51353.97 23 </v>
      </c>
      <c r="D91" t="str">
        <f>IF($CM$6=0,"",IF(INDEX('⑩ 원문 보관'!$A:$E,$CM$6+ROW()-9,COLUMN())="","",INDEX('⑩ 원문 보관'!$A:$E,$CM$6+ROW()-9,COLUMN())))</f>
        <v xml:space="preserve">124127.0  51550.01 43 </v>
      </c>
      <c r="E91" t="str">
        <f>IF($CM$6=0,"",IF(INDEX('⑩ 원문 보관'!$A:$E,$CM$6+ROW()-9,COLUMN())="","",INDEX('⑩ 원문 보관'!$A:$E,$CM$6+ROW()-9,COLUMN())))</f>
        <v xml:space="preserve">131432.0  00000.00 03 </v>
      </c>
      <c r="Q91">
        <f t="shared" si="70"/>
        <v>2</v>
      </c>
      <c r="R91" t="str">
        <f t="shared" si="50"/>
        <v/>
      </c>
      <c r="S91" t="str">
        <f t="shared" si="51"/>
        <v/>
      </c>
      <c r="T91" t="str">
        <f t="shared" si="52"/>
        <v>GSM-19T</v>
      </c>
      <c r="U91">
        <f t="shared" si="53"/>
        <v>0</v>
      </c>
      <c r="V91">
        <f t="shared" si="71"/>
        <v>2</v>
      </c>
      <c r="W91">
        <f t="shared" si="54"/>
        <v>114712</v>
      </c>
      <c r="X91">
        <f t="shared" si="55"/>
        <v>51385</v>
      </c>
      <c r="Y91" t="str">
        <f t="shared" si="56"/>
        <v>84</v>
      </c>
      <c r="Z91">
        <f t="shared" si="57"/>
        <v>1</v>
      </c>
      <c r="AA91">
        <f t="shared" si="72"/>
        <v>3</v>
      </c>
      <c r="AB91">
        <f t="shared" si="58"/>
        <v>122452</v>
      </c>
      <c r="AC91">
        <f t="shared" si="59"/>
        <v>51353.97</v>
      </c>
      <c r="AD91" t="str">
        <f t="shared" si="60"/>
        <v>23</v>
      </c>
      <c r="AE91">
        <f t="shared" si="61"/>
        <v>1</v>
      </c>
      <c r="AF91">
        <f t="shared" si="73"/>
        <v>3</v>
      </c>
      <c r="AG91">
        <f t="shared" si="62"/>
        <v>124127</v>
      </c>
      <c r="AH91">
        <f t="shared" si="63"/>
        <v>51550.01</v>
      </c>
      <c r="AI91" t="str">
        <f t="shared" si="64"/>
        <v>43</v>
      </c>
      <c r="AJ91">
        <f t="shared" si="65"/>
        <v>1</v>
      </c>
      <c r="AK91">
        <f t="shared" si="74"/>
        <v>3</v>
      </c>
      <c r="AL91">
        <f t="shared" si="66"/>
        <v>131432</v>
      </c>
      <c r="AM91">
        <f t="shared" si="67"/>
        <v>0</v>
      </c>
      <c r="AN91" t="str">
        <f t="shared" si="68"/>
        <v>03</v>
      </c>
      <c r="AO91">
        <f t="shared" si="69"/>
        <v>0</v>
      </c>
    </row>
    <row r="92" spans="1:41" x14ac:dyDescent="0.4">
      <c r="A92" t="str">
        <f>IF($CM$6=0,"",IF(INDEX('⑩ 원문 보관'!$A:$E,$CM$6+ROW()-9,COLUMN())="","",INDEX('⑩ 원문 보관'!$A:$E,$CM$6+ROW()-9,COLUMN())))</f>
        <v>/ID 2666 file 03survey.b   21 IX 26</v>
      </c>
      <c r="B92" t="str">
        <f>IF($CM$6=0,"",IF(INDEX('⑩ 원문 보관'!$A:$E,$CM$6+ROW()-9,COLUMN())="","",INDEX('⑩ 원문 보관'!$A:$E,$CM$6+ROW()-9,COLUMN())))</f>
        <v xml:space="preserve">114717.0  51388.73 96 </v>
      </c>
      <c r="C92" t="str">
        <f>IF($CM$6=0,"",IF(INDEX('⑩ 원문 보관'!$A:$E,$CM$6+ROW()-9,COLUMN())="","",INDEX('⑩ 원문 보관'!$A:$E,$CM$6+ROW()-9,COLUMN())))</f>
        <v xml:space="preserve">122457.0  51355.76 33 </v>
      </c>
      <c r="D92" t="str">
        <f>IF($CM$6=0,"",IF(INDEX('⑩ 원문 보관'!$A:$E,$CM$6+ROW()-9,COLUMN())="","",INDEX('⑩ 원문 보관'!$A:$E,$CM$6+ROW()-9,COLUMN())))</f>
        <v xml:space="preserve">124132.0  51551.25 43 </v>
      </c>
      <c r="E92" t="str">
        <f>IF($CM$6=0,"",IF(INDEX('⑩ 원문 보관'!$A:$E,$CM$6+ROW()-9,COLUMN())="","",INDEX('⑩ 원문 보관'!$A:$E,$CM$6+ROW()-9,COLUMN())))</f>
        <v xml:space="preserve">131437.0  00000.00 02 </v>
      </c>
      <c r="Q92">
        <f t="shared" si="70"/>
        <v>2</v>
      </c>
      <c r="R92" t="str">
        <f t="shared" si="50"/>
        <v/>
      </c>
      <c r="S92">
        <f t="shared" si="51"/>
        <v>2666</v>
      </c>
      <c r="T92" t="str">
        <f t="shared" si="52"/>
        <v>file</v>
      </c>
      <c r="U92">
        <f t="shared" si="53"/>
        <v>0</v>
      </c>
      <c r="V92">
        <f t="shared" si="71"/>
        <v>2</v>
      </c>
      <c r="W92">
        <f t="shared" si="54"/>
        <v>114717</v>
      </c>
      <c r="X92">
        <f t="shared" si="55"/>
        <v>51388.73</v>
      </c>
      <c r="Y92" t="str">
        <f t="shared" si="56"/>
        <v>96</v>
      </c>
      <c r="Z92">
        <f t="shared" si="57"/>
        <v>1</v>
      </c>
      <c r="AA92">
        <f t="shared" si="72"/>
        <v>3</v>
      </c>
      <c r="AB92">
        <f t="shared" si="58"/>
        <v>122457</v>
      </c>
      <c r="AC92">
        <f t="shared" si="59"/>
        <v>51355.76</v>
      </c>
      <c r="AD92" t="str">
        <f t="shared" si="60"/>
        <v>33</v>
      </c>
      <c r="AE92">
        <f t="shared" si="61"/>
        <v>1</v>
      </c>
      <c r="AF92">
        <f t="shared" si="73"/>
        <v>3</v>
      </c>
      <c r="AG92">
        <f t="shared" si="62"/>
        <v>124132</v>
      </c>
      <c r="AH92">
        <f t="shared" si="63"/>
        <v>51551.25</v>
      </c>
      <c r="AI92" t="str">
        <f t="shared" si="64"/>
        <v>43</v>
      </c>
      <c r="AJ92">
        <f t="shared" si="65"/>
        <v>1</v>
      </c>
      <c r="AK92">
        <f t="shared" si="74"/>
        <v>3</v>
      </c>
      <c r="AL92">
        <f t="shared" si="66"/>
        <v>131437</v>
      </c>
      <c r="AM92">
        <f t="shared" si="67"/>
        <v>0</v>
      </c>
      <c r="AN92" t="str">
        <f t="shared" si="68"/>
        <v>02</v>
      </c>
      <c r="AO92">
        <f t="shared" si="69"/>
        <v>0</v>
      </c>
    </row>
    <row r="93" spans="1:41" x14ac:dyDescent="0.4">
      <c r="A93" t="str">
        <f>IF($CM$6=0,"",IF(INDEX('⑩ 원문 보관'!$A:$E,$CM$6+ROW()-9,COLUMN())="","",INDEX('⑩ 원문 보관'!$A:$E,$CM$6+ROW()-9,COLUMN())))</f>
        <v>/datum  57000.00</v>
      </c>
      <c r="B93" t="str">
        <f>IF($CM$6=0,"",IF(INDEX('⑩ 원문 보관'!$A:$E,$CM$6+ROW()-9,COLUMN())="","",INDEX('⑩ 원문 보관'!$A:$E,$CM$6+ROW()-9,COLUMN())))</f>
        <v/>
      </c>
      <c r="C93" t="str">
        <f>IF($CM$6=0,"",IF(INDEX('⑩ 원문 보관'!$A:$E,$CM$6+ROW()-9,COLUMN())="","",INDEX('⑩ 원문 보관'!$A:$E,$CM$6+ROW()-9,COLUMN())))</f>
        <v xml:space="preserve">122502.0  51354.63 53 </v>
      </c>
      <c r="D93" t="str">
        <f>IF($CM$6=0,"",IF(INDEX('⑩ 원문 보관'!$A:$E,$CM$6+ROW()-9,COLUMN())="","",INDEX('⑩ 원문 보관'!$A:$E,$CM$6+ROW()-9,COLUMN())))</f>
        <v xml:space="preserve">124137.0  51549.79 33 </v>
      </c>
      <c r="E93" t="str">
        <f>IF($CM$6=0,"",IF(INDEX('⑩ 원문 보관'!$A:$E,$CM$6+ROW()-9,COLUMN())="","",INDEX('⑩ 원문 보관'!$A:$E,$CM$6+ROW()-9,COLUMN())))</f>
        <v xml:space="preserve">131442.0  00000.00 02 </v>
      </c>
      <c r="Q93">
        <f t="shared" si="70"/>
        <v>2</v>
      </c>
      <c r="R93" t="str">
        <f t="shared" si="50"/>
        <v/>
      </c>
      <c r="S93">
        <f t="shared" si="51"/>
        <v>57000</v>
      </c>
      <c r="T93" t="str">
        <f t="shared" si="52"/>
        <v/>
      </c>
      <c r="U93">
        <f t="shared" si="53"/>
        <v>0</v>
      </c>
      <c r="V93">
        <f t="shared" si="71"/>
        <v>2</v>
      </c>
      <c r="W93" t="str">
        <f t="shared" si="54"/>
        <v/>
      </c>
      <c r="X93" t="str">
        <f t="shared" si="55"/>
        <v/>
      </c>
      <c r="Y93" t="str">
        <f t="shared" si="56"/>
        <v/>
      </c>
      <c r="Z93">
        <f t="shared" si="57"/>
        <v>0</v>
      </c>
      <c r="AA93">
        <f t="shared" si="72"/>
        <v>3</v>
      </c>
      <c r="AB93">
        <f t="shared" si="58"/>
        <v>122502</v>
      </c>
      <c r="AC93">
        <f t="shared" si="59"/>
        <v>51354.63</v>
      </c>
      <c r="AD93" t="str">
        <f t="shared" si="60"/>
        <v>53</v>
      </c>
      <c r="AE93">
        <f t="shared" si="61"/>
        <v>1</v>
      </c>
      <c r="AF93">
        <f t="shared" si="73"/>
        <v>3</v>
      </c>
      <c r="AG93">
        <f t="shared" si="62"/>
        <v>124137</v>
      </c>
      <c r="AH93">
        <f t="shared" si="63"/>
        <v>51549.79</v>
      </c>
      <c r="AI93" t="str">
        <f t="shared" si="64"/>
        <v>33</v>
      </c>
      <c r="AJ93">
        <f t="shared" si="65"/>
        <v>1</v>
      </c>
      <c r="AK93">
        <f t="shared" si="74"/>
        <v>3</v>
      </c>
      <c r="AL93">
        <f t="shared" si="66"/>
        <v>131442</v>
      </c>
      <c r="AM93">
        <f t="shared" si="67"/>
        <v>0</v>
      </c>
      <c r="AN93" t="str">
        <f t="shared" si="68"/>
        <v>02</v>
      </c>
      <c r="AO93">
        <f t="shared" si="69"/>
        <v>0</v>
      </c>
    </row>
    <row r="94" spans="1:41" x14ac:dyDescent="0.4">
      <c r="A94" t="str">
        <f>IF($CM$6=0,"",IF(INDEX('⑩ 원문 보관'!$A:$E,$CM$6+ROW()-9,COLUMN())="","",INDEX('⑩ 원문 보관'!$A:$E,$CM$6+ROW()-9,COLUMN())))</f>
        <v>/</v>
      </c>
      <c r="B94" t="str">
        <f>IF($CM$6=0,"",IF(INDEX('⑩ 원문 보관'!$A:$E,$CM$6+ROW()-9,COLUMN())="","",INDEX('⑩ 원문 보관'!$A:$E,$CM$6+ROW()-9,COLUMN())))</f>
        <v/>
      </c>
      <c r="C94" t="str">
        <f>IF($CM$6=0,"",IF(INDEX('⑩ 원문 보관'!$A:$E,$CM$6+ROW()-9,COLUMN())="","",INDEX('⑩ 원문 보관'!$A:$E,$CM$6+ROW()-9,COLUMN())))</f>
        <v xml:space="preserve">122507.0  51352.82 33 </v>
      </c>
      <c r="D94" t="str">
        <f>IF($CM$6=0,"",IF(INDEX('⑩ 원문 보관'!$A:$E,$CM$6+ROW()-9,COLUMN())="","",INDEX('⑩ 원문 보관'!$A:$E,$CM$6+ROW()-9,COLUMN())))</f>
        <v xml:space="preserve">124142.0  51550.47 64 </v>
      </c>
      <c r="E94" t="str">
        <f>IF($CM$6=0,"",IF(INDEX('⑩ 원문 보관'!$A:$E,$CM$6+ROW()-9,COLUMN())="","",INDEX('⑩ 원문 보관'!$A:$E,$CM$6+ROW()-9,COLUMN())))</f>
        <v xml:space="preserve">131447.0  00000.00 03 </v>
      </c>
      <c r="Q94">
        <f t="shared" si="70"/>
        <v>2</v>
      </c>
      <c r="R94" t="str">
        <f t="shared" si="50"/>
        <v/>
      </c>
      <c r="S94" t="str">
        <f t="shared" si="51"/>
        <v/>
      </c>
      <c r="T94" t="str">
        <f t="shared" si="52"/>
        <v/>
      </c>
      <c r="U94">
        <f t="shared" si="53"/>
        <v>0</v>
      </c>
      <c r="V94">
        <f t="shared" si="71"/>
        <v>2</v>
      </c>
      <c r="W94" t="str">
        <f t="shared" si="54"/>
        <v/>
      </c>
      <c r="X94" t="str">
        <f t="shared" si="55"/>
        <v/>
      </c>
      <c r="Y94" t="str">
        <f t="shared" si="56"/>
        <v/>
      </c>
      <c r="Z94">
        <f t="shared" si="57"/>
        <v>0</v>
      </c>
      <c r="AA94">
        <f t="shared" si="72"/>
        <v>3</v>
      </c>
      <c r="AB94">
        <f t="shared" si="58"/>
        <v>122507</v>
      </c>
      <c r="AC94">
        <f t="shared" si="59"/>
        <v>51352.82</v>
      </c>
      <c r="AD94" t="str">
        <f t="shared" si="60"/>
        <v>33</v>
      </c>
      <c r="AE94">
        <f t="shared" si="61"/>
        <v>1</v>
      </c>
      <c r="AF94">
        <f t="shared" si="73"/>
        <v>3</v>
      </c>
      <c r="AG94">
        <f t="shared" si="62"/>
        <v>124142</v>
      </c>
      <c r="AH94">
        <f t="shared" si="63"/>
        <v>51550.47</v>
      </c>
      <c r="AI94" t="str">
        <f t="shared" si="64"/>
        <v>64</v>
      </c>
      <c r="AJ94">
        <f t="shared" si="65"/>
        <v>1</v>
      </c>
      <c r="AK94">
        <f t="shared" si="74"/>
        <v>3</v>
      </c>
      <c r="AL94">
        <f t="shared" si="66"/>
        <v>131447</v>
      </c>
      <c r="AM94">
        <f t="shared" si="67"/>
        <v>0</v>
      </c>
      <c r="AN94" t="str">
        <f t="shared" si="68"/>
        <v>03</v>
      </c>
      <c r="AO94">
        <f t="shared" si="69"/>
        <v>0</v>
      </c>
    </row>
    <row r="95" spans="1:41" x14ac:dyDescent="0.4">
      <c r="A95" t="str">
        <f>IF($CM$6=0,"",IF(INDEX('⑩ 원문 보관'!$A:$E,$CM$6+ROW()-9,COLUMN())="","",INDEX('⑩ 원문 보관'!$A:$E,$CM$6+ROW()-9,COLUMN())))</f>
        <v/>
      </c>
      <c r="B95" t="str">
        <f>IF($CM$6=0,"",IF(INDEX('⑩ 원문 보관'!$A:$E,$CM$6+ROW()-9,COLUMN())="","",INDEX('⑩ 원문 보관'!$A:$E,$CM$6+ROW()-9,COLUMN())))</f>
        <v xml:space="preserve">/Gem Systems GSM-19T 4106808 v7.0 26 IX 2014 M t-e2l..v7o                         </v>
      </c>
      <c r="C95" t="str">
        <f>IF($CM$6=0,"",IF(INDEX('⑩ 원문 보관'!$A:$E,$CM$6+ROW()-9,COLUMN())="","",INDEX('⑩ 원문 보관'!$A:$E,$CM$6+ROW()-9,COLUMN())))</f>
        <v xml:space="preserve">122512.0  51353.66 43 </v>
      </c>
      <c r="D95" t="str">
        <f>IF($CM$6=0,"",IF(INDEX('⑩ 원문 보관'!$A:$E,$CM$6+ROW()-9,COLUMN())="","",INDEX('⑩ 원문 보관'!$A:$E,$CM$6+ROW()-9,COLUMN())))</f>
        <v xml:space="preserve">124147.0  51551.41 54 </v>
      </c>
      <c r="E95" t="str">
        <f>IF($CM$6=0,"",IF(INDEX('⑩ 원문 보관'!$A:$E,$CM$6+ROW()-9,COLUMN())="","",INDEX('⑩ 원문 보관'!$A:$E,$CM$6+ROW()-9,COLUMN())))</f>
        <v xml:space="preserve">131452.0  51393.67 02 </v>
      </c>
      <c r="Q95">
        <f t="shared" si="70"/>
        <v>2</v>
      </c>
      <c r="R95" t="str">
        <f t="shared" si="50"/>
        <v/>
      </c>
      <c r="S95" t="str">
        <f t="shared" si="51"/>
        <v/>
      </c>
      <c r="T95" t="str">
        <f t="shared" si="52"/>
        <v/>
      </c>
      <c r="U95">
        <f t="shared" si="53"/>
        <v>0</v>
      </c>
      <c r="V95">
        <f t="shared" si="71"/>
        <v>2</v>
      </c>
      <c r="W95" t="str">
        <f t="shared" si="54"/>
        <v/>
      </c>
      <c r="X95" t="str">
        <f t="shared" si="55"/>
        <v/>
      </c>
      <c r="Y95" t="str">
        <f t="shared" si="56"/>
        <v>GSM-19T</v>
      </c>
      <c r="Z95">
        <f t="shared" si="57"/>
        <v>0</v>
      </c>
      <c r="AA95">
        <f t="shared" si="72"/>
        <v>3</v>
      </c>
      <c r="AB95">
        <f t="shared" si="58"/>
        <v>122512</v>
      </c>
      <c r="AC95">
        <f t="shared" si="59"/>
        <v>51353.66</v>
      </c>
      <c r="AD95" t="str">
        <f t="shared" si="60"/>
        <v>43</v>
      </c>
      <c r="AE95">
        <f t="shared" si="61"/>
        <v>1</v>
      </c>
      <c r="AF95">
        <f t="shared" si="73"/>
        <v>3</v>
      </c>
      <c r="AG95">
        <f t="shared" si="62"/>
        <v>124147</v>
      </c>
      <c r="AH95">
        <f t="shared" si="63"/>
        <v>51551.41</v>
      </c>
      <c r="AI95" t="str">
        <f t="shared" si="64"/>
        <v>54</v>
      </c>
      <c r="AJ95">
        <f t="shared" si="65"/>
        <v>1</v>
      </c>
      <c r="AK95">
        <f t="shared" si="74"/>
        <v>3</v>
      </c>
      <c r="AL95">
        <f t="shared" si="66"/>
        <v>131452</v>
      </c>
      <c r="AM95">
        <f t="shared" si="67"/>
        <v>51393.67</v>
      </c>
      <c r="AN95" t="str">
        <f t="shared" si="68"/>
        <v>02</v>
      </c>
      <c r="AO95">
        <f t="shared" si="69"/>
        <v>1</v>
      </c>
    </row>
    <row r="96" spans="1:41" x14ac:dyDescent="0.4">
      <c r="A96" t="str">
        <f>IF($CM$6=0,"",IF(INDEX('⑩ 원문 보관'!$A:$E,$CM$6+ROW()-9,COLUMN())="","",INDEX('⑩ 원문 보관'!$A:$E,$CM$6+ROW()-9,COLUMN())))</f>
        <v xml:space="preserve">/time nT sq </v>
      </c>
      <c r="B96" t="str">
        <f>IF($CM$6=0,"",IF(INDEX('⑩ 원문 보관'!$A:$E,$CM$6+ROW()-9,COLUMN())="","",INDEX('⑩ 원문 보관'!$A:$E,$CM$6+ROW()-9,COLUMN())))</f>
        <v>/ID 2666 file 12survey.b   21 IX 26</v>
      </c>
      <c r="C96" t="str">
        <f>IF($CM$6=0,"",IF(INDEX('⑩ 원문 보관'!$A:$E,$CM$6+ROW()-9,COLUMN())="","",INDEX('⑩ 원문 보관'!$A:$E,$CM$6+ROW()-9,COLUMN())))</f>
        <v xml:space="preserve">122517.0  51352.43 23 </v>
      </c>
      <c r="D96" t="str">
        <f>IF($CM$6=0,"",IF(INDEX('⑩ 원문 보관'!$A:$E,$CM$6+ROW()-9,COLUMN())="","",INDEX('⑩ 원문 보관'!$A:$E,$CM$6+ROW()-9,COLUMN())))</f>
        <v xml:space="preserve">124152.0  51551.33 64 </v>
      </c>
      <c r="E96" t="str">
        <f>IF($CM$6=0,"",IF(INDEX('⑩ 원문 보관'!$A:$E,$CM$6+ROW()-9,COLUMN())="","",INDEX('⑩ 원문 보관'!$A:$E,$CM$6+ROW()-9,COLUMN())))</f>
        <v xml:space="preserve">131457.0  51420.22 03 </v>
      </c>
      <c r="Q96">
        <f t="shared" si="70"/>
        <v>3</v>
      </c>
      <c r="R96" t="str">
        <f t="shared" si="50"/>
        <v/>
      </c>
      <c r="S96" t="str">
        <f t="shared" si="51"/>
        <v/>
      </c>
      <c r="T96" t="str">
        <f t="shared" si="52"/>
        <v>sq</v>
      </c>
      <c r="U96">
        <f t="shared" si="53"/>
        <v>0</v>
      </c>
      <c r="V96">
        <f t="shared" si="71"/>
        <v>2</v>
      </c>
      <c r="W96" t="str">
        <f t="shared" si="54"/>
        <v/>
      </c>
      <c r="X96">
        <f t="shared" si="55"/>
        <v>2666</v>
      </c>
      <c r="Y96" t="str">
        <f t="shared" si="56"/>
        <v>file</v>
      </c>
      <c r="Z96">
        <f t="shared" si="57"/>
        <v>0</v>
      </c>
      <c r="AA96">
        <f t="shared" si="72"/>
        <v>3</v>
      </c>
      <c r="AB96">
        <f t="shared" si="58"/>
        <v>122517</v>
      </c>
      <c r="AC96">
        <f t="shared" si="59"/>
        <v>51352.43</v>
      </c>
      <c r="AD96" t="str">
        <f t="shared" si="60"/>
        <v>23</v>
      </c>
      <c r="AE96">
        <f t="shared" si="61"/>
        <v>1</v>
      </c>
      <c r="AF96">
        <f t="shared" si="73"/>
        <v>3</v>
      </c>
      <c r="AG96">
        <f t="shared" si="62"/>
        <v>124152</v>
      </c>
      <c r="AH96">
        <f t="shared" si="63"/>
        <v>51551.33</v>
      </c>
      <c r="AI96" t="str">
        <f t="shared" si="64"/>
        <v>64</v>
      </c>
      <c r="AJ96">
        <f t="shared" si="65"/>
        <v>1</v>
      </c>
      <c r="AK96">
        <f t="shared" si="74"/>
        <v>3</v>
      </c>
      <c r="AL96">
        <f t="shared" si="66"/>
        <v>131457</v>
      </c>
      <c r="AM96">
        <f t="shared" si="67"/>
        <v>51420.22</v>
      </c>
      <c r="AN96" t="str">
        <f t="shared" si="68"/>
        <v>03</v>
      </c>
      <c r="AO96">
        <f t="shared" si="69"/>
        <v>1</v>
      </c>
    </row>
    <row r="97" spans="1:41" x14ac:dyDescent="0.4">
      <c r="A97" t="str">
        <f>IF($CM$6=0,"",IF(INDEX('⑩ 원문 보관'!$A:$E,$CM$6+ROW()-9,COLUMN())="","",INDEX('⑩ 원문 보관'!$A:$E,$CM$6+ROW()-9,COLUMN())))</f>
        <v xml:space="preserve">112312.0  51350.91 99 </v>
      </c>
      <c r="B97" t="str">
        <f>IF($CM$6=0,"",IF(INDEX('⑩ 원문 보관'!$A:$E,$CM$6+ROW()-9,COLUMN())="","",INDEX('⑩ 원문 보관'!$A:$E,$CM$6+ROW()-9,COLUMN())))</f>
        <v>/datum  57000.00</v>
      </c>
      <c r="C97" t="str">
        <f>IF($CM$6=0,"",IF(INDEX('⑩ 원문 보관'!$A:$E,$CM$6+ROW()-9,COLUMN())="","",INDEX('⑩ 원문 보관'!$A:$E,$CM$6+ROW()-9,COLUMN())))</f>
        <v xml:space="preserve">122522.0  51353.47 54 </v>
      </c>
      <c r="D97" t="str">
        <f>IF($CM$6=0,"",IF(INDEX('⑩ 원문 보관'!$A:$E,$CM$6+ROW()-9,COLUMN())="","",INDEX('⑩ 원문 보관'!$A:$E,$CM$6+ROW()-9,COLUMN())))</f>
        <v xml:space="preserve">124157.0  51551.55 73 </v>
      </c>
      <c r="E97" t="str">
        <f>IF($CM$6=0,"",IF(INDEX('⑩ 원문 보관'!$A:$E,$CM$6+ROW()-9,COLUMN())="","",INDEX('⑩ 원문 보관'!$A:$E,$CM$6+ROW()-9,COLUMN())))</f>
        <v xml:space="preserve">131502.0  00000.00 02 </v>
      </c>
      <c r="Q97">
        <f t="shared" si="70"/>
        <v>3</v>
      </c>
      <c r="R97">
        <f t="shared" si="50"/>
        <v>112312</v>
      </c>
      <c r="S97">
        <f t="shared" si="51"/>
        <v>51350.91</v>
      </c>
      <c r="T97" t="str">
        <f t="shared" si="52"/>
        <v>99</v>
      </c>
      <c r="U97">
        <f t="shared" si="53"/>
        <v>1</v>
      </c>
      <c r="V97">
        <f t="shared" si="71"/>
        <v>2</v>
      </c>
      <c r="W97" t="str">
        <f t="shared" si="54"/>
        <v/>
      </c>
      <c r="X97">
        <f t="shared" si="55"/>
        <v>57000</v>
      </c>
      <c r="Y97" t="str">
        <f t="shared" si="56"/>
        <v/>
      </c>
      <c r="Z97">
        <f t="shared" si="57"/>
        <v>0</v>
      </c>
      <c r="AA97">
        <f t="shared" si="72"/>
        <v>3</v>
      </c>
      <c r="AB97">
        <f t="shared" si="58"/>
        <v>122522</v>
      </c>
      <c r="AC97">
        <f t="shared" si="59"/>
        <v>51353.47</v>
      </c>
      <c r="AD97" t="str">
        <f t="shared" si="60"/>
        <v>54</v>
      </c>
      <c r="AE97">
        <f t="shared" si="61"/>
        <v>1</v>
      </c>
      <c r="AF97">
        <f t="shared" si="73"/>
        <v>3</v>
      </c>
      <c r="AG97">
        <f t="shared" si="62"/>
        <v>124157</v>
      </c>
      <c r="AH97">
        <f t="shared" si="63"/>
        <v>51551.55</v>
      </c>
      <c r="AI97" t="str">
        <f t="shared" si="64"/>
        <v>73</v>
      </c>
      <c r="AJ97">
        <f t="shared" si="65"/>
        <v>1</v>
      </c>
      <c r="AK97">
        <f t="shared" si="74"/>
        <v>3</v>
      </c>
      <c r="AL97">
        <f t="shared" si="66"/>
        <v>131502</v>
      </c>
      <c r="AM97">
        <f t="shared" si="67"/>
        <v>0</v>
      </c>
      <c r="AN97" t="str">
        <f t="shared" si="68"/>
        <v>02</v>
      </c>
      <c r="AO97">
        <f t="shared" si="69"/>
        <v>0</v>
      </c>
    </row>
    <row r="98" spans="1:41" x14ac:dyDescent="0.4">
      <c r="A98" t="str">
        <f>IF($CM$6=0,"",IF(INDEX('⑩ 원문 보관'!$A:$E,$CM$6+ROW()-9,COLUMN())="","",INDEX('⑩ 원문 보관'!$A:$E,$CM$6+ROW()-9,COLUMN())))</f>
        <v xml:space="preserve">112317.0  51350.94 99 </v>
      </c>
      <c r="B98" t="str">
        <f>IF($CM$6=0,"",IF(INDEX('⑩ 원문 보관'!$A:$E,$CM$6+ROW()-9,COLUMN())="","",INDEX('⑩ 원문 보관'!$A:$E,$CM$6+ROW()-9,COLUMN())))</f>
        <v>/</v>
      </c>
      <c r="C98" t="str">
        <f>IF($CM$6=0,"",IF(INDEX('⑩ 원문 보관'!$A:$E,$CM$6+ROW()-9,COLUMN())="","",INDEX('⑩ 원문 보관'!$A:$E,$CM$6+ROW()-9,COLUMN())))</f>
        <v xml:space="preserve">122527.0  51355.31 34 </v>
      </c>
      <c r="D98" t="str">
        <f>IF($CM$6=0,"",IF(INDEX('⑩ 원문 보관'!$A:$E,$CM$6+ROW()-9,COLUMN())="","",INDEX('⑩ 원문 보관'!$A:$E,$CM$6+ROW()-9,COLUMN())))</f>
        <v xml:space="preserve">124202.0  51550.78 44 </v>
      </c>
      <c r="E98" t="str">
        <f>IF($CM$6=0,"",IF(INDEX('⑩ 원문 보관'!$A:$E,$CM$6+ROW()-9,COLUMN())="","",INDEX('⑩ 원문 보관'!$A:$E,$CM$6+ROW()-9,COLUMN())))</f>
        <v xml:space="preserve">131507.0  00000.00 03 </v>
      </c>
      <c r="Q98">
        <f t="shared" si="70"/>
        <v>3</v>
      </c>
      <c r="R98">
        <f t="shared" si="50"/>
        <v>112317</v>
      </c>
      <c r="S98">
        <f t="shared" si="51"/>
        <v>51350.94</v>
      </c>
      <c r="T98" t="str">
        <f t="shared" si="52"/>
        <v>99</v>
      </c>
      <c r="U98">
        <f t="shared" si="53"/>
        <v>1</v>
      </c>
      <c r="V98">
        <f t="shared" si="71"/>
        <v>2</v>
      </c>
      <c r="W98" t="str">
        <f t="shared" si="54"/>
        <v/>
      </c>
      <c r="X98" t="str">
        <f t="shared" si="55"/>
        <v/>
      </c>
      <c r="Y98" t="str">
        <f t="shared" si="56"/>
        <v/>
      </c>
      <c r="Z98">
        <f t="shared" si="57"/>
        <v>0</v>
      </c>
      <c r="AA98">
        <f t="shared" si="72"/>
        <v>3</v>
      </c>
      <c r="AB98">
        <f t="shared" si="58"/>
        <v>122527</v>
      </c>
      <c r="AC98">
        <f t="shared" si="59"/>
        <v>51355.31</v>
      </c>
      <c r="AD98" t="str">
        <f t="shared" si="60"/>
        <v>34</v>
      </c>
      <c r="AE98">
        <f t="shared" si="61"/>
        <v>1</v>
      </c>
      <c r="AF98">
        <f t="shared" si="73"/>
        <v>3</v>
      </c>
      <c r="AG98">
        <f t="shared" si="62"/>
        <v>124202</v>
      </c>
      <c r="AH98">
        <f t="shared" si="63"/>
        <v>51550.78</v>
      </c>
      <c r="AI98" t="str">
        <f t="shared" si="64"/>
        <v>44</v>
      </c>
      <c r="AJ98">
        <f t="shared" si="65"/>
        <v>1</v>
      </c>
      <c r="AK98">
        <f t="shared" si="74"/>
        <v>3</v>
      </c>
      <c r="AL98">
        <f t="shared" si="66"/>
        <v>131507</v>
      </c>
      <c r="AM98">
        <f t="shared" si="67"/>
        <v>0</v>
      </c>
      <c r="AN98" t="str">
        <f t="shared" si="68"/>
        <v>03</v>
      </c>
      <c r="AO98">
        <f t="shared" si="69"/>
        <v>0</v>
      </c>
    </row>
    <row r="99" spans="1:41" x14ac:dyDescent="0.4">
      <c r="A99" t="str">
        <f>IF($CM$6=0,"",IF(INDEX('⑩ 원문 보관'!$A:$E,$CM$6+ROW()-9,COLUMN())="","",INDEX('⑩ 원문 보관'!$A:$E,$CM$6+ROW()-9,COLUMN())))</f>
        <v xml:space="preserve">112322.0  51350.95 99 </v>
      </c>
      <c r="B99" t="str">
        <f>IF($CM$6=0,"",IF(INDEX('⑩ 원문 보관'!$A:$E,$CM$6+ROW()-9,COLUMN())="","",INDEX('⑩ 원문 보관'!$A:$E,$CM$6+ROW()-9,COLUMN())))</f>
        <v/>
      </c>
      <c r="C99" t="str">
        <f>IF($CM$6=0,"",IF(INDEX('⑩ 원문 보관'!$A:$E,$CM$6+ROW()-9,COLUMN())="","",INDEX('⑩ 원문 보관'!$A:$E,$CM$6+ROW()-9,COLUMN())))</f>
        <v xml:space="preserve">122532.0  51352.23 23 </v>
      </c>
      <c r="D99" t="str">
        <f>IF($CM$6=0,"",IF(INDEX('⑩ 원문 보관'!$A:$E,$CM$6+ROW()-9,COLUMN())="","",INDEX('⑩ 원문 보관'!$A:$E,$CM$6+ROW()-9,COLUMN())))</f>
        <v xml:space="preserve">124207.0  51550.87 63 </v>
      </c>
      <c r="E99" t="str">
        <f>IF($CM$6=0,"",IF(INDEX('⑩ 원문 보관'!$A:$E,$CM$6+ROW()-9,COLUMN())="","",INDEX('⑩ 원문 보관'!$A:$E,$CM$6+ROW()-9,COLUMN())))</f>
        <v xml:space="preserve">131512.0  00000.00 02 </v>
      </c>
      <c r="Q99">
        <f t="shared" si="70"/>
        <v>3</v>
      </c>
      <c r="R99">
        <f t="shared" si="50"/>
        <v>112322</v>
      </c>
      <c r="S99">
        <f t="shared" si="51"/>
        <v>51350.95</v>
      </c>
      <c r="T99" t="str">
        <f t="shared" si="52"/>
        <v>99</v>
      </c>
      <c r="U99">
        <f t="shared" si="53"/>
        <v>1</v>
      </c>
      <c r="V99">
        <f t="shared" si="71"/>
        <v>2</v>
      </c>
      <c r="W99" t="str">
        <f t="shared" si="54"/>
        <v/>
      </c>
      <c r="X99" t="str">
        <f t="shared" si="55"/>
        <v/>
      </c>
      <c r="Y99" t="str">
        <f t="shared" si="56"/>
        <v/>
      </c>
      <c r="Z99">
        <f t="shared" si="57"/>
        <v>0</v>
      </c>
      <c r="AA99">
        <f t="shared" si="72"/>
        <v>3</v>
      </c>
      <c r="AB99">
        <f t="shared" si="58"/>
        <v>122532</v>
      </c>
      <c r="AC99">
        <f t="shared" si="59"/>
        <v>51352.23</v>
      </c>
      <c r="AD99" t="str">
        <f t="shared" si="60"/>
        <v>23</v>
      </c>
      <c r="AE99">
        <f t="shared" si="61"/>
        <v>1</v>
      </c>
      <c r="AF99">
        <f t="shared" si="73"/>
        <v>3</v>
      </c>
      <c r="AG99">
        <f t="shared" si="62"/>
        <v>124207</v>
      </c>
      <c r="AH99">
        <f t="shared" si="63"/>
        <v>51550.87</v>
      </c>
      <c r="AI99" t="str">
        <f t="shared" si="64"/>
        <v>63</v>
      </c>
      <c r="AJ99">
        <f t="shared" si="65"/>
        <v>1</v>
      </c>
      <c r="AK99">
        <f t="shared" si="74"/>
        <v>3</v>
      </c>
      <c r="AL99">
        <f t="shared" si="66"/>
        <v>131512</v>
      </c>
      <c r="AM99">
        <f t="shared" si="67"/>
        <v>0</v>
      </c>
      <c r="AN99" t="str">
        <f t="shared" si="68"/>
        <v>02</v>
      </c>
      <c r="AO99">
        <f t="shared" si="69"/>
        <v>0</v>
      </c>
    </row>
    <row r="100" spans="1:41" x14ac:dyDescent="0.4">
      <c r="A100" t="str">
        <f>IF($CM$6=0,"",IF(INDEX('⑩ 원문 보관'!$A:$E,$CM$6+ROW()-9,COLUMN())="","",INDEX('⑩ 원문 보관'!$A:$E,$CM$6+ROW()-9,COLUMN())))</f>
        <v xml:space="preserve">112327.0  51350.94 99 </v>
      </c>
      <c r="B100" t="str">
        <f>IF($CM$6=0,"",IF(INDEX('⑩ 원문 보관'!$A:$E,$CM$6+ROW()-9,COLUMN())="","",INDEX('⑩ 원문 보관'!$A:$E,$CM$6+ROW()-9,COLUMN())))</f>
        <v xml:space="preserve">/time nT sq </v>
      </c>
      <c r="C100" t="str">
        <f>IF($CM$6=0,"",IF(INDEX('⑩ 원문 보관'!$A:$E,$CM$6+ROW()-9,COLUMN())="","",INDEX('⑩ 원문 보관'!$A:$E,$CM$6+ROW()-9,COLUMN())))</f>
        <v xml:space="preserve">122537.0  51353.97 43 </v>
      </c>
      <c r="D100" t="str">
        <f>IF($CM$6=0,"",IF(INDEX('⑩ 원문 보관'!$A:$E,$CM$6+ROW()-9,COLUMN())="","",INDEX('⑩ 원문 보관'!$A:$E,$CM$6+ROW()-9,COLUMN())))</f>
        <v xml:space="preserve">124212.0  51550.82 44 </v>
      </c>
      <c r="E100" t="str">
        <f>IF($CM$6=0,"",IF(INDEX('⑩ 원문 보관'!$A:$E,$CM$6+ROW()-9,COLUMN())="","",INDEX('⑩ 원문 보관'!$A:$E,$CM$6+ROW()-9,COLUMN())))</f>
        <v xml:space="preserve">131517.0  00000.00 02 </v>
      </c>
      <c r="Q100">
        <f t="shared" si="70"/>
        <v>3</v>
      </c>
      <c r="R100">
        <f t="shared" si="50"/>
        <v>112327</v>
      </c>
      <c r="S100">
        <f t="shared" si="51"/>
        <v>51350.94</v>
      </c>
      <c r="T100" t="str">
        <f t="shared" si="52"/>
        <v>99</v>
      </c>
      <c r="U100">
        <f t="shared" si="53"/>
        <v>1</v>
      </c>
      <c r="V100">
        <f t="shared" si="71"/>
        <v>3</v>
      </c>
      <c r="W100" t="str">
        <f t="shared" si="54"/>
        <v/>
      </c>
      <c r="X100" t="str">
        <f t="shared" si="55"/>
        <v/>
      </c>
      <c r="Y100" t="str">
        <f t="shared" si="56"/>
        <v>sq</v>
      </c>
      <c r="Z100">
        <f t="shared" si="57"/>
        <v>0</v>
      </c>
      <c r="AA100">
        <f t="shared" si="72"/>
        <v>3</v>
      </c>
      <c r="AB100">
        <f t="shared" si="58"/>
        <v>122537</v>
      </c>
      <c r="AC100">
        <f t="shared" si="59"/>
        <v>51353.97</v>
      </c>
      <c r="AD100" t="str">
        <f t="shared" si="60"/>
        <v>43</v>
      </c>
      <c r="AE100">
        <f t="shared" si="61"/>
        <v>1</v>
      </c>
      <c r="AF100">
        <f t="shared" si="73"/>
        <v>3</v>
      </c>
      <c r="AG100">
        <f t="shared" si="62"/>
        <v>124212</v>
      </c>
      <c r="AH100">
        <f t="shared" si="63"/>
        <v>51550.82</v>
      </c>
      <c r="AI100" t="str">
        <f t="shared" si="64"/>
        <v>44</v>
      </c>
      <c r="AJ100">
        <f t="shared" si="65"/>
        <v>1</v>
      </c>
      <c r="AK100">
        <f t="shared" si="74"/>
        <v>3</v>
      </c>
      <c r="AL100">
        <f t="shared" si="66"/>
        <v>131517</v>
      </c>
      <c r="AM100">
        <f t="shared" si="67"/>
        <v>0</v>
      </c>
      <c r="AN100" t="str">
        <f t="shared" si="68"/>
        <v>02</v>
      </c>
      <c r="AO100">
        <f t="shared" si="69"/>
        <v>0</v>
      </c>
    </row>
    <row r="101" spans="1:41" x14ac:dyDescent="0.4">
      <c r="A101" t="str">
        <f>IF($CM$6=0,"",IF(INDEX('⑩ 원문 보관'!$A:$E,$CM$6+ROW()-9,COLUMN())="","",INDEX('⑩ 원문 보관'!$A:$E,$CM$6+ROW()-9,COLUMN())))</f>
        <v xml:space="preserve">112332.0  51350.97 99 </v>
      </c>
      <c r="B101" t="str">
        <f>IF($CM$6=0,"",IF(INDEX('⑩ 원문 보관'!$A:$E,$CM$6+ROW()-9,COLUMN())="","",INDEX('⑩ 원문 보관'!$A:$E,$CM$6+ROW()-9,COLUMN())))</f>
        <v xml:space="preserve">115037.0  51448.43 33 </v>
      </c>
      <c r="C101" t="str">
        <f>IF($CM$6=0,"",IF(INDEX('⑩ 원문 보관'!$A:$E,$CM$6+ROW()-9,COLUMN())="","",INDEX('⑩ 원문 보관'!$A:$E,$CM$6+ROW()-9,COLUMN())))</f>
        <v xml:space="preserve">122542.0  51353.36 54 </v>
      </c>
      <c r="D101" t="str">
        <f>IF($CM$6=0,"",IF(INDEX('⑩ 원문 보관'!$A:$E,$CM$6+ROW()-9,COLUMN())="","",INDEX('⑩ 원문 보관'!$A:$E,$CM$6+ROW()-9,COLUMN())))</f>
        <v xml:space="preserve">124217.0  51550.92 84 </v>
      </c>
      <c r="E101" t="str">
        <f>IF($CM$6=0,"",IF(INDEX('⑩ 원문 보관'!$A:$E,$CM$6+ROW()-9,COLUMN())="","",INDEX('⑩ 원문 보관'!$A:$E,$CM$6+ROW()-9,COLUMN())))</f>
        <v xml:space="preserve">131522.0  51308.51 02 </v>
      </c>
      <c r="Q101">
        <f t="shared" si="70"/>
        <v>3</v>
      </c>
      <c r="R101">
        <f t="shared" si="50"/>
        <v>112332</v>
      </c>
      <c r="S101">
        <f t="shared" si="51"/>
        <v>51350.97</v>
      </c>
      <c r="T101" t="str">
        <f t="shared" si="52"/>
        <v>99</v>
      </c>
      <c r="U101">
        <f t="shared" si="53"/>
        <v>1</v>
      </c>
      <c r="V101">
        <f t="shared" si="71"/>
        <v>3</v>
      </c>
      <c r="W101">
        <f t="shared" si="54"/>
        <v>115037</v>
      </c>
      <c r="X101">
        <f t="shared" si="55"/>
        <v>51448.43</v>
      </c>
      <c r="Y101" t="str">
        <f t="shared" si="56"/>
        <v>33</v>
      </c>
      <c r="Z101">
        <f t="shared" si="57"/>
        <v>1</v>
      </c>
      <c r="AA101">
        <f t="shared" si="72"/>
        <v>3</v>
      </c>
      <c r="AB101">
        <f t="shared" si="58"/>
        <v>122542</v>
      </c>
      <c r="AC101">
        <f t="shared" si="59"/>
        <v>51353.36</v>
      </c>
      <c r="AD101" t="str">
        <f t="shared" si="60"/>
        <v>54</v>
      </c>
      <c r="AE101">
        <f t="shared" si="61"/>
        <v>1</v>
      </c>
      <c r="AF101">
        <f t="shared" si="73"/>
        <v>3</v>
      </c>
      <c r="AG101">
        <f t="shared" si="62"/>
        <v>124217</v>
      </c>
      <c r="AH101">
        <f t="shared" si="63"/>
        <v>51550.92</v>
      </c>
      <c r="AI101" t="str">
        <f t="shared" si="64"/>
        <v>84</v>
      </c>
      <c r="AJ101">
        <f t="shared" si="65"/>
        <v>1</v>
      </c>
      <c r="AK101">
        <f t="shared" si="74"/>
        <v>3</v>
      </c>
      <c r="AL101">
        <f t="shared" si="66"/>
        <v>131522</v>
      </c>
      <c r="AM101">
        <f t="shared" si="67"/>
        <v>51308.51</v>
      </c>
      <c r="AN101" t="str">
        <f t="shared" si="68"/>
        <v>02</v>
      </c>
      <c r="AO101">
        <f t="shared" si="69"/>
        <v>1</v>
      </c>
    </row>
    <row r="102" spans="1:41" x14ac:dyDescent="0.4">
      <c r="A102" t="str">
        <f>IF($CM$6=0,"",IF(INDEX('⑩ 원문 보관'!$A:$E,$CM$6+ROW()-9,COLUMN())="","",INDEX('⑩ 원문 보관'!$A:$E,$CM$6+ROW()-9,COLUMN())))</f>
        <v xml:space="preserve">112337.0  51351.03 99 </v>
      </c>
      <c r="B102" t="str">
        <f>IF($CM$6=0,"",IF(INDEX('⑩ 원문 보관'!$A:$E,$CM$6+ROW()-9,COLUMN())="","",INDEX('⑩ 원문 보관'!$A:$E,$CM$6+ROW()-9,COLUMN())))</f>
        <v xml:space="preserve">115042.0  51444.92 53 </v>
      </c>
      <c r="C102" t="str">
        <f>IF($CM$6=0,"",IF(INDEX('⑩ 원문 보관'!$A:$E,$CM$6+ROW()-9,COLUMN())="","",INDEX('⑩ 원문 보관'!$A:$E,$CM$6+ROW()-9,COLUMN())))</f>
        <v xml:space="preserve">122547.0  51355.04 43 </v>
      </c>
      <c r="D102" t="str">
        <f>IF($CM$6=0,"",IF(INDEX('⑩ 원문 보관'!$A:$E,$CM$6+ROW()-9,COLUMN())="","",INDEX('⑩ 원문 보관'!$A:$E,$CM$6+ROW()-9,COLUMN())))</f>
        <v xml:space="preserve">124222.0  51550.86 34 </v>
      </c>
      <c r="E102" t="str">
        <f>IF($CM$6=0,"",IF(INDEX('⑩ 원문 보관'!$A:$E,$CM$6+ROW()-9,COLUMN())="","",INDEX('⑩ 원문 보관'!$A:$E,$CM$6+ROW()-9,COLUMN())))</f>
        <v xml:space="preserve">131527.0  00000.00 03 </v>
      </c>
      <c r="Q102">
        <f t="shared" si="70"/>
        <v>3</v>
      </c>
      <c r="R102">
        <f t="shared" si="50"/>
        <v>112337</v>
      </c>
      <c r="S102">
        <f t="shared" si="51"/>
        <v>51351.03</v>
      </c>
      <c r="T102" t="str">
        <f t="shared" si="52"/>
        <v>99</v>
      </c>
      <c r="U102">
        <f t="shared" si="53"/>
        <v>1</v>
      </c>
      <c r="V102">
        <f t="shared" si="71"/>
        <v>3</v>
      </c>
      <c r="W102">
        <f t="shared" si="54"/>
        <v>115042</v>
      </c>
      <c r="X102">
        <f t="shared" si="55"/>
        <v>51444.92</v>
      </c>
      <c r="Y102" t="str">
        <f t="shared" si="56"/>
        <v>53</v>
      </c>
      <c r="Z102">
        <f t="shared" si="57"/>
        <v>1</v>
      </c>
      <c r="AA102">
        <f t="shared" si="72"/>
        <v>3</v>
      </c>
      <c r="AB102">
        <f t="shared" si="58"/>
        <v>122547</v>
      </c>
      <c r="AC102">
        <f t="shared" si="59"/>
        <v>51355.040000000001</v>
      </c>
      <c r="AD102" t="str">
        <f t="shared" si="60"/>
        <v>43</v>
      </c>
      <c r="AE102">
        <f t="shared" si="61"/>
        <v>1</v>
      </c>
      <c r="AF102">
        <f t="shared" si="73"/>
        <v>3</v>
      </c>
      <c r="AG102">
        <f t="shared" si="62"/>
        <v>124222</v>
      </c>
      <c r="AH102">
        <f t="shared" si="63"/>
        <v>51550.86</v>
      </c>
      <c r="AI102" t="str">
        <f t="shared" si="64"/>
        <v>34</v>
      </c>
      <c r="AJ102">
        <f t="shared" si="65"/>
        <v>1</v>
      </c>
      <c r="AK102">
        <f t="shared" si="74"/>
        <v>3</v>
      </c>
      <c r="AL102">
        <f t="shared" si="66"/>
        <v>131527</v>
      </c>
      <c r="AM102">
        <f t="shared" si="67"/>
        <v>0</v>
      </c>
      <c r="AN102" t="str">
        <f t="shared" si="68"/>
        <v>03</v>
      </c>
      <c r="AO102">
        <f t="shared" si="69"/>
        <v>0</v>
      </c>
    </row>
    <row r="103" spans="1:41" x14ac:dyDescent="0.4">
      <c r="A103" t="str">
        <f>IF($CM$6=0,"",IF(INDEX('⑩ 원문 보관'!$A:$E,$CM$6+ROW()-9,COLUMN())="","",INDEX('⑩ 원문 보관'!$A:$E,$CM$6+ROW()-9,COLUMN())))</f>
        <v xml:space="preserve">112342.0  51351.11 99 </v>
      </c>
      <c r="B103" t="str">
        <f>IF($CM$6=0,"",IF(INDEX('⑩ 원문 보관'!$A:$E,$CM$6+ROW()-9,COLUMN())="","",INDEX('⑩ 원문 보관'!$A:$E,$CM$6+ROW()-9,COLUMN())))</f>
        <v xml:space="preserve">115047.0  51446.28 43 </v>
      </c>
      <c r="C103" t="str">
        <f>IF($CM$6=0,"",IF(INDEX('⑩ 원문 보관'!$A:$E,$CM$6+ROW()-9,COLUMN())="","",INDEX('⑩ 원문 보관'!$A:$E,$CM$6+ROW()-9,COLUMN())))</f>
        <v xml:space="preserve">122552.0  51354.73 33 </v>
      </c>
      <c r="D103" t="str">
        <f>IF($CM$6=0,"",IF(INDEX('⑩ 원문 보관'!$A:$E,$CM$6+ROW()-9,COLUMN())="","",INDEX('⑩ 원문 보관'!$A:$E,$CM$6+ROW()-9,COLUMN())))</f>
        <v xml:space="preserve">124227.0  51550.95 64 </v>
      </c>
      <c r="E103" t="str">
        <f>IF($CM$6=0,"",IF(INDEX('⑩ 원문 보관'!$A:$E,$CM$6+ROW()-9,COLUMN())="","",INDEX('⑩ 원문 보관'!$A:$E,$CM$6+ROW()-9,COLUMN())))</f>
        <v xml:space="preserve">131532.0  51397.90 02 </v>
      </c>
      <c r="Q103">
        <f t="shared" si="70"/>
        <v>3</v>
      </c>
      <c r="R103">
        <f t="shared" si="50"/>
        <v>112342</v>
      </c>
      <c r="S103">
        <f t="shared" si="51"/>
        <v>51351.11</v>
      </c>
      <c r="T103" t="str">
        <f t="shared" si="52"/>
        <v>99</v>
      </c>
      <c r="U103">
        <f t="shared" si="53"/>
        <v>1</v>
      </c>
      <c r="V103">
        <f t="shared" si="71"/>
        <v>3</v>
      </c>
      <c r="W103">
        <f t="shared" si="54"/>
        <v>115047</v>
      </c>
      <c r="X103">
        <f t="shared" si="55"/>
        <v>51446.28</v>
      </c>
      <c r="Y103" t="str">
        <f t="shared" si="56"/>
        <v>43</v>
      </c>
      <c r="Z103">
        <f t="shared" si="57"/>
        <v>1</v>
      </c>
      <c r="AA103">
        <f t="shared" si="72"/>
        <v>3</v>
      </c>
      <c r="AB103">
        <f t="shared" si="58"/>
        <v>122552</v>
      </c>
      <c r="AC103">
        <f t="shared" si="59"/>
        <v>51354.73</v>
      </c>
      <c r="AD103" t="str">
        <f t="shared" si="60"/>
        <v>33</v>
      </c>
      <c r="AE103">
        <f t="shared" si="61"/>
        <v>1</v>
      </c>
      <c r="AF103">
        <f t="shared" si="73"/>
        <v>3</v>
      </c>
      <c r="AG103">
        <f t="shared" si="62"/>
        <v>124227</v>
      </c>
      <c r="AH103">
        <f t="shared" si="63"/>
        <v>51550.95</v>
      </c>
      <c r="AI103" t="str">
        <f t="shared" si="64"/>
        <v>64</v>
      </c>
      <c r="AJ103">
        <f t="shared" si="65"/>
        <v>1</v>
      </c>
      <c r="AK103">
        <f t="shared" si="74"/>
        <v>3</v>
      </c>
      <c r="AL103">
        <f t="shared" si="66"/>
        <v>131532</v>
      </c>
      <c r="AM103">
        <f t="shared" si="67"/>
        <v>51397.9</v>
      </c>
      <c r="AN103" t="str">
        <f t="shared" si="68"/>
        <v>02</v>
      </c>
      <c r="AO103">
        <f t="shared" si="69"/>
        <v>1</v>
      </c>
    </row>
    <row r="104" spans="1:41" x14ac:dyDescent="0.4">
      <c r="A104" t="str">
        <f>IF($CM$6=0,"",IF(INDEX('⑩ 원문 보관'!$A:$E,$CM$6+ROW()-9,COLUMN())="","",INDEX('⑩ 원문 보관'!$A:$E,$CM$6+ROW()-9,COLUMN())))</f>
        <v xml:space="preserve">112347.0  51351.11 99 </v>
      </c>
      <c r="B104" t="str">
        <f>IF($CM$6=0,"",IF(INDEX('⑩ 원문 보관'!$A:$E,$CM$6+ROW()-9,COLUMN())="","",INDEX('⑩ 원문 보관'!$A:$E,$CM$6+ROW()-9,COLUMN())))</f>
        <v xml:space="preserve">115052.0  51444.94 53 </v>
      </c>
      <c r="C104" t="str">
        <f>IF($CM$6=0,"",IF(INDEX('⑩ 원문 보관'!$A:$E,$CM$6+ROW()-9,COLUMN())="","",INDEX('⑩ 원문 보관'!$A:$E,$CM$6+ROW()-9,COLUMN())))</f>
        <v xml:space="preserve">122557.0  51354.87 33 </v>
      </c>
      <c r="D104" t="str">
        <f>IF($CM$6=0,"",IF(INDEX('⑩ 원문 보관'!$A:$E,$CM$6+ROW()-9,COLUMN())="","",INDEX('⑩ 원문 보관'!$A:$E,$CM$6+ROW()-9,COLUMN())))</f>
        <v xml:space="preserve">124232.0  51551.01 73 </v>
      </c>
      <c r="E104" t="str">
        <f>IF($CM$6=0,"",IF(INDEX('⑩ 원문 보관'!$A:$E,$CM$6+ROW()-9,COLUMN())="","",INDEX('⑩ 원문 보관'!$A:$E,$CM$6+ROW()-9,COLUMN())))</f>
        <v xml:space="preserve">131537.0  00000.00 02 </v>
      </c>
      <c r="Q104">
        <f t="shared" si="70"/>
        <v>3</v>
      </c>
      <c r="R104">
        <f t="shared" si="50"/>
        <v>112347</v>
      </c>
      <c r="S104">
        <f t="shared" si="51"/>
        <v>51351.11</v>
      </c>
      <c r="T104" t="str">
        <f t="shared" si="52"/>
        <v>99</v>
      </c>
      <c r="U104">
        <f t="shared" si="53"/>
        <v>1</v>
      </c>
      <c r="V104">
        <f t="shared" si="71"/>
        <v>3</v>
      </c>
      <c r="W104">
        <f t="shared" si="54"/>
        <v>115052</v>
      </c>
      <c r="X104">
        <f t="shared" si="55"/>
        <v>51444.94</v>
      </c>
      <c r="Y104" t="str">
        <f t="shared" si="56"/>
        <v>53</v>
      </c>
      <c r="Z104">
        <f t="shared" si="57"/>
        <v>1</v>
      </c>
      <c r="AA104">
        <f t="shared" si="72"/>
        <v>3</v>
      </c>
      <c r="AB104">
        <f t="shared" si="58"/>
        <v>122557</v>
      </c>
      <c r="AC104">
        <f t="shared" si="59"/>
        <v>51354.87</v>
      </c>
      <c r="AD104" t="str">
        <f t="shared" si="60"/>
        <v>33</v>
      </c>
      <c r="AE104">
        <f t="shared" si="61"/>
        <v>1</v>
      </c>
      <c r="AF104">
        <f t="shared" si="73"/>
        <v>3</v>
      </c>
      <c r="AG104">
        <f t="shared" si="62"/>
        <v>124232</v>
      </c>
      <c r="AH104">
        <f t="shared" si="63"/>
        <v>51551.01</v>
      </c>
      <c r="AI104" t="str">
        <f t="shared" si="64"/>
        <v>73</v>
      </c>
      <c r="AJ104">
        <f t="shared" si="65"/>
        <v>1</v>
      </c>
      <c r="AK104">
        <f t="shared" si="74"/>
        <v>3</v>
      </c>
      <c r="AL104">
        <f t="shared" si="66"/>
        <v>131537</v>
      </c>
      <c r="AM104">
        <f t="shared" si="67"/>
        <v>0</v>
      </c>
      <c r="AN104" t="str">
        <f t="shared" si="68"/>
        <v>02</v>
      </c>
      <c r="AO104">
        <f t="shared" si="69"/>
        <v>0</v>
      </c>
    </row>
    <row r="105" spans="1:41" x14ac:dyDescent="0.4">
      <c r="A105" t="str">
        <f>IF($CM$6=0,"",IF(INDEX('⑩ 원문 보관'!$A:$E,$CM$6+ROW()-9,COLUMN())="","",INDEX('⑩ 원문 보관'!$A:$E,$CM$6+ROW()-9,COLUMN())))</f>
        <v xml:space="preserve">112352.0  51351.04 99 </v>
      </c>
      <c r="B105" t="str">
        <f>IF($CM$6=0,"",IF(INDEX('⑩ 원문 보관'!$A:$E,$CM$6+ROW()-9,COLUMN())="","",INDEX('⑩ 원문 보관'!$A:$E,$CM$6+ROW()-9,COLUMN())))</f>
        <v xml:space="preserve">115057.0  51444.55 43 </v>
      </c>
      <c r="C105" t="str">
        <f>IF($CM$6=0,"",IF(INDEX('⑩ 원문 보관'!$A:$E,$CM$6+ROW()-9,COLUMN())="","",INDEX('⑩ 원문 보관'!$A:$E,$CM$6+ROW()-9,COLUMN())))</f>
        <v xml:space="preserve">122602.0  51354.94 53 </v>
      </c>
      <c r="D105" t="str">
        <f>IF($CM$6=0,"",IF(INDEX('⑩ 원문 보관'!$A:$E,$CM$6+ROW()-9,COLUMN())="","",INDEX('⑩ 원문 보관'!$A:$E,$CM$6+ROW()-9,COLUMN())))</f>
        <v xml:space="preserve">124237.0  51551.13 63 </v>
      </c>
      <c r="E105" t="str">
        <f>IF($CM$6=0,"",IF(INDEX('⑩ 원문 보관'!$A:$E,$CM$6+ROW()-9,COLUMN())="","",INDEX('⑩ 원문 보관'!$A:$E,$CM$6+ROW()-9,COLUMN())))</f>
        <v xml:space="preserve">131542.0  00000.00 02 </v>
      </c>
      <c r="Q105">
        <f t="shared" si="70"/>
        <v>3</v>
      </c>
      <c r="R105">
        <f t="shared" si="50"/>
        <v>112352</v>
      </c>
      <c r="S105">
        <f t="shared" si="51"/>
        <v>51351.040000000001</v>
      </c>
      <c r="T105" t="str">
        <f t="shared" si="52"/>
        <v>99</v>
      </c>
      <c r="U105">
        <f t="shared" si="53"/>
        <v>1</v>
      </c>
      <c r="V105">
        <f t="shared" si="71"/>
        <v>3</v>
      </c>
      <c r="W105">
        <f t="shared" si="54"/>
        <v>115057</v>
      </c>
      <c r="X105">
        <f t="shared" si="55"/>
        <v>51444.55</v>
      </c>
      <c r="Y105" t="str">
        <f t="shared" si="56"/>
        <v>43</v>
      </c>
      <c r="Z105">
        <f t="shared" si="57"/>
        <v>1</v>
      </c>
      <c r="AA105">
        <f t="shared" si="72"/>
        <v>3</v>
      </c>
      <c r="AB105">
        <f t="shared" si="58"/>
        <v>122602</v>
      </c>
      <c r="AC105">
        <f t="shared" si="59"/>
        <v>51354.94</v>
      </c>
      <c r="AD105" t="str">
        <f t="shared" si="60"/>
        <v>53</v>
      </c>
      <c r="AE105">
        <f t="shared" si="61"/>
        <v>1</v>
      </c>
      <c r="AF105">
        <f t="shared" si="73"/>
        <v>3</v>
      </c>
      <c r="AG105">
        <f t="shared" si="62"/>
        <v>124237</v>
      </c>
      <c r="AH105">
        <f t="shared" si="63"/>
        <v>51551.13</v>
      </c>
      <c r="AI105" t="str">
        <f t="shared" si="64"/>
        <v>63</v>
      </c>
      <c r="AJ105">
        <f t="shared" si="65"/>
        <v>1</v>
      </c>
      <c r="AK105">
        <f t="shared" si="74"/>
        <v>3</v>
      </c>
      <c r="AL105">
        <f t="shared" si="66"/>
        <v>131542</v>
      </c>
      <c r="AM105">
        <f t="shared" si="67"/>
        <v>0</v>
      </c>
      <c r="AN105" t="str">
        <f t="shared" si="68"/>
        <v>02</v>
      </c>
      <c r="AO105">
        <f t="shared" si="69"/>
        <v>0</v>
      </c>
    </row>
    <row r="106" spans="1:41" x14ac:dyDescent="0.4">
      <c r="A106" t="str">
        <f>IF($CM$6=0,"",IF(INDEX('⑩ 원문 보관'!$A:$E,$CM$6+ROW()-9,COLUMN())="","",INDEX('⑩ 원문 보관'!$A:$E,$CM$6+ROW()-9,COLUMN())))</f>
        <v xml:space="preserve">112357.0  51351.02 99 </v>
      </c>
      <c r="B106" t="str">
        <f>IF($CM$6=0,"",IF(INDEX('⑩ 원문 보관'!$A:$E,$CM$6+ROW()-9,COLUMN())="","",INDEX('⑩ 원문 보관'!$A:$E,$CM$6+ROW()-9,COLUMN())))</f>
        <v xml:space="preserve">115102.0  51443.81 33 </v>
      </c>
      <c r="C106" t="str">
        <f>IF($CM$6=0,"",IF(INDEX('⑩ 원문 보관'!$A:$E,$CM$6+ROW()-9,COLUMN())="","",INDEX('⑩ 원문 보관'!$A:$E,$CM$6+ROW()-9,COLUMN())))</f>
        <v xml:space="preserve">122607.0  51353.83 54 </v>
      </c>
      <c r="D106" t="str">
        <f>IF($CM$6=0,"",IF(INDEX('⑩ 원문 보관'!$A:$E,$CM$6+ROW()-9,COLUMN())="","",INDEX('⑩ 원문 보관'!$A:$E,$CM$6+ROW()-9,COLUMN())))</f>
        <v xml:space="preserve">124242.0  51550.94 64 </v>
      </c>
      <c r="E106" t="str">
        <f>IF($CM$6=0,"",IF(INDEX('⑩ 원문 보관'!$A:$E,$CM$6+ROW()-9,COLUMN())="","",INDEX('⑩ 원문 보관'!$A:$E,$CM$6+ROW()-9,COLUMN())))</f>
        <v xml:space="preserve">131547.0  00000.00 03 </v>
      </c>
      <c r="Q106">
        <f t="shared" si="70"/>
        <v>3</v>
      </c>
      <c r="R106">
        <f t="shared" si="50"/>
        <v>112357</v>
      </c>
      <c r="S106">
        <f t="shared" si="51"/>
        <v>51351.02</v>
      </c>
      <c r="T106" t="str">
        <f t="shared" si="52"/>
        <v>99</v>
      </c>
      <c r="U106">
        <f t="shared" si="53"/>
        <v>1</v>
      </c>
      <c r="V106">
        <f t="shared" si="71"/>
        <v>3</v>
      </c>
      <c r="W106">
        <f t="shared" si="54"/>
        <v>115102</v>
      </c>
      <c r="X106">
        <f t="shared" si="55"/>
        <v>51443.81</v>
      </c>
      <c r="Y106" t="str">
        <f t="shared" si="56"/>
        <v>33</v>
      </c>
      <c r="Z106">
        <f t="shared" si="57"/>
        <v>1</v>
      </c>
      <c r="AA106">
        <f t="shared" si="72"/>
        <v>3</v>
      </c>
      <c r="AB106">
        <f t="shared" si="58"/>
        <v>122607</v>
      </c>
      <c r="AC106">
        <f t="shared" si="59"/>
        <v>51353.83</v>
      </c>
      <c r="AD106" t="str">
        <f t="shared" si="60"/>
        <v>54</v>
      </c>
      <c r="AE106">
        <f t="shared" si="61"/>
        <v>1</v>
      </c>
      <c r="AF106">
        <f t="shared" si="73"/>
        <v>3</v>
      </c>
      <c r="AG106">
        <f t="shared" si="62"/>
        <v>124242</v>
      </c>
      <c r="AH106">
        <f t="shared" si="63"/>
        <v>51550.94</v>
      </c>
      <c r="AI106" t="str">
        <f t="shared" si="64"/>
        <v>64</v>
      </c>
      <c r="AJ106">
        <f t="shared" si="65"/>
        <v>1</v>
      </c>
      <c r="AK106">
        <f t="shared" si="74"/>
        <v>3</v>
      </c>
      <c r="AL106">
        <f t="shared" si="66"/>
        <v>131547</v>
      </c>
      <c r="AM106">
        <f t="shared" si="67"/>
        <v>0</v>
      </c>
      <c r="AN106" t="str">
        <f t="shared" si="68"/>
        <v>03</v>
      </c>
      <c r="AO106">
        <f t="shared" si="69"/>
        <v>0</v>
      </c>
    </row>
    <row r="107" spans="1:41" x14ac:dyDescent="0.4">
      <c r="A107" t="str">
        <f>IF($CM$6=0,"",IF(INDEX('⑩ 원문 보관'!$A:$E,$CM$6+ROW()-9,COLUMN())="","",INDEX('⑩ 원문 보관'!$A:$E,$CM$6+ROW()-9,COLUMN())))</f>
        <v xml:space="preserve">112402.0  51351.14 99 </v>
      </c>
      <c r="B107" t="str">
        <f>IF($CM$6=0,"",IF(INDEX('⑩ 원문 보관'!$A:$E,$CM$6+ROW()-9,COLUMN())="","",INDEX('⑩ 원문 보관'!$A:$E,$CM$6+ROW()-9,COLUMN())))</f>
        <v xml:space="preserve">115107.0  51444.51 33 </v>
      </c>
      <c r="C107" t="str">
        <f>IF($CM$6=0,"",IF(INDEX('⑩ 원문 보관'!$A:$E,$CM$6+ROW()-9,COLUMN())="","",INDEX('⑩ 원문 보관'!$A:$E,$CM$6+ROW()-9,COLUMN())))</f>
        <v xml:space="preserve">122612.0  51354.37 53 </v>
      </c>
      <c r="D107" t="str">
        <f>IF($CM$6=0,"",IF(INDEX('⑩ 원문 보관'!$A:$E,$CM$6+ROW()-9,COLUMN())="","",INDEX('⑩ 원문 보관'!$A:$E,$CM$6+ROW()-9,COLUMN())))</f>
        <v xml:space="preserve">124247.0  51551.55 54 </v>
      </c>
      <c r="E107" t="str">
        <f>IF($CM$6=0,"",IF(INDEX('⑩ 원문 보관'!$A:$E,$CM$6+ROW()-9,COLUMN())="","",INDEX('⑩ 원문 보관'!$A:$E,$CM$6+ROW()-9,COLUMN())))</f>
        <v xml:space="preserve">131552.0  00000.00 02 </v>
      </c>
      <c r="Q107">
        <f t="shared" si="70"/>
        <v>3</v>
      </c>
      <c r="R107">
        <f t="shared" si="50"/>
        <v>112402</v>
      </c>
      <c r="S107">
        <f t="shared" si="51"/>
        <v>51351.14</v>
      </c>
      <c r="T107" t="str">
        <f t="shared" si="52"/>
        <v>99</v>
      </c>
      <c r="U107">
        <f t="shared" si="53"/>
        <v>1</v>
      </c>
      <c r="V107">
        <f t="shared" si="71"/>
        <v>3</v>
      </c>
      <c r="W107">
        <f t="shared" si="54"/>
        <v>115107</v>
      </c>
      <c r="X107">
        <f t="shared" si="55"/>
        <v>51444.51</v>
      </c>
      <c r="Y107" t="str">
        <f t="shared" si="56"/>
        <v>33</v>
      </c>
      <c r="Z107">
        <f t="shared" si="57"/>
        <v>1</v>
      </c>
      <c r="AA107">
        <f t="shared" si="72"/>
        <v>3</v>
      </c>
      <c r="AB107">
        <f t="shared" si="58"/>
        <v>122612</v>
      </c>
      <c r="AC107">
        <f t="shared" si="59"/>
        <v>51354.37</v>
      </c>
      <c r="AD107" t="str">
        <f t="shared" si="60"/>
        <v>53</v>
      </c>
      <c r="AE107">
        <f t="shared" si="61"/>
        <v>1</v>
      </c>
      <c r="AF107">
        <f t="shared" si="73"/>
        <v>3</v>
      </c>
      <c r="AG107">
        <f t="shared" si="62"/>
        <v>124247</v>
      </c>
      <c r="AH107">
        <f t="shared" si="63"/>
        <v>51551.55</v>
      </c>
      <c r="AI107" t="str">
        <f t="shared" si="64"/>
        <v>54</v>
      </c>
      <c r="AJ107">
        <f t="shared" si="65"/>
        <v>1</v>
      </c>
      <c r="AK107">
        <f t="shared" si="74"/>
        <v>3</v>
      </c>
      <c r="AL107">
        <f t="shared" si="66"/>
        <v>131552</v>
      </c>
      <c r="AM107">
        <f t="shared" si="67"/>
        <v>0</v>
      </c>
      <c r="AN107" t="str">
        <f t="shared" si="68"/>
        <v>02</v>
      </c>
      <c r="AO107">
        <f t="shared" si="69"/>
        <v>0</v>
      </c>
    </row>
    <row r="108" spans="1:41" x14ac:dyDescent="0.4">
      <c r="A108" t="str">
        <f>IF($CM$6=0,"",IF(INDEX('⑩ 원문 보관'!$A:$E,$CM$6+ROW()-9,COLUMN())="","",INDEX('⑩ 원문 보관'!$A:$E,$CM$6+ROW()-9,COLUMN())))</f>
        <v xml:space="preserve">112407.0  51351.09 99 </v>
      </c>
      <c r="B108" t="str">
        <f>IF($CM$6=0,"",IF(INDEX('⑩ 원문 보관'!$A:$E,$CM$6+ROW()-9,COLUMN())="","",INDEX('⑩ 원문 보관'!$A:$E,$CM$6+ROW()-9,COLUMN())))</f>
        <v xml:space="preserve">115112.0  51444.49 43 </v>
      </c>
      <c r="C108" t="str">
        <f>IF($CM$6=0,"",IF(INDEX('⑩ 원문 보관'!$A:$E,$CM$6+ROW()-9,COLUMN())="","",INDEX('⑩ 원문 보관'!$A:$E,$CM$6+ROW()-9,COLUMN())))</f>
        <v xml:space="preserve">122617.0  51354.72 33 </v>
      </c>
      <c r="D108" t="str">
        <f>IF($CM$6=0,"",IF(INDEX('⑩ 원문 보관'!$A:$E,$CM$6+ROW()-9,COLUMN())="","",INDEX('⑩ 원문 보관'!$A:$E,$CM$6+ROW()-9,COLUMN())))</f>
        <v xml:space="preserve">124252.0  51551.35 74 </v>
      </c>
      <c r="E108" t="str">
        <f>IF($CM$6=0,"",IF(INDEX('⑩ 원문 보관'!$A:$E,$CM$6+ROW()-9,COLUMN())="","",INDEX('⑩ 원문 보관'!$A:$E,$CM$6+ROW()-9,COLUMN())))</f>
        <v xml:space="preserve">131557.0  00000.00 03 </v>
      </c>
      <c r="Q108">
        <f t="shared" si="70"/>
        <v>3</v>
      </c>
      <c r="R108">
        <f t="shared" si="50"/>
        <v>112407</v>
      </c>
      <c r="S108">
        <f t="shared" si="51"/>
        <v>51351.09</v>
      </c>
      <c r="T108" t="str">
        <f t="shared" si="52"/>
        <v>99</v>
      </c>
      <c r="U108">
        <f t="shared" si="53"/>
        <v>1</v>
      </c>
      <c r="V108">
        <f t="shared" si="71"/>
        <v>3</v>
      </c>
      <c r="W108">
        <f t="shared" si="54"/>
        <v>115112</v>
      </c>
      <c r="X108">
        <f t="shared" si="55"/>
        <v>51444.49</v>
      </c>
      <c r="Y108" t="str">
        <f t="shared" si="56"/>
        <v>43</v>
      </c>
      <c r="Z108">
        <f t="shared" si="57"/>
        <v>1</v>
      </c>
      <c r="AA108">
        <f t="shared" si="72"/>
        <v>3</v>
      </c>
      <c r="AB108">
        <f t="shared" si="58"/>
        <v>122617</v>
      </c>
      <c r="AC108">
        <f t="shared" si="59"/>
        <v>51354.720000000001</v>
      </c>
      <c r="AD108" t="str">
        <f t="shared" si="60"/>
        <v>33</v>
      </c>
      <c r="AE108">
        <f t="shared" si="61"/>
        <v>1</v>
      </c>
      <c r="AF108">
        <f t="shared" si="73"/>
        <v>3</v>
      </c>
      <c r="AG108">
        <f t="shared" si="62"/>
        <v>124252</v>
      </c>
      <c r="AH108">
        <f t="shared" si="63"/>
        <v>51551.35</v>
      </c>
      <c r="AI108" t="str">
        <f t="shared" si="64"/>
        <v>74</v>
      </c>
      <c r="AJ108">
        <f t="shared" si="65"/>
        <v>1</v>
      </c>
      <c r="AK108">
        <f t="shared" si="74"/>
        <v>3</v>
      </c>
      <c r="AL108">
        <f t="shared" si="66"/>
        <v>131557</v>
      </c>
      <c r="AM108">
        <f t="shared" si="67"/>
        <v>0</v>
      </c>
      <c r="AN108" t="str">
        <f t="shared" si="68"/>
        <v>03</v>
      </c>
      <c r="AO108">
        <f t="shared" si="69"/>
        <v>0</v>
      </c>
    </row>
    <row r="109" spans="1:41" x14ac:dyDescent="0.4">
      <c r="A109" t="str">
        <f>IF($CM$6=0,"",IF(INDEX('⑩ 원문 보관'!$A:$E,$CM$6+ROW()-9,COLUMN())="","",INDEX('⑩ 원문 보관'!$A:$E,$CM$6+ROW()-9,COLUMN())))</f>
        <v xml:space="preserve">112412.0  51351.03 99 </v>
      </c>
      <c r="B109" t="str">
        <f>IF($CM$6=0,"",IF(INDEX('⑩ 원문 보관'!$A:$E,$CM$6+ROW()-9,COLUMN())="","",INDEX('⑩ 원문 보관'!$A:$E,$CM$6+ROW()-9,COLUMN())))</f>
        <v xml:space="preserve">115117.0  51444.89 63 </v>
      </c>
      <c r="C109" t="str">
        <f>IF($CM$6=0,"",IF(INDEX('⑩ 원문 보관'!$A:$E,$CM$6+ROW()-9,COLUMN())="","",INDEX('⑩ 원문 보관'!$A:$E,$CM$6+ROW()-9,COLUMN())))</f>
        <v xml:space="preserve">122622.0  51355.21 63 </v>
      </c>
      <c r="D109" t="str">
        <f>IF($CM$6=0,"",IF(INDEX('⑩ 원문 보관'!$A:$E,$CM$6+ROW()-9,COLUMN())="","",INDEX('⑩ 원문 보관'!$A:$E,$CM$6+ROW()-9,COLUMN())))</f>
        <v xml:space="preserve">124257.0  51551.75 64 </v>
      </c>
      <c r="E109" t="str">
        <f>IF($CM$6=0,"",IF(INDEX('⑩ 원문 보관'!$A:$E,$CM$6+ROW()-9,COLUMN())="","",INDEX('⑩ 원문 보관'!$A:$E,$CM$6+ROW()-9,COLUMN())))</f>
        <v xml:space="preserve">131602.0  51378.46 02 </v>
      </c>
      <c r="Q109">
        <f t="shared" si="70"/>
        <v>3</v>
      </c>
      <c r="R109">
        <f t="shared" si="50"/>
        <v>112412</v>
      </c>
      <c r="S109">
        <f t="shared" si="51"/>
        <v>51351.03</v>
      </c>
      <c r="T109" t="str">
        <f t="shared" si="52"/>
        <v>99</v>
      </c>
      <c r="U109">
        <f t="shared" si="53"/>
        <v>1</v>
      </c>
      <c r="V109">
        <f t="shared" si="71"/>
        <v>3</v>
      </c>
      <c r="W109">
        <f t="shared" si="54"/>
        <v>115117</v>
      </c>
      <c r="X109">
        <f t="shared" si="55"/>
        <v>51444.89</v>
      </c>
      <c r="Y109" t="str">
        <f t="shared" si="56"/>
        <v>63</v>
      </c>
      <c r="Z109">
        <f t="shared" si="57"/>
        <v>1</v>
      </c>
      <c r="AA109">
        <f t="shared" si="72"/>
        <v>3</v>
      </c>
      <c r="AB109">
        <f t="shared" si="58"/>
        <v>122622</v>
      </c>
      <c r="AC109">
        <f t="shared" si="59"/>
        <v>51355.21</v>
      </c>
      <c r="AD109" t="str">
        <f t="shared" si="60"/>
        <v>63</v>
      </c>
      <c r="AE109">
        <f t="shared" si="61"/>
        <v>1</v>
      </c>
      <c r="AF109">
        <f t="shared" si="73"/>
        <v>3</v>
      </c>
      <c r="AG109">
        <f t="shared" si="62"/>
        <v>124257</v>
      </c>
      <c r="AH109">
        <f t="shared" si="63"/>
        <v>51551.75</v>
      </c>
      <c r="AI109" t="str">
        <f t="shared" si="64"/>
        <v>64</v>
      </c>
      <c r="AJ109">
        <f t="shared" si="65"/>
        <v>1</v>
      </c>
      <c r="AK109">
        <f t="shared" si="74"/>
        <v>3</v>
      </c>
      <c r="AL109">
        <f t="shared" si="66"/>
        <v>131602</v>
      </c>
      <c r="AM109">
        <f t="shared" si="67"/>
        <v>51378.46</v>
      </c>
      <c r="AN109" t="str">
        <f t="shared" si="68"/>
        <v>02</v>
      </c>
      <c r="AO109">
        <f t="shared" si="69"/>
        <v>1</v>
      </c>
    </row>
    <row r="110" spans="1:41" x14ac:dyDescent="0.4">
      <c r="A110" t="str">
        <f>IF($CM$6=0,"",IF(INDEX('⑩ 원문 보관'!$A:$E,$CM$6+ROW()-9,COLUMN())="","",INDEX('⑩ 원문 보관'!$A:$E,$CM$6+ROW()-9,COLUMN())))</f>
        <v xml:space="preserve">112417.0  51351.18 99 </v>
      </c>
      <c r="B110" t="str">
        <f>IF($CM$6=0,"",IF(INDEX('⑩ 원문 보관'!$A:$E,$CM$6+ROW()-9,COLUMN())="","",INDEX('⑩ 원문 보관'!$A:$E,$CM$6+ROW()-9,COLUMN())))</f>
        <v xml:space="preserve">115122.0  51446.68 33 </v>
      </c>
      <c r="C110" t="str">
        <f>IF($CM$6=0,"",IF(INDEX('⑩ 원문 보관'!$A:$E,$CM$6+ROW()-9,COLUMN())="","",INDEX('⑩ 원문 보관'!$A:$E,$CM$6+ROW()-9,COLUMN())))</f>
        <v/>
      </c>
      <c r="D110" t="str">
        <f>IF($CM$6=0,"",IF(INDEX('⑩ 원문 보관'!$A:$E,$CM$6+ROW()-9,COLUMN())="","",INDEX('⑩ 원문 보관'!$A:$E,$CM$6+ROW()-9,COLUMN())))</f>
        <v xml:space="preserve">124302.0  51551.23 54 </v>
      </c>
      <c r="E110" t="str">
        <f>IF($CM$6=0,"",IF(INDEX('⑩ 원문 보관'!$A:$E,$CM$6+ROW()-9,COLUMN())="","",INDEX('⑩ 원문 보관'!$A:$E,$CM$6+ROW()-9,COLUMN())))</f>
        <v xml:space="preserve">131607.0  00000.00 02 </v>
      </c>
      <c r="Q110">
        <f t="shared" si="70"/>
        <v>3</v>
      </c>
      <c r="R110">
        <f t="shared" si="50"/>
        <v>112417</v>
      </c>
      <c r="S110">
        <f t="shared" si="51"/>
        <v>51351.18</v>
      </c>
      <c r="T110" t="str">
        <f t="shared" si="52"/>
        <v>99</v>
      </c>
      <c r="U110">
        <f t="shared" si="53"/>
        <v>1</v>
      </c>
      <c r="V110">
        <f t="shared" si="71"/>
        <v>3</v>
      </c>
      <c r="W110">
        <f t="shared" si="54"/>
        <v>115122</v>
      </c>
      <c r="X110">
        <f t="shared" si="55"/>
        <v>51446.68</v>
      </c>
      <c r="Y110" t="str">
        <f t="shared" si="56"/>
        <v>33</v>
      </c>
      <c r="Z110">
        <f t="shared" si="57"/>
        <v>1</v>
      </c>
      <c r="AA110">
        <f t="shared" si="72"/>
        <v>3</v>
      </c>
      <c r="AB110" t="str">
        <f t="shared" si="58"/>
        <v/>
      </c>
      <c r="AC110" t="str">
        <f t="shared" si="59"/>
        <v/>
      </c>
      <c r="AD110" t="str">
        <f t="shared" si="60"/>
        <v/>
      </c>
      <c r="AE110">
        <f t="shared" si="61"/>
        <v>0</v>
      </c>
      <c r="AF110">
        <f t="shared" si="73"/>
        <v>3</v>
      </c>
      <c r="AG110">
        <f t="shared" si="62"/>
        <v>124302</v>
      </c>
      <c r="AH110">
        <f t="shared" si="63"/>
        <v>51551.23</v>
      </c>
      <c r="AI110" t="str">
        <f t="shared" si="64"/>
        <v>54</v>
      </c>
      <c r="AJ110">
        <f t="shared" si="65"/>
        <v>1</v>
      </c>
      <c r="AK110">
        <f t="shared" si="74"/>
        <v>3</v>
      </c>
      <c r="AL110">
        <f t="shared" si="66"/>
        <v>131607</v>
      </c>
      <c r="AM110">
        <f t="shared" si="67"/>
        <v>0</v>
      </c>
      <c r="AN110" t="str">
        <f t="shared" si="68"/>
        <v>02</v>
      </c>
      <c r="AO110">
        <f t="shared" si="69"/>
        <v>0</v>
      </c>
    </row>
    <row r="111" spans="1:41" x14ac:dyDescent="0.4">
      <c r="A111" t="str">
        <f>IF($CM$6=0,"",IF(INDEX('⑩ 원문 보관'!$A:$E,$CM$6+ROW()-9,COLUMN())="","",INDEX('⑩ 원문 보관'!$A:$E,$CM$6+ROW()-9,COLUMN())))</f>
        <v xml:space="preserve">112422.0  51351.13 99 </v>
      </c>
      <c r="B111" t="str">
        <f>IF($CM$6=0,"",IF(INDEX('⑩ 원문 보관'!$A:$E,$CM$6+ROW()-9,COLUMN())="","",INDEX('⑩ 원문 보관'!$A:$E,$CM$6+ROW()-9,COLUMN())))</f>
        <v xml:space="preserve">115127.0  51444.83 33 </v>
      </c>
      <c r="C111" t="str">
        <f>IF($CM$6=0,"",IF(INDEX('⑩ 원문 보관'!$A:$E,$CM$6+ROW()-9,COLUMN())="","",INDEX('⑩ 원문 보관'!$A:$E,$CM$6+ROW()-9,COLUMN())))</f>
        <v/>
      </c>
      <c r="D111" t="str">
        <f>IF($CM$6=0,"",IF(INDEX('⑩ 원문 보관'!$A:$E,$CM$6+ROW()-9,COLUMN())="","",INDEX('⑩ 원문 보관'!$A:$E,$CM$6+ROW()-9,COLUMN())))</f>
        <v xml:space="preserve">124307.0  51551.75 74 </v>
      </c>
      <c r="E111" t="str">
        <f>IF($CM$6=0,"",IF(INDEX('⑩ 원문 보관'!$A:$E,$CM$6+ROW()-9,COLUMN())="","",INDEX('⑩ 원문 보관'!$A:$E,$CM$6+ROW()-9,COLUMN())))</f>
        <v xml:space="preserve">131612.0  00000.00 02 </v>
      </c>
      <c r="Q111">
        <f t="shared" si="70"/>
        <v>3</v>
      </c>
      <c r="R111">
        <f t="shared" si="50"/>
        <v>112422</v>
      </c>
      <c r="S111">
        <f t="shared" si="51"/>
        <v>51351.13</v>
      </c>
      <c r="T111" t="str">
        <f t="shared" si="52"/>
        <v>99</v>
      </c>
      <c r="U111">
        <f t="shared" si="53"/>
        <v>1</v>
      </c>
      <c r="V111">
        <f t="shared" si="71"/>
        <v>3</v>
      </c>
      <c r="W111">
        <f t="shared" si="54"/>
        <v>115127</v>
      </c>
      <c r="X111">
        <f t="shared" si="55"/>
        <v>51444.83</v>
      </c>
      <c r="Y111" t="str">
        <f t="shared" si="56"/>
        <v>33</v>
      </c>
      <c r="Z111">
        <f t="shared" si="57"/>
        <v>1</v>
      </c>
      <c r="AA111">
        <f t="shared" si="72"/>
        <v>3</v>
      </c>
      <c r="AB111" t="str">
        <f t="shared" si="58"/>
        <v/>
      </c>
      <c r="AC111" t="str">
        <f t="shared" si="59"/>
        <v/>
      </c>
      <c r="AD111" t="str">
        <f t="shared" si="60"/>
        <v/>
      </c>
      <c r="AE111">
        <f t="shared" si="61"/>
        <v>0</v>
      </c>
      <c r="AF111">
        <f t="shared" si="73"/>
        <v>3</v>
      </c>
      <c r="AG111">
        <f t="shared" si="62"/>
        <v>124307</v>
      </c>
      <c r="AH111">
        <f t="shared" si="63"/>
        <v>51551.75</v>
      </c>
      <c r="AI111" t="str">
        <f t="shared" si="64"/>
        <v>74</v>
      </c>
      <c r="AJ111">
        <f t="shared" si="65"/>
        <v>1</v>
      </c>
      <c r="AK111">
        <f t="shared" si="74"/>
        <v>3</v>
      </c>
      <c r="AL111">
        <f t="shared" si="66"/>
        <v>131612</v>
      </c>
      <c r="AM111">
        <f t="shared" si="67"/>
        <v>0</v>
      </c>
      <c r="AN111" t="str">
        <f t="shared" si="68"/>
        <v>02</v>
      </c>
      <c r="AO111">
        <f t="shared" si="69"/>
        <v>0</v>
      </c>
    </row>
    <row r="112" spans="1:41" x14ac:dyDescent="0.4">
      <c r="A112" t="str">
        <f>IF($CM$6=0,"",IF(INDEX('⑩ 원문 보관'!$A:$E,$CM$6+ROW()-9,COLUMN())="","",INDEX('⑩ 원문 보관'!$A:$E,$CM$6+ROW()-9,COLUMN())))</f>
        <v xml:space="preserve">112427.0  51351.13 99 </v>
      </c>
      <c r="B112" t="str">
        <f>IF($CM$6=0,"",IF(INDEX('⑩ 원문 보관'!$A:$E,$CM$6+ROW()-9,COLUMN())="","",INDEX('⑩ 원문 보관'!$A:$E,$CM$6+ROW()-9,COLUMN())))</f>
        <v xml:space="preserve">115132.0  51444.89 53 </v>
      </c>
      <c r="C112" t="str">
        <f>IF($CM$6=0,"",IF(INDEX('⑩ 원문 보관'!$A:$E,$CM$6+ROW()-9,COLUMN())="","",INDEX('⑩ 원문 보관'!$A:$E,$CM$6+ROW()-9,COLUMN())))</f>
        <v xml:space="preserve">/Gem Systems GSM-19T 4106808 v7.0 26 IX 2014 M t-e2l..v7o                         </v>
      </c>
      <c r="D112" t="str">
        <f>IF($CM$6=0,"",IF(INDEX('⑩ 원문 보관'!$A:$E,$CM$6+ROW()-9,COLUMN())="","",INDEX('⑩ 원문 보관'!$A:$E,$CM$6+ROW()-9,COLUMN())))</f>
        <v xml:space="preserve">124312.0  51551.23 63 </v>
      </c>
      <c r="E112" t="str">
        <f>IF($CM$6=0,"",IF(INDEX('⑩ 원문 보관'!$A:$E,$CM$6+ROW()-9,COLUMN())="","",INDEX('⑩ 원문 보관'!$A:$E,$CM$6+ROW()-9,COLUMN())))</f>
        <v xml:space="preserve">131617.0  00000.00 03 </v>
      </c>
      <c r="Q112">
        <f t="shared" si="70"/>
        <v>3</v>
      </c>
      <c r="R112">
        <f t="shared" si="50"/>
        <v>112427</v>
      </c>
      <c r="S112">
        <f t="shared" si="51"/>
        <v>51351.13</v>
      </c>
      <c r="T112" t="str">
        <f t="shared" si="52"/>
        <v>99</v>
      </c>
      <c r="U112">
        <f t="shared" si="53"/>
        <v>1</v>
      </c>
      <c r="V112">
        <f t="shared" si="71"/>
        <v>3</v>
      </c>
      <c r="W112">
        <f t="shared" si="54"/>
        <v>115132</v>
      </c>
      <c r="X112">
        <f t="shared" si="55"/>
        <v>51444.89</v>
      </c>
      <c r="Y112" t="str">
        <f t="shared" si="56"/>
        <v>53</v>
      </c>
      <c r="Z112">
        <f t="shared" si="57"/>
        <v>1</v>
      </c>
      <c r="AA112">
        <f t="shared" si="72"/>
        <v>3</v>
      </c>
      <c r="AB112" t="str">
        <f t="shared" si="58"/>
        <v/>
      </c>
      <c r="AC112" t="str">
        <f t="shared" si="59"/>
        <v/>
      </c>
      <c r="AD112" t="str">
        <f t="shared" si="60"/>
        <v>GSM-19T</v>
      </c>
      <c r="AE112">
        <f t="shared" si="61"/>
        <v>0</v>
      </c>
      <c r="AF112">
        <f t="shared" si="73"/>
        <v>3</v>
      </c>
      <c r="AG112">
        <f t="shared" si="62"/>
        <v>124312</v>
      </c>
      <c r="AH112">
        <f t="shared" si="63"/>
        <v>51551.23</v>
      </c>
      <c r="AI112" t="str">
        <f t="shared" si="64"/>
        <v>63</v>
      </c>
      <c r="AJ112">
        <f t="shared" si="65"/>
        <v>1</v>
      </c>
      <c r="AK112">
        <f t="shared" si="74"/>
        <v>3</v>
      </c>
      <c r="AL112">
        <f t="shared" si="66"/>
        <v>131617</v>
      </c>
      <c r="AM112">
        <f t="shared" si="67"/>
        <v>0</v>
      </c>
      <c r="AN112" t="str">
        <f t="shared" si="68"/>
        <v>03</v>
      </c>
      <c r="AO112">
        <f t="shared" si="69"/>
        <v>0</v>
      </c>
    </row>
    <row r="113" spans="1:41" x14ac:dyDescent="0.4">
      <c r="A113" t="str">
        <f>IF($CM$6=0,"",IF(INDEX('⑩ 원문 보관'!$A:$E,$CM$6+ROW()-9,COLUMN())="","",INDEX('⑩ 원문 보관'!$A:$E,$CM$6+ROW()-9,COLUMN())))</f>
        <v xml:space="preserve">112432.0  51351.17 99 </v>
      </c>
      <c r="B113" t="str">
        <f>IF($CM$6=0,"",IF(INDEX('⑩ 원문 보관'!$A:$E,$CM$6+ROW()-9,COLUMN())="","",INDEX('⑩ 원문 보관'!$A:$E,$CM$6+ROW()-9,COLUMN())))</f>
        <v xml:space="preserve">115137.0  51445.48 33 </v>
      </c>
      <c r="C113" t="str">
        <f>IF($CM$6=0,"",IF(INDEX('⑩ 원문 보관'!$A:$E,$CM$6+ROW()-9,COLUMN())="","",INDEX('⑩ 원문 보관'!$A:$E,$CM$6+ROW()-9,COLUMN())))</f>
        <v>/ID 2666 file 25survey.b   21 IX 26</v>
      </c>
      <c r="D113" t="str">
        <f>IF($CM$6=0,"",IF(INDEX('⑩ 원문 보관'!$A:$E,$CM$6+ROW()-9,COLUMN())="","",INDEX('⑩ 원문 보관'!$A:$E,$CM$6+ROW()-9,COLUMN())))</f>
        <v/>
      </c>
      <c r="E113" t="str">
        <f>IF($CM$6=0,"",IF(INDEX('⑩ 원문 보관'!$A:$E,$CM$6+ROW()-9,COLUMN())="","",INDEX('⑩ 원문 보관'!$A:$E,$CM$6+ROW()-9,COLUMN())))</f>
        <v xml:space="preserve">131622.0  00000.00 02 </v>
      </c>
      <c r="Q113">
        <f t="shared" si="70"/>
        <v>3</v>
      </c>
      <c r="R113">
        <f t="shared" si="50"/>
        <v>112432</v>
      </c>
      <c r="S113">
        <f t="shared" si="51"/>
        <v>51351.17</v>
      </c>
      <c r="T113" t="str">
        <f t="shared" si="52"/>
        <v>99</v>
      </c>
      <c r="U113">
        <f t="shared" si="53"/>
        <v>1</v>
      </c>
      <c r="V113">
        <f t="shared" si="71"/>
        <v>3</v>
      </c>
      <c r="W113">
        <f t="shared" si="54"/>
        <v>115137</v>
      </c>
      <c r="X113">
        <f t="shared" si="55"/>
        <v>51445.48</v>
      </c>
      <c r="Y113" t="str">
        <f t="shared" si="56"/>
        <v>33</v>
      </c>
      <c r="Z113">
        <f t="shared" si="57"/>
        <v>1</v>
      </c>
      <c r="AA113">
        <f t="shared" si="72"/>
        <v>3</v>
      </c>
      <c r="AB113" t="str">
        <f t="shared" si="58"/>
        <v/>
      </c>
      <c r="AC113">
        <f t="shared" si="59"/>
        <v>2666</v>
      </c>
      <c r="AD113" t="str">
        <f t="shared" si="60"/>
        <v>file</v>
      </c>
      <c r="AE113">
        <f t="shared" si="61"/>
        <v>0</v>
      </c>
      <c r="AF113">
        <f t="shared" si="73"/>
        <v>3</v>
      </c>
      <c r="AG113" t="str">
        <f t="shared" si="62"/>
        <v/>
      </c>
      <c r="AH113" t="str">
        <f t="shared" si="63"/>
        <v/>
      </c>
      <c r="AI113" t="str">
        <f t="shared" si="64"/>
        <v/>
      </c>
      <c r="AJ113">
        <f t="shared" si="65"/>
        <v>0</v>
      </c>
      <c r="AK113">
        <f t="shared" si="74"/>
        <v>3</v>
      </c>
      <c r="AL113">
        <f t="shared" si="66"/>
        <v>131622</v>
      </c>
      <c r="AM113">
        <f t="shared" si="67"/>
        <v>0</v>
      </c>
      <c r="AN113" t="str">
        <f t="shared" si="68"/>
        <v>02</v>
      </c>
      <c r="AO113">
        <f t="shared" si="69"/>
        <v>0</v>
      </c>
    </row>
    <row r="114" spans="1:41" x14ac:dyDescent="0.4">
      <c r="A114" t="str">
        <f>IF($CM$6=0,"",IF(INDEX('⑩ 원문 보관'!$A:$E,$CM$6+ROW()-9,COLUMN())="","",INDEX('⑩ 원문 보관'!$A:$E,$CM$6+ROW()-9,COLUMN())))</f>
        <v xml:space="preserve">112437.0  51351.06 99 </v>
      </c>
      <c r="B114" t="str">
        <f>IF($CM$6=0,"",IF(INDEX('⑩ 원문 보관'!$A:$E,$CM$6+ROW()-9,COLUMN())="","",INDEX('⑩ 원문 보관'!$A:$E,$CM$6+ROW()-9,COLUMN())))</f>
        <v xml:space="preserve">115142.0  51443.54 23 </v>
      </c>
      <c r="C114" t="str">
        <f>IF($CM$6=0,"",IF(INDEX('⑩ 원문 보관'!$A:$E,$CM$6+ROW()-9,COLUMN())="","",INDEX('⑩ 원문 보관'!$A:$E,$CM$6+ROW()-9,COLUMN())))</f>
        <v>/datum  57000.00</v>
      </c>
      <c r="D114" t="str">
        <f>IF($CM$6=0,"",IF(INDEX('⑩ 원문 보관'!$A:$E,$CM$6+ROW()-9,COLUMN())="","",INDEX('⑩ 원문 보관'!$A:$E,$CM$6+ROW()-9,COLUMN())))</f>
        <v/>
      </c>
      <c r="E114" t="str">
        <f>IF($CM$6=0,"",IF(INDEX('⑩ 원문 보관'!$A:$E,$CM$6+ROW()-9,COLUMN())="","",INDEX('⑩ 원문 보관'!$A:$E,$CM$6+ROW()-9,COLUMN())))</f>
        <v xml:space="preserve">131627.0  51339.93 02 </v>
      </c>
      <c r="Q114">
        <f t="shared" si="70"/>
        <v>3</v>
      </c>
      <c r="R114">
        <f t="shared" si="50"/>
        <v>112437</v>
      </c>
      <c r="S114">
        <f t="shared" si="51"/>
        <v>51351.06</v>
      </c>
      <c r="T114" t="str">
        <f t="shared" si="52"/>
        <v>99</v>
      </c>
      <c r="U114">
        <f t="shared" si="53"/>
        <v>1</v>
      </c>
      <c r="V114">
        <f t="shared" si="71"/>
        <v>3</v>
      </c>
      <c r="W114">
        <f t="shared" si="54"/>
        <v>115142</v>
      </c>
      <c r="X114">
        <f t="shared" si="55"/>
        <v>51443.54</v>
      </c>
      <c r="Y114" t="str">
        <f t="shared" si="56"/>
        <v>23</v>
      </c>
      <c r="Z114">
        <f t="shared" si="57"/>
        <v>1</v>
      </c>
      <c r="AA114">
        <f t="shared" si="72"/>
        <v>3</v>
      </c>
      <c r="AB114" t="str">
        <f t="shared" si="58"/>
        <v/>
      </c>
      <c r="AC114">
        <f t="shared" si="59"/>
        <v>57000</v>
      </c>
      <c r="AD114" t="str">
        <f t="shared" si="60"/>
        <v/>
      </c>
      <c r="AE114">
        <f t="shared" si="61"/>
        <v>0</v>
      </c>
      <c r="AF114">
        <f t="shared" si="73"/>
        <v>3</v>
      </c>
      <c r="AG114" t="str">
        <f t="shared" si="62"/>
        <v/>
      </c>
      <c r="AH114" t="str">
        <f t="shared" si="63"/>
        <v/>
      </c>
      <c r="AI114" t="str">
        <f t="shared" si="64"/>
        <v/>
      </c>
      <c r="AJ114">
        <f t="shared" si="65"/>
        <v>0</v>
      </c>
      <c r="AK114">
        <f t="shared" si="74"/>
        <v>3</v>
      </c>
      <c r="AL114">
        <f t="shared" si="66"/>
        <v>131627</v>
      </c>
      <c r="AM114">
        <f t="shared" si="67"/>
        <v>51339.93</v>
      </c>
      <c r="AN114" t="str">
        <f t="shared" si="68"/>
        <v>02</v>
      </c>
      <c r="AO114">
        <f t="shared" si="69"/>
        <v>1</v>
      </c>
    </row>
    <row r="115" spans="1:41" x14ac:dyDescent="0.4">
      <c r="A115" t="str">
        <f>IF($CM$6=0,"",IF(INDEX('⑩ 원문 보관'!$A:$E,$CM$6+ROW()-9,COLUMN())="","",INDEX('⑩ 원문 보관'!$A:$E,$CM$6+ROW()-9,COLUMN())))</f>
        <v xml:space="preserve">112442.0  51351.08 99 </v>
      </c>
      <c r="B115" t="str">
        <f>IF($CM$6=0,"",IF(INDEX('⑩ 원문 보관'!$A:$E,$CM$6+ROW()-9,COLUMN())="","",INDEX('⑩ 원문 보관'!$A:$E,$CM$6+ROW()-9,COLUMN())))</f>
        <v xml:space="preserve">115147.0  51445.74 53 </v>
      </c>
      <c r="C115" t="str">
        <f>IF($CM$6=0,"",IF(INDEX('⑩ 원문 보관'!$A:$E,$CM$6+ROW()-9,COLUMN())="","",INDEX('⑩ 원문 보관'!$A:$E,$CM$6+ROW()-9,COLUMN())))</f>
        <v>/</v>
      </c>
      <c r="D115" t="str">
        <f>IF($CM$6=0,"",IF(INDEX('⑩ 원문 보관'!$A:$E,$CM$6+ROW()-9,COLUMN())="","",INDEX('⑩ 원문 보관'!$A:$E,$CM$6+ROW()-9,COLUMN())))</f>
        <v xml:space="preserve">/Gem Systems GSM-19T 4106808 v7.0 26 IX 2014 M t-e2l..v7o                         </v>
      </c>
      <c r="E115" t="str">
        <f>IF($CM$6=0,"",IF(INDEX('⑩ 원문 보관'!$A:$E,$CM$6+ROW()-9,COLUMN())="","",INDEX('⑩ 원문 보관'!$A:$E,$CM$6+ROW()-9,COLUMN())))</f>
        <v xml:space="preserve">131632.0  00000.00 02 </v>
      </c>
      <c r="Q115">
        <f t="shared" si="70"/>
        <v>3</v>
      </c>
      <c r="R115">
        <f t="shared" si="50"/>
        <v>112442</v>
      </c>
      <c r="S115">
        <f t="shared" si="51"/>
        <v>51351.08</v>
      </c>
      <c r="T115" t="str">
        <f t="shared" si="52"/>
        <v>99</v>
      </c>
      <c r="U115">
        <f t="shared" si="53"/>
        <v>1</v>
      </c>
      <c r="V115">
        <f t="shared" si="71"/>
        <v>3</v>
      </c>
      <c r="W115">
        <f t="shared" si="54"/>
        <v>115147</v>
      </c>
      <c r="X115">
        <f t="shared" si="55"/>
        <v>51445.74</v>
      </c>
      <c r="Y115" t="str">
        <f t="shared" si="56"/>
        <v>53</v>
      </c>
      <c r="Z115">
        <f t="shared" si="57"/>
        <v>1</v>
      </c>
      <c r="AA115">
        <f t="shared" si="72"/>
        <v>3</v>
      </c>
      <c r="AB115" t="str">
        <f t="shared" si="58"/>
        <v/>
      </c>
      <c r="AC115" t="str">
        <f t="shared" si="59"/>
        <v/>
      </c>
      <c r="AD115" t="str">
        <f t="shared" si="60"/>
        <v/>
      </c>
      <c r="AE115">
        <f t="shared" si="61"/>
        <v>0</v>
      </c>
      <c r="AF115">
        <f t="shared" si="73"/>
        <v>3</v>
      </c>
      <c r="AG115" t="str">
        <f t="shared" si="62"/>
        <v/>
      </c>
      <c r="AH115" t="str">
        <f t="shared" si="63"/>
        <v/>
      </c>
      <c r="AI115" t="str">
        <f t="shared" si="64"/>
        <v>GSM-19T</v>
      </c>
      <c r="AJ115">
        <f t="shared" si="65"/>
        <v>0</v>
      </c>
      <c r="AK115">
        <f t="shared" si="74"/>
        <v>3</v>
      </c>
      <c r="AL115">
        <f t="shared" si="66"/>
        <v>131632</v>
      </c>
      <c r="AM115">
        <f t="shared" si="67"/>
        <v>0</v>
      </c>
      <c r="AN115" t="str">
        <f t="shared" si="68"/>
        <v>02</v>
      </c>
      <c r="AO115">
        <f t="shared" si="69"/>
        <v>0</v>
      </c>
    </row>
    <row r="116" spans="1:41" x14ac:dyDescent="0.4">
      <c r="A116" t="str">
        <f>IF($CM$6=0,"",IF(INDEX('⑩ 원문 보관'!$A:$E,$CM$6+ROW()-9,COLUMN())="","",INDEX('⑩ 원문 보관'!$A:$E,$CM$6+ROW()-9,COLUMN())))</f>
        <v xml:space="preserve">112447.0  51351.15 99 </v>
      </c>
      <c r="B116" t="str">
        <f>IF($CM$6=0,"",IF(INDEX('⑩ 원문 보관'!$A:$E,$CM$6+ROW()-9,COLUMN())="","",INDEX('⑩ 원문 보관'!$A:$E,$CM$6+ROW()-9,COLUMN())))</f>
        <v xml:space="preserve">115152.0  51444.06 23 </v>
      </c>
      <c r="C116" t="str">
        <f>IF($CM$6=0,"",IF(INDEX('⑩ 원문 보관'!$A:$E,$CM$6+ROW()-9,COLUMN())="","",INDEX('⑩ 원문 보관'!$A:$E,$CM$6+ROW()-9,COLUMN())))</f>
        <v/>
      </c>
      <c r="D116" t="str">
        <f>IF($CM$6=0,"",IF(INDEX('⑩ 원문 보관'!$A:$E,$CM$6+ROW()-9,COLUMN())="","",INDEX('⑩ 원문 보관'!$A:$E,$CM$6+ROW()-9,COLUMN())))</f>
        <v>/ID 2666 file 31survey.b   21 IX 26</v>
      </c>
      <c r="E116" t="str">
        <f>IF($CM$6=0,"",IF(INDEX('⑩ 원문 보관'!$A:$E,$CM$6+ROW()-9,COLUMN())="","",INDEX('⑩ 원문 보관'!$A:$E,$CM$6+ROW()-9,COLUMN())))</f>
        <v xml:space="preserve">131637.0  51404.86 03 </v>
      </c>
      <c r="Q116">
        <f t="shared" si="70"/>
        <v>3</v>
      </c>
      <c r="R116">
        <f t="shared" si="50"/>
        <v>112447</v>
      </c>
      <c r="S116">
        <f t="shared" si="51"/>
        <v>51351.15</v>
      </c>
      <c r="T116" t="str">
        <f t="shared" si="52"/>
        <v>99</v>
      </c>
      <c r="U116">
        <f t="shared" si="53"/>
        <v>1</v>
      </c>
      <c r="V116">
        <f t="shared" si="71"/>
        <v>3</v>
      </c>
      <c r="W116">
        <f t="shared" si="54"/>
        <v>115152</v>
      </c>
      <c r="X116">
        <f t="shared" si="55"/>
        <v>51444.06</v>
      </c>
      <c r="Y116" t="str">
        <f t="shared" si="56"/>
        <v>23</v>
      </c>
      <c r="Z116">
        <f t="shared" si="57"/>
        <v>1</v>
      </c>
      <c r="AA116">
        <f t="shared" si="72"/>
        <v>3</v>
      </c>
      <c r="AB116" t="str">
        <f t="shared" si="58"/>
        <v/>
      </c>
      <c r="AC116" t="str">
        <f t="shared" si="59"/>
        <v/>
      </c>
      <c r="AD116" t="str">
        <f t="shared" si="60"/>
        <v/>
      </c>
      <c r="AE116">
        <f t="shared" si="61"/>
        <v>0</v>
      </c>
      <c r="AF116">
        <f t="shared" si="73"/>
        <v>3</v>
      </c>
      <c r="AG116" t="str">
        <f t="shared" si="62"/>
        <v/>
      </c>
      <c r="AH116">
        <f t="shared" si="63"/>
        <v>2666</v>
      </c>
      <c r="AI116" t="str">
        <f t="shared" si="64"/>
        <v>file</v>
      </c>
      <c r="AJ116">
        <f t="shared" si="65"/>
        <v>0</v>
      </c>
      <c r="AK116">
        <f t="shared" si="74"/>
        <v>3</v>
      </c>
      <c r="AL116">
        <f t="shared" si="66"/>
        <v>131637</v>
      </c>
      <c r="AM116">
        <f t="shared" si="67"/>
        <v>51404.86</v>
      </c>
      <c r="AN116" t="str">
        <f t="shared" si="68"/>
        <v>03</v>
      </c>
      <c r="AO116">
        <f t="shared" si="69"/>
        <v>1</v>
      </c>
    </row>
    <row r="117" spans="1:41" x14ac:dyDescent="0.4">
      <c r="A117" t="str">
        <f>IF($CM$6=0,"",IF(INDEX('⑩ 원문 보관'!$A:$E,$CM$6+ROW()-9,COLUMN())="","",INDEX('⑩ 원문 보관'!$A:$E,$CM$6+ROW()-9,COLUMN())))</f>
        <v xml:space="preserve">112452.0  51351.11 99 </v>
      </c>
      <c r="B117" t="str">
        <f>IF($CM$6=0,"",IF(INDEX('⑩ 원문 보관'!$A:$E,$CM$6+ROW()-9,COLUMN())="","",INDEX('⑩ 원문 보관'!$A:$E,$CM$6+ROW()-9,COLUMN())))</f>
        <v xml:space="preserve">115157.0  51445.38 33 </v>
      </c>
      <c r="C117" t="str">
        <f>IF($CM$6=0,"",IF(INDEX('⑩ 원문 보관'!$A:$E,$CM$6+ROW()-9,COLUMN())="","",INDEX('⑩ 원문 보관'!$A:$E,$CM$6+ROW()-9,COLUMN())))</f>
        <v xml:space="preserve">/time nT sq </v>
      </c>
      <c r="D117" t="str">
        <f>IF($CM$6=0,"",IF(INDEX('⑩ 원문 보관'!$A:$E,$CM$6+ROW()-9,COLUMN())="","",INDEX('⑩ 원문 보관'!$A:$E,$CM$6+ROW()-9,COLUMN())))</f>
        <v>/datum  57000.00</v>
      </c>
      <c r="E117" t="str">
        <f>IF($CM$6=0,"",IF(INDEX('⑩ 원문 보관'!$A:$E,$CM$6+ROW()-9,COLUMN())="","",INDEX('⑩ 원문 보관'!$A:$E,$CM$6+ROW()-9,COLUMN())))</f>
        <v xml:space="preserve">131642.0  51326.19 02 </v>
      </c>
      <c r="Q117">
        <f t="shared" si="70"/>
        <v>3</v>
      </c>
      <c r="R117">
        <f t="shared" si="50"/>
        <v>112452</v>
      </c>
      <c r="S117">
        <f t="shared" si="51"/>
        <v>51351.11</v>
      </c>
      <c r="T117" t="str">
        <f t="shared" si="52"/>
        <v>99</v>
      </c>
      <c r="U117">
        <f t="shared" si="53"/>
        <v>1</v>
      </c>
      <c r="V117">
        <f t="shared" si="71"/>
        <v>3</v>
      </c>
      <c r="W117">
        <f t="shared" si="54"/>
        <v>115157</v>
      </c>
      <c r="X117">
        <f t="shared" si="55"/>
        <v>51445.38</v>
      </c>
      <c r="Y117" t="str">
        <f t="shared" si="56"/>
        <v>33</v>
      </c>
      <c r="Z117">
        <f t="shared" si="57"/>
        <v>1</v>
      </c>
      <c r="AA117">
        <f t="shared" si="72"/>
        <v>4</v>
      </c>
      <c r="AB117" t="str">
        <f t="shared" si="58"/>
        <v/>
      </c>
      <c r="AC117" t="str">
        <f t="shared" si="59"/>
        <v/>
      </c>
      <c r="AD117" t="str">
        <f t="shared" si="60"/>
        <v>sq</v>
      </c>
      <c r="AE117">
        <f t="shared" si="61"/>
        <v>0</v>
      </c>
      <c r="AF117">
        <f t="shared" si="73"/>
        <v>3</v>
      </c>
      <c r="AG117" t="str">
        <f t="shared" si="62"/>
        <v/>
      </c>
      <c r="AH117">
        <f t="shared" si="63"/>
        <v>57000</v>
      </c>
      <c r="AI117" t="str">
        <f t="shared" si="64"/>
        <v/>
      </c>
      <c r="AJ117">
        <f t="shared" si="65"/>
        <v>0</v>
      </c>
      <c r="AK117">
        <f t="shared" si="74"/>
        <v>3</v>
      </c>
      <c r="AL117">
        <f t="shared" si="66"/>
        <v>131642</v>
      </c>
      <c r="AM117">
        <f t="shared" si="67"/>
        <v>51326.19</v>
      </c>
      <c r="AN117" t="str">
        <f t="shared" si="68"/>
        <v>02</v>
      </c>
      <c r="AO117">
        <f t="shared" si="69"/>
        <v>1</v>
      </c>
    </row>
    <row r="118" spans="1:41" x14ac:dyDescent="0.4">
      <c r="A118" t="str">
        <f>IF($CM$6=0,"",IF(INDEX('⑩ 원문 보관'!$A:$E,$CM$6+ROW()-9,COLUMN())="","",INDEX('⑩ 원문 보관'!$A:$E,$CM$6+ROW()-9,COLUMN())))</f>
        <v xml:space="preserve">112457.0  51351.14 99 </v>
      </c>
      <c r="B118" t="str">
        <f>IF($CM$6=0,"",IF(INDEX('⑩ 원문 보관'!$A:$E,$CM$6+ROW()-9,COLUMN())="","",INDEX('⑩ 원문 보관'!$A:$E,$CM$6+ROW()-9,COLUMN())))</f>
        <v xml:space="preserve">115202.0  51445.59 43 </v>
      </c>
      <c r="C118" t="str">
        <f>IF($CM$6=0,"",IF(INDEX('⑩ 원문 보관'!$A:$E,$CM$6+ROW()-9,COLUMN())="","",INDEX('⑩ 원문 보관'!$A:$E,$CM$6+ROW()-9,COLUMN())))</f>
        <v xml:space="preserve">122657.0  51341.22 73 </v>
      </c>
      <c r="D118" t="str">
        <f>IF($CM$6=0,"",IF(INDEX('⑩ 원문 보관'!$A:$E,$CM$6+ROW()-9,COLUMN())="","",INDEX('⑩ 원문 보관'!$A:$E,$CM$6+ROW()-9,COLUMN())))</f>
        <v>/</v>
      </c>
      <c r="E118" t="str">
        <f>IF($CM$6=0,"",IF(INDEX('⑩ 원문 보관'!$A:$E,$CM$6+ROW()-9,COLUMN())="","",INDEX('⑩ 원문 보관'!$A:$E,$CM$6+ROW()-9,COLUMN())))</f>
        <v xml:space="preserve">131647.0  51360.10 03 </v>
      </c>
      <c r="Q118">
        <f t="shared" si="70"/>
        <v>3</v>
      </c>
      <c r="R118">
        <f t="shared" si="50"/>
        <v>112457</v>
      </c>
      <c r="S118">
        <f t="shared" si="51"/>
        <v>51351.14</v>
      </c>
      <c r="T118" t="str">
        <f t="shared" si="52"/>
        <v>99</v>
      </c>
      <c r="U118">
        <f t="shared" si="53"/>
        <v>1</v>
      </c>
      <c r="V118">
        <f t="shared" si="71"/>
        <v>3</v>
      </c>
      <c r="W118">
        <f t="shared" si="54"/>
        <v>115202</v>
      </c>
      <c r="X118">
        <f t="shared" si="55"/>
        <v>51445.59</v>
      </c>
      <c r="Y118" t="str">
        <f t="shared" si="56"/>
        <v>43</v>
      </c>
      <c r="Z118">
        <f t="shared" si="57"/>
        <v>1</v>
      </c>
      <c r="AA118">
        <f t="shared" si="72"/>
        <v>4</v>
      </c>
      <c r="AB118">
        <f t="shared" si="58"/>
        <v>122657</v>
      </c>
      <c r="AC118">
        <f t="shared" si="59"/>
        <v>51341.22</v>
      </c>
      <c r="AD118" t="str">
        <f t="shared" si="60"/>
        <v>73</v>
      </c>
      <c r="AE118">
        <f t="shared" si="61"/>
        <v>1</v>
      </c>
      <c r="AF118">
        <f t="shared" si="73"/>
        <v>3</v>
      </c>
      <c r="AG118" t="str">
        <f t="shared" si="62"/>
        <v/>
      </c>
      <c r="AH118" t="str">
        <f t="shared" si="63"/>
        <v/>
      </c>
      <c r="AI118" t="str">
        <f t="shared" si="64"/>
        <v/>
      </c>
      <c r="AJ118">
        <f t="shared" si="65"/>
        <v>0</v>
      </c>
      <c r="AK118">
        <f t="shared" si="74"/>
        <v>3</v>
      </c>
      <c r="AL118">
        <f t="shared" si="66"/>
        <v>131647</v>
      </c>
      <c r="AM118">
        <f t="shared" si="67"/>
        <v>51360.1</v>
      </c>
      <c r="AN118" t="str">
        <f t="shared" si="68"/>
        <v>03</v>
      </c>
      <c r="AO118">
        <f t="shared" si="69"/>
        <v>1</v>
      </c>
    </row>
    <row r="119" spans="1:41" x14ac:dyDescent="0.4">
      <c r="A119" t="str">
        <f>IF($CM$6=0,"",IF(INDEX('⑩ 원문 보관'!$A:$E,$CM$6+ROW()-9,COLUMN())="","",INDEX('⑩ 원문 보관'!$A:$E,$CM$6+ROW()-9,COLUMN())))</f>
        <v xml:space="preserve">112502.0  51351.20 99 </v>
      </c>
      <c r="B119" t="str">
        <f>IF($CM$6=0,"",IF(INDEX('⑩ 원문 보관'!$A:$E,$CM$6+ROW()-9,COLUMN())="","",INDEX('⑩ 원문 보관'!$A:$E,$CM$6+ROW()-9,COLUMN())))</f>
        <v xml:space="preserve">115207.0  51442.66 33 </v>
      </c>
      <c r="C119" t="str">
        <f>IF($CM$6=0,"",IF(INDEX('⑩ 원문 보관'!$A:$E,$CM$6+ROW()-9,COLUMN())="","",INDEX('⑩ 원문 보관'!$A:$E,$CM$6+ROW()-9,COLUMN())))</f>
        <v xml:space="preserve">122702.0  51341.50 93 </v>
      </c>
      <c r="D119" t="str">
        <f>IF($CM$6=0,"",IF(INDEX('⑩ 원문 보관'!$A:$E,$CM$6+ROW()-9,COLUMN())="","",INDEX('⑩ 원문 보관'!$A:$E,$CM$6+ROW()-9,COLUMN())))</f>
        <v/>
      </c>
      <c r="E119" t="str">
        <f>IF($CM$6=0,"",IF(INDEX('⑩ 원문 보관'!$A:$E,$CM$6+ROW()-9,COLUMN())="","",INDEX('⑩ 원문 보관'!$A:$E,$CM$6+ROW()-9,COLUMN())))</f>
        <v xml:space="preserve">131652.0  00000.00 03 </v>
      </c>
      <c r="Q119">
        <f t="shared" si="70"/>
        <v>3</v>
      </c>
      <c r="R119">
        <f t="shared" si="50"/>
        <v>112502</v>
      </c>
      <c r="S119">
        <f t="shared" si="51"/>
        <v>51351.199999999997</v>
      </c>
      <c r="T119" t="str">
        <f t="shared" si="52"/>
        <v>99</v>
      </c>
      <c r="U119">
        <f t="shared" si="53"/>
        <v>1</v>
      </c>
      <c r="V119">
        <f t="shared" si="71"/>
        <v>3</v>
      </c>
      <c r="W119">
        <f t="shared" si="54"/>
        <v>115207</v>
      </c>
      <c r="X119">
        <f t="shared" si="55"/>
        <v>51442.66</v>
      </c>
      <c r="Y119" t="str">
        <f t="shared" si="56"/>
        <v>33</v>
      </c>
      <c r="Z119">
        <f t="shared" si="57"/>
        <v>1</v>
      </c>
      <c r="AA119">
        <f t="shared" si="72"/>
        <v>4</v>
      </c>
      <c r="AB119">
        <f t="shared" si="58"/>
        <v>122702</v>
      </c>
      <c r="AC119">
        <f t="shared" si="59"/>
        <v>51341.5</v>
      </c>
      <c r="AD119" t="str">
        <f t="shared" si="60"/>
        <v>93</v>
      </c>
      <c r="AE119">
        <f t="shared" si="61"/>
        <v>1</v>
      </c>
      <c r="AF119">
        <f t="shared" si="73"/>
        <v>3</v>
      </c>
      <c r="AG119" t="str">
        <f t="shared" si="62"/>
        <v/>
      </c>
      <c r="AH119" t="str">
        <f t="shared" si="63"/>
        <v/>
      </c>
      <c r="AI119" t="str">
        <f t="shared" si="64"/>
        <v/>
      </c>
      <c r="AJ119">
        <f t="shared" si="65"/>
        <v>0</v>
      </c>
      <c r="AK119">
        <f t="shared" si="74"/>
        <v>3</v>
      </c>
      <c r="AL119">
        <f t="shared" si="66"/>
        <v>131652</v>
      </c>
      <c r="AM119">
        <f t="shared" si="67"/>
        <v>0</v>
      </c>
      <c r="AN119" t="str">
        <f t="shared" si="68"/>
        <v>03</v>
      </c>
      <c r="AO119">
        <f t="shared" si="69"/>
        <v>0</v>
      </c>
    </row>
    <row r="120" spans="1:41" x14ac:dyDescent="0.4">
      <c r="A120" t="str">
        <f>IF($CM$6=0,"",IF(INDEX('⑩ 원문 보관'!$A:$E,$CM$6+ROW()-9,COLUMN())="","",INDEX('⑩ 원문 보관'!$A:$E,$CM$6+ROW()-9,COLUMN())))</f>
        <v xml:space="preserve">112507.0  51351.14 99 </v>
      </c>
      <c r="B120" t="str">
        <f>IF($CM$6=0,"",IF(INDEX('⑩ 원문 보관'!$A:$E,$CM$6+ROW()-9,COLUMN())="","",INDEX('⑩ 원문 보관'!$A:$E,$CM$6+ROW()-9,COLUMN())))</f>
        <v xml:space="preserve">115212.0  51445.50 43 </v>
      </c>
      <c r="C120" t="str">
        <f>IF($CM$6=0,"",IF(INDEX('⑩ 원문 보관'!$A:$E,$CM$6+ROW()-9,COLUMN())="","",INDEX('⑩ 원문 보관'!$A:$E,$CM$6+ROW()-9,COLUMN())))</f>
        <v xml:space="preserve">122707.0  51341.93 94 </v>
      </c>
      <c r="D120" t="str">
        <f>IF($CM$6=0,"",IF(INDEX('⑩ 원문 보관'!$A:$E,$CM$6+ROW()-9,COLUMN())="","",INDEX('⑩ 원문 보관'!$A:$E,$CM$6+ROW()-9,COLUMN())))</f>
        <v xml:space="preserve">/time nT sq </v>
      </c>
      <c r="E120" t="str">
        <f>IF($CM$6=0,"",IF(INDEX('⑩ 원문 보관'!$A:$E,$CM$6+ROW()-9,COLUMN())="","",INDEX('⑩ 원문 보관'!$A:$E,$CM$6+ROW()-9,COLUMN())))</f>
        <v xml:space="preserve">131657.0  00000.00 02 </v>
      </c>
      <c r="Q120">
        <f t="shared" si="70"/>
        <v>3</v>
      </c>
      <c r="R120">
        <f t="shared" si="50"/>
        <v>112507</v>
      </c>
      <c r="S120">
        <f t="shared" si="51"/>
        <v>51351.14</v>
      </c>
      <c r="T120" t="str">
        <f t="shared" si="52"/>
        <v>99</v>
      </c>
      <c r="U120">
        <f t="shared" si="53"/>
        <v>1</v>
      </c>
      <c r="V120">
        <f t="shared" si="71"/>
        <v>3</v>
      </c>
      <c r="W120">
        <f t="shared" si="54"/>
        <v>115212</v>
      </c>
      <c r="X120">
        <f t="shared" si="55"/>
        <v>51445.5</v>
      </c>
      <c r="Y120" t="str">
        <f t="shared" si="56"/>
        <v>43</v>
      </c>
      <c r="Z120">
        <f t="shared" si="57"/>
        <v>1</v>
      </c>
      <c r="AA120">
        <f t="shared" si="72"/>
        <v>4</v>
      </c>
      <c r="AB120">
        <f t="shared" si="58"/>
        <v>122707</v>
      </c>
      <c r="AC120">
        <f t="shared" si="59"/>
        <v>51341.93</v>
      </c>
      <c r="AD120" t="str">
        <f t="shared" si="60"/>
        <v>94</v>
      </c>
      <c r="AE120">
        <f t="shared" si="61"/>
        <v>1</v>
      </c>
      <c r="AF120">
        <f t="shared" si="73"/>
        <v>4</v>
      </c>
      <c r="AG120" t="str">
        <f t="shared" si="62"/>
        <v/>
      </c>
      <c r="AH120" t="str">
        <f t="shared" si="63"/>
        <v/>
      </c>
      <c r="AI120" t="str">
        <f t="shared" si="64"/>
        <v>sq</v>
      </c>
      <c r="AJ120">
        <f t="shared" si="65"/>
        <v>0</v>
      </c>
      <c r="AK120">
        <f t="shared" si="74"/>
        <v>3</v>
      </c>
      <c r="AL120">
        <f t="shared" si="66"/>
        <v>131657</v>
      </c>
      <c r="AM120">
        <f t="shared" si="67"/>
        <v>0</v>
      </c>
      <c r="AN120" t="str">
        <f t="shared" si="68"/>
        <v>02</v>
      </c>
      <c r="AO120">
        <f t="shared" si="69"/>
        <v>0</v>
      </c>
    </row>
    <row r="121" spans="1:41" x14ac:dyDescent="0.4">
      <c r="A121" t="str">
        <f>IF($CM$6=0,"",IF(INDEX('⑩ 원문 보관'!$A:$E,$CM$6+ROW()-9,COLUMN())="","",INDEX('⑩ 원문 보관'!$A:$E,$CM$6+ROW()-9,COLUMN())))</f>
        <v xml:space="preserve">112512.0  51351.19 99 </v>
      </c>
      <c r="B121" t="str">
        <f>IF($CM$6=0,"",IF(INDEX('⑩ 원문 보관'!$A:$E,$CM$6+ROW()-9,COLUMN())="","",INDEX('⑩ 원문 보관'!$A:$E,$CM$6+ROW()-9,COLUMN())))</f>
        <v xml:space="preserve">115217.0  51444.58 63 </v>
      </c>
      <c r="C121" t="str">
        <f>IF($CM$6=0,"",IF(INDEX('⑩ 원문 보관'!$A:$E,$CM$6+ROW()-9,COLUMN())="","",INDEX('⑩ 원문 보관'!$A:$E,$CM$6+ROW()-9,COLUMN())))</f>
        <v xml:space="preserve">122712.0  51342.25 34 </v>
      </c>
      <c r="D121" t="str">
        <f>IF($CM$6=0,"",IF(INDEX('⑩ 원문 보관'!$A:$E,$CM$6+ROW()-9,COLUMN())="","",INDEX('⑩ 원문 보관'!$A:$E,$CM$6+ROW()-9,COLUMN())))</f>
        <v xml:space="preserve">124337.0  51679.15 97 </v>
      </c>
      <c r="E121" t="str">
        <f>IF($CM$6=0,"",IF(INDEX('⑩ 원문 보관'!$A:$E,$CM$6+ROW()-9,COLUMN())="","",INDEX('⑩ 원문 보관'!$A:$E,$CM$6+ROW()-9,COLUMN())))</f>
        <v xml:space="preserve">131702.0  00000.00 02 </v>
      </c>
      <c r="Q121">
        <f t="shared" si="70"/>
        <v>3</v>
      </c>
      <c r="R121">
        <f t="shared" si="50"/>
        <v>112512</v>
      </c>
      <c r="S121">
        <f t="shared" si="51"/>
        <v>51351.19</v>
      </c>
      <c r="T121" t="str">
        <f t="shared" si="52"/>
        <v>99</v>
      </c>
      <c r="U121">
        <f t="shared" si="53"/>
        <v>1</v>
      </c>
      <c r="V121">
        <f t="shared" si="71"/>
        <v>3</v>
      </c>
      <c r="W121">
        <f t="shared" si="54"/>
        <v>115217</v>
      </c>
      <c r="X121">
        <f t="shared" si="55"/>
        <v>51444.58</v>
      </c>
      <c r="Y121" t="str">
        <f t="shared" si="56"/>
        <v>63</v>
      </c>
      <c r="Z121">
        <f t="shared" si="57"/>
        <v>1</v>
      </c>
      <c r="AA121">
        <f t="shared" si="72"/>
        <v>4</v>
      </c>
      <c r="AB121">
        <f t="shared" si="58"/>
        <v>122712</v>
      </c>
      <c r="AC121">
        <f t="shared" si="59"/>
        <v>51342.25</v>
      </c>
      <c r="AD121" t="str">
        <f t="shared" si="60"/>
        <v>34</v>
      </c>
      <c r="AE121">
        <f t="shared" si="61"/>
        <v>1</v>
      </c>
      <c r="AF121">
        <f t="shared" si="73"/>
        <v>4</v>
      </c>
      <c r="AG121">
        <f t="shared" si="62"/>
        <v>124337</v>
      </c>
      <c r="AH121">
        <f t="shared" si="63"/>
        <v>51679.15</v>
      </c>
      <c r="AI121" t="str">
        <f t="shared" si="64"/>
        <v>97</v>
      </c>
      <c r="AJ121">
        <f t="shared" si="65"/>
        <v>1</v>
      </c>
      <c r="AK121">
        <f t="shared" si="74"/>
        <v>3</v>
      </c>
      <c r="AL121">
        <f t="shared" si="66"/>
        <v>131702</v>
      </c>
      <c r="AM121">
        <f t="shared" si="67"/>
        <v>0</v>
      </c>
      <c r="AN121" t="str">
        <f t="shared" si="68"/>
        <v>02</v>
      </c>
      <c r="AO121">
        <f t="shared" si="69"/>
        <v>0</v>
      </c>
    </row>
    <row r="122" spans="1:41" x14ac:dyDescent="0.4">
      <c r="A122" t="str">
        <f>IF($CM$6=0,"",IF(INDEX('⑩ 원문 보관'!$A:$E,$CM$6+ROW()-9,COLUMN())="","",INDEX('⑩ 원문 보관'!$A:$E,$CM$6+ROW()-9,COLUMN())))</f>
        <v xml:space="preserve">112517.0  51351.29 99 </v>
      </c>
      <c r="B122" t="str">
        <f>IF($CM$6=0,"",IF(INDEX('⑩ 원문 보관'!$A:$E,$CM$6+ROW()-9,COLUMN())="","",INDEX('⑩ 원문 보관'!$A:$E,$CM$6+ROW()-9,COLUMN())))</f>
        <v xml:space="preserve">115222.0  51445.02 24 </v>
      </c>
      <c r="C122" t="str">
        <f>IF($CM$6=0,"",IF(INDEX('⑩ 원문 보관'!$A:$E,$CM$6+ROW()-9,COLUMN())="","",INDEX('⑩ 원문 보관'!$A:$E,$CM$6+ROW()-9,COLUMN())))</f>
        <v xml:space="preserve">122717.0  51340.98 53 </v>
      </c>
      <c r="D122" t="str">
        <f>IF($CM$6=0,"",IF(INDEX('⑩ 원문 보관'!$A:$E,$CM$6+ROW()-9,COLUMN())="","",INDEX('⑩ 원문 보관'!$A:$E,$CM$6+ROW()-9,COLUMN())))</f>
        <v xml:space="preserve">124342.0  51679.06 87 </v>
      </c>
      <c r="E122" t="str">
        <f>IF($CM$6=0,"",IF(INDEX('⑩ 원문 보관'!$A:$E,$CM$6+ROW()-9,COLUMN())="","",INDEX('⑩ 원문 보관'!$A:$E,$CM$6+ROW()-9,COLUMN())))</f>
        <v xml:space="preserve">131707.0  00000.00 03 </v>
      </c>
      <c r="Q122">
        <f t="shared" si="70"/>
        <v>3</v>
      </c>
      <c r="R122">
        <f t="shared" si="50"/>
        <v>112517</v>
      </c>
      <c r="S122">
        <f t="shared" si="51"/>
        <v>51351.29</v>
      </c>
      <c r="T122" t="str">
        <f t="shared" si="52"/>
        <v>99</v>
      </c>
      <c r="U122">
        <f t="shared" si="53"/>
        <v>1</v>
      </c>
      <c r="V122">
        <f t="shared" si="71"/>
        <v>3</v>
      </c>
      <c r="W122">
        <f t="shared" si="54"/>
        <v>115222</v>
      </c>
      <c r="X122">
        <f t="shared" si="55"/>
        <v>51445.02</v>
      </c>
      <c r="Y122" t="str">
        <f t="shared" si="56"/>
        <v>24</v>
      </c>
      <c r="Z122">
        <f t="shared" si="57"/>
        <v>1</v>
      </c>
      <c r="AA122">
        <f t="shared" si="72"/>
        <v>4</v>
      </c>
      <c r="AB122">
        <f t="shared" si="58"/>
        <v>122717</v>
      </c>
      <c r="AC122">
        <f t="shared" si="59"/>
        <v>51340.98</v>
      </c>
      <c r="AD122" t="str">
        <f t="shared" si="60"/>
        <v>53</v>
      </c>
      <c r="AE122">
        <f t="shared" si="61"/>
        <v>1</v>
      </c>
      <c r="AF122">
        <f t="shared" si="73"/>
        <v>4</v>
      </c>
      <c r="AG122">
        <f t="shared" si="62"/>
        <v>124342</v>
      </c>
      <c r="AH122">
        <f t="shared" si="63"/>
        <v>51679.06</v>
      </c>
      <c r="AI122" t="str">
        <f t="shared" si="64"/>
        <v>87</v>
      </c>
      <c r="AJ122">
        <f t="shared" si="65"/>
        <v>1</v>
      </c>
      <c r="AK122">
        <f t="shared" si="74"/>
        <v>3</v>
      </c>
      <c r="AL122">
        <f t="shared" si="66"/>
        <v>131707</v>
      </c>
      <c r="AM122">
        <f t="shared" si="67"/>
        <v>0</v>
      </c>
      <c r="AN122" t="str">
        <f t="shared" si="68"/>
        <v>03</v>
      </c>
      <c r="AO122">
        <f t="shared" si="69"/>
        <v>0</v>
      </c>
    </row>
    <row r="123" spans="1:41" x14ac:dyDescent="0.4">
      <c r="A123" t="str">
        <f>IF($CM$6=0,"",IF(INDEX('⑩ 원문 보관'!$A:$E,$CM$6+ROW()-9,COLUMN())="","",INDEX('⑩ 원문 보관'!$A:$E,$CM$6+ROW()-9,COLUMN())))</f>
        <v xml:space="preserve">112522.0  51351.33 99 </v>
      </c>
      <c r="B123" t="str">
        <f>IF($CM$6=0,"",IF(INDEX('⑩ 원문 보관'!$A:$E,$CM$6+ROW()-9,COLUMN())="","",INDEX('⑩ 원문 보관'!$A:$E,$CM$6+ROW()-9,COLUMN())))</f>
        <v xml:space="preserve">115227.0  51445.65 33 </v>
      </c>
      <c r="C123" t="str">
        <f>IF($CM$6=0,"",IF(INDEX('⑩ 원문 보관'!$A:$E,$CM$6+ROW()-9,COLUMN())="","",INDEX('⑩ 원문 보관'!$A:$E,$CM$6+ROW()-9,COLUMN())))</f>
        <v xml:space="preserve">122722.0  51342.07 74 </v>
      </c>
      <c r="D123" t="str">
        <f>IF($CM$6=0,"",IF(INDEX('⑩ 원문 보관'!$A:$E,$CM$6+ROW()-9,COLUMN())="","",INDEX('⑩ 원문 보관'!$A:$E,$CM$6+ROW()-9,COLUMN())))</f>
        <v xml:space="preserve">124347.0  51679.07 97 </v>
      </c>
      <c r="E123" t="str">
        <f>IF($CM$6=0,"",IF(INDEX('⑩ 원문 보관'!$A:$E,$CM$6+ROW()-9,COLUMN())="","",INDEX('⑩ 원문 보관'!$A:$E,$CM$6+ROW()-9,COLUMN())))</f>
        <v xml:space="preserve">131712.0  51409.37 03 </v>
      </c>
      <c r="Q123">
        <f t="shared" si="70"/>
        <v>3</v>
      </c>
      <c r="R123">
        <f t="shared" si="50"/>
        <v>112522</v>
      </c>
      <c r="S123">
        <f t="shared" si="51"/>
        <v>51351.33</v>
      </c>
      <c r="T123" t="str">
        <f t="shared" si="52"/>
        <v>99</v>
      </c>
      <c r="U123">
        <f t="shared" si="53"/>
        <v>1</v>
      </c>
      <c r="V123">
        <f t="shared" si="71"/>
        <v>3</v>
      </c>
      <c r="W123">
        <f t="shared" si="54"/>
        <v>115227</v>
      </c>
      <c r="X123">
        <f t="shared" si="55"/>
        <v>51445.65</v>
      </c>
      <c r="Y123" t="str">
        <f t="shared" si="56"/>
        <v>33</v>
      </c>
      <c r="Z123">
        <f t="shared" si="57"/>
        <v>1</v>
      </c>
      <c r="AA123">
        <f t="shared" si="72"/>
        <v>4</v>
      </c>
      <c r="AB123">
        <f t="shared" si="58"/>
        <v>122722</v>
      </c>
      <c r="AC123">
        <f t="shared" si="59"/>
        <v>51342.07</v>
      </c>
      <c r="AD123" t="str">
        <f t="shared" si="60"/>
        <v>74</v>
      </c>
      <c r="AE123">
        <f t="shared" si="61"/>
        <v>1</v>
      </c>
      <c r="AF123">
        <f t="shared" si="73"/>
        <v>4</v>
      </c>
      <c r="AG123">
        <f t="shared" si="62"/>
        <v>124347</v>
      </c>
      <c r="AH123">
        <f t="shared" si="63"/>
        <v>51679.07</v>
      </c>
      <c r="AI123" t="str">
        <f t="shared" si="64"/>
        <v>97</v>
      </c>
      <c r="AJ123">
        <f t="shared" si="65"/>
        <v>1</v>
      </c>
      <c r="AK123">
        <f t="shared" si="74"/>
        <v>3</v>
      </c>
      <c r="AL123">
        <f t="shared" si="66"/>
        <v>131712</v>
      </c>
      <c r="AM123">
        <f t="shared" si="67"/>
        <v>51409.37</v>
      </c>
      <c r="AN123" t="str">
        <f t="shared" si="68"/>
        <v>03</v>
      </c>
      <c r="AO123">
        <f t="shared" si="69"/>
        <v>1</v>
      </c>
    </row>
    <row r="124" spans="1:41" x14ac:dyDescent="0.4">
      <c r="A124" t="str">
        <f>IF($CM$6=0,"",IF(INDEX('⑩ 원문 보관'!$A:$E,$CM$6+ROW()-9,COLUMN())="","",INDEX('⑩ 원문 보관'!$A:$E,$CM$6+ROW()-9,COLUMN())))</f>
        <v xml:space="preserve">112527.0  51351.22 99 </v>
      </c>
      <c r="B124" t="str">
        <f>IF($CM$6=0,"",IF(INDEX('⑩ 원문 보관'!$A:$E,$CM$6+ROW()-9,COLUMN())="","",INDEX('⑩ 원문 보관'!$A:$E,$CM$6+ROW()-9,COLUMN())))</f>
        <v xml:space="preserve">115232.0  51447.37 33 </v>
      </c>
      <c r="C124" t="str">
        <f>IF($CM$6=0,"",IF(INDEX('⑩ 원문 보관'!$A:$E,$CM$6+ROW()-9,COLUMN())="","",INDEX('⑩ 원문 보관'!$A:$E,$CM$6+ROW()-9,COLUMN())))</f>
        <v xml:space="preserve">122727.0  51342.18 64 </v>
      </c>
      <c r="D124" t="str">
        <f>IF($CM$6=0,"",IF(INDEX('⑩ 원문 보관'!$A:$E,$CM$6+ROW()-9,COLUMN())="","",INDEX('⑩ 원문 보관'!$A:$E,$CM$6+ROW()-9,COLUMN())))</f>
        <v xml:space="preserve">124352.0  51679.24 97 </v>
      </c>
      <c r="E124" t="str">
        <f>IF($CM$6=0,"",IF(INDEX('⑩ 원문 보관'!$A:$E,$CM$6+ROW()-9,COLUMN())="","",INDEX('⑩ 원문 보관'!$A:$E,$CM$6+ROW()-9,COLUMN())))</f>
        <v xml:space="preserve">131717.0  48752.50 14 </v>
      </c>
      <c r="Q124">
        <f t="shared" si="70"/>
        <v>3</v>
      </c>
      <c r="R124">
        <f t="shared" si="50"/>
        <v>112527</v>
      </c>
      <c r="S124">
        <f t="shared" si="51"/>
        <v>51351.22</v>
      </c>
      <c r="T124" t="str">
        <f t="shared" si="52"/>
        <v>99</v>
      </c>
      <c r="U124">
        <f t="shared" si="53"/>
        <v>1</v>
      </c>
      <c r="V124">
        <f t="shared" si="71"/>
        <v>3</v>
      </c>
      <c r="W124">
        <f t="shared" si="54"/>
        <v>115232</v>
      </c>
      <c r="X124">
        <f t="shared" si="55"/>
        <v>51447.37</v>
      </c>
      <c r="Y124" t="str">
        <f t="shared" si="56"/>
        <v>33</v>
      </c>
      <c r="Z124">
        <f t="shared" si="57"/>
        <v>1</v>
      </c>
      <c r="AA124">
        <f t="shared" si="72"/>
        <v>4</v>
      </c>
      <c r="AB124">
        <f t="shared" si="58"/>
        <v>122727</v>
      </c>
      <c r="AC124">
        <f t="shared" si="59"/>
        <v>51342.18</v>
      </c>
      <c r="AD124" t="str">
        <f t="shared" si="60"/>
        <v>64</v>
      </c>
      <c r="AE124">
        <f t="shared" si="61"/>
        <v>1</v>
      </c>
      <c r="AF124">
        <f t="shared" si="73"/>
        <v>4</v>
      </c>
      <c r="AG124">
        <f t="shared" si="62"/>
        <v>124352</v>
      </c>
      <c r="AH124">
        <f t="shared" si="63"/>
        <v>51679.24</v>
      </c>
      <c r="AI124" t="str">
        <f t="shared" si="64"/>
        <v>97</v>
      </c>
      <c r="AJ124">
        <f t="shared" si="65"/>
        <v>1</v>
      </c>
      <c r="AK124">
        <f t="shared" si="74"/>
        <v>3</v>
      </c>
      <c r="AL124">
        <f t="shared" si="66"/>
        <v>131717</v>
      </c>
      <c r="AM124">
        <f t="shared" si="67"/>
        <v>48752.5</v>
      </c>
      <c r="AN124" t="str">
        <f t="shared" si="68"/>
        <v>14</v>
      </c>
      <c r="AO124">
        <f t="shared" si="69"/>
        <v>1</v>
      </c>
    </row>
    <row r="125" spans="1:41" x14ac:dyDescent="0.4">
      <c r="A125" t="str">
        <f>IF($CM$6=0,"",IF(INDEX('⑩ 원문 보관'!$A:$E,$CM$6+ROW()-9,COLUMN())="","",INDEX('⑩ 원문 보관'!$A:$E,$CM$6+ROW()-9,COLUMN())))</f>
        <v xml:space="preserve">112532.0  51351.25 99 </v>
      </c>
      <c r="B125" t="str">
        <f>IF($CM$6=0,"",IF(INDEX('⑩ 원문 보관'!$A:$E,$CM$6+ROW()-9,COLUMN())="","",INDEX('⑩ 원문 보관'!$A:$E,$CM$6+ROW()-9,COLUMN())))</f>
        <v xml:space="preserve">115237.0  51445.73 53 </v>
      </c>
      <c r="C125" t="str">
        <f>IF($CM$6=0,"",IF(INDEX('⑩ 원문 보관'!$A:$E,$CM$6+ROW()-9,COLUMN())="","",INDEX('⑩ 원문 보관'!$A:$E,$CM$6+ROW()-9,COLUMN())))</f>
        <v xml:space="preserve">122732.0  51341.61 64 </v>
      </c>
      <c r="D125" t="str">
        <f>IF($CM$6=0,"",IF(INDEX('⑩ 원문 보관'!$A:$E,$CM$6+ROW()-9,COLUMN())="","",INDEX('⑩ 원문 보관'!$A:$E,$CM$6+ROW()-9,COLUMN())))</f>
        <v xml:space="preserve">124357.0  51679.16 97 </v>
      </c>
      <c r="E125" t="str">
        <f>IF($CM$6=0,"",IF(INDEX('⑩ 원문 보관'!$A:$E,$CM$6+ROW()-9,COLUMN())="","",INDEX('⑩ 원문 보관'!$A:$E,$CM$6+ROW()-9,COLUMN())))</f>
        <v xml:space="preserve">131722.0  00000.00 03 </v>
      </c>
      <c r="Q125">
        <f t="shared" si="70"/>
        <v>3</v>
      </c>
      <c r="R125">
        <f t="shared" si="50"/>
        <v>112532</v>
      </c>
      <c r="S125">
        <f t="shared" si="51"/>
        <v>51351.25</v>
      </c>
      <c r="T125" t="str">
        <f t="shared" si="52"/>
        <v>99</v>
      </c>
      <c r="U125">
        <f t="shared" si="53"/>
        <v>1</v>
      </c>
      <c r="V125">
        <f t="shared" si="71"/>
        <v>3</v>
      </c>
      <c r="W125">
        <f t="shared" si="54"/>
        <v>115237</v>
      </c>
      <c r="X125">
        <f t="shared" si="55"/>
        <v>51445.73</v>
      </c>
      <c r="Y125" t="str">
        <f t="shared" si="56"/>
        <v>53</v>
      </c>
      <c r="Z125">
        <f t="shared" si="57"/>
        <v>1</v>
      </c>
      <c r="AA125">
        <f t="shared" si="72"/>
        <v>4</v>
      </c>
      <c r="AB125">
        <f t="shared" si="58"/>
        <v>122732</v>
      </c>
      <c r="AC125">
        <f t="shared" si="59"/>
        <v>51341.61</v>
      </c>
      <c r="AD125" t="str">
        <f t="shared" si="60"/>
        <v>64</v>
      </c>
      <c r="AE125">
        <f t="shared" si="61"/>
        <v>1</v>
      </c>
      <c r="AF125">
        <f t="shared" si="73"/>
        <v>4</v>
      </c>
      <c r="AG125">
        <f t="shared" si="62"/>
        <v>124357</v>
      </c>
      <c r="AH125">
        <f t="shared" si="63"/>
        <v>51679.16</v>
      </c>
      <c r="AI125" t="str">
        <f t="shared" si="64"/>
        <v>97</v>
      </c>
      <c r="AJ125">
        <f t="shared" si="65"/>
        <v>1</v>
      </c>
      <c r="AK125">
        <f t="shared" si="74"/>
        <v>3</v>
      </c>
      <c r="AL125">
        <f t="shared" si="66"/>
        <v>131722</v>
      </c>
      <c r="AM125">
        <f t="shared" si="67"/>
        <v>0</v>
      </c>
      <c r="AN125" t="str">
        <f t="shared" si="68"/>
        <v>03</v>
      </c>
      <c r="AO125">
        <f t="shared" si="69"/>
        <v>0</v>
      </c>
    </row>
    <row r="126" spans="1:41" x14ac:dyDescent="0.4">
      <c r="A126" t="str">
        <f>IF($CM$6=0,"",IF(INDEX('⑩ 원문 보관'!$A:$E,$CM$6+ROW()-9,COLUMN())="","",INDEX('⑩ 원문 보관'!$A:$E,$CM$6+ROW()-9,COLUMN())))</f>
        <v xml:space="preserve">112537.0  51351.24 99 </v>
      </c>
      <c r="B126" t="str">
        <f>IF($CM$6=0,"",IF(INDEX('⑩ 원문 보관'!$A:$E,$CM$6+ROW()-9,COLUMN())="","",INDEX('⑩ 원문 보관'!$A:$E,$CM$6+ROW()-9,COLUMN())))</f>
        <v xml:space="preserve">115242.0  51445.23 43 </v>
      </c>
      <c r="C126" t="str">
        <f>IF($CM$6=0,"",IF(INDEX('⑩ 원문 보관'!$A:$E,$CM$6+ROW()-9,COLUMN())="","",INDEX('⑩ 원문 보관'!$A:$E,$CM$6+ROW()-9,COLUMN())))</f>
        <v xml:space="preserve">122737.0  51341.77 63 </v>
      </c>
      <c r="D126" t="str">
        <f>IF($CM$6=0,"",IF(INDEX('⑩ 원문 보관'!$A:$E,$CM$6+ROW()-9,COLUMN())="","",INDEX('⑩ 원문 보관'!$A:$E,$CM$6+ROW()-9,COLUMN())))</f>
        <v xml:space="preserve">124402.0  51679.23 97 </v>
      </c>
      <c r="E126" t="str">
        <f>IF($CM$6=0,"",IF(INDEX('⑩ 원문 보관'!$A:$E,$CM$6+ROW()-9,COLUMN())="","",INDEX('⑩ 원문 보관'!$A:$E,$CM$6+ROW()-9,COLUMN())))</f>
        <v xml:space="preserve">131727.0  51376.62 02 </v>
      </c>
      <c r="Q126">
        <f t="shared" si="70"/>
        <v>3</v>
      </c>
      <c r="R126">
        <f t="shared" si="50"/>
        <v>112537</v>
      </c>
      <c r="S126">
        <f t="shared" si="51"/>
        <v>51351.24</v>
      </c>
      <c r="T126" t="str">
        <f t="shared" si="52"/>
        <v>99</v>
      </c>
      <c r="U126">
        <f t="shared" si="53"/>
        <v>1</v>
      </c>
      <c r="V126">
        <f t="shared" si="71"/>
        <v>3</v>
      </c>
      <c r="W126">
        <f t="shared" si="54"/>
        <v>115242</v>
      </c>
      <c r="X126">
        <f t="shared" si="55"/>
        <v>51445.23</v>
      </c>
      <c r="Y126" t="str">
        <f t="shared" si="56"/>
        <v>43</v>
      </c>
      <c r="Z126">
        <f t="shared" si="57"/>
        <v>1</v>
      </c>
      <c r="AA126">
        <f t="shared" si="72"/>
        <v>4</v>
      </c>
      <c r="AB126">
        <f t="shared" si="58"/>
        <v>122737</v>
      </c>
      <c r="AC126">
        <f t="shared" si="59"/>
        <v>51341.77</v>
      </c>
      <c r="AD126" t="str">
        <f t="shared" si="60"/>
        <v>63</v>
      </c>
      <c r="AE126">
        <f t="shared" si="61"/>
        <v>1</v>
      </c>
      <c r="AF126">
        <f t="shared" si="73"/>
        <v>4</v>
      </c>
      <c r="AG126">
        <f t="shared" si="62"/>
        <v>124402</v>
      </c>
      <c r="AH126">
        <f t="shared" si="63"/>
        <v>51679.23</v>
      </c>
      <c r="AI126" t="str">
        <f t="shared" si="64"/>
        <v>97</v>
      </c>
      <c r="AJ126">
        <f t="shared" si="65"/>
        <v>1</v>
      </c>
      <c r="AK126">
        <f t="shared" si="74"/>
        <v>3</v>
      </c>
      <c r="AL126">
        <f t="shared" si="66"/>
        <v>131727</v>
      </c>
      <c r="AM126">
        <f t="shared" si="67"/>
        <v>51376.62</v>
      </c>
      <c r="AN126" t="str">
        <f t="shared" si="68"/>
        <v>02</v>
      </c>
      <c r="AO126">
        <f t="shared" si="69"/>
        <v>1</v>
      </c>
    </row>
    <row r="127" spans="1:41" x14ac:dyDescent="0.4">
      <c r="A127" t="str">
        <f>IF($CM$6=0,"",IF(INDEX('⑩ 원문 보관'!$A:$E,$CM$6+ROW()-9,COLUMN())="","",INDEX('⑩ 원문 보관'!$A:$E,$CM$6+ROW()-9,COLUMN())))</f>
        <v xml:space="preserve">112542.0  51351.17 99 </v>
      </c>
      <c r="B127" t="str">
        <f>IF($CM$6=0,"",IF(INDEX('⑩ 원문 보관'!$A:$E,$CM$6+ROW()-9,COLUMN())="","",INDEX('⑩ 원문 보관'!$A:$E,$CM$6+ROW()-9,COLUMN())))</f>
        <v xml:space="preserve">115247.0  51446.64 44 </v>
      </c>
      <c r="C127" t="str">
        <f>IF($CM$6=0,"",IF(INDEX('⑩ 원문 보관'!$A:$E,$CM$6+ROW()-9,COLUMN())="","",INDEX('⑩ 원문 보관'!$A:$E,$CM$6+ROW()-9,COLUMN())))</f>
        <v xml:space="preserve">122742.0  51341.58 83 </v>
      </c>
      <c r="D127" t="str">
        <f>IF($CM$6=0,"",IF(INDEX('⑩ 원문 보관'!$A:$E,$CM$6+ROW()-9,COLUMN())="","",INDEX('⑩ 원문 보관'!$A:$E,$CM$6+ROW()-9,COLUMN())))</f>
        <v xml:space="preserve">124407.0  51679.34 97 </v>
      </c>
      <c r="E127" t="str">
        <f>IF($CM$6=0,"",IF(INDEX('⑩ 원문 보관'!$A:$E,$CM$6+ROW()-9,COLUMN())="","",INDEX('⑩ 원문 보관'!$A:$E,$CM$6+ROW()-9,COLUMN())))</f>
        <v xml:space="preserve">131732.0  00000.00 02 </v>
      </c>
      <c r="Q127">
        <f t="shared" si="70"/>
        <v>3</v>
      </c>
      <c r="R127">
        <f t="shared" si="50"/>
        <v>112542</v>
      </c>
      <c r="S127">
        <f t="shared" si="51"/>
        <v>51351.17</v>
      </c>
      <c r="T127" t="str">
        <f t="shared" si="52"/>
        <v>99</v>
      </c>
      <c r="U127">
        <f t="shared" si="53"/>
        <v>1</v>
      </c>
      <c r="V127">
        <f t="shared" si="71"/>
        <v>3</v>
      </c>
      <c r="W127">
        <f t="shared" si="54"/>
        <v>115247</v>
      </c>
      <c r="X127">
        <f t="shared" si="55"/>
        <v>51446.64</v>
      </c>
      <c r="Y127" t="str">
        <f t="shared" si="56"/>
        <v>44</v>
      </c>
      <c r="Z127">
        <f t="shared" si="57"/>
        <v>1</v>
      </c>
      <c r="AA127">
        <f t="shared" si="72"/>
        <v>4</v>
      </c>
      <c r="AB127">
        <f t="shared" si="58"/>
        <v>122742</v>
      </c>
      <c r="AC127">
        <f t="shared" si="59"/>
        <v>51341.58</v>
      </c>
      <c r="AD127" t="str">
        <f t="shared" si="60"/>
        <v>83</v>
      </c>
      <c r="AE127">
        <f t="shared" si="61"/>
        <v>1</v>
      </c>
      <c r="AF127">
        <f t="shared" si="73"/>
        <v>4</v>
      </c>
      <c r="AG127">
        <f t="shared" si="62"/>
        <v>124407</v>
      </c>
      <c r="AH127">
        <f t="shared" si="63"/>
        <v>51679.34</v>
      </c>
      <c r="AI127" t="str">
        <f t="shared" si="64"/>
        <v>97</v>
      </c>
      <c r="AJ127">
        <f t="shared" si="65"/>
        <v>1</v>
      </c>
      <c r="AK127">
        <f t="shared" si="74"/>
        <v>3</v>
      </c>
      <c r="AL127">
        <f t="shared" si="66"/>
        <v>131732</v>
      </c>
      <c r="AM127">
        <f t="shared" si="67"/>
        <v>0</v>
      </c>
      <c r="AN127" t="str">
        <f t="shared" si="68"/>
        <v>02</v>
      </c>
      <c r="AO127">
        <f t="shared" si="69"/>
        <v>0</v>
      </c>
    </row>
    <row r="128" spans="1:41" x14ac:dyDescent="0.4">
      <c r="A128" t="str">
        <f>IF($CM$6=0,"",IF(INDEX('⑩ 원문 보관'!$A:$E,$CM$6+ROW()-9,COLUMN())="","",INDEX('⑩ 원문 보관'!$A:$E,$CM$6+ROW()-9,COLUMN())))</f>
        <v xml:space="preserve">112547.0  51351.27 99 </v>
      </c>
      <c r="B128" t="str">
        <f>IF($CM$6=0,"",IF(INDEX('⑩ 원문 보관'!$A:$E,$CM$6+ROW()-9,COLUMN())="","",INDEX('⑩ 원문 보관'!$A:$E,$CM$6+ROW()-9,COLUMN())))</f>
        <v xml:space="preserve">115252.0  51445.65 43 </v>
      </c>
      <c r="C128" t="str">
        <f>IF($CM$6=0,"",IF(INDEX('⑩ 원문 보관'!$A:$E,$CM$6+ROW()-9,COLUMN())="","",INDEX('⑩ 원문 보관'!$A:$E,$CM$6+ROW()-9,COLUMN())))</f>
        <v xml:space="preserve">122747.0  51341.68 54 </v>
      </c>
      <c r="D128" t="str">
        <f>IF($CM$6=0,"",IF(INDEX('⑩ 원문 보관'!$A:$E,$CM$6+ROW()-9,COLUMN())="","",INDEX('⑩ 원문 보관'!$A:$E,$CM$6+ROW()-9,COLUMN())))</f>
        <v xml:space="preserve">124412.0  51679.52 97 </v>
      </c>
      <c r="E128" t="str">
        <f>IF($CM$6=0,"",IF(INDEX('⑩ 원문 보관'!$A:$E,$CM$6+ROW()-9,COLUMN())="","",INDEX('⑩ 원문 보관'!$A:$E,$CM$6+ROW()-9,COLUMN())))</f>
        <v xml:space="preserve">131737.0  51330.71 03 </v>
      </c>
      <c r="Q128">
        <f t="shared" si="70"/>
        <v>3</v>
      </c>
      <c r="R128">
        <f t="shared" si="50"/>
        <v>112547</v>
      </c>
      <c r="S128">
        <f t="shared" si="51"/>
        <v>51351.27</v>
      </c>
      <c r="T128" t="str">
        <f t="shared" si="52"/>
        <v>99</v>
      </c>
      <c r="U128">
        <f t="shared" si="53"/>
        <v>1</v>
      </c>
      <c r="V128">
        <f t="shared" si="71"/>
        <v>3</v>
      </c>
      <c r="W128">
        <f t="shared" si="54"/>
        <v>115252</v>
      </c>
      <c r="X128">
        <f t="shared" si="55"/>
        <v>51445.65</v>
      </c>
      <c r="Y128" t="str">
        <f t="shared" si="56"/>
        <v>43</v>
      </c>
      <c r="Z128">
        <f t="shared" si="57"/>
        <v>1</v>
      </c>
      <c r="AA128">
        <f t="shared" si="72"/>
        <v>4</v>
      </c>
      <c r="AB128">
        <f t="shared" si="58"/>
        <v>122747</v>
      </c>
      <c r="AC128">
        <f t="shared" si="59"/>
        <v>51341.68</v>
      </c>
      <c r="AD128" t="str">
        <f t="shared" si="60"/>
        <v>54</v>
      </c>
      <c r="AE128">
        <f t="shared" si="61"/>
        <v>1</v>
      </c>
      <c r="AF128">
        <f t="shared" si="73"/>
        <v>4</v>
      </c>
      <c r="AG128">
        <f t="shared" si="62"/>
        <v>124412</v>
      </c>
      <c r="AH128">
        <f t="shared" si="63"/>
        <v>51679.519999999997</v>
      </c>
      <c r="AI128" t="str">
        <f t="shared" si="64"/>
        <v>97</v>
      </c>
      <c r="AJ128">
        <f t="shared" si="65"/>
        <v>1</v>
      </c>
      <c r="AK128">
        <f t="shared" si="74"/>
        <v>3</v>
      </c>
      <c r="AL128">
        <f t="shared" si="66"/>
        <v>131737</v>
      </c>
      <c r="AM128">
        <f t="shared" si="67"/>
        <v>51330.71</v>
      </c>
      <c r="AN128" t="str">
        <f t="shared" si="68"/>
        <v>03</v>
      </c>
      <c r="AO128">
        <f t="shared" si="69"/>
        <v>1</v>
      </c>
    </row>
    <row r="129" spans="1:41" x14ac:dyDescent="0.4">
      <c r="A129" t="str">
        <f>IF($CM$6=0,"",IF(INDEX('⑩ 원문 보관'!$A:$E,$CM$6+ROW()-9,COLUMN())="","",INDEX('⑩ 원문 보관'!$A:$E,$CM$6+ROW()-9,COLUMN())))</f>
        <v xml:space="preserve">112552.0  51351.30 99 </v>
      </c>
      <c r="B129" t="str">
        <f>IF($CM$6=0,"",IF(INDEX('⑩ 원문 보관'!$A:$E,$CM$6+ROW()-9,COLUMN())="","",INDEX('⑩ 원문 보관'!$A:$E,$CM$6+ROW()-9,COLUMN())))</f>
        <v xml:space="preserve">115257.0  51446.40 53 </v>
      </c>
      <c r="C129" t="str">
        <f>IF($CM$6=0,"",IF(INDEX('⑩ 원문 보관'!$A:$E,$CM$6+ROW()-9,COLUMN())="","",INDEX('⑩ 원문 보관'!$A:$E,$CM$6+ROW()-9,COLUMN())))</f>
        <v xml:space="preserve">122752.0  51341.65 43 </v>
      </c>
      <c r="D129" t="str">
        <f>IF($CM$6=0,"",IF(INDEX('⑩ 원문 보관'!$A:$E,$CM$6+ROW()-9,COLUMN())="","",INDEX('⑩ 원문 보관'!$A:$E,$CM$6+ROW()-9,COLUMN())))</f>
        <v xml:space="preserve">124417.0  51679.68 87 </v>
      </c>
      <c r="E129" t="str">
        <f>IF($CM$6=0,"",IF(INDEX('⑩ 원문 보관'!$A:$E,$CM$6+ROW()-9,COLUMN())="","",INDEX('⑩ 원문 보관'!$A:$E,$CM$6+ROW()-9,COLUMN())))</f>
        <v xml:space="preserve">131742.0  51290.38 03 </v>
      </c>
      <c r="Q129">
        <f t="shared" si="70"/>
        <v>3</v>
      </c>
      <c r="R129">
        <f t="shared" si="50"/>
        <v>112552</v>
      </c>
      <c r="S129">
        <f t="shared" si="51"/>
        <v>51351.3</v>
      </c>
      <c r="T129" t="str">
        <f t="shared" si="52"/>
        <v>99</v>
      </c>
      <c r="U129">
        <f t="shared" si="53"/>
        <v>1</v>
      </c>
      <c r="V129">
        <f t="shared" si="71"/>
        <v>3</v>
      </c>
      <c r="W129">
        <f t="shared" si="54"/>
        <v>115257</v>
      </c>
      <c r="X129">
        <f t="shared" si="55"/>
        <v>51446.400000000001</v>
      </c>
      <c r="Y129" t="str">
        <f t="shared" si="56"/>
        <v>53</v>
      </c>
      <c r="Z129">
        <f t="shared" si="57"/>
        <v>1</v>
      </c>
      <c r="AA129">
        <f t="shared" si="72"/>
        <v>4</v>
      </c>
      <c r="AB129">
        <f t="shared" si="58"/>
        <v>122752</v>
      </c>
      <c r="AC129">
        <f t="shared" si="59"/>
        <v>51341.65</v>
      </c>
      <c r="AD129" t="str">
        <f t="shared" si="60"/>
        <v>43</v>
      </c>
      <c r="AE129">
        <f t="shared" si="61"/>
        <v>1</v>
      </c>
      <c r="AF129">
        <f t="shared" si="73"/>
        <v>4</v>
      </c>
      <c r="AG129">
        <f t="shared" si="62"/>
        <v>124417</v>
      </c>
      <c r="AH129">
        <f t="shared" si="63"/>
        <v>51679.68</v>
      </c>
      <c r="AI129" t="str">
        <f t="shared" si="64"/>
        <v>87</v>
      </c>
      <c r="AJ129">
        <f t="shared" si="65"/>
        <v>1</v>
      </c>
      <c r="AK129">
        <f t="shared" si="74"/>
        <v>3</v>
      </c>
      <c r="AL129">
        <f t="shared" si="66"/>
        <v>131742</v>
      </c>
      <c r="AM129">
        <f t="shared" si="67"/>
        <v>51290.38</v>
      </c>
      <c r="AN129" t="str">
        <f t="shared" si="68"/>
        <v>03</v>
      </c>
      <c r="AO129">
        <f t="shared" si="69"/>
        <v>1</v>
      </c>
    </row>
    <row r="130" spans="1:41" x14ac:dyDescent="0.4">
      <c r="A130" t="str">
        <f>IF($CM$6=0,"",IF(INDEX('⑩ 원문 보관'!$A:$E,$CM$6+ROW()-9,COLUMN())="","",INDEX('⑩ 원문 보관'!$A:$E,$CM$6+ROW()-9,COLUMN())))</f>
        <v xml:space="preserve">112557.0  51351.20 99 </v>
      </c>
      <c r="B130" t="str">
        <f>IF($CM$6=0,"",IF(INDEX('⑩ 원문 보관'!$A:$E,$CM$6+ROW()-9,COLUMN())="","",INDEX('⑩ 원문 보관'!$A:$E,$CM$6+ROW()-9,COLUMN())))</f>
        <v xml:space="preserve">115302.0  51446.12 23 </v>
      </c>
      <c r="C130" t="str">
        <f>IF($CM$6=0,"",IF(INDEX('⑩ 원문 보관'!$A:$E,$CM$6+ROW()-9,COLUMN())="","",INDEX('⑩ 원문 보관'!$A:$E,$CM$6+ROW()-9,COLUMN())))</f>
        <v xml:space="preserve">122757.0  51341.09 53 </v>
      </c>
      <c r="D130" t="str">
        <f>IF($CM$6=0,"",IF(INDEX('⑩ 원문 보관'!$A:$E,$CM$6+ROW()-9,COLUMN())="","",INDEX('⑩ 원문 보관'!$A:$E,$CM$6+ROW()-9,COLUMN())))</f>
        <v xml:space="preserve">124422.0  51678.57 97 </v>
      </c>
      <c r="E130" t="str">
        <f>IF($CM$6=0,"",IF(INDEX('⑩ 원문 보관'!$A:$E,$CM$6+ROW()-9,COLUMN())="","",INDEX('⑩ 원문 보관'!$A:$E,$CM$6+ROW()-9,COLUMN())))</f>
        <v xml:space="preserve">131747.0  51358.39 02 </v>
      </c>
      <c r="Q130">
        <f t="shared" si="70"/>
        <v>3</v>
      </c>
      <c r="R130">
        <f t="shared" si="50"/>
        <v>112557</v>
      </c>
      <c r="S130">
        <f t="shared" si="51"/>
        <v>51351.199999999997</v>
      </c>
      <c r="T130" t="str">
        <f t="shared" si="52"/>
        <v>99</v>
      </c>
      <c r="U130">
        <f t="shared" si="53"/>
        <v>1</v>
      </c>
      <c r="V130">
        <f t="shared" si="71"/>
        <v>3</v>
      </c>
      <c r="W130">
        <f t="shared" si="54"/>
        <v>115302</v>
      </c>
      <c r="X130">
        <f t="shared" si="55"/>
        <v>51446.12</v>
      </c>
      <c r="Y130" t="str">
        <f t="shared" si="56"/>
        <v>23</v>
      </c>
      <c r="Z130">
        <f t="shared" si="57"/>
        <v>1</v>
      </c>
      <c r="AA130">
        <f t="shared" si="72"/>
        <v>4</v>
      </c>
      <c r="AB130">
        <f t="shared" si="58"/>
        <v>122757</v>
      </c>
      <c r="AC130">
        <f t="shared" si="59"/>
        <v>51341.09</v>
      </c>
      <c r="AD130" t="str">
        <f t="shared" si="60"/>
        <v>53</v>
      </c>
      <c r="AE130">
        <f t="shared" si="61"/>
        <v>1</v>
      </c>
      <c r="AF130">
        <f t="shared" si="73"/>
        <v>4</v>
      </c>
      <c r="AG130">
        <f t="shared" si="62"/>
        <v>124422</v>
      </c>
      <c r="AH130">
        <f t="shared" si="63"/>
        <v>51678.57</v>
      </c>
      <c r="AI130" t="str">
        <f t="shared" si="64"/>
        <v>97</v>
      </c>
      <c r="AJ130">
        <f t="shared" si="65"/>
        <v>1</v>
      </c>
      <c r="AK130">
        <f t="shared" si="74"/>
        <v>3</v>
      </c>
      <c r="AL130">
        <f t="shared" si="66"/>
        <v>131747</v>
      </c>
      <c r="AM130">
        <f t="shared" si="67"/>
        <v>51358.39</v>
      </c>
      <c r="AN130" t="str">
        <f t="shared" si="68"/>
        <v>02</v>
      </c>
      <c r="AO130">
        <f t="shared" si="69"/>
        <v>1</v>
      </c>
    </row>
    <row r="131" spans="1:41" x14ac:dyDescent="0.4">
      <c r="A131" t="str">
        <f>IF($CM$6=0,"",IF(INDEX('⑩ 원문 보관'!$A:$E,$CM$6+ROW()-9,COLUMN())="","",INDEX('⑩ 원문 보관'!$A:$E,$CM$6+ROW()-9,COLUMN())))</f>
        <v xml:space="preserve">112602.0  51351.45 99 </v>
      </c>
      <c r="B131" t="str">
        <f>IF($CM$6=0,"",IF(INDEX('⑩ 원문 보관'!$A:$E,$CM$6+ROW()-9,COLUMN())="","",INDEX('⑩ 원문 보관'!$A:$E,$CM$6+ROW()-9,COLUMN())))</f>
        <v xml:space="preserve">115307.0  51445.09 53 </v>
      </c>
      <c r="C131" t="str">
        <f>IF($CM$6=0,"",IF(INDEX('⑩ 원문 보관'!$A:$E,$CM$6+ROW()-9,COLUMN())="","",INDEX('⑩ 원문 보관'!$A:$E,$CM$6+ROW()-9,COLUMN())))</f>
        <v xml:space="preserve">122802.0  51341.77 53 </v>
      </c>
      <c r="D131" t="str">
        <f>IF($CM$6=0,"",IF(INDEX('⑩ 원문 보관'!$A:$E,$CM$6+ROW()-9,COLUMN())="","",INDEX('⑩ 원문 보관'!$A:$E,$CM$6+ROW()-9,COLUMN())))</f>
        <v xml:space="preserve">124427.0  51678.83 97 </v>
      </c>
      <c r="E131" t="str">
        <f>IF($CM$6=0,"",IF(INDEX('⑩ 원문 보관'!$A:$E,$CM$6+ROW()-9,COLUMN())="","",INDEX('⑩ 원문 보관'!$A:$E,$CM$6+ROW()-9,COLUMN())))</f>
        <v/>
      </c>
      <c r="Q131">
        <f t="shared" si="70"/>
        <v>3</v>
      </c>
      <c r="R131">
        <f t="shared" si="50"/>
        <v>112602</v>
      </c>
      <c r="S131">
        <f t="shared" si="51"/>
        <v>51351.45</v>
      </c>
      <c r="T131" t="str">
        <f t="shared" si="52"/>
        <v>99</v>
      </c>
      <c r="U131">
        <f t="shared" si="53"/>
        <v>1</v>
      </c>
      <c r="V131">
        <f t="shared" si="71"/>
        <v>3</v>
      </c>
      <c r="W131">
        <f t="shared" si="54"/>
        <v>115307</v>
      </c>
      <c r="X131">
        <f t="shared" si="55"/>
        <v>51445.09</v>
      </c>
      <c r="Y131" t="str">
        <f t="shared" si="56"/>
        <v>53</v>
      </c>
      <c r="Z131">
        <f t="shared" si="57"/>
        <v>1</v>
      </c>
      <c r="AA131">
        <f t="shared" si="72"/>
        <v>4</v>
      </c>
      <c r="AB131">
        <f t="shared" si="58"/>
        <v>122802</v>
      </c>
      <c r="AC131">
        <f t="shared" si="59"/>
        <v>51341.77</v>
      </c>
      <c r="AD131" t="str">
        <f t="shared" si="60"/>
        <v>53</v>
      </c>
      <c r="AE131">
        <f t="shared" si="61"/>
        <v>1</v>
      </c>
      <c r="AF131">
        <f t="shared" si="73"/>
        <v>4</v>
      </c>
      <c r="AG131">
        <f t="shared" si="62"/>
        <v>124427</v>
      </c>
      <c r="AH131">
        <f t="shared" si="63"/>
        <v>51678.83</v>
      </c>
      <c r="AI131" t="str">
        <f t="shared" si="64"/>
        <v>97</v>
      </c>
      <c r="AJ131">
        <f t="shared" si="65"/>
        <v>1</v>
      </c>
      <c r="AK131">
        <f t="shared" si="74"/>
        <v>3</v>
      </c>
      <c r="AL131" t="str">
        <f t="shared" si="66"/>
        <v/>
      </c>
      <c r="AM131" t="str">
        <f t="shared" si="67"/>
        <v/>
      </c>
      <c r="AN131" t="str">
        <f t="shared" si="68"/>
        <v/>
      </c>
      <c r="AO131">
        <f t="shared" si="69"/>
        <v>0</v>
      </c>
    </row>
    <row r="132" spans="1:41" x14ac:dyDescent="0.4">
      <c r="A132" t="str">
        <f>IF($CM$6=0,"",IF(INDEX('⑩ 원문 보관'!$A:$E,$CM$6+ROW()-9,COLUMN())="","",INDEX('⑩ 원문 보관'!$A:$E,$CM$6+ROW()-9,COLUMN())))</f>
        <v/>
      </c>
      <c r="B132" t="str">
        <f>IF($CM$6=0,"",IF(INDEX('⑩ 원문 보관'!$A:$E,$CM$6+ROW()-9,COLUMN())="","",INDEX('⑩ 원문 보관'!$A:$E,$CM$6+ROW()-9,COLUMN())))</f>
        <v/>
      </c>
      <c r="C132" t="str">
        <f>IF($CM$6=0,"",IF(INDEX('⑩ 원문 보관'!$A:$E,$CM$6+ROW()-9,COLUMN())="","",INDEX('⑩ 원문 보관'!$A:$E,$CM$6+ROW()-9,COLUMN())))</f>
        <v xml:space="preserve">122807.0  51341.44 43 </v>
      </c>
      <c r="D132" t="str">
        <f>IF($CM$6=0,"",IF(INDEX('⑩ 원문 보관'!$A:$E,$CM$6+ROW()-9,COLUMN())="","",INDEX('⑩ 원문 보관'!$A:$E,$CM$6+ROW()-9,COLUMN())))</f>
        <v xml:space="preserve">124432.0  51679.08 77 </v>
      </c>
      <c r="E132" t="str">
        <f>IF($CM$6=0,"",IF(INDEX('⑩ 원문 보관'!$A:$E,$CM$6+ROW()-9,COLUMN())="","",INDEX('⑩ 원문 보관'!$A:$E,$CM$6+ROW()-9,COLUMN())))</f>
        <v/>
      </c>
      <c r="Q132">
        <f t="shared" si="70"/>
        <v>3</v>
      </c>
      <c r="R132" t="str">
        <f t="shared" si="50"/>
        <v/>
      </c>
      <c r="S132" t="str">
        <f t="shared" si="51"/>
        <v/>
      </c>
      <c r="T132" t="str">
        <f t="shared" si="52"/>
        <v/>
      </c>
      <c r="U132">
        <f t="shared" si="53"/>
        <v>0</v>
      </c>
      <c r="V132">
        <f t="shared" si="71"/>
        <v>3</v>
      </c>
      <c r="W132" t="str">
        <f t="shared" si="54"/>
        <v/>
      </c>
      <c r="X132" t="str">
        <f t="shared" si="55"/>
        <v/>
      </c>
      <c r="Y132" t="str">
        <f t="shared" si="56"/>
        <v/>
      </c>
      <c r="Z132">
        <f t="shared" si="57"/>
        <v>0</v>
      </c>
      <c r="AA132">
        <f t="shared" si="72"/>
        <v>4</v>
      </c>
      <c r="AB132">
        <f t="shared" si="58"/>
        <v>122807</v>
      </c>
      <c r="AC132">
        <f t="shared" si="59"/>
        <v>51341.440000000002</v>
      </c>
      <c r="AD132" t="str">
        <f t="shared" si="60"/>
        <v>43</v>
      </c>
      <c r="AE132">
        <f t="shared" si="61"/>
        <v>1</v>
      </c>
      <c r="AF132">
        <f t="shared" si="73"/>
        <v>4</v>
      </c>
      <c r="AG132">
        <f t="shared" si="62"/>
        <v>124432</v>
      </c>
      <c r="AH132">
        <f t="shared" si="63"/>
        <v>51679.08</v>
      </c>
      <c r="AI132" t="str">
        <f t="shared" si="64"/>
        <v>77</v>
      </c>
      <c r="AJ132">
        <f t="shared" si="65"/>
        <v>1</v>
      </c>
      <c r="AK132">
        <f t="shared" si="74"/>
        <v>3</v>
      </c>
      <c r="AL132" t="str">
        <f t="shared" si="66"/>
        <v/>
      </c>
      <c r="AM132" t="str">
        <f t="shared" si="67"/>
        <v/>
      </c>
      <c r="AN132" t="str">
        <f t="shared" si="68"/>
        <v/>
      </c>
      <c r="AO132">
        <f t="shared" si="69"/>
        <v>0</v>
      </c>
    </row>
    <row r="133" spans="1:41" x14ac:dyDescent="0.4">
      <c r="A133" t="str">
        <f>IF($CM$6=0,"",IF(INDEX('⑩ 원문 보관'!$A:$E,$CM$6+ROW()-9,COLUMN())="","",INDEX('⑩ 원문 보관'!$A:$E,$CM$6+ROW()-9,COLUMN())))</f>
        <v/>
      </c>
      <c r="B133" t="str">
        <f>IF($CM$6=0,"",IF(INDEX('⑩ 원문 보관'!$A:$E,$CM$6+ROW()-9,COLUMN())="","",INDEX('⑩ 원문 보관'!$A:$E,$CM$6+ROW()-9,COLUMN())))</f>
        <v/>
      </c>
      <c r="C133" t="str">
        <f>IF($CM$6=0,"",IF(INDEX('⑩ 원문 보관'!$A:$E,$CM$6+ROW()-9,COLUMN())="","",INDEX('⑩ 원문 보관'!$A:$E,$CM$6+ROW()-9,COLUMN())))</f>
        <v xml:space="preserve">122812.0  51341.88 63 </v>
      </c>
      <c r="D133" t="str">
        <f>IF($CM$6=0,"",IF(INDEX('⑩ 원문 보관'!$A:$E,$CM$6+ROW()-9,COLUMN())="","",INDEX('⑩ 원문 보관'!$A:$E,$CM$6+ROW()-9,COLUMN())))</f>
        <v xml:space="preserve">124437.0  51679.05 97 </v>
      </c>
      <c r="E133" t="str">
        <f>IF($CM$6=0,"",IF(INDEX('⑩ 원문 보관'!$A:$E,$CM$6+ROW()-9,COLUMN())="","",INDEX('⑩ 원문 보관'!$A:$E,$CM$6+ROW()-9,COLUMN())))</f>
        <v xml:space="preserve">/Gem Systems GSM-19T 4106808 v7.0 26 IX 2014 M t-e2l..v7o                         </v>
      </c>
      <c r="Q133">
        <f t="shared" si="70"/>
        <v>3</v>
      </c>
      <c r="R133" t="str">
        <f t="shared" si="50"/>
        <v/>
      </c>
      <c r="S133" t="str">
        <f t="shared" si="51"/>
        <v/>
      </c>
      <c r="T133" t="str">
        <f t="shared" si="52"/>
        <v/>
      </c>
      <c r="U133">
        <f t="shared" si="53"/>
        <v>0</v>
      </c>
      <c r="V133">
        <f t="shared" si="71"/>
        <v>3</v>
      </c>
      <c r="W133" t="str">
        <f t="shared" si="54"/>
        <v/>
      </c>
      <c r="X133" t="str">
        <f t="shared" si="55"/>
        <v/>
      </c>
      <c r="Y133" t="str">
        <f t="shared" si="56"/>
        <v/>
      </c>
      <c r="Z133">
        <f t="shared" si="57"/>
        <v>0</v>
      </c>
      <c r="AA133">
        <f t="shared" si="72"/>
        <v>4</v>
      </c>
      <c r="AB133">
        <f t="shared" si="58"/>
        <v>122812</v>
      </c>
      <c r="AC133">
        <f t="shared" si="59"/>
        <v>51341.88</v>
      </c>
      <c r="AD133" t="str">
        <f t="shared" si="60"/>
        <v>63</v>
      </c>
      <c r="AE133">
        <f t="shared" si="61"/>
        <v>1</v>
      </c>
      <c r="AF133">
        <f t="shared" si="73"/>
        <v>4</v>
      </c>
      <c r="AG133">
        <f t="shared" si="62"/>
        <v>124437</v>
      </c>
      <c r="AH133">
        <f t="shared" si="63"/>
        <v>51679.05</v>
      </c>
      <c r="AI133" t="str">
        <f t="shared" si="64"/>
        <v>97</v>
      </c>
      <c r="AJ133">
        <f t="shared" si="65"/>
        <v>1</v>
      </c>
      <c r="AK133">
        <f t="shared" si="74"/>
        <v>3</v>
      </c>
      <c r="AL133" t="str">
        <f t="shared" si="66"/>
        <v/>
      </c>
      <c r="AM133" t="str">
        <f t="shared" si="67"/>
        <v/>
      </c>
      <c r="AN133" t="str">
        <f t="shared" si="68"/>
        <v>GSM-19T</v>
      </c>
      <c r="AO133">
        <f t="shared" si="69"/>
        <v>0</v>
      </c>
    </row>
    <row r="134" spans="1:41" x14ac:dyDescent="0.4">
      <c r="A134" t="str">
        <f>IF($CM$6=0,"",IF(INDEX('⑩ 원문 보관'!$A:$E,$CM$6+ROW()-9,COLUMN())="","",INDEX('⑩ 원문 보관'!$A:$E,$CM$6+ROW()-9,COLUMN())))</f>
        <v xml:space="preserve">/Gem Systems GSM-19T 4106808 v7.0 26 IX 2014 M t-e2l..v7o                         </v>
      </c>
      <c r="B134" t="str">
        <f>IF($CM$6=0,"",IF(INDEX('⑩ 원문 보관'!$A:$E,$CM$6+ROW()-9,COLUMN())="","",INDEX('⑩ 원문 보관'!$A:$E,$CM$6+ROW()-9,COLUMN())))</f>
        <v xml:space="preserve">/Gem Systems GSM-19T 4106808 v7.0 26 IX 2014 M t-e2l..v7o                         </v>
      </c>
      <c r="C134" t="str">
        <f>IF($CM$6=0,"",IF(INDEX('⑩ 원문 보관'!$A:$E,$CM$6+ROW()-9,COLUMN())="","",INDEX('⑩ 원문 보관'!$A:$E,$CM$6+ROW()-9,COLUMN())))</f>
        <v xml:space="preserve">122817.0  51342.39 63 </v>
      </c>
      <c r="D134" t="str">
        <f>IF($CM$6=0,"",IF(INDEX('⑩ 원문 보관'!$A:$E,$CM$6+ROW()-9,COLUMN())="","",INDEX('⑩ 원문 보관'!$A:$E,$CM$6+ROW()-9,COLUMN())))</f>
        <v xml:space="preserve">124442.0  51678.94 97 </v>
      </c>
      <c r="E134" t="str">
        <f>IF($CM$6=0,"",IF(INDEX('⑩ 원문 보관'!$A:$E,$CM$6+ROW()-9,COLUMN())="","",INDEX('⑩ 원문 보관'!$A:$E,$CM$6+ROW()-9,COLUMN())))</f>
        <v>/ID 2666 file 42survey.b   21 IX 26</v>
      </c>
      <c r="Q134">
        <f t="shared" si="70"/>
        <v>3</v>
      </c>
      <c r="R134" t="str">
        <f t="shared" si="50"/>
        <v/>
      </c>
      <c r="S134" t="str">
        <f t="shared" si="51"/>
        <v/>
      </c>
      <c r="T134" t="str">
        <f t="shared" si="52"/>
        <v>GSM-19T</v>
      </c>
      <c r="U134">
        <f t="shared" si="53"/>
        <v>0</v>
      </c>
      <c r="V134">
        <f t="shared" si="71"/>
        <v>3</v>
      </c>
      <c r="W134" t="str">
        <f t="shared" si="54"/>
        <v/>
      </c>
      <c r="X134" t="str">
        <f t="shared" si="55"/>
        <v/>
      </c>
      <c r="Y134" t="str">
        <f t="shared" si="56"/>
        <v>GSM-19T</v>
      </c>
      <c r="Z134">
        <f t="shared" si="57"/>
        <v>0</v>
      </c>
      <c r="AA134">
        <f t="shared" si="72"/>
        <v>4</v>
      </c>
      <c r="AB134">
        <f t="shared" si="58"/>
        <v>122817</v>
      </c>
      <c r="AC134">
        <f t="shared" si="59"/>
        <v>51342.39</v>
      </c>
      <c r="AD134" t="str">
        <f t="shared" si="60"/>
        <v>63</v>
      </c>
      <c r="AE134">
        <f t="shared" si="61"/>
        <v>1</v>
      </c>
      <c r="AF134">
        <f t="shared" si="73"/>
        <v>4</v>
      </c>
      <c r="AG134">
        <f t="shared" si="62"/>
        <v>124442</v>
      </c>
      <c r="AH134">
        <f t="shared" si="63"/>
        <v>51678.94</v>
      </c>
      <c r="AI134" t="str">
        <f t="shared" si="64"/>
        <v>97</v>
      </c>
      <c r="AJ134">
        <f t="shared" si="65"/>
        <v>1</v>
      </c>
      <c r="AK134">
        <f t="shared" si="74"/>
        <v>3</v>
      </c>
      <c r="AL134" t="str">
        <f t="shared" si="66"/>
        <v/>
      </c>
      <c r="AM134">
        <f t="shared" si="67"/>
        <v>2666</v>
      </c>
      <c r="AN134" t="str">
        <f t="shared" si="68"/>
        <v>file</v>
      </c>
      <c r="AO134">
        <f t="shared" si="69"/>
        <v>0</v>
      </c>
    </row>
    <row r="135" spans="1:41" x14ac:dyDescent="0.4">
      <c r="A135" t="str">
        <f>IF($CM$6=0,"",IF(INDEX('⑩ 원문 보관'!$A:$E,$CM$6+ROW()-9,COLUMN())="","",INDEX('⑩ 원문 보관'!$A:$E,$CM$6+ROW()-9,COLUMN())))</f>
        <v>/ID 2666 file 04survey.b   21 IX 26</v>
      </c>
      <c r="B135" t="str">
        <f>IF($CM$6=0,"",IF(INDEX('⑩ 원문 보관'!$A:$E,$CM$6+ROW()-9,COLUMN())="","",INDEX('⑩ 원문 보관'!$A:$E,$CM$6+ROW()-9,COLUMN())))</f>
        <v>/ID 2666 file 13survey.b   21 IX 26</v>
      </c>
      <c r="C135" t="str">
        <f>IF($CM$6=0,"",IF(INDEX('⑩ 원문 보관'!$A:$E,$CM$6+ROW()-9,COLUMN())="","",INDEX('⑩ 원문 보관'!$A:$E,$CM$6+ROW()-9,COLUMN())))</f>
        <v xml:space="preserve">122822.0  51342.37 54 </v>
      </c>
      <c r="D135" t="str">
        <f>IF($CM$6=0,"",IF(INDEX('⑩ 원문 보관'!$A:$E,$CM$6+ROW()-9,COLUMN())="","",INDEX('⑩ 원문 보관'!$A:$E,$CM$6+ROW()-9,COLUMN())))</f>
        <v xml:space="preserve">124447.0  51679.02 98 </v>
      </c>
      <c r="E135" t="str">
        <f>IF($CM$6=0,"",IF(INDEX('⑩ 원문 보관'!$A:$E,$CM$6+ROW()-9,COLUMN())="","",INDEX('⑩ 원문 보관'!$A:$E,$CM$6+ROW()-9,COLUMN())))</f>
        <v>/datum  57000.00</v>
      </c>
      <c r="Q135">
        <f t="shared" si="70"/>
        <v>3</v>
      </c>
      <c r="R135" t="str">
        <f t="shared" si="50"/>
        <v/>
      </c>
      <c r="S135">
        <f t="shared" si="51"/>
        <v>2666</v>
      </c>
      <c r="T135" t="str">
        <f t="shared" si="52"/>
        <v>file</v>
      </c>
      <c r="U135">
        <f t="shared" si="53"/>
        <v>0</v>
      </c>
      <c r="V135">
        <f t="shared" si="71"/>
        <v>3</v>
      </c>
      <c r="W135" t="str">
        <f t="shared" si="54"/>
        <v/>
      </c>
      <c r="X135">
        <f t="shared" si="55"/>
        <v>2666</v>
      </c>
      <c r="Y135" t="str">
        <f t="shared" si="56"/>
        <v>file</v>
      </c>
      <c r="Z135">
        <f t="shared" si="57"/>
        <v>0</v>
      </c>
      <c r="AA135">
        <f t="shared" si="72"/>
        <v>4</v>
      </c>
      <c r="AB135">
        <f t="shared" si="58"/>
        <v>122822</v>
      </c>
      <c r="AC135">
        <f t="shared" si="59"/>
        <v>51342.37</v>
      </c>
      <c r="AD135" t="str">
        <f t="shared" si="60"/>
        <v>54</v>
      </c>
      <c r="AE135">
        <f t="shared" si="61"/>
        <v>1</v>
      </c>
      <c r="AF135">
        <f t="shared" si="73"/>
        <v>4</v>
      </c>
      <c r="AG135">
        <f t="shared" si="62"/>
        <v>124447</v>
      </c>
      <c r="AH135">
        <f t="shared" si="63"/>
        <v>51679.02</v>
      </c>
      <c r="AI135" t="str">
        <f t="shared" si="64"/>
        <v>98</v>
      </c>
      <c r="AJ135">
        <f t="shared" si="65"/>
        <v>1</v>
      </c>
      <c r="AK135">
        <f t="shared" si="74"/>
        <v>3</v>
      </c>
      <c r="AL135" t="str">
        <f t="shared" si="66"/>
        <v/>
      </c>
      <c r="AM135">
        <f t="shared" si="67"/>
        <v>57000</v>
      </c>
      <c r="AN135" t="str">
        <f t="shared" si="68"/>
        <v/>
      </c>
      <c r="AO135">
        <f t="shared" si="69"/>
        <v>0</v>
      </c>
    </row>
    <row r="136" spans="1:41" x14ac:dyDescent="0.4">
      <c r="A136" t="str">
        <f>IF($CM$6=0,"",IF(INDEX('⑩ 원문 보관'!$A:$E,$CM$6+ROW()-9,COLUMN())="","",INDEX('⑩ 원문 보관'!$A:$E,$CM$6+ROW()-9,COLUMN())))</f>
        <v>/datum  57000.00</v>
      </c>
      <c r="B136" t="str">
        <f>IF($CM$6=0,"",IF(INDEX('⑩ 원문 보관'!$A:$E,$CM$6+ROW()-9,COLUMN())="","",INDEX('⑩ 원문 보관'!$A:$E,$CM$6+ROW()-9,COLUMN())))</f>
        <v>/datum  57000.00</v>
      </c>
      <c r="C136" t="str">
        <f>IF($CM$6=0,"",IF(INDEX('⑩ 원문 보관'!$A:$E,$CM$6+ROW()-9,COLUMN())="","",INDEX('⑩ 원문 보관'!$A:$E,$CM$6+ROW()-9,COLUMN())))</f>
        <v xml:space="preserve">122827.0  51341.83 53 </v>
      </c>
      <c r="D136" t="str">
        <f>IF($CM$6=0,"",IF(INDEX('⑩ 원문 보관'!$A:$E,$CM$6+ROW()-9,COLUMN())="","",INDEX('⑩ 원문 보관'!$A:$E,$CM$6+ROW()-9,COLUMN())))</f>
        <v xml:space="preserve">124452.0  51679.29 87 </v>
      </c>
      <c r="E136" t="str">
        <f>IF($CM$6=0,"",IF(INDEX('⑩ 원문 보관'!$A:$E,$CM$6+ROW()-9,COLUMN())="","",INDEX('⑩ 원문 보관'!$A:$E,$CM$6+ROW()-9,COLUMN())))</f>
        <v>/</v>
      </c>
      <c r="Q136">
        <f t="shared" si="70"/>
        <v>3</v>
      </c>
      <c r="R136" t="str">
        <f t="shared" si="50"/>
        <v/>
      </c>
      <c r="S136">
        <f t="shared" si="51"/>
        <v>57000</v>
      </c>
      <c r="T136" t="str">
        <f t="shared" si="52"/>
        <v/>
      </c>
      <c r="U136">
        <f t="shared" si="53"/>
        <v>0</v>
      </c>
      <c r="V136">
        <f t="shared" si="71"/>
        <v>3</v>
      </c>
      <c r="W136" t="str">
        <f t="shared" si="54"/>
        <v/>
      </c>
      <c r="X136">
        <f t="shared" si="55"/>
        <v>57000</v>
      </c>
      <c r="Y136" t="str">
        <f t="shared" si="56"/>
        <v/>
      </c>
      <c r="Z136">
        <f t="shared" si="57"/>
        <v>0</v>
      </c>
      <c r="AA136">
        <f t="shared" si="72"/>
        <v>4</v>
      </c>
      <c r="AB136">
        <f t="shared" si="58"/>
        <v>122827</v>
      </c>
      <c r="AC136">
        <f t="shared" si="59"/>
        <v>51341.83</v>
      </c>
      <c r="AD136" t="str">
        <f t="shared" si="60"/>
        <v>53</v>
      </c>
      <c r="AE136">
        <f t="shared" si="61"/>
        <v>1</v>
      </c>
      <c r="AF136">
        <f t="shared" si="73"/>
        <v>4</v>
      </c>
      <c r="AG136">
        <f t="shared" si="62"/>
        <v>124452</v>
      </c>
      <c r="AH136">
        <f t="shared" si="63"/>
        <v>51679.29</v>
      </c>
      <c r="AI136" t="str">
        <f t="shared" si="64"/>
        <v>87</v>
      </c>
      <c r="AJ136">
        <f t="shared" si="65"/>
        <v>1</v>
      </c>
      <c r="AK136">
        <f t="shared" si="74"/>
        <v>3</v>
      </c>
      <c r="AL136" t="str">
        <f t="shared" si="66"/>
        <v/>
      </c>
      <c r="AM136" t="str">
        <f t="shared" si="67"/>
        <v/>
      </c>
      <c r="AN136" t="str">
        <f t="shared" si="68"/>
        <v/>
      </c>
      <c r="AO136">
        <f t="shared" si="69"/>
        <v>0</v>
      </c>
    </row>
    <row r="137" spans="1:41" x14ac:dyDescent="0.4">
      <c r="A137" t="str">
        <f>IF($CM$6=0,"",IF(INDEX('⑩ 원문 보관'!$A:$E,$CM$6+ROW()-9,COLUMN())="","",INDEX('⑩ 원문 보관'!$A:$E,$CM$6+ROW()-9,COLUMN())))</f>
        <v>/</v>
      </c>
      <c r="B137" t="str">
        <f>IF($CM$6=0,"",IF(INDEX('⑩ 원문 보관'!$A:$E,$CM$6+ROW()-9,COLUMN())="","",INDEX('⑩ 원문 보관'!$A:$E,$CM$6+ROW()-9,COLUMN())))</f>
        <v>/</v>
      </c>
      <c r="C137" t="str">
        <f>IF($CM$6=0,"",IF(INDEX('⑩ 원문 보관'!$A:$E,$CM$6+ROW()-9,COLUMN())="","",INDEX('⑩ 원문 보관'!$A:$E,$CM$6+ROW()-9,COLUMN())))</f>
        <v xml:space="preserve">122832.0  51342.27 74 </v>
      </c>
      <c r="D137" t="str">
        <f>IF($CM$6=0,"",IF(INDEX('⑩ 원문 보관'!$A:$E,$CM$6+ROW()-9,COLUMN())="","",INDEX('⑩ 원문 보관'!$A:$E,$CM$6+ROW()-9,COLUMN())))</f>
        <v xml:space="preserve">124457.0  51679.25 97 </v>
      </c>
      <c r="E137" t="str">
        <f>IF($CM$6=0,"",IF(INDEX('⑩ 원문 보관'!$A:$E,$CM$6+ROW()-9,COLUMN())="","",INDEX('⑩ 원문 보관'!$A:$E,$CM$6+ROW()-9,COLUMN())))</f>
        <v/>
      </c>
      <c r="Q137">
        <f t="shared" si="70"/>
        <v>3</v>
      </c>
      <c r="R137" t="str">
        <f t="shared" ref="R137:R200" si="75">IFERROR(IF(ISNUMBER(--LEFT(TRIM(A137),1)),VALUE(LEFT(TRIM(A137),6)),""),"")</f>
        <v/>
      </c>
      <c r="S137" t="str">
        <f t="shared" ref="S137:S200" si="76">IFERROR(VALUE(TRIM(MID(SUBSTITUTE(TRIM(A137)," ",REPT(" ",30)),31,30))),"")</f>
        <v/>
      </c>
      <c r="T137" t="str">
        <f t="shared" ref="T137:T200" si="77">IFERROR(TRIM(MID(SUBSTITUTE(TRIM(A137)," ",REPT(" ",30)),61,30)),"")</f>
        <v/>
      </c>
      <c r="U137">
        <f t="shared" ref="U137:U200" si="78">IF(OR(R137="",S137="",T137=""),0,IF(AND(S137&gt;1000,RIGHT(T137,1)&lt;&gt;"0"),1,0))</f>
        <v>0</v>
      </c>
      <c r="V137">
        <f t="shared" si="71"/>
        <v>3</v>
      </c>
      <c r="W137" t="str">
        <f t="shared" ref="W137:W200" si="79">IFERROR(IF(ISNUMBER(--LEFT(TRIM(B137),1)),VALUE(LEFT(TRIM(B137),6)),""),"")</f>
        <v/>
      </c>
      <c r="X137" t="str">
        <f t="shared" ref="X137:X200" si="80">IFERROR(VALUE(TRIM(MID(SUBSTITUTE(TRIM(B137)," ",REPT(" ",30)),31,30))),"")</f>
        <v/>
      </c>
      <c r="Y137" t="str">
        <f t="shared" ref="Y137:Y200" si="81">IFERROR(TRIM(MID(SUBSTITUTE(TRIM(B137)," ",REPT(" ",30)),61,30)),"")</f>
        <v/>
      </c>
      <c r="Z137">
        <f t="shared" ref="Z137:Z200" si="82">IF(OR(W137="",X137="",Y137=""),0,IF(AND(X137&gt;1000,RIGHT(Y137,1)&lt;&gt;"0"),1,0))</f>
        <v>0</v>
      </c>
      <c r="AA137">
        <f t="shared" si="72"/>
        <v>4</v>
      </c>
      <c r="AB137">
        <f t="shared" ref="AB137:AB200" si="83">IFERROR(IF(ISNUMBER(--LEFT(TRIM(C137),1)),VALUE(LEFT(TRIM(C137),6)),""),"")</f>
        <v>122832</v>
      </c>
      <c r="AC137">
        <f t="shared" ref="AC137:AC200" si="84">IFERROR(VALUE(TRIM(MID(SUBSTITUTE(TRIM(C137)," ",REPT(" ",30)),31,30))),"")</f>
        <v>51342.27</v>
      </c>
      <c r="AD137" t="str">
        <f t="shared" ref="AD137:AD200" si="85">IFERROR(TRIM(MID(SUBSTITUTE(TRIM(C137)," ",REPT(" ",30)),61,30)),"")</f>
        <v>74</v>
      </c>
      <c r="AE137">
        <f t="shared" ref="AE137:AE200" si="86">IF(OR(AB137="",AC137="",AD137=""),0,IF(AND(AC137&gt;1000,RIGHT(AD137,1)&lt;&gt;"0"),1,0))</f>
        <v>1</v>
      </c>
      <c r="AF137">
        <f t="shared" si="73"/>
        <v>4</v>
      </c>
      <c r="AG137">
        <f t="shared" ref="AG137:AG200" si="87">IFERROR(IF(ISNUMBER(--LEFT(TRIM(D137),1)),VALUE(LEFT(TRIM(D137),6)),""),"")</f>
        <v>124457</v>
      </c>
      <c r="AH137">
        <f t="shared" ref="AH137:AH200" si="88">IFERROR(VALUE(TRIM(MID(SUBSTITUTE(TRIM(D137)," ",REPT(" ",30)),31,30))),"")</f>
        <v>51679.25</v>
      </c>
      <c r="AI137" t="str">
        <f t="shared" ref="AI137:AI200" si="89">IFERROR(TRIM(MID(SUBSTITUTE(TRIM(D137)," ",REPT(" ",30)),61,30)),"")</f>
        <v>97</v>
      </c>
      <c r="AJ137">
        <f t="shared" ref="AJ137:AJ200" si="90">IF(OR(AG137="",AH137="",AI137=""),0,IF(AND(AH137&gt;1000,RIGHT(AI137,1)&lt;&gt;"0"),1,0))</f>
        <v>1</v>
      </c>
      <c r="AK137">
        <f t="shared" si="74"/>
        <v>3</v>
      </c>
      <c r="AL137" t="str">
        <f t="shared" ref="AL137:AL200" si="91">IFERROR(IF(ISNUMBER(--LEFT(TRIM(E137),1)),VALUE(LEFT(TRIM(E137),6)),""),"")</f>
        <v/>
      </c>
      <c r="AM137" t="str">
        <f t="shared" ref="AM137:AM200" si="92">IFERROR(VALUE(TRIM(MID(SUBSTITUTE(TRIM(E137)," ",REPT(" ",30)),31,30))),"")</f>
        <v/>
      </c>
      <c r="AN137" t="str">
        <f t="shared" ref="AN137:AN200" si="93">IFERROR(TRIM(MID(SUBSTITUTE(TRIM(E137)," ",REPT(" ",30)),61,30)),"")</f>
        <v/>
      </c>
      <c r="AO137">
        <f t="shared" ref="AO137:AO200" si="94">IF(OR(AL137="",AM137="",AN137=""),0,IF(AND(AM137&gt;1000,RIGHT(AN137,1)&lt;&gt;"0"),1,0))</f>
        <v>0</v>
      </c>
    </row>
    <row r="138" spans="1:41" x14ac:dyDescent="0.4">
      <c r="A138" t="str">
        <f>IF($CM$6=0,"",IF(INDEX('⑩ 원문 보관'!$A:$E,$CM$6+ROW()-9,COLUMN())="","",INDEX('⑩ 원문 보관'!$A:$E,$CM$6+ROW()-9,COLUMN())))</f>
        <v/>
      </c>
      <c r="B138" t="str">
        <f>IF($CM$6=0,"",IF(INDEX('⑩ 원문 보관'!$A:$E,$CM$6+ROW()-9,COLUMN())="","",INDEX('⑩ 원문 보관'!$A:$E,$CM$6+ROW()-9,COLUMN())))</f>
        <v/>
      </c>
      <c r="C138" t="str">
        <f>IF($CM$6=0,"",IF(INDEX('⑩ 원문 보관'!$A:$E,$CM$6+ROW()-9,COLUMN())="","",INDEX('⑩ 원문 보관'!$A:$E,$CM$6+ROW()-9,COLUMN())))</f>
        <v xml:space="preserve">122837.0  51340.96 43 </v>
      </c>
      <c r="D138" t="str">
        <f>IF($CM$6=0,"",IF(INDEX('⑩ 원문 보관'!$A:$E,$CM$6+ROW()-9,COLUMN())="","",INDEX('⑩ 원문 보관'!$A:$E,$CM$6+ROW()-9,COLUMN())))</f>
        <v xml:space="preserve">124502.0  51678.97 97 </v>
      </c>
      <c r="E138" t="str">
        <f>IF($CM$6=0,"",IF(INDEX('⑩ 원문 보관'!$A:$E,$CM$6+ROW()-9,COLUMN())="","",INDEX('⑩ 원문 보관'!$A:$E,$CM$6+ROW()-9,COLUMN())))</f>
        <v xml:space="preserve">/time nT sq </v>
      </c>
      <c r="Q138">
        <f t="shared" ref="Q138:Q201" si="95">IF(A138="",N(Q137),IF(LEFT(TRIM(A138),5)="/time",N(Q137)+1,N(Q137)))</f>
        <v>3</v>
      </c>
      <c r="R138" t="str">
        <f t="shared" si="75"/>
        <v/>
      </c>
      <c r="S138" t="str">
        <f t="shared" si="76"/>
        <v/>
      </c>
      <c r="T138" t="str">
        <f t="shared" si="77"/>
        <v/>
      </c>
      <c r="U138">
        <f t="shared" si="78"/>
        <v>0</v>
      </c>
      <c r="V138">
        <f t="shared" ref="V138:V201" si="96">IF(B138="",N(V137),IF(LEFT(TRIM(B138),5)="/time",N(V137)+1,N(V137)))</f>
        <v>3</v>
      </c>
      <c r="W138" t="str">
        <f t="shared" si="79"/>
        <v/>
      </c>
      <c r="X138" t="str">
        <f t="shared" si="80"/>
        <v/>
      </c>
      <c r="Y138" t="str">
        <f t="shared" si="81"/>
        <v/>
      </c>
      <c r="Z138">
        <f t="shared" si="82"/>
        <v>0</v>
      </c>
      <c r="AA138">
        <f t="shared" ref="AA138:AA201" si="97">IF(C138="",N(AA137),IF(LEFT(TRIM(C138),5)="/time",N(AA137)+1,N(AA137)))</f>
        <v>4</v>
      </c>
      <c r="AB138">
        <f t="shared" si="83"/>
        <v>122837</v>
      </c>
      <c r="AC138">
        <f t="shared" si="84"/>
        <v>51340.959999999999</v>
      </c>
      <c r="AD138" t="str">
        <f t="shared" si="85"/>
        <v>43</v>
      </c>
      <c r="AE138">
        <f t="shared" si="86"/>
        <v>1</v>
      </c>
      <c r="AF138">
        <f t="shared" ref="AF138:AF201" si="98">IF(D138="",N(AF137),IF(LEFT(TRIM(D138),5)="/time",N(AF137)+1,N(AF137)))</f>
        <v>4</v>
      </c>
      <c r="AG138">
        <f t="shared" si="87"/>
        <v>124502</v>
      </c>
      <c r="AH138">
        <f t="shared" si="88"/>
        <v>51678.97</v>
      </c>
      <c r="AI138" t="str">
        <f t="shared" si="89"/>
        <v>97</v>
      </c>
      <c r="AJ138">
        <f t="shared" si="90"/>
        <v>1</v>
      </c>
      <c r="AK138">
        <f t="shared" ref="AK138:AK201" si="99">IF(E138="",N(AK137),IF(LEFT(TRIM(E138),5)="/time",N(AK137)+1,N(AK137)))</f>
        <v>4</v>
      </c>
      <c r="AL138" t="str">
        <f t="shared" si="91"/>
        <v/>
      </c>
      <c r="AM138" t="str">
        <f t="shared" si="92"/>
        <v/>
      </c>
      <c r="AN138" t="str">
        <f t="shared" si="93"/>
        <v>sq</v>
      </c>
      <c r="AO138">
        <f t="shared" si="94"/>
        <v>0</v>
      </c>
    </row>
    <row r="139" spans="1:41" x14ac:dyDescent="0.4">
      <c r="A139" t="str">
        <f>IF($CM$6=0,"",IF(INDEX('⑩ 원문 보관'!$A:$E,$CM$6+ROW()-9,COLUMN())="","",INDEX('⑩ 원문 보관'!$A:$E,$CM$6+ROW()-9,COLUMN())))</f>
        <v xml:space="preserve">/time nT sq </v>
      </c>
      <c r="B139" t="str">
        <f>IF($CM$6=0,"",IF(INDEX('⑩ 원문 보관'!$A:$E,$CM$6+ROW()-9,COLUMN())="","",INDEX('⑩ 원문 보관'!$A:$E,$CM$6+ROW()-9,COLUMN())))</f>
        <v xml:space="preserve">/time nT sq </v>
      </c>
      <c r="C139" t="str">
        <f>IF($CM$6=0,"",IF(INDEX('⑩ 원문 보관'!$A:$E,$CM$6+ROW()-9,COLUMN())="","",INDEX('⑩ 원문 보관'!$A:$E,$CM$6+ROW()-9,COLUMN())))</f>
        <v xml:space="preserve">122842.0  51342.21 63 </v>
      </c>
      <c r="D139" t="str">
        <f>IF($CM$6=0,"",IF(INDEX('⑩ 원문 보관'!$A:$E,$CM$6+ROW()-9,COLUMN())="","",INDEX('⑩ 원문 보관'!$A:$E,$CM$6+ROW()-9,COLUMN())))</f>
        <v xml:space="preserve">124507.0  51679.24 97 </v>
      </c>
      <c r="E139" t="str">
        <f>IF($CM$6=0,"",IF(INDEX('⑩ 원문 보관'!$A:$E,$CM$6+ROW()-9,COLUMN())="","",INDEX('⑩ 원문 보관'!$A:$E,$CM$6+ROW()-9,COLUMN())))</f>
        <v xml:space="preserve">131902.0  51442.49 04 </v>
      </c>
      <c r="Q139">
        <f t="shared" si="95"/>
        <v>4</v>
      </c>
      <c r="R139" t="str">
        <f t="shared" si="75"/>
        <v/>
      </c>
      <c r="S139" t="str">
        <f t="shared" si="76"/>
        <v/>
      </c>
      <c r="T139" t="str">
        <f t="shared" si="77"/>
        <v>sq</v>
      </c>
      <c r="U139">
        <f t="shared" si="78"/>
        <v>0</v>
      </c>
      <c r="V139">
        <f t="shared" si="96"/>
        <v>4</v>
      </c>
      <c r="W139" t="str">
        <f t="shared" si="79"/>
        <v/>
      </c>
      <c r="X139" t="str">
        <f t="shared" si="80"/>
        <v/>
      </c>
      <c r="Y139" t="str">
        <f t="shared" si="81"/>
        <v>sq</v>
      </c>
      <c r="Z139">
        <f t="shared" si="82"/>
        <v>0</v>
      </c>
      <c r="AA139">
        <f t="shared" si="97"/>
        <v>4</v>
      </c>
      <c r="AB139">
        <f t="shared" si="83"/>
        <v>122842</v>
      </c>
      <c r="AC139">
        <f t="shared" si="84"/>
        <v>51342.21</v>
      </c>
      <c r="AD139" t="str">
        <f t="shared" si="85"/>
        <v>63</v>
      </c>
      <c r="AE139">
        <f t="shared" si="86"/>
        <v>1</v>
      </c>
      <c r="AF139">
        <f t="shared" si="98"/>
        <v>4</v>
      </c>
      <c r="AG139">
        <f t="shared" si="87"/>
        <v>124507</v>
      </c>
      <c r="AH139">
        <f t="shared" si="88"/>
        <v>51679.24</v>
      </c>
      <c r="AI139" t="str">
        <f t="shared" si="89"/>
        <v>97</v>
      </c>
      <c r="AJ139">
        <f t="shared" si="90"/>
        <v>1</v>
      </c>
      <c r="AK139">
        <f t="shared" si="99"/>
        <v>4</v>
      </c>
      <c r="AL139">
        <f t="shared" si="91"/>
        <v>131902</v>
      </c>
      <c r="AM139">
        <f t="shared" si="92"/>
        <v>51442.49</v>
      </c>
      <c r="AN139" t="str">
        <f t="shared" si="93"/>
        <v>04</v>
      </c>
      <c r="AO139">
        <f t="shared" si="94"/>
        <v>1</v>
      </c>
    </row>
    <row r="140" spans="1:41" x14ac:dyDescent="0.4">
      <c r="A140" t="str">
        <f>IF($CM$6=0,"",IF(INDEX('⑩ 원문 보관'!$A:$E,$CM$6+ROW()-9,COLUMN())="","",INDEX('⑩ 원문 보관'!$A:$E,$CM$6+ROW()-9,COLUMN())))</f>
        <v xml:space="preserve">112632.0  51334.48 99 </v>
      </c>
      <c r="B140" t="str">
        <f>IF($CM$6=0,"",IF(INDEX('⑩ 원문 보관'!$A:$E,$CM$6+ROW()-9,COLUMN())="","",INDEX('⑩ 원문 보관'!$A:$E,$CM$6+ROW()-9,COLUMN())))</f>
        <v xml:space="preserve">115357.0  51533.28 99 </v>
      </c>
      <c r="C140" t="str">
        <f>IF($CM$6=0,"",IF(INDEX('⑩ 원문 보관'!$A:$E,$CM$6+ROW()-9,COLUMN())="","",INDEX('⑩ 원문 보관'!$A:$E,$CM$6+ROW()-9,COLUMN())))</f>
        <v xml:space="preserve">122847.0  51342.75 63 </v>
      </c>
      <c r="D140" t="str">
        <f>IF($CM$6=0,"",IF(INDEX('⑩ 원문 보관'!$A:$E,$CM$6+ROW()-9,COLUMN())="","",INDEX('⑩ 원문 보관'!$A:$E,$CM$6+ROW()-9,COLUMN())))</f>
        <v xml:space="preserve">124512.0  51679.27 97 </v>
      </c>
      <c r="E140" t="str">
        <f>IF($CM$6=0,"",IF(INDEX('⑩ 원문 보관'!$A:$E,$CM$6+ROW()-9,COLUMN())="","",INDEX('⑩ 원문 보관'!$A:$E,$CM$6+ROW()-9,COLUMN())))</f>
        <v xml:space="preserve">131907.0  51495.67 04 </v>
      </c>
      <c r="Q140">
        <f t="shared" si="95"/>
        <v>4</v>
      </c>
      <c r="R140">
        <f t="shared" si="75"/>
        <v>112632</v>
      </c>
      <c r="S140">
        <f t="shared" si="76"/>
        <v>51334.48</v>
      </c>
      <c r="T140" t="str">
        <f t="shared" si="77"/>
        <v>99</v>
      </c>
      <c r="U140">
        <f t="shared" si="78"/>
        <v>1</v>
      </c>
      <c r="V140">
        <f t="shared" si="96"/>
        <v>4</v>
      </c>
      <c r="W140">
        <f t="shared" si="79"/>
        <v>115357</v>
      </c>
      <c r="X140">
        <f t="shared" si="80"/>
        <v>51533.279999999999</v>
      </c>
      <c r="Y140" t="str">
        <f t="shared" si="81"/>
        <v>99</v>
      </c>
      <c r="Z140">
        <f t="shared" si="82"/>
        <v>1</v>
      </c>
      <c r="AA140">
        <f t="shared" si="97"/>
        <v>4</v>
      </c>
      <c r="AB140">
        <f t="shared" si="83"/>
        <v>122847</v>
      </c>
      <c r="AC140">
        <f t="shared" si="84"/>
        <v>51342.75</v>
      </c>
      <c r="AD140" t="str">
        <f t="shared" si="85"/>
        <v>63</v>
      </c>
      <c r="AE140">
        <f t="shared" si="86"/>
        <v>1</v>
      </c>
      <c r="AF140">
        <f t="shared" si="98"/>
        <v>4</v>
      </c>
      <c r="AG140">
        <f t="shared" si="87"/>
        <v>124512</v>
      </c>
      <c r="AH140">
        <f t="shared" si="88"/>
        <v>51679.27</v>
      </c>
      <c r="AI140" t="str">
        <f t="shared" si="89"/>
        <v>97</v>
      </c>
      <c r="AJ140">
        <f t="shared" si="90"/>
        <v>1</v>
      </c>
      <c r="AK140">
        <f t="shared" si="99"/>
        <v>4</v>
      </c>
      <c r="AL140">
        <f t="shared" si="91"/>
        <v>131907</v>
      </c>
      <c r="AM140">
        <f t="shared" si="92"/>
        <v>51495.67</v>
      </c>
      <c r="AN140" t="str">
        <f t="shared" si="93"/>
        <v>04</v>
      </c>
      <c r="AO140">
        <f t="shared" si="94"/>
        <v>1</v>
      </c>
    </row>
    <row r="141" spans="1:41" x14ac:dyDescent="0.4">
      <c r="A141" t="str">
        <f>IF($CM$6=0,"",IF(INDEX('⑩ 원문 보관'!$A:$E,$CM$6+ROW()-9,COLUMN())="","",INDEX('⑩ 원문 보관'!$A:$E,$CM$6+ROW()-9,COLUMN())))</f>
        <v xml:space="preserve">112637.0  51334.51 99 </v>
      </c>
      <c r="B141" t="str">
        <f>IF($CM$6=0,"",IF(INDEX('⑩ 원문 보관'!$A:$E,$CM$6+ROW()-9,COLUMN())="","",INDEX('⑩ 원문 보관'!$A:$E,$CM$6+ROW()-9,COLUMN())))</f>
        <v xml:space="preserve">115402.0  51533.39 99 </v>
      </c>
      <c r="C141" t="str">
        <f>IF($CM$6=0,"",IF(INDEX('⑩ 원문 보관'!$A:$E,$CM$6+ROW()-9,COLUMN())="","",INDEX('⑩ 원문 보관'!$A:$E,$CM$6+ROW()-9,COLUMN())))</f>
        <v xml:space="preserve">122852.0  51342.53 73 </v>
      </c>
      <c r="D141" t="str">
        <f>IF($CM$6=0,"",IF(INDEX('⑩ 원문 보관'!$A:$E,$CM$6+ROW()-9,COLUMN())="","",INDEX('⑩ 원문 보관'!$A:$E,$CM$6+ROW()-9,COLUMN())))</f>
        <v xml:space="preserve">124517.0  51679.38 77 </v>
      </c>
      <c r="E141" t="str">
        <f>IF($CM$6=0,"",IF(INDEX('⑩ 원문 보관'!$A:$E,$CM$6+ROW()-9,COLUMN())="","",INDEX('⑩ 원문 보관'!$A:$E,$CM$6+ROW()-9,COLUMN())))</f>
        <v xml:space="preserve">131912.0  51452.98 04 </v>
      </c>
      <c r="Q141">
        <f t="shared" si="95"/>
        <v>4</v>
      </c>
      <c r="R141">
        <f t="shared" si="75"/>
        <v>112637</v>
      </c>
      <c r="S141">
        <f t="shared" si="76"/>
        <v>51334.51</v>
      </c>
      <c r="T141" t="str">
        <f t="shared" si="77"/>
        <v>99</v>
      </c>
      <c r="U141">
        <f t="shared" si="78"/>
        <v>1</v>
      </c>
      <c r="V141">
        <f t="shared" si="96"/>
        <v>4</v>
      </c>
      <c r="W141">
        <f t="shared" si="79"/>
        <v>115402</v>
      </c>
      <c r="X141">
        <f t="shared" si="80"/>
        <v>51533.39</v>
      </c>
      <c r="Y141" t="str">
        <f t="shared" si="81"/>
        <v>99</v>
      </c>
      <c r="Z141">
        <f t="shared" si="82"/>
        <v>1</v>
      </c>
      <c r="AA141">
        <f t="shared" si="97"/>
        <v>4</v>
      </c>
      <c r="AB141">
        <f t="shared" si="83"/>
        <v>122852</v>
      </c>
      <c r="AC141">
        <f t="shared" si="84"/>
        <v>51342.53</v>
      </c>
      <c r="AD141" t="str">
        <f t="shared" si="85"/>
        <v>73</v>
      </c>
      <c r="AE141">
        <f t="shared" si="86"/>
        <v>1</v>
      </c>
      <c r="AF141">
        <f t="shared" si="98"/>
        <v>4</v>
      </c>
      <c r="AG141">
        <f t="shared" si="87"/>
        <v>124517</v>
      </c>
      <c r="AH141">
        <f t="shared" si="88"/>
        <v>51679.38</v>
      </c>
      <c r="AI141" t="str">
        <f t="shared" si="89"/>
        <v>77</v>
      </c>
      <c r="AJ141">
        <f t="shared" si="90"/>
        <v>1</v>
      </c>
      <c r="AK141">
        <f t="shared" si="99"/>
        <v>4</v>
      </c>
      <c r="AL141">
        <f t="shared" si="91"/>
        <v>131912</v>
      </c>
      <c r="AM141">
        <f t="shared" si="92"/>
        <v>51452.98</v>
      </c>
      <c r="AN141" t="str">
        <f t="shared" si="93"/>
        <v>04</v>
      </c>
      <c r="AO141">
        <f t="shared" si="94"/>
        <v>1</v>
      </c>
    </row>
    <row r="142" spans="1:41" x14ac:dyDescent="0.4">
      <c r="A142" t="str">
        <f>IF($CM$6=0,"",IF(INDEX('⑩ 원문 보관'!$A:$E,$CM$6+ROW()-9,COLUMN())="","",INDEX('⑩ 원문 보관'!$A:$E,$CM$6+ROW()-9,COLUMN())))</f>
        <v xml:space="preserve">112642.0  51334.51 99 </v>
      </c>
      <c r="B142" t="str">
        <f>IF($CM$6=0,"",IF(INDEX('⑩ 원문 보관'!$A:$E,$CM$6+ROW()-9,COLUMN())="","",INDEX('⑩ 원문 보관'!$A:$E,$CM$6+ROW()-9,COLUMN())))</f>
        <v xml:space="preserve">115407.0  51533.50 99 </v>
      </c>
      <c r="C142" t="str">
        <f>IF($CM$6=0,"",IF(INDEX('⑩ 원문 보관'!$A:$E,$CM$6+ROW()-9,COLUMN())="","",INDEX('⑩ 원문 보관'!$A:$E,$CM$6+ROW()-9,COLUMN())))</f>
        <v xml:space="preserve">122857.0  51341.54 63 </v>
      </c>
      <c r="D142" t="str">
        <f>IF($CM$6=0,"",IF(INDEX('⑩ 원문 보관'!$A:$E,$CM$6+ROW()-9,COLUMN())="","",INDEX('⑩ 원문 보관'!$A:$E,$CM$6+ROW()-9,COLUMN())))</f>
        <v xml:space="preserve">124522.0  51679.49 97 </v>
      </c>
      <c r="E142" t="str">
        <f>IF($CM$6=0,"",IF(INDEX('⑩ 원문 보관'!$A:$E,$CM$6+ROW()-9,COLUMN())="","",INDEX('⑩ 원문 보관'!$A:$E,$CM$6+ROW()-9,COLUMN())))</f>
        <v xml:space="preserve">131917.0  51430.20 04 </v>
      </c>
      <c r="Q142">
        <f t="shared" si="95"/>
        <v>4</v>
      </c>
      <c r="R142">
        <f t="shared" si="75"/>
        <v>112642</v>
      </c>
      <c r="S142">
        <f t="shared" si="76"/>
        <v>51334.51</v>
      </c>
      <c r="T142" t="str">
        <f t="shared" si="77"/>
        <v>99</v>
      </c>
      <c r="U142">
        <f t="shared" si="78"/>
        <v>1</v>
      </c>
      <c r="V142">
        <f t="shared" si="96"/>
        <v>4</v>
      </c>
      <c r="W142">
        <f t="shared" si="79"/>
        <v>115407</v>
      </c>
      <c r="X142">
        <f t="shared" si="80"/>
        <v>51533.5</v>
      </c>
      <c r="Y142" t="str">
        <f t="shared" si="81"/>
        <v>99</v>
      </c>
      <c r="Z142">
        <f t="shared" si="82"/>
        <v>1</v>
      </c>
      <c r="AA142">
        <f t="shared" si="97"/>
        <v>4</v>
      </c>
      <c r="AB142">
        <f t="shared" si="83"/>
        <v>122857</v>
      </c>
      <c r="AC142">
        <f t="shared" si="84"/>
        <v>51341.54</v>
      </c>
      <c r="AD142" t="str">
        <f t="shared" si="85"/>
        <v>63</v>
      </c>
      <c r="AE142">
        <f t="shared" si="86"/>
        <v>1</v>
      </c>
      <c r="AF142">
        <f t="shared" si="98"/>
        <v>4</v>
      </c>
      <c r="AG142">
        <f t="shared" si="87"/>
        <v>124522</v>
      </c>
      <c r="AH142">
        <f t="shared" si="88"/>
        <v>51679.49</v>
      </c>
      <c r="AI142" t="str">
        <f t="shared" si="89"/>
        <v>97</v>
      </c>
      <c r="AJ142">
        <f t="shared" si="90"/>
        <v>1</v>
      </c>
      <c r="AK142">
        <f t="shared" si="99"/>
        <v>4</v>
      </c>
      <c r="AL142">
        <f t="shared" si="91"/>
        <v>131917</v>
      </c>
      <c r="AM142">
        <f t="shared" si="92"/>
        <v>51430.2</v>
      </c>
      <c r="AN142" t="str">
        <f t="shared" si="93"/>
        <v>04</v>
      </c>
      <c r="AO142">
        <f t="shared" si="94"/>
        <v>1</v>
      </c>
    </row>
    <row r="143" spans="1:41" x14ac:dyDescent="0.4">
      <c r="A143" t="str">
        <f>IF($CM$6=0,"",IF(INDEX('⑩ 원문 보관'!$A:$E,$CM$6+ROW()-9,COLUMN())="","",INDEX('⑩ 원문 보관'!$A:$E,$CM$6+ROW()-9,COLUMN())))</f>
        <v xml:space="preserve">112647.0  51334.49 99 </v>
      </c>
      <c r="B143" t="str">
        <f>IF($CM$6=0,"",IF(INDEX('⑩ 원문 보관'!$A:$E,$CM$6+ROW()-9,COLUMN())="","",INDEX('⑩ 원문 보관'!$A:$E,$CM$6+ROW()-9,COLUMN())))</f>
        <v xml:space="preserve">115412.0  51533.31 99 </v>
      </c>
      <c r="C143" t="str">
        <f>IF($CM$6=0,"",IF(INDEX('⑩ 원문 보관'!$A:$E,$CM$6+ROW()-9,COLUMN())="","",INDEX('⑩ 원문 보관'!$A:$E,$CM$6+ROW()-9,COLUMN())))</f>
        <v xml:space="preserve">122902.0  51342.61 43 </v>
      </c>
      <c r="D143" t="str">
        <f>IF($CM$6=0,"",IF(INDEX('⑩ 원문 보관'!$A:$E,$CM$6+ROW()-9,COLUMN())="","",INDEX('⑩ 원문 보관'!$A:$E,$CM$6+ROW()-9,COLUMN())))</f>
        <v xml:space="preserve">124527.0  51679.38 87 </v>
      </c>
      <c r="E143" t="str">
        <f>IF($CM$6=0,"",IF(INDEX('⑩ 원문 보관'!$A:$E,$CM$6+ROW()-9,COLUMN())="","",INDEX('⑩ 원문 보관'!$A:$E,$CM$6+ROW()-9,COLUMN())))</f>
        <v xml:space="preserve">131922.0  51442.57 04 </v>
      </c>
      <c r="Q143">
        <f t="shared" si="95"/>
        <v>4</v>
      </c>
      <c r="R143">
        <f t="shared" si="75"/>
        <v>112647</v>
      </c>
      <c r="S143">
        <f t="shared" si="76"/>
        <v>51334.49</v>
      </c>
      <c r="T143" t="str">
        <f t="shared" si="77"/>
        <v>99</v>
      </c>
      <c r="U143">
        <f t="shared" si="78"/>
        <v>1</v>
      </c>
      <c r="V143">
        <f t="shared" si="96"/>
        <v>4</v>
      </c>
      <c r="W143">
        <f t="shared" si="79"/>
        <v>115412</v>
      </c>
      <c r="X143">
        <f t="shared" si="80"/>
        <v>51533.31</v>
      </c>
      <c r="Y143" t="str">
        <f t="shared" si="81"/>
        <v>99</v>
      </c>
      <c r="Z143">
        <f t="shared" si="82"/>
        <v>1</v>
      </c>
      <c r="AA143">
        <f t="shared" si="97"/>
        <v>4</v>
      </c>
      <c r="AB143">
        <f t="shared" si="83"/>
        <v>122902</v>
      </c>
      <c r="AC143">
        <f t="shared" si="84"/>
        <v>51342.61</v>
      </c>
      <c r="AD143" t="str">
        <f t="shared" si="85"/>
        <v>43</v>
      </c>
      <c r="AE143">
        <f t="shared" si="86"/>
        <v>1</v>
      </c>
      <c r="AF143">
        <f t="shared" si="98"/>
        <v>4</v>
      </c>
      <c r="AG143">
        <f t="shared" si="87"/>
        <v>124527</v>
      </c>
      <c r="AH143">
        <f t="shared" si="88"/>
        <v>51679.38</v>
      </c>
      <c r="AI143" t="str">
        <f t="shared" si="89"/>
        <v>87</v>
      </c>
      <c r="AJ143">
        <f t="shared" si="90"/>
        <v>1</v>
      </c>
      <c r="AK143">
        <f t="shared" si="99"/>
        <v>4</v>
      </c>
      <c r="AL143">
        <f t="shared" si="91"/>
        <v>131922</v>
      </c>
      <c r="AM143">
        <f t="shared" si="92"/>
        <v>51442.57</v>
      </c>
      <c r="AN143" t="str">
        <f t="shared" si="93"/>
        <v>04</v>
      </c>
      <c r="AO143">
        <f t="shared" si="94"/>
        <v>1</v>
      </c>
    </row>
    <row r="144" spans="1:41" x14ac:dyDescent="0.4">
      <c r="A144" t="str">
        <f>IF($CM$6=0,"",IF(INDEX('⑩ 원문 보관'!$A:$E,$CM$6+ROW()-9,COLUMN())="","",INDEX('⑩ 원문 보관'!$A:$E,$CM$6+ROW()-9,COLUMN())))</f>
        <v xml:space="preserve">112652.0  51334.41 99 </v>
      </c>
      <c r="B144" t="str">
        <f>IF($CM$6=0,"",IF(INDEX('⑩ 원문 보관'!$A:$E,$CM$6+ROW()-9,COLUMN())="","",INDEX('⑩ 원문 보관'!$A:$E,$CM$6+ROW()-9,COLUMN())))</f>
        <v xml:space="preserve">115417.0  51533.44 98 </v>
      </c>
      <c r="C144" t="str">
        <f>IF($CM$6=0,"",IF(INDEX('⑩ 원문 보관'!$A:$E,$CM$6+ROW()-9,COLUMN())="","",INDEX('⑩ 원문 보관'!$A:$E,$CM$6+ROW()-9,COLUMN())))</f>
        <v xml:space="preserve">122907.0  51342.69 54 </v>
      </c>
      <c r="D144" t="str">
        <f>IF($CM$6=0,"",IF(INDEX('⑩ 원문 보관'!$A:$E,$CM$6+ROW()-9,COLUMN())="","",INDEX('⑩ 원문 보관'!$A:$E,$CM$6+ROW()-9,COLUMN())))</f>
        <v xml:space="preserve">124532.0  51679.29 87 </v>
      </c>
      <c r="E144" t="str">
        <f>IF($CM$6=0,"",IF(INDEX('⑩ 원문 보관'!$A:$E,$CM$6+ROW()-9,COLUMN())="","",INDEX('⑩ 원문 보관'!$A:$E,$CM$6+ROW()-9,COLUMN())))</f>
        <v xml:space="preserve">131927.0  51444.60 04 </v>
      </c>
      <c r="Q144">
        <f t="shared" si="95"/>
        <v>4</v>
      </c>
      <c r="R144">
        <f t="shared" si="75"/>
        <v>112652</v>
      </c>
      <c r="S144">
        <f t="shared" si="76"/>
        <v>51334.41</v>
      </c>
      <c r="T144" t="str">
        <f t="shared" si="77"/>
        <v>99</v>
      </c>
      <c r="U144">
        <f t="shared" si="78"/>
        <v>1</v>
      </c>
      <c r="V144">
        <f t="shared" si="96"/>
        <v>4</v>
      </c>
      <c r="W144">
        <f t="shared" si="79"/>
        <v>115417</v>
      </c>
      <c r="X144">
        <f t="shared" si="80"/>
        <v>51533.440000000002</v>
      </c>
      <c r="Y144" t="str">
        <f t="shared" si="81"/>
        <v>98</v>
      </c>
      <c r="Z144">
        <f t="shared" si="82"/>
        <v>1</v>
      </c>
      <c r="AA144">
        <f t="shared" si="97"/>
        <v>4</v>
      </c>
      <c r="AB144">
        <f t="shared" si="83"/>
        <v>122907</v>
      </c>
      <c r="AC144">
        <f t="shared" si="84"/>
        <v>51342.69</v>
      </c>
      <c r="AD144" t="str">
        <f t="shared" si="85"/>
        <v>54</v>
      </c>
      <c r="AE144">
        <f t="shared" si="86"/>
        <v>1</v>
      </c>
      <c r="AF144">
        <f t="shared" si="98"/>
        <v>4</v>
      </c>
      <c r="AG144">
        <f t="shared" si="87"/>
        <v>124532</v>
      </c>
      <c r="AH144">
        <f t="shared" si="88"/>
        <v>51679.29</v>
      </c>
      <c r="AI144" t="str">
        <f t="shared" si="89"/>
        <v>87</v>
      </c>
      <c r="AJ144">
        <f t="shared" si="90"/>
        <v>1</v>
      </c>
      <c r="AK144">
        <f t="shared" si="99"/>
        <v>4</v>
      </c>
      <c r="AL144">
        <f t="shared" si="91"/>
        <v>131927</v>
      </c>
      <c r="AM144">
        <f t="shared" si="92"/>
        <v>51444.6</v>
      </c>
      <c r="AN144" t="str">
        <f t="shared" si="93"/>
        <v>04</v>
      </c>
      <c r="AO144">
        <f t="shared" si="94"/>
        <v>1</v>
      </c>
    </row>
    <row r="145" spans="1:41" x14ac:dyDescent="0.4">
      <c r="A145" t="str">
        <f>IF($CM$6=0,"",IF(INDEX('⑩ 원문 보관'!$A:$E,$CM$6+ROW()-9,COLUMN())="","",INDEX('⑩ 원문 보관'!$A:$E,$CM$6+ROW()-9,COLUMN())))</f>
        <v xml:space="preserve">112657.0  51334.48 99 </v>
      </c>
      <c r="B145" t="str">
        <f>IF($CM$6=0,"",IF(INDEX('⑩ 원문 보관'!$A:$E,$CM$6+ROW()-9,COLUMN())="","",INDEX('⑩ 원문 보관'!$A:$E,$CM$6+ROW()-9,COLUMN())))</f>
        <v xml:space="preserve">115422.0  51533.38 98 </v>
      </c>
      <c r="C145" t="str">
        <f>IF($CM$6=0,"",IF(INDEX('⑩ 원문 보관'!$A:$E,$CM$6+ROW()-9,COLUMN())="","",INDEX('⑩ 원문 보관'!$A:$E,$CM$6+ROW()-9,COLUMN())))</f>
        <v xml:space="preserve">122912.0  51342.87 83 </v>
      </c>
      <c r="D145" t="str">
        <f>IF($CM$6=0,"",IF(INDEX('⑩ 원문 보관'!$A:$E,$CM$6+ROW()-9,COLUMN())="","",INDEX('⑩ 원문 보관'!$A:$E,$CM$6+ROW()-9,COLUMN())))</f>
        <v xml:space="preserve">124537.0  51679.34 97 </v>
      </c>
      <c r="E145" t="str">
        <f>IF($CM$6=0,"",IF(INDEX('⑩ 원문 보관'!$A:$E,$CM$6+ROW()-9,COLUMN())="","",INDEX('⑩ 원문 보관'!$A:$E,$CM$6+ROW()-9,COLUMN())))</f>
        <v xml:space="preserve">131932.0  51500.74 04 </v>
      </c>
      <c r="Q145">
        <f t="shared" si="95"/>
        <v>4</v>
      </c>
      <c r="R145">
        <f t="shared" si="75"/>
        <v>112657</v>
      </c>
      <c r="S145">
        <f t="shared" si="76"/>
        <v>51334.48</v>
      </c>
      <c r="T145" t="str">
        <f t="shared" si="77"/>
        <v>99</v>
      </c>
      <c r="U145">
        <f t="shared" si="78"/>
        <v>1</v>
      </c>
      <c r="V145">
        <f t="shared" si="96"/>
        <v>4</v>
      </c>
      <c r="W145">
        <f t="shared" si="79"/>
        <v>115422</v>
      </c>
      <c r="X145">
        <f t="shared" si="80"/>
        <v>51533.38</v>
      </c>
      <c r="Y145" t="str">
        <f t="shared" si="81"/>
        <v>98</v>
      </c>
      <c r="Z145">
        <f t="shared" si="82"/>
        <v>1</v>
      </c>
      <c r="AA145">
        <f t="shared" si="97"/>
        <v>4</v>
      </c>
      <c r="AB145">
        <f t="shared" si="83"/>
        <v>122912</v>
      </c>
      <c r="AC145">
        <f t="shared" si="84"/>
        <v>51342.87</v>
      </c>
      <c r="AD145" t="str">
        <f t="shared" si="85"/>
        <v>83</v>
      </c>
      <c r="AE145">
        <f t="shared" si="86"/>
        <v>1</v>
      </c>
      <c r="AF145">
        <f t="shared" si="98"/>
        <v>4</v>
      </c>
      <c r="AG145">
        <f t="shared" si="87"/>
        <v>124537</v>
      </c>
      <c r="AH145">
        <f t="shared" si="88"/>
        <v>51679.34</v>
      </c>
      <c r="AI145" t="str">
        <f t="shared" si="89"/>
        <v>97</v>
      </c>
      <c r="AJ145">
        <f t="shared" si="90"/>
        <v>1</v>
      </c>
      <c r="AK145">
        <f t="shared" si="99"/>
        <v>4</v>
      </c>
      <c r="AL145">
        <f t="shared" si="91"/>
        <v>131932</v>
      </c>
      <c r="AM145">
        <f t="shared" si="92"/>
        <v>51500.74</v>
      </c>
      <c r="AN145" t="str">
        <f t="shared" si="93"/>
        <v>04</v>
      </c>
      <c r="AO145">
        <f t="shared" si="94"/>
        <v>1</v>
      </c>
    </row>
    <row r="146" spans="1:41" x14ac:dyDescent="0.4">
      <c r="A146" t="str">
        <f>IF($CM$6=0,"",IF(INDEX('⑩ 원문 보관'!$A:$E,$CM$6+ROW()-9,COLUMN())="","",INDEX('⑩ 원문 보관'!$A:$E,$CM$6+ROW()-9,COLUMN())))</f>
        <v xml:space="preserve">112702.0  51334.45 99 </v>
      </c>
      <c r="B146" t="str">
        <f>IF($CM$6=0,"",IF(INDEX('⑩ 원문 보관'!$A:$E,$CM$6+ROW()-9,COLUMN())="","",INDEX('⑩ 원문 보관'!$A:$E,$CM$6+ROW()-9,COLUMN())))</f>
        <v xml:space="preserve">115427.0  51533.39 99 </v>
      </c>
      <c r="C146" t="str">
        <f>IF($CM$6=0,"",IF(INDEX('⑩ 원문 보관'!$A:$E,$CM$6+ROW()-9,COLUMN())="","",INDEX('⑩ 원문 보관'!$A:$E,$CM$6+ROW()-9,COLUMN())))</f>
        <v xml:space="preserve">122917.0  51342.34 53 </v>
      </c>
      <c r="D146" t="str">
        <f>IF($CM$6=0,"",IF(INDEX('⑩ 원문 보관'!$A:$E,$CM$6+ROW()-9,COLUMN())="","",INDEX('⑩ 원문 보관'!$A:$E,$CM$6+ROW()-9,COLUMN())))</f>
        <v xml:space="preserve">124542.0  51679.18 88 </v>
      </c>
      <c r="E146" t="str">
        <f>IF($CM$6=0,"",IF(INDEX('⑩ 원문 보관'!$A:$E,$CM$6+ROW()-9,COLUMN())="","",INDEX('⑩ 원문 보관'!$A:$E,$CM$6+ROW()-9,COLUMN())))</f>
        <v xml:space="preserve">131937.0  51458.15 04 </v>
      </c>
      <c r="Q146">
        <f t="shared" si="95"/>
        <v>4</v>
      </c>
      <c r="R146">
        <f t="shared" si="75"/>
        <v>112702</v>
      </c>
      <c r="S146">
        <f t="shared" si="76"/>
        <v>51334.45</v>
      </c>
      <c r="T146" t="str">
        <f t="shared" si="77"/>
        <v>99</v>
      </c>
      <c r="U146">
        <f t="shared" si="78"/>
        <v>1</v>
      </c>
      <c r="V146">
        <f t="shared" si="96"/>
        <v>4</v>
      </c>
      <c r="W146">
        <f t="shared" si="79"/>
        <v>115427</v>
      </c>
      <c r="X146">
        <f t="shared" si="80"/>
        <v>51533.39</v>
      </c>
      <c r="Y146" t="str">
        <f t="shared" si="81"/>
        <v>99</v>
      </c>
      <c r="Z146">
        <f t="shared" si="82"/>
        <v>1</v>
      </c>
      <c r="AA146">
        <f t="shared" si="97"/>
        <v>4</v>
      </c>
      <c r="AB146">
        <f t="shared" si="83"/>
        <v>122917</v>
      </c>
      <c r="AC146">
        <f t="shared" si="84"/>
        <v>51342.34</v>
      </c>
      <c r="AD146" t="str">
        <f t="shared" si="85"/>
        <v>53</v>
      </c>
      <c r="AE146">
        <f t="shared" si="86"/>
        <v>1</v>
      </c>
      <c r="AF146">
        <f t="shared" si="98"/>
        <v>4</v>
      </c>
      <c r="AG146">
        <f t="shared" si="87"/>
        <v>124542</v>
      </c>
      <c r="AH146">
        <f t="shared" si="88"/>
        <v>51679.18</v>
      </c>
      <c r="AI146" t="str">
        <f t="shared" si="89"/>
        <v>88</v>
      </c>
      <c r="AJ146">
        <f t="shared" si="90"/>
        <v>1</v>
      </c>
      <c r="AK146">
        <f t="shared" si="99"/>
        <v>4</v>
      </c>
      <c r="AL146">
        <f t="shared" si="91"/>
        <v>131937</v>
      </c>
      <c r="AM146">
        <f t="shared" si="92"/>
        <v>51458.15</v>
      </c>
      <c r="AN146" t="str">
        <f t="shared" si="93"/>
        <v>04</v>
      </c>
      <c r="AO146">
        <f t="shared" si="94"/>
        <v>1</v>
      </c>
    </row>
    <row r="147" spans="1:41" x14ac:dyDescent="0.4">
      <c r="A147" t="str">
        <f>IF($CM$6=0,"",IF(INDEX('⑩ 원문 보관'!$A:$E,$CM$6+ROW()-9,COLUMN())="","",INDEX('⑩ 원문 보관'!$A:$E,$CM$6+ROW()-9,COLUMN())))</f>
        <v xml:space="preserve">112707.0  51334.54 99 </v>
      </c>
      <c r="B147" t="str">
        <f>IF($CM$6=0,"",IF(INDEX('⑩ 원문 보관'!$A:$E,$CM$6+ROW()-9,COLUMN())="","",INDEX('⑩ 원문 보관'!$A:$E,$CM$6+ROW()-9,COLUMN())))</f>
        <v xml:space="preserve">115432.0  51533.48 98 </v>
      </c>
      <c r="C147" t="str">
        <f>IF($CM$6=0,"",IF(INDEX('⑩ 원문 보관'!$A:$E,$CM$6+ROW()-9,COLUMN())="","",INDEX('⑩ 원문 보관'!$A:$E,$CM$6+ROW()-9,COLUMN())))</f>
        <v xml:space="preserve">122922.0  51342.09 74 </v>
      </c>
      <c r="D147" t="str">
        <f>IF($CM$6=0,"",IF(INDEX('⑩ 원문 보관'!$A:$E,$CM$6+ROW()-9,COLUMN())="","",INDEX('⑩ 원문 보관'!$A:$E,$CM$6+ROW()-9,COLUMN())))</f>
        <v xml:space="preserve">124547.0  51678.82 97 </v>
      </c>
      <c r="E147" t="str">
        <f>IF($CM$6=0,"",IF(INDEX('⑩ 원문 보관'!$A:$E,$CM$6+ROW()-9,COLUMN())="","",INDEX('⑩ 원문 보관'!$A:$E,$CM$6+ROW()-9,COLUMN())))</f>
        <v xml:space="preserve">131942.0  51460.42 04 </v>
      </c>
      <c r="Q147">
        <f t="shared" si="95"/>
        <v>4</v>
      </c>
      <c r="R147">
        <f t="shared" si="75"/>
        <v>112707</v>
      </c>
      <c r="S147">
        <f t="shared" si="76"/>
        <v>51334.54</v>
      </c>
      <c r="T147" t="str">
        <f t="shared" si="77"/>
        <v>99</v>
      </c>
      <c r="U147">
        <f t="shared" si="78"/>
        <v>1</v>
      </c>
      <c r="V147">
        <f t="shared" si="96"/>
        <v>4</v>
      </c>
      <c r="W147">
        <f t="shared" si="79"/>
        <v>115432</v>
      </c>
      <c r="X147">
        <f t="shared" si="80"/>
        <v>51533.48</v>
      </c>
      <c r="Y147" t="str">
        <f t="shared" si="81"/>
        <v>98</v>
      </c>
      <c r="Z147">
        <f t="shared" si="82"/>
        <v>1</v>
      </c>
      <c r="AA147">
        <f t="shared" si="97"/>
        <v>4</v>
      </c>
      <c r="AB147">
        <f t="shared" si="83"/>
        <v>122922</v>
      </c>
      <c r="AC147">
        <f t="shared" si="84"/>
        <v>51342.09</v>
      </c>
      <c r="AD147" t="str">
        <f t="shared" si="85"/>
        <v>74</v>
      </c>
      <c r="AE147">
        <f t="shared" si="86"/>
        <v>1</v>
      </c>
      <c r="AF147">
        <f t="shared" si="98"/>
        <v>4</v>
      </c>
      <c r="AG147">
        <f t="shared" si="87"/>
        <v>124547</v>
      </c>
      <c r="AH147">
        <f t="shared" si="88"/>
        <v>51678.82</v>
      </c>
      <c r="AI147" t="str">
        <f t="shared" si="89"/>
        <v>97</v>
      </c>
      <c r="AJ147">
        <f t="shared" si="90"/>
        <v>1</v>
      </c>
      <c r="AK147">
        <f t="shared" si="99"/>
        <v>4</v>
      </c>
      <c r="AL147">
        <f t="shared" si="91"/>
        <v>131942</v>
      </c>
      <c r="AM147">
        <f t="shared" si="92"/>
        <v>51460.42</v>
      </c>
      <c r="AN147" t="str">
        <f t="shared" si="93"/>
        <v>04</v>
      </c>
      <c r="AO147">
        <f t="shared" si="94"/>
        <v>1</v>
      </c>
    </row>
    <row r="148" spans="1:41" x14ac:dyDescent="0.4">
      <c r="A148" t="str">
        <f>IF($CM$6=0,"",IF(INDEX('⑩ 원문 보관'!$A:$E,$CM$6+ROW()-9,COLUMN())="","",INDEX('⑩ 원문 보관'!$A:$E,$CM$6+ROW()-9,COLUMN())))</f>
        <v xml:space="preserve">112712.0  51334.45 99 </v>
      </c>
      <c r="B148" t="str">
        <f>IF($CM$6=0,"",IF(INDEX('⑩ 원문 보관'!$A:$E,$CM$6+ROW()-9,COLUMN())="","",INDEX('⑩ 원문 보관'!$A:$E,$CM$6+ROW()-9,COLUMN())))</f>
        <v xml:space="preserve">115437.0  51533.55 98 </v>
      </c>
      <c r="C148" t="str">
        <f>IF($CM$6=0,"",IF(INDEX('⑩ 원문 보관'!$A:$E,$CM$6+ROW()-9,COLUMN())="","",INDEX('⑩ 원문 보관'!$A:$E,$CM$6+ROW()-9,COLUMN())))</f>
        <v/>
      </c>
      <c r="D148" t="str">
        <f>IF($CM$6=0,"",IF(INDEX('⑩ 원문 보관'!$A:$E,$CM$6+ROW()-9,COLUMN())="","",INDEX('⑩ 원문 보관'!$A:$E,$CM$6+ROW()-9,COLUMN())))</f>
        <v/>
      </c>
      <c r="E148" t="str">
        <f>IF($CM$6=0,"",IF(INDEX('⑩ 원문 보관'!$A:$E,$CM$6+ROW()-9,COLUMN())="","",INDEX('⑩ 원문 보관'!$A:$E,$CM$6+ROW()-9,COLUMN())))</f>
        <v xml:space="preserve">131947.0  51456.94 03 </v>
      </c>
      <c r="Q148">
        <f t="shared" si="95"/>
        <v>4</v>
      </c>
      <c r="R148">
        <f t="shared" si="75"/>
        <v>112712</v>
      </c>
      <c r="S148">
        <f t="shared" si="76"/>
        <v>51334.45</v>
      </c>
      <c r="T148" t="str">
        <f t="shared" si="77"/>
        <v>99</v>
      </c>
      <c r="U148">
        <f t="shared" si="78"/>
        <v>1</v>
      </c>
      <c r="V148">
        <f t="shared" si="96"/>
        <v>4</v>
      </c>
      <c r="W148">
        <f t="shared" si="79"/>
        <v>115437</v>
      </c>
      <c r="X148">
        <f t="shared" si="80"/>
        <v>51533.55</v>
      </c>
      <c r="Y148" t="str">
        <f t="shared" si="81"/>
        <v>98</v>
      </c>
      <c r="Z148">
        <f t="shared" si="82"/>
        <v>1</v>
      </c>
      <c r="AA148">
        <f t="shared" si="97"/>
        <v>4</v>
      </c>
      <c r="AB148" t="str">
        <f t="shared" si="83"/>
        <v/>
      </c>
      <c r="AC148" t="str">
        <f t="shared" si="84"/>
        <v/>
      </c>
      <c r="AD148" t="str">
        <f t="shared" si="85"/>
        <v/>
      </c>
      <c r="AE148">
        <f t="shared" si="86"/>
        <v>0</v>
      </c>
      <c r="AF148">
        <f t="shared" si="98"/>
        <v>4</v>
      </c>
      <c r="AG148" t="str">
        <f t="shared" si="87"/>
        <v/>
      </c>
      <c r="AH148" t="str">
        <f t="shared" si="88"/>
        <v/>
      </c>
      <c r="AI148" t="str">
        <f t="shared" si="89"/>
        <v/>
      </c>
      <c r="AJ148">
        <f t="shared" si="90"/>
        <v>0</v>
      </c>
      <c r="AK148">
        <f t="shared" si="99"/>
        <v>4</v>
      </c>
      <c r="AL148">
        <f t="shared" si="91"/>
        <v>131947</v>
      </c>
      <c r="AM148">
        <f t="shared" si="92"/>
        <v>51456.94</v>
      </c>
      <c r="AN148" t="str">
        <f t="shared" si="93"/>
        <v>03</v>
      </c>
      <c r="AO148">
        <f t="shared" si="94"/>
        <v>1</v>
      </c>
    </row>
    <row r="149" spans="1:41" x14ac:dyDescent="0.4">
      <c r="A149" t="str">
        <f>IF($CM$6=0,"",IF(INDEX('⑩ 원문 보관'!$A:$E,$CM$6+ROW()-9,COLUMN())="","",INDEX('⑩ 원문 보관'!$A:$E,$CM$6+ROW()-9,COLUMN())))</f>
        <v xml:space="preserve">112717.0  51334.44 99 </v>
      </c>
      <c r="B149" t="str">
        <f>IF($CM$6=0,"",IF(INDEX('⑩ 원문 보관'!$A:$E,$CM$6+ROW()-9,COLUMN())="","",INDEX('⑩ 원문 보관'!$A:$E,$CM$6+ROW()-9,COLUMN())))</f>
        <v xml:space="preserve">115442.0  51533.36 99 </v>
      </c>
      <c r="C149" t="str">
        <f>IF($CM$6=0,"",IF(INDEX('⑩ 원문 보관'!$A:$E,$CM$6+ROW()-9,COLUMN())="","",INDEX('⑩ 원문 보관'!$A:$E,$CM$6+ROW()-9,COLUMN())))</f>
        <v/>
      </c>
      <c r="D149" t="str">
        <f>IF($CM$6=0,"",IF(INDEX('⑩ 원문 보관'!$A:$E,$CM$6+ROW()-9,COLUMN())="","",INDEX('⑩ 원문 보관'!$A:$E,$CM$6+ROW()-9,COLUMN())))</f>
        <v/>
      </c>
      <c r="E149" t="str">
        <f>IF($CM$6=0,"",IF(INDEX('⑩ 원문 보관'!$A:$E,$CM$6+ROW()-9,COLUMN())="","",INDEX('⑩ 원문 보관'!$A:$E,$CM$6+ROW()-9,COLUMN())))</f>
        <v xml:space="preserve">131952.0  00000.00 04 </v>
      </c>
      <c r="Q149">
        <f t="shared" si="95"/>
        <v>4</v>
      </c>
      <c r="R149">
        <f t="shared" si="75"/>
        <v>112717</v>
      </c>
      <c r="S149">
        <f t="shared" si="76"/>
        <v>51334.44</v>
      </c>
      <c r="T149" t="str">
        <f t="shared" si="77"/>
        <v>99</v>
      </c>
      <c r="U149">
        <f t="shared" si="78"/>
        <v>1</v>
      </c>
      <c r="V149">
        <f t="shared" si="96"/>
        <v>4</v>
      </c>
      <c r="W149">
        <f t="shared" si="79"/>
        <v>115442</v>
      </c>
      <c r="X149">
        <f t="shared" si="80"/>
        <v>51533.36</v>
      </c>
      <c r="Y149" t="str">
        <f t="shared" si="81"/>
        <v>99</v>
      </c>
      <c r="Z149">
        <f t="shared" si="82"/>
        <v>1</v>
      </c>
      <c r="AA149">
        <f t="shared" si="97"/>
        <v>4</v>
      </c>
      <c r="AB149" t="str">
        <f t="shared" si="83"/>
        <v/>
      </c>
      <c r="AC149" t="str">
        <f t="shared" si="84"/>
        <v/>
      </c>
      <c r="AD149" t="str">
        <f t="shared" si="85"/>
        <v/>
      </c>
      <c r="AE149">
        <f t="shared" si="86"/>
        <v>0</v>
      </c>
      <c r="AF149">
        <f t="shared" si="98"/>
        <v>4</v>
      </c>
      <c r="AG149" t="str">
        <f t="shared" si="87"/>
        <v/>
      </c>
      <c r="AH149" t="str">
        <f t="shared" si="88"/>
        <v/>
      </c>
      <c r="AI149" t="str">
        <f t="shared" si="89"/>
        <v/>
      </c>
      <c r="AJ149">
        <f t="shared" si="90"/>
        <v>0</v>
      </c>
      <c r="AK149">
        <f t="shared" si="99"/>
        <v>4</v>
      </c>
      <c r="AL149">
        <f t="shared" si="91"/>
        <v>131952</v>
      </c>
      <c r="AM149">
        <f t="shared" si="92"/>
        <v>0</v>
      </c>
      <c r="AN149" t="str">
        <f t="shared" si="93"/>
        <v>04</v>
      </c>
      <c r="AO149">
        <f t="shared" si="94"/>
        <v>0</v>
      </c>
    </row>
    <row r="150" spans="1:41" x14ac:dyDescent="0.4">
      <c r="A150" t="str">
        <f>IF($CM$6=0,"",IF(INDEX('⑩ 원문 보관'!$A:$E,$CM$6+ROW()-9,COLUMN())="","",INDEX('⑩ 원문 보관'!$A:$E,$CM$6+ROW()-9,COLUMN())))</f>
        <v xml:space="preserve">112722.0  51334.57 99 </v>
      </c>
      <c r="B150" t="str">
        <f>IF($CM$6=0,"",IF(INDEX('⑩ 원문 보관'!$A:$E,$CM$6+ROW()-9,COLUMN())="","",INDEX('⑩ 원문 보관'!$A:$E,$CM$6+ROW()-9,COLUMN())))</f>
        <v xml:space="preserve">115447.0  51533.49 99 </v>
      </c>
      <c r="C150" t="str">
        <f>IF($CM$6=0,"",IF(INDEX('⑩ 원문 보관'!$A:$E,$CM$6+ROW()-9,COLUMN())="","",INDEX('⑩ 원문 보관'!$A:$E,$CM$6+ROW()-9,COLUMN())))</f>
        <v xml:space="preserve">/Gem Systems GSM-19T 4106808 v7.0 26 IX 2014 M t-e2l..v7o                         </v>
      </c>
      <c r="D150" t="str">
        <f>IF($CM$6=0,"",IF(INDEX('⑩ 원문 보관'!$A:$E,$CM$6+ROW()-9,COLUMN())="","",INDEX('⑩ 원문 보관'!$A:$E,$CM$6+ROW()-9,COLUMN())))</f>
        <v xml:space="preserve">/Gem Systems GSM-19T 4106808 v7.0 26 IX 2014 M t-e2l..v7o                         </v>
      </c>
      <c r="E150" t="str">
        <f>IF($CM$6=0,"",IF(INDEX('⑩ 원문 보관'!$A:$E,$CM$6+ROW()-9,COLUMN())="","",INDEX('⑩ 원문 보관'!$A:$E,$CM$6+ROW()-9,COLUMN())))</f>
        <v xml:space="preserve">131957.0  51454.72 04 </v>
      </c>
      <c r="Q150">
        <f t="shared" si="95"/>
        <v>4</v>
      </c>
      <c r="R150">
        <f t="shared" si="75"/>
        <v>112722</v>
      </c>
      <c r="S150">
        <f t="shared" si="76"/>
        <v>51334.57</v>
      </c>
      <c r="T150" t="str">
        <f t="shared" si="77"/>
        <v>99</v>
      </c>
      <c r="U150">
        <f t="shared" si="78"/>
        <v>1</v>
      </c>
      <c r="V150">
        <f t="shared" si="96"/>
        <v>4</v>
      </c>
      <c r="W150">
        <f t="shared" si="79"/>
        <v>115447</v>
      </c>
      <c r="X150">
        <f t="shared" si="80"/>
        <v>51533.49</v>
      </c>
      <c r="Y150" t="str">
        <f t="shared" si="81"/>
        <v>99</v>
      </c>
      <c r="Z150">
        <f t="shared" si="82"/>
        <v>1</v>
      </c>
      <c r="AA150">
        <f t="shared" si="97"/>
        <v>4</v>
      </c>
      <c r="AB150" t="str">
        <f t="shared" si="83"/>
        <v/>
      </c>
      <c r="AC150" t="str">
        <f t="shared" si="84"/>
        <v/>
      </c>
      <c r="AD150" t="str">
        <f t="shared" si="85"/>
        <v>GSM-19T</v>
      </c>
      <c r="AE150">
        <f t="shared" si="86"/>
        <v>0</v>
      </c>
      <c r="AF150">
        <f t="shared" si="98"/>
        <v>4</v>
      </c>
      <c r="AG150" t="str">
        <f t="shared" si="87"/>
        <v/>
      </c>
      <c r="AH150" t="str">
        <f t="shared" si="88"/>
        <v/>
      </c>
      <c r="AI150" t="str">
        <f t="shared" si="89"/>
        <v>GSM-19T</v>
      </c>
      <c r="AJ150">
        <f t="shared" si="90"/>
        <v>0</v>
      </c>
      <c r="AK150">
        <f t="shared" si="99"/>
        <v>4</v>
      </c>
      <c r="AL150">
        <f t="shared" si="91"/>
        <v>131957</v>
      </c>
      <c r="AM150">
        <f t="shared" si="92"/>
        <v>51454.720000000001</v>
      </c>
      <c r="AN150" t="str">
        <f t="shared" si="93"/>
        <v>04</v>
      </c>
      <c r="AO150">
        <f t="shared" si="94"/>
        <v>1</v>
      </c>
    </row>
    <row r="151" spans="1:41" x14ac:dyDescent="0.4">
      <c r="A151" t="str">
        <f>IF($CM$6=0,"",IF(INDEX('⑩ 원문 보관'!$A:$E,$CM$6+ROW()-9,COLUMN())="","",INDEX('⑩ 원문 보관'!$A:$E,$CM$6+ROW()-9,COLUMN())))</f>
        <v xml:space="preserve">112727.0  51334.67 99 </v>
      </c>
      <c r="B151" t="str">
        <f>IF($CM$6=0,"",IF(INDEX('⑩ 원문 보관'!$A:$E,$CM$6+ROW()-9,COLUMN())="","",INDEX('⑩ 원문 보관'!$A:$E,$CM$6+ROW()-9,COLUMN())))</f>
        <v xml:space="preserve">115452.0  51533.48 98 </v>
      </c>
      <c r="C151" t="str">
        <f>IF($CM$6=0,"",IF(INDEX('⑩ 원문 보관'!$A:$E,$CM$6+ROW()-9,COLUMN())="","",INDEX('⑩ 원문 보관'!$A:$E,$CM$6+ROW()-9,COLUMN())))</f>
        <v>/ID 2666 file 26survey.b   21 IX 26</v>
      </c>
      <c r="D151" t="str">
        <f>IF($CM$6=0,"",IF(INDEX('⑩ 원문 보관'!$A:$E,$CM$6+ROW()-9,COLUMN())="","",INDEX('⑩ 원문 보관'!$A:$E,$CM$6+ROW()-9,COLUMN())))</f>
        <v>/ID 2666 file 32survey.b   21 IX 26</v>
      </c>
      <c r="E151" t="str">
        <f>IF($CM$6=0,"",IF(INDEX('⑩ 원문 보관'!$A:$E,$CM$6+ROW()-9,COLUMN())="","",INDEX('⑩ 원문 보관'!$A:$E,$CM$6+ROW()-9,COLUMN())))</f>
        <v xml:space="preserve">132002.0  51472.13 04 </v>
      </c>
      <c r="Q151">
        <f t="shared" si="95"/>
        <v>4</v>
      </c>
      <c r="R151">
        <f t="shared" si="75"/>
        <v>112727</v>
      </c>
      <c r="S151">
        <f t="shared" si="76"/>
        <v>51334.67</v>
      </c>
      <c r="T151" t="str">
        <f t="shared" si="77"/>
        <v>99</v>
      </c>
      <c r="U151">
        <f t="shared" si="78"/>
        <v>1</v>
      </c>
      <c r="V151">
        <f t="shared" si="96"/>
        <v>4</v>
      </c>
      <c r="W151">
        <f t="shared" si="79"/>
        <v>115452</v>
      </c>
      <c r="X151">
        <f t="shared" si="80"/>
        <v>51533.48</v>
      </c>
      <c r="Y151" t="str">
        <f t="shared" si="81"/>
        <v>98</v>
      </c>
      <c r="Z151">
        <f t="shared" si="82"/>
        <v>1</v>
      </c>
      <c r="AA151">
        <f t="shared" si="97"/>
        <v>4</v>
      </c>
      <c r="AB151" t="str">
        <f t="shared" si="83"/>
        <v/>
      </c>
      <c r="AC151">
        <f t="shared" si="84"/>
        <v>2666</v>
      </c>
      <c r="AD151" t="str">
        <f t="shared" si="85"/>
        <v>file</v>
      </c>
      <c r="AE151">
        <f t="shared" si="86"/>
        <v>0</v>
      </c>
      <c r="AF151">
        <f t="shared" si="98"/>
        <v>4</v>
      </c>
      <c r="AG151" t="str">
        <f t="shared" si="87"/>
        <v/>
      </c>
      <c r="AH151">
        <f t="shared" si="88"/>
        <v>2666</v>
      </c>
      <c r="AI151" t="str">
        <f t="shared" si="89"/>
        <v>file</v>
      </c>
      <c r="AJ151">
        <f t="shared" si="90"/>
        <v>0</v>
      </c>
      <c r="AK151">
        <f t="shared" si="99"/>
        <v>4</v>
      </c>
      <c r="AL151">
        <f t="shared" si="91"/>
        <v>132002</v>
      </c>
      <c r="AM151">
        <f t="shared" si="92"/>
        <v>51472.13</v>
      </c>
      <c r="AN151" t="str">
        <f t="shared" si="93"/>
        <v>04</v>
      </c>
      <c r="AO151">
        <f t="shared" si="94"/>
        <v>1</v>
      </c>
    </row>
    <row r="152" spans="1:41" x14ac:dyDescent="0.4">
      <c r="A152" t="str">
        <f>IF($CM$6=0,"",IF(INDEX('⑩ 원문 보관'!$A:$E,$CM$6+ROW()-9,COLUMN())="","",INDEX('⑩ 원문 보관'!$A:$E,$CM$6+ROW()-9,COLUMN())))</f>
        <v xml:space="preserve">112732.0  51334.67 98 </v>
      </c>
      <c r="B152" t="str">
        <f>IF($CM$6=0,"",IF(INDEX('⑩ 원문 보관'!$A:$E,$CM$6+ROW()-9,COLUMN())="","",INDEX('⑩ 원문 보관'!$A:$E,$CM$6+ROW()-9,COLUMN())))</f>
        <v xml:space="preserve">115457.0  51533.46 98 </v>
      </c>
      <c r="C152" t="str">
        <f>IF($CM$6=0,"",IF(INDEX('⑩ 원문 보관'!$A:$E,$CM$6+ROW()-9,COLUMN())="","",INDEX('⑩ 원문 보관'!$A:$E,$CM$6+ROW()-9,COLUMN())))</f>
        <v>/datum  57000.00</v>
      </c>
      <c r="D152" t="str">
        <f>IF($CM$6=0,"",IF(INDEX('⑩ 원문 보관'!$A:$E,$CM$6+ROW()-9,COLUMN())="","",INDEX('⑩ 원문 보관'!$A:$E,$CM$6+ROW()-9,COLUMN())))</f>
        <v>/datum  57000.00</v>
      </c>
      <c r="E152" t="str">
        <f>IF($CM$6=0,"",IF(INDEX('⑩ 원문 보관'!$A:$E,$CM$6+ROW()-9,COLUMN())="","",INDEX('⑩ 원문 보관'!$A:$E,$CM$6+ROW()-9,COLUMN())))</f>
        <v xml:space="preserve">132007.0  51441.18 03 </v>
      </c>
      <c r="Q152">
        <f t="shared" si="95"/>
        <v>4</v>
      </c>
      <c r="R152">
        <f t="shared" si="75"/>
        <v>112732</v>
      </c>
      <c r="S152">
        <f t="shared" si="76"/>
        <v>51334.67</v>
      </c>
      <c r="T152" t="str">
        <f t="shared" si="77"/>
        <v>98</v>
      </c>
      <c r="U152">
        <f t="shared" si="78"/>
        <v>1</v>
      </c>
      <c r="V152">
        <f t="shared" si="96"/>
        <v>4</v>
      </c>
      <c r="W152">
        <f t="shared" si="79"/>
        <v>115457</v>
      </c>
      <c r="X152">
        <f t="shared" si="80"/>
        <v>51533.46</v>
      </c>
      <c r="Y152" t="str">
        <f t="shared" si="81"/>
        <v>98</v>
      </c>
      <c r="Z152">
        <f t="shared" si="82"/>
        <v>1</v>
      </c>
      <c r="AA152">
        <f t="shared" si="97"/>
        <v>4</v>
      </c>
      <c r="AB152" t="str">
        <f t="shared" si="83"/>
        <v/>
      </c>
      <c r="AC152">
        <f t="shared" si="84"/>
        <v>57000</v>
      </c>
      <c r="AD152" t="str">
        <f t="shared" si="85"/>
        <v/>
      </c>
      <c r="AE152">
        <f t="shared" si="86"/>
        <v>0</v>
      </c>
      <c r="AF152">
        <f t="shared" si="98"/>
        <v>4</v>
      </c>
      <c r="AG152" t="str">
        <f t="shared" si="87"/>
        <v/>
      </c>
      <c r="AH152">
        <f t="shared" si="88"/>
        <v>57000</v>
      </c>
      <c r="AI152" t="str">
        <f t="shared" si="89"/>
        <v/>
      </c>
      <c r="AJ152">
        <f t="shared" si="90"/>
        <v>0</v>
      </c>
      <c r="AK152">
        <f t="shared" si="99"/>
        <v>4</v>
      </c>
      <c r="AL152">
        <f t="shared" si="91"/>
        <v>132007</v>
      </c>
      <c r="AM152">
        <f t="shared" si="92"/>
        <v>51441.18</v>
      </c>
      <c r="AN152" t="str">
        <f t="shared" si="93"/>
        <v>03</v>
      </c>
      <c r="AO152">
        <f t="shared" si="94"/>
        <v>1</v>
      </c>
    </row>
    <row r="153" spans="1:41" x14ac:dyDescent="0.4">
      <c r="A153" t="str">
        <f>IF($CM$6=0,"",IF(INDEX('⑩ 원문 보관'!$A:$E,$CM$6+ROW()-9,COLUMN())="","",INDEX('⑩ 원문 보관'!$A:$E,$CM$6+ROW()-9,COLUMN())))</f>
        <v xml:space="preserve">112737.0  51334.69 99 </v>
      </c>
      <c r="B153" t="str">
        <f>IF($CM$6=0,"",IF(INDEX('⑩ 원문 보관'!$A:$E,$CM$6+ROW()-9,COLUMN())="","",INDEX('⑩ 원문 보관'!$A:$E,$CM$6+ROW()-9,COLUMN())))</f>
        <v xml:space="preserve">115502.0  51533.60 98 </v>
      </c>
      <c r="C153" t="str">
        <f>IF($CM$6=0,"",IF(INDEX('⑩ 원문 보관'!$A:$E,$CM$6+ROW()-9,COLUMN())="","",INDEX('⑩ 원문 보관'!$A:$E,$CM$6+ROW()-9,COLUMN())))</f>
        <v>/</v>
      </c>
      <c r="D153" t="str">
        <f>IF($CM$6=0,"",IF(INDEX('⑩ 원문 보관'!$A:$E,$CM$6+ROW()-9,COLUMN())="","",INDEX('⑩ 원문 보관'!$A:$E,$CM$6+ROW()-9,COLUMN())))</f>
        <v>/</v>
      </c>
      <c r="E153" t="str">
        <f>IF($CM$6=0,"",IF(INDEX('⑩ 원문 보관'!$A:$E,$CM$6+ROW()-9,COLUMN())="","",INDEX('⑩ 원문 보관'!$A:$E,$CM$6+ROW()-9,COLUMN())))</f>
        <v xml:space="preserve">132012.0  51460.97 04 </v>
      </c>
      <c r="Q153">
        <f t="shared" si="95"/>
        <v>4</v>
      </c>
      <c r="R153">
        <f t="shared" si="75"/>
        <v>112737</v>
      </c>
      <c r="S153">
        <f t="shared" si="76"/>
        <v>51334.69</v>
      </c>
      <c r="T153" t="str">
        <f t="shared" si="77"/>
        <v>99</v>
      </c>
      <c r="U153">
        <f t="shared" si="78"/>
        <v>1</v>
      </c>
      <c r="V153">
        <f t="shared" si="96"/>
        <v>4</v>
      </c>
      <c r="W153">
        <f t="shared" si="79"/>
        <v>115502</v>
      </c>
      <c r="X153">
        <f t="shared" si="80"/>
        <v>51533.599999999999</v>
      </c>
      <c r="Y153" t="str">
        <f t="shared" si="81"/>
        <v>98</v>
      </c>
      <c r="Z153">
        <f t="shared" si="82"/>
        <v>1</v>
      </c>
      <c r="AA153">
        <f t="shared" si="97"/>
        <v>4</v>
      </c>
      <c r="AB153" t="str">
        <f t="shared" si="83"/>
        <v/>
      </c>
      <c r="AC153" t="str">
        <f t="shared" si="84"/>
        <v/>
      </c>
      <c r="AD153" t="str">
        <f t="shared" si="85"/>
        <v/>
      </c>
      <c r="AE153">
        <f t="shared" si="86"/>
        <v>0</v>
      </c>
      <c r="AF153">
        <f t="shared" si="98"/>
        <v>4</v>
      </c>
      <c r="AG153" t="str">
        <f t="shared" si="87"/>
        <v/>
      </c>
      <c r="AH153" t="str">
        <f t="shared" si="88"/>
        <v/>
      </c>
      <c r="AI153" t="str">
        <f t="shared" si="89"/>
        <v/>
      </c>
      <c r="AJ153">
        <f t="shared" si="90"/>
        <v>0</v>
      </c>
      <c r="AK153">
        <f t="shared" si="99"/>
        <v>4</v>
      </c>
      <c r="AL153">
        <f t="shared" si="91"/>
        <v>132012</v>
      </c>
      <c r="AM153">
        <f t="shared" si="92"/>
        <v>51460.97</v>
      </c>
      <c r="AN153" t="str">
        <f t="shared" si="93"/>
        <v>04</v>
      </c>
      <c r="AO153">
        <f t="shared" si="94"/>
        <v>1</v>
      </c>
    </row>
    <row r="154" spans="1:41" x14ac:dyDescent="0.4">
      <c r="A154" t="str">
        <f>IF($CM$6=0,"",IF(INDEX('⑩ 원문 보관'!$A:$E,$CM$6+ROW()-9,COLUMN())="","",INDEX('⑩ 원문 보관'!$A:$E,$CM$6+ROW()-9,COLUMN())))</f>
        <v xml:space="preserve">112742.0  51334.49 99 </v>
      </c>
      <c r="B154" t="str">
        <f>IF($CM$6=0,"",IF(INDEX('⑩ 원문 보관'!$A:$E,$CM$6+ROW()-9,COLUMN())="","",INDEX('⑩ 원문 보관'!$A:$E,$CM$6+ROW()-9,COLUMN())))</f>
        <v xml:space="preserve">115507.0  51533.61 99 </v>
      </c>
      <c r="C154" t="str">
        <f>IF($CM$6=0,"",IF(INDEX('⑩ 원문 보관'!$A:$E,$CM$6+ROW()-9,COLUMN())="","",INDEX('⑩ 원문 보관'!$A:$E,$CM$6+ROW()-9,COLUMN())))</f>
        <v/>
      </c>
      <c r="D154" t="str">
        <f>IF($CM$6=0,"",IF(INDEX('⑩ 원문 보관'!$A:$E,$CM$6+ROW()-9,COLUMN())="","",INDEX('⑩ 원문 보관'!$A:$E,$CM$6+ROW()-9,COLUMN())))</f>
        <v/>
      </c>
      <c r="E154" t="str">
        <f>IF($CM$6=0,"",IF(INDEX('⑩ 원문 보관'!$A:$E,$CM$6+ROW()-9,COLUMN())="","",INDEX('⑩ 원문 보관'!$A:$E,$CM$6+ROW()-9,COLUMN())))</f>
        <v xml:space="preserve">132017.0  51456.24 03 </v>
      </c>
      <c r="Q154">
        <f t="shared" si="95"/>
        <v>4</v>
      </c>
      <c r="R154">
        <f t="shared" si="75"/>
        <v>112742</v>
      </c>
      <c r="S154">
        <f t="shared" si="76"/>
        <v>51334.49</v>
      </c>
      <c r="T154" t="str">
        <f t="shared" si="77"/>
        <v>99</v>
      </c>
      <c r="U154">
        <f t="shared" si="78"/>
        <v>1</v>
      </c>
      <c r="V154">
        <f t="shared" si="96"/>
        <v>4</v>
      </c>
      <c r="W154">
        <f t="shared" si="79"/>
        <v>115507</v>
      </c>
      <c r="X154">
        <f t="shared" si="80"/>
        <v>51533.61</v>
      </c>
      <c r="Y154" t="str">
        <f t="shared" si="81"/>
        <v>99</v>
      </c>
      <c r="Z154">
        <f t="shared" si="82"/>
        <v>1</v>
      </c>
      <c r="AA154">
        <f t="shared" si="97"/>
        <v>4</v>
      </c>
      <c r="AB154" t="str">
        <f t="shared" si="83"/>
        <v/>
      </c>
      <c r="AC154" t="str">
        <f t="shared" si="84"/>
        <v/>
      </c>
      <c r="AD154" t="str">
        <f t="shared" si="85"/>
        <v/>
      </c>
      <c r="AE154">
        <f t="shared" si="86"/>
        <v>0</v>
      </c>
      <c r="AF154">
        <f t="shared" si="98"/>
        <v>4</v>
      </c>
      <c r="AG154" t="str">
        <f t="shared" si="87"/>
        <v/>
      </c>
      <c r="AH154" t="str">
        <f t="shared" si="88"/>
        <v/>
      </c>
      <c r="AI154" t="str">
        <f t="shared" si="89"/>
        <v/>
      </c>
      <c r="AJ154">
        <f t="shared" si="90"/>
        <v>0</v>
      </c>
      <c r="AK154">
        <f t="shared" si="99"/>
        <v>4</v>
      </c>
      <c r="AL154">
        <f t="shared" si="91"/>
        <v>132017</v>
      </c>
      <c r="AM154">
        <f t="shared" si="92"/>
        <v>51456.24</v>
      </c>
      <c r="AN154" t="str">
        <f t="shared" si="93"/>
        <v>03</v>
      </c>
      <c r="AO154">
        <f t="shared" si="94"/>
        <v>1</v>
      </c>
    </row>
    <row r="155" spans="1:41" x14ac:dyDescent="0.4">
      <c r="A155" t="str">
        <f>IF($CM$6=0,"",IF(INDEX('⑩ 원문 보관'!$A:$E,$CM$6+ROW()-9,COLUMN())="","",INDEX('⑩ 원문 보관'!$A:$E,$CM$6+ROW()-9,COLUMN())))</f>
        <v xml:space="preserve">112747.0  51334.48 99 </v>
      </c>
      <c r="B155" t="str">
        <f>IF($CM$6=0,"",IF(INDEX('⑩ 원문 보관'!$A:$E,$CM$6+ROW()-9,COLUMN())="","",INDEX('⑩ 원문 보관'!$A:$E,$CM$6+ROW()-9,COLUMN())))</f>
        <v xml:space="preserve">115512.0  51533.56 99 </v>
      </c>
      <c r="C155" t="str">
        <f>IF($CM$6=0,"",IF(INDEX('⑩ 원문 보관'!$A:$E,$CM$6+ROW()-9,COLUMN())="","",INDEX('⑩ 원문 보관'!$A:$E,$CM$6+ROW()-9,COLUMN())))</f>
        <v xml:space="preserve">/time nT sq </v>
      </c>
      <c r="D155" t="str">
        <f>IF($CM$6=0,"",IF(INDEX('⑩ 원문 보관'!$A:$E,$CM$6+ROW()-9,COLUMN())="","",INDEX('⑩ 원문 보관'!$A:$E,$CM$6+ROW()-9,COLUMN())))</f>
        <v xml:space="preserve">/time nT sq </v>
      </c>
      <c r="E155" t="str">
        <f>IF($CM$6=0,"",IF(INDEX('⑩ 원문 보관'!$A:$E,$CM$6+ROW()-9,COLUMN())="","",INDEX('⑩ 원문 보관'!$A:$E,$CM$6+ROW()-9,COLUMN())))</f>
        <v xml:space="preserve">132022.0  51434.84 03 </v>
      </c>
      <c r="Q155">
        <f t="shared" si="95"/>
        <v>4</v>
      </c>
      <c r="R155">
        <f t="shared" si="75"/>
        <v>112747</v>
      </c>
      <c r="S155">
        <f t="shared" si="76"/>
        <v>51334.48</v>
      </c>
      <c r="T155" t="str">
        <f t="shared" si="77"/>
        <v>99</v>
      </c>
      <c r="U155">
        <f t="shared" si="78"/>
        <v>1</v>
      </c>
      <c r="V155">
        <f t="shared" si="96"/>
        <v>4</v>
      </c>
      <c r="W155">
        <f t="shared" si="79"/>
        <v>115512</v>
      </c>
      <c r="X155">
        <f t="shared" si="80"/>
        <v>51533.56</v>
      </c>
      <c r="Y155" t="str">
        <f t="shared" si="81"/>
        <v>99</v>
      </c>
      <c r="Z155">
        <f t="shared" si="82"/>
        <v>1</v>
      </c>
      <c r="AA155">
        <f t="shared" si="97"/>
        <v>5</v>
      </c>
      <c r="AB155" t="str">
        <f t="shared" si="83"/>
        <v/>
      </c>
      <c r="AC155" t="str">
        <f t="shared" si="84"/>
        <v/>
      </c>
      <c r="AD155" t="str">
        <f t="shared" si="85"/>
        <v>sq</v>
      </c>
      <c r="AE155">
        <f t="shared" si="86"/>
        <v>0</v>
      </c>
      <c r="AF155">
        <f t="shared" si="98"/>
        <v>5</v>
      </c>
      <c r="AG155" t="str">
        <f t="shared" si="87"/>
        <v/>
      </c>
      <c r="AH155" t="str">
        <f t="shared" si="88"/>
        <v/>
      </c>
      <c r="AI155" t="str">
        <f t="shared" si="89"/>
        <v>sq</v>
      </c>
      <c r="AJ155">
        <f t="shared" si="90"/>
        <v>0</v>
      </c>
      <c r="AK155">
        <f t="shared" si="99"/>
        <v>4</v>
      </c>
      <c r="AL155">
        <f t="shared" si="91"/>
        <v>132022</v>
      </c>
      <c r="AM155">
        <f t="shared" si="92"/>
        <v>51434.84</v>
      </c>
      <c r="AN155" t="str">
        <f t="shared" si="93"/>
        <v>03</v>
      </c>
      <c r="AO155">
        <f t="shared" si="94"/>
        <v>1</v>
      </c>
    </row>
    <row r="156" spans="1:41" x14ac:dyDescent="0.4">
      <c r="A156" t="str">
        <f>IF($CM$6=0,"",IF(INDEX('⑩ 원문 보관'!$A:$E,$CM$6+ROW()-9,COLUMN())="","",INDEX('⑩ 원문 보관'!$A:$E,$CM$6+ROW()-9,COLUMN())))</f>
        <v xml:space="preserve">112752.0  51334.57 99 </v>
      </c>
      <c r="B156" t="str">
        <f>IF($CM$6=0,"",IF(INDEX('⑩ 원문 보관'!$A:$E,$CM$6+ROW()-9,COLUMN())="","",INDEX('⑩ 원문 보관'!$A:$E,$CM$6+ROW()-9,COLUMN())))</f>
        <v xml:space="preserve">115517.0  51533.57 99 </v>
      </c>
      <c r="C156" t="str">
        <f>IF($CM$6=0,"",IF(INDEX('⑩ 원문 보관'!$A:$E,$CM$6+ROW()-9,COLUMN())="","",INDEX('⑩ 원문 보관'!$A:$E,$CM$6+ROW()-9,COLUMN())))</f>
        <v xml:space="preserve">122957.0  51330.09 44 </v>
      </c>
      <c r="D156" t="str">
        <f>IF($CM$6=0,"",IF(INDEX('⑩ 원문 보관'!$A:$E,$CM$6+ROW()-9,COLUMN())="","",INDEX('⑩ 원문 보관'!$A:$E,$CM$6+ROW()-9,COLUMN())))</f>
        <v xml:space="preserve">124622.0  51483.62 67 </v>
      </c>
      <c r="E156" t="str">
        <f>IF($CM$6=0,"",IF(INDEX('⑩ 원문 보관'!$A:$E,$CM$6+ROW()-9,COLUMN())="","",INDEX('⑩ 원문 보관'!$A:$E,$CM$6+ROW()-9,COLUMN())))</f>
        <v xml:space="preserve">132027.0  51472.58 04 </v>
      </c>
      <c r="Q156">
        <f t="shared" si="95"/>
        <v>4</v>
      </c>
      <c r="R156">
        <f t="shared" si="75"/>
        <v>112752</v>
      </c>
      <c r="S156">
        <f t="shared" si="76"/>
        <v>51334.57</v>
      </c>
      <c r="T156" t="str">
        <f t="shared" si="77"/>
        <v>99</v>
      </c>
      <c r="U156">
        <f t="shared" si="78"/>
        <v>1</v>
      </c>
      <c r="V156">
        <f t="shared" si="96"/>
        <v>4</v>
      </c>
      <c r="W156">
        <f t="shared" si="79"/>
        <v>115517</v>
      </c>
      <c r="X156">
        <f t="shared" si="80"/>
        <v>51533.57</v>
      </c>
      <c r="Y156" t="str">
        <f t="shared" si="81"/>
        <v>99</v>
      </c>
      <c r="Z156">
        <f t="shared" si="82"/>
        <v>1</v>
      </c>
      <c r="AA156">
        <f t="shared" si="97"/>
        <v>5</v>
      </c>
      <c r="AB156">
        <f t="shared" si="83"/>
        <v>122957</v>
      </c>
      <c r="AC156">
        <f t="shared" si="84"/>
        <v>51330.09</v>
      </c>
      <c r="AD156" t="str">
        <f t="shared" si="85"/>
        <v>44</v>
      </c>
      <c r="AE156">
        <f t="shared" si="86"/>
        <v>1</v>
      </c>
      <c r="AF156">
        <f t="shared" si="98"/>
        <v>5</v>
      </c>
      <c r="AG156">
        <f t="shared" si="87"/>
        <v>124622</v>
      </c>
      <c r="AH156">
        <f t="shared" si="88"/>
        <v>51483.62</v>
      </c>
      <c r="AI156" t="str">
        <f t="shared" si="89"/>
        <v>67</v>
      </c>
      <c r="AJ156">
        <f t="shared" si="90"/>
        <v>1</v>
      </c>
      <c r="AK156">
        <f t="shared" si="99"/>
        <v>4</v>
      </c>
      <c r="AL156">
        <f t="shared" si="91"/>
        <v>132027</v>
      </c>
      <c r="AM156">
        <f t="shared" si="92"/>
        <v>51472.58</v>
      </c>
      <c r="AN156" t="str">
        <f t="shared" si="93"/>
        <v>04</v>
      </c>
      <c r="AO156">
        <f t="shared" si="94"/>
        <v>1</v>
      </c>
    </row>
    <row r="157" spans="1:41" x14ac:dyDescent="0.4">
      <c r="A157" t="str">
        <f>IF($CM$6=0,"",IF(INDEX('⑩ 원문 보관'!$A:$E,$CM$6+ROW()-9,COLUMN())="","",INDEX('⑩ 원문 보관'!$A:$E,$CM$6+ROW()-9,COLUMN())))</f>
        <v xml:space="preserve">112757.0  51334.50 99 </v>
      </c>
      <c r="B157" t="str">
        <f>IF($CM$6=0,"",IF(INDEX('⑩ 원문 보관'!$A:$E,$CM$6+ROW()-9,COLUMN())="","",INDEX('⑩ 원문 보관'!$A:$E,$CM$6+ROW()-9,COLUMN())))</f>
        <v xml:space="preserve">115522.0  51533.46 98 </v>
      </c>
      <c r="C157" t="str">
        <f>IF($CM$6=0,"",IF(INDEX('⑩ 원문 보관'!$A:$E,$CM$6+ROW()-9,COLUMN())="","",INDEX('⑩ 원문 보관'!$A:$E,$CM$6+ROW()-9,COLUMN())))</f>
        <v xml:space="preserve">123002.0  51330.16 64 </v>
      </c>
      <c r="D157" t="str">
        <f>IF($CM$6=0,"",IF(INDEX('⑩ 원문 보관'!$A:$E,$CM$6+ROW()-9,COLUMN())="","",INDEX('⑩ 원문 보관'!$A:$E,$CM$6+ROW()-9,COLUMN())))</f>
        <v xml:space="preserve">124627.0  51483.04 57 </v>
      </c>
      <c r="E157" t="str">
        <f>IF($CM$6=0,"",IF(INDEX('⑩ 원문 보관'!$A:$E,$CM$6+ROW()-9,COLUMN())="","",INDEX('⑩ 원문 보관'!$A:$E,$CM$6+ROW()-9,COLUMN())))</f>
        <v xml:space="preserve">132032.0  51471.97 04 </v>
      </c>
      <c r="Q157">
        <f t="shared" si="95"/>
        <v>4</v>
      </c>
      <c r="R157">
        <f t="shared" si="75"/>
        <v>112757</v>
      </c>
      <c r="S157">
        <f t="shared" si="76"/>
        <v>51334.5</v>
      </c>
      <c r="T157" t="str">
        <f t="shared" si="77"/>
        <v>99</v>
      </c>
      <c r="U157">
        <f t="shared" si="78"/>
        <v>1</v>
      </c>
      <c r="V157">
        <f t="shared" si="96"/>
        <v>4</v>
      </c>
      <c r="W157">
        <f t="shared" si="79"/>
        <v>115522</v>
      </c>
      <c r="X157">
        <f t="shared" si="80"/>
        <v>51533.46</v>
      </c>
      <c r="Y157" t="str">
        <f t="shared" si="81"/>
        <v>98</v>
      </c>
      <c r="Z157">
        <f t="shared" si="82"/>
        <v>1</v>
      </c>
      <c r="AA157">
        <f t="shared" si="97"/>
        <v>5</v>
      </c>
      <c r="AB157">
        <f t="shared" si="83"/>
        <v>123002</v>
      </c>
      <c r="AC157">
        <f t="shared" si="84"/>
        <v>51330.16</v>
      </c>
      <c r="AD157" t="str">
        <f t="shared" si="85"/>
        <v>64</v>
      </c>
      <c r="AE157">
        <f t="shared" si="86"/>
        <v>1</v>
      </c>
      <c r="AF157">
        <f t="shared" si="98"/>
        <v>5</v>
      </c>
      <c r="AG157">
        <f t="shared" si="87"/>
        <v>124627</v>
      </c>
      <c r="AH157">
        <f t="shared" si="88"/>
        <v>51483.040000000001</v>
      </c>
      <c r="AI157" t="str">
        <f t="shared" si="89"/>
        <v>57</v>
      </c>
      <c r="AJ157">
        <f t="shared" si="90"/>
        <v>1</v>
      </c>
      <c r="AK157">
        <f t="shared" si="99"/>
        <v>4</v>
      </c>
      <c r="AL157">
        <f t="shared" si="91"/>
        <v>132032</v>
      </c>
      <c r="AM157">
        <f t="shared" si="92"/>
        <v>51471.97</v>
      </c>
      <c r="AN157" t="str">
        <f t="shared" si="93"/>
        <v>04</v>
      </c>
      <c r="AO157">
        <f t="shared" si="94"/>
        <v>1</v>
      </c>
    </row>
    <row r="158" spans="1:41" x14ac:dyDescent="0.4">
      <c r="A158" t="str">
        <f>IF($CM$6=0,"",IF(INDEX('⑩ 원문 보관'!$A:$E,$CM$6+ROW()-9,COLUMN())="","",INDEX('⑩ 원문 보관'!$A:$E,$CM$6+ROW()-9,COLUMN())))</f>
        <v xml:space="preserve">112802.0  51334.47 99 </v>
      </c>
      <c r="B158" t="str">
        <f>IF($CM$6=0,"",IF(INDEX('⑩ 원문 보관'!$A:$E,$CM$6+ROW()-9,COLUMN())="","",INDEX('⑩ 원문 보관'!$A:$E,$CM$6+ROW()-9,COLUMN())))</f>
        <v xml:space="preserve">115527.0  51533.65 99 </v>
      </c>
      <c r="C158" t="str">
        <f>IF($CM$6=0,"",IF(INDEX('⑩ 원문 보관'!$A:$E,$CM$6+ROW()-9,COLUMN())="","",INDEX('⑩ 원문 보관'!$A:$E,$CM$6+ROW()-9,COLUMN())))</f>
        <v xml:space="preserve">123007.0  51330.42 44 </v>
      </c>
      <c r="D158" t="str">
        <f>IF($CM$6=0,"",IF(INDEX('⑩ 원문 보관'!$A:$E,$CM$6+ROW()-9,COLUMN())="","",INDEX('⑩ 원문 보관'!$A:$E,$CM$6+ROW()-9,COLUMN())))</f>
        <v xml:space="preserve">124632.0  51482.89 57 </v>
      </c>
      <c r="E158" t="str">
        <f>IF($CM$6=0,"",IF(INDEX('⑩ 원문 보관'!$A:$E,$CM$6+ROW()-9,COLUMN())="","",INDEX('⑩ 원문 보관'!$A:$E,$CM$6+ROW()-9,COLUMN())))</f>
        <v xml:space="preserve">132037.0  51424.40 04 </v>
      </c>
      <c r="Q158">
        <f t="shared" si="95"/>
        <v>4</v>
      </c>
      <c r="R158">
        <f t="shared" si="75"/>
        <v>112802</v>
      </c>
      <c r="S158">
        <f t="shared" si="76"/>
        <v>51334.47</v>
      </c>
      <c r="T158" t="str">
        <f t="shared" si="77"/>
        <v>99</v>
      </c>
      <c r="U158">
        <f t="shared" si="78"/>
        <v>1</v>
      </c>
      <c r="V158">
        <f t="shared" si="96"/>
        <v>4</v>
      </c>
      <c r="W158">
        <f t="shared" si="79"/>
        <v>115527</v>
      </c>
      <c r="X158">
        <f t="shared" si="80"/>
        <v>51533.65</v>
      </c>
      <c r="Y158" t="str">
        <f t="shared" si="81"/>
        <v>99</v>
      </c>
      <c r="Z158">
        <f t="shared" si="82"/>
        <v>1</v>
      </c>
      <c r="AA158">
        <f t="shared" si="97"/>
        <v>5</v>
      </c>
      <c r="AB158">
        <f t="shared" si="83"/>
        <v>123007</v>
      </c>
      <c r="AC158">
        <f t="shared" si="84"/>
        <v>51330.42</v>
      </c>
      <c r="AD158" t="str">
        <f t="shared" si="85"/>
        <v>44</v>
      </c>
      <c r="AE158">
        <f t="shared" si="86"/>
        <v>1</v>
      </c>
      <c r="AF158">
        <f t="shared" si="98"/>
        <v>5</v>
      </c>
      <c r="AG158">
        <f t="shared" si="87"/>
        <v>124632</v>
      </c>
      <c r="AH158">
        <f t="shared" si="88"/>
        <v>51482.89</v>
      </c>
      <c r="AI158" t="str">
        <f t="shared" si="89"/>
        <v>57</v>
      </c>
      <c r="AJ158">
        <f t="shared" si="90"/>
        <v>1</v>
      </c>
      <c r="AK158">
        <f t="shared" si="99"/>
        <v>4</v>
      </c>
      <c r="AL158">
        <f t="shared" si="91"/>
        <v>132037</v>
      </c>
      <c r="AM158">
        <f t="shared" si="92"/>
        <v>51424.4</v>
      </c>
      <c r="AN158" t="str">
        <f t="shared" si="93"/>
        <v>04</v>
      </c>
      <c r="AO158">
        <f t="shared" si="94"/>
        <v>1</v>
      </c>
    </row>
    <row r="159" spans="1:41" x14ac:dyDescent="0.4">
      <c r="A159" t="str">
        <f>IF($CM$6=0,"",IF(INDEX('⑩ 원문 보관'!$A:$E,$CM$6+ROW()-9,COLUMN())="","",INDEX('⑩ 원문 보관'!$A:$E,$CM$6+ROW()-9,COLUMN())))</f>
        <v xml:space="preserve">112807.0  51334.65 99 </v>
      </c>
      <c r="B159" t="str">
        <f>IF($CM$6=0,"",IF(INDEX('⑩ 원문 보관'!$A:$E,$CM$6+ROW()-9,COLUMN())="","",INDEX('⑩ 원문 보관'!$A:$E,$CM$6+ROW()-9,COLUMN())))</f>
        <v xml:space="preserve">115532.0  51525.41 98 </v>
      </c>
      <c r="C159" t="str">
        <f>IF($CM$6=0,"",IF(INDEX('⑩ 원문 보관'!$A:$E,$CM$6+ROW()-9,COLUMN())="","",INDEX('⑩ 원문 보관'!$A:$E,$CM$6+ROW()-9,COLUMN())))</f>
        <v xml:space="preserve">123012.0  51330.99 63 </v>
      </c>
      <c r="D159" t="str">
        <f>IF($CM$6=0,"",IF(INDEX('⑩ 원문 보관'!$A:$E,$CM$6+ROW()-9,COLUMN())="","",INDEX('⑩ 원문 보관'!$A:$E,$CM$6+ROW()-9,COLUMN())))</f>
        <v xml:space="preserve">124637.0  51482.49 56 </v>
      </c>
      <c r="E159" t="str">
        <f>IF($CM$6=0,"",IF(INDEX('⑩ 원문 보관'!$A:$E,$CM$6+ROW()-9,COLUMN())="","",INDEX('⑩ 원문 보관'!$A:$E,$CM$6+ROW()-9,COLUMN())))</f>
        <v xml:space="preserve">132042.0  51489.31 04 </v>
      </c>
      <c r="Q159">
        <f t="shared" si="95"/>
        <v>4</v>
      </c>
      <c r="R159">
        <f t="shared" si="75"/>
        <v>112807</v>
      </c>
      <c r="S159">
        <f t="shared" si="76"/>
        <v>51334.65</v>
      </c>
      <c r="T159" t="str">
        <f t="shared" si="77"/>
        <v>99</v>
      </c>
      <c r="U159">
        <f t="shared" si="78"/>
        <v>1</v>
      </c>
      <c r="V159">
        <f t="shared" si="96"/>
        <v>4</v>
      </c>
      <c r="W159">
        <f t="shared" si="79"/>
        <v>115532</v>
      </c>
      <c r="X159">
        <f t="shared" si="80"/>
        <v>51525.41</v>
      </c>
      <c r="Y159" t="str">
        <f t="shared" si="81"/>
        <v>98</v>
      </c>
      <c r="Z159">
        <f t="shared" si="82"/>
        <v>1</v>
      </c>
      <c r="AA159">
        <f t="shared" si="97"/>
        <v>5</v>
      </c>
      <c r="AB159">
        <f t="shared" si="83"/>
        <v>123012</v>
      </c>
      <c r="AC159">
        <f t="shared" si="84"/>
        <v>51330.99</v>
      </c>
      <c r="AD159" t="str">
        <f t="shared" si="85"/>
        <v>63</v>
      </c>
      <c r="AE159">
        <f t="shared" si="86"/>
        <v>1</v>
      </c>
      <c r="AF159">
        <f t="shared" si="98"/>
        <v>5</v>
      </c>
      <c r="AG159">
        <f t="shared" si="87"/>
        <v>124637</v>
      </c>
      <c r="AH159">
        <f t="shared" si="88"/>
        <v>51482.49</v>
      </c>
      <c r="AI159" t="str">
        <f t="shared" si="89"/>
        <v>56</v>
      </c>
      <c r="AJ159">
        <f t="shared" si="90"/>
        <v>1</v>
      </c>
      <c r="AK159">
        <f t="shared" si="99"/>
        <v>4</v>
      </c>
      <c r="AL159">
        <f t="shared" si="91"/>
        <v>132042</v>
      </c>
      <c r="AM159">
        <f t="shared" si="92"/>
        <v>51489.31</v>
      </c>
      <c r="AN159" t="str">
        <f t="shared" si="93"/>
        <v>04</v>
      </c>
      <c r="AO159">
        <f t="shared" si="94"/>
        <v>1</v>
      </c>
    </row>
    <row r="160" spans="1:41" x14ac:dyDescent="0.4">
      <c r="A160" t="str">
        <f>IF($CM$6=0,"",IF(INDEX('⑩ 원문 보관'!$A:$E,$CM$6+ROW()-9,COLUMN())="","",INDEX('⑩ 원문 보관'!$A:$E,$CM$6+ROW()-9,COLUMN())))</f>
        <v xml:space="preserve">112812.0  51334.58 99 </v>
      </c>
      <c r="B160" t="str">
        <f>IF($CM$6=0,"",IF(INDEX('⑩ 원문 보관'!$A:$E,$CM$6+ROW()-9,COLUMN())="","",INDEX('⑩ 원문 보관'!$A:$E,$CM$6+ROW()-9,COLUMN())))</f>
        <v xml:space="preserve">115537.0  51533.39 98 </v>
      </c>
      <c r="C160" t="str">
        <f>IF($CM$6=0,"",IF(INDEX('⑩ 원문 보관'!$A:$E,$CM$6+ROW()-9,COLUMN())="","",INDEX('⑩ 원문 보관'!$A:$E,$CM$6+ROW()-9,COLUMN())))</f>
        <v xml:space="preserve">123017.0  51329.86 44 </v>
      </c>
      <c r="D160" t="str">
        <f>IF($CM$6=0,"",IF(INDEX('⑩ 원문 보관'!$A:$E,$CM$6+ROW()-9,COLUMN())="","",INDEX('⑩ 원문 보관'!$A:$E,$CM$6+ROW()-9,COLUMN())))</f>
        <v xml:space="preserve">124642.0  51482.76 67 </v>
      </c>
      <c r="E160" t="str">
        <f>IF($CM$6=0,"",IF(INDEX('⑩ 원문 보관'!$A:$E,$CM$6+ROW()-9,COLUMN())="","",INDEX('⑩ 원문 보관'!$A:$E,$CM$6+ROW()-9,COLUMN())))</f>
        <v xml:space="preserve">132047.0  51452.81 03 </v>
      </c>
      <c r="Q160">
        <f t="shared" si="95"/>
        <v>4</v>
      </c>
      <c r="R160">
        <f t="shared" si="75"/>
        <v>112812</v>
      </c>
      <c r="S160">
        <f t="shared" si="76"/>
        <v>51334.58</v>
      </c>
      <c r="T160" t="str">
        <f t="shared" si="77"/>
        <v>99</v>
      </c>
      <c r="U160">
        <f t="shared" si="78"/>
        <v>1</v>
      </c>
      <c r="V160">
        <f t="shared" si="96"/>
        <v>4</v>
      </c>
      <c r="W160">
        <f t="shared" si="79"/>
        <v>115537</v>
      </c>
      <c r="X160">
        <f t="shared" si="80"/>
        <v>51533.39</v>
      </c>
      <c r="Y160" t="str">
        <f t="shared" si="81"/>
        <v>98</v>
      </c>
      <c r="Z160">
        <f t="shared" si="82"/>
        <v>1</v>
      </c>
      <c r="AA160">
        <f t="shared" si="97"/>
        <v>5</v>
      </c>
      <c r="AB160">
        <f t="shared" si="83"/>
        <v>123017</v>
      </c>
      <c r="AC160">
        <f t="shared" si="84"/>
        <v>51329.86</v>
      </c>
      <c r="AD160" t="str">
        <f t="shared" si="85"/>
        <v>44</v>
      </c>
      <c r="AE160">
        <f t="shared" si="86"/>
        <v>1</v>
      </c>
      <c r="AF160">
        <f t="shared" si="98"/>
        <v>5</v>
      </c>
      <c r="AG160">
        <f t="shared" si="87"/>
        <v>124642</v>
      </c>
      <c r="AH160">
        <f t="shared" si="88"/>
        <v>51482.76</v>
      </c>
      <c r="AI160" t="str">
        <f t="shared" si="89"/>
        <v>67</v>
      </c>
      <c r="AJ160">
        <f t="shared" si="90"/>
        <v>1</v>
      </c>
      <c r="AK160">
        <f t="shared" si="99"/>
        <v>4</v>
      </c>
      <c r="AL160">
        <f t="shared" si="91"/>
        <v>132047</v>
      </c>
      <c r="AM160">
        <f t="shared" si="92"/>
        <v>51452.81</v>
      </c>
      <c r="AN160" t="str">
        <f t="shared" si="93"/>
        <v>03</v>
      </c>
      <c r="AO160">
        <f t="shared" si="94"/>
        <v>1</v>
      </c>
    </row>
    <row r="161" spans="1:41" x14ac:dyDescent="0.4">
      <c r="A161" t="str">
        <f>IF($CM$6=0,"",IF(INDEX('⑩ 원문 보관'!$A:$E,$CM$6+ROW()-9,COLUMN())="","",INDEX('⑩ 원문 보관'!$A:$E,$CM$6+ROW()-9,COLUMN())))</f>
        <v xml:space="preserve">112817.0  51334.45 99 </v>
      </c>
      <c r="B161" t="str">
        <f>IF($CM$6=0,"",IF(INDEX('⑩ 원문 보관'!$A:$E,$CM$6+ROW()-9,COLUMN())="","",INDEX('⑩ 원문 보관'!$A:$E,$CM$6+ROW()-9,COLUMN())))</f>
        <v xml:space="preserve">115542.0  51533.74 99 </v>
      </c>
      <c r="C161" t="str">
        <f>IF($CM$6=0,"",IF(INDEX('⑩ 원문 보관'!$A:$E,$CM$6+ROW()-9,COLUMN())="","",INDEX('⑩ 원문 보관'!$A:$E,$CM$6+ROW()-9,COLUMN())))</f>
        <v xml:space="preserve">123022.0  51330.70 43 </v>
      </c>
      <c r="D161" t="str">
        <f>IF($CM$6=0,"",IF(INDEX('⑩ 원문 보관'!$A:$E,$CM$6+ROW()-9,COLUMN())="","",INDEX('⑩ 원문 보관'!$A:$E,$CM$6+ROW()-9,COLUMN())))</f>
        <v xml:space="preserve">124647.0  51483.26 57 </v>
      </c>
      <c r="E161" t="str">
        <f>IF($CM$6=0,"",IF(INDEX('⑩ 원문 보관'!$A:$E,$CM$6+ROW()-9,COLUMN())="","",INDEX('⑩ 원문 보관'!$A:$E,$CM$6+ROW()-9,COLUMN())))</f>
        <v xml:space="preserve">132052.0  51414.65 03 </v>
      </c>
      <c r="Q161">
        <f t="shared" si="95"/>
        <v>4</v>
      </c>
      <c r="R161">
        <f t="shared" si="75"/>
        <v>112817</v>
      </c>
      <c r="S161">
        <f t="shared" si="76"/>
        <v>51334.45</v>
      </c>
      <c r="T161" t="str">
        <f t="shared" si="77"/>
        <v>99</v>
      </c>
      <c r="U161">
        <f t="shared" si="78"/>
        <v>1</v>
      </c>
      <c r="V161">
        <f t="shared" si="96"/>
        <v>4</v>
      </c>
      <c r="W161">
        <f t="shared" si="79"/>
        <v>115542</v>
      </c>
      <c r="X161">
        <f t="shared" si="80"/>
        <v>51533.74</v>
      </c>
      <c r="Y161" t="str">
        <f t="shared" si="81"/>
        <v>99</v>
      </c>
      <c r="Z161">
        <f t="shared" si="82"/>
        <v>1</v>
      </c>
      <c r="AA161">
        <f t="shared" si="97"/>
        <v>5</v>
      </c>
      <c r="AB161">
        <f t="shared" si="83"/>
        <v>123022</v>
      </c>
      <c r="AC161">
        <f t="shared" si="84"/>
        <v>51330.7</v>
      </c>
      <c r="AD161" t="str">
        <f t="shared" si="85"/>
        <v>43</v>
      </c>
      <c r="AE161">
        <f t="shared" si="86"/>
        <v>1</v>
      </c>
      <c r="AF161">
        <f t="shared" si="98"/>
        <v>5</v>
      </c>
      <c r="AG161">
        <f t="shared" si="87"/>
        <v>124647</v>
      </c>
      <c r="AH161">
        <f t="shared" si="88"/>
        <v>51483.26</v>
      </c>
      <c r="AI161" t="str">
        <f t="shared" si="89"/>
        <v>57</v>
      </c>
      <c r="AJ161">
        <f t="shared" si="90"/>
        <v>1</v>
      </c>
      <c r="AK161">
        <f t="shared" si="99"/>
        <v>4</v>
      </c>
      <c r="AL161">
        <f t="shared" si="91"/>
        <v>132052</v>
      </c>
      <c r="AM161">
        <f t="shared" si="92"/>
        <v>51414.65</v>
      </c>
      <c r="AN161" t="str">
        <f t="shared" si="93"/>
        <v>03</v>
      </c>
      <c r="AO161">
        <f t="shared" si="94"/>
        <v>1</v>
      </c>
    </row>
    <row r="162" spans="1:41" x14ac:dyDescent="0.4">
      <c r="A162" t="str">
        <f>IF($CM$6=0,"",IF(INDEX('⑩ 원문 보관'!$A:$E,$CM$6+ROW()-9,COLUMN())="","",INDEX('⑩ 원문 보관'!$A:$E,$CM$6+ROW()-9,COLUMN())))</f>
        <v xml:space="preserve">112822.0  51334.59 99 </v>
      </c>
      <c r="B162" t="str">
        <f>IF($CM$6=0,"",IF(INDEX('⑩ 원문 보관'!$A:$E,$CM$6+ROW()-9,COLUMN())="","",INDEX('⑩ 원문 보관'!$A:$E,$CM$6+ROW()-9,COLUMN())))</f>
        <v xml:space="preserve">115547.0  51533.74 99 </v>
      </c>
      <c r="C162" t="str">
        <f>IF($CM$6=0,"",IF(INDEX('⑩ 원문 보관'!$A:$E,$CM$6+ROW()-9,COLUMN())="","",INDEX('⑩ 원문 보관'!$A:$E,$CM$6+ROW()-9,COLUMN())))</f>
        <v xml:space="preserve">123027.0  51330.70 84 </v>
      </c>
      <c r="D162" t="str">
        <f>IF($CM$6=0,"",IF(INDEX('⑩ 원문 보관'!$A:$E,$CM$6+ROW()-9,COLUMN())="","",INDEX('⑩ 원문 보관'!$A:$E,$CM$6+ROW()-9,COLUMN())))</f>
        <v xml:space="preserve">124652.0  51483.22 66 </v>
      </c>
      <c r="E162" t="str">
        <f>IF($CM$6=0,"",IF(INDEX('⑩ 원문 보관'!$A:$E,$CM$6+ROW()-9,COLUMN())="","",INDEX('⑩ 원문 보관'!$A:$E,$CM$6+ROW()-9,COLUMN())))</f>
        <v xml:space="preserve">132057.0  51453.55 04 </v>
      </c>
      <c r="Q162">
        <f t="shared" si="95"/>
        <v>4</v>
      </c>
      <c r="R162">
        <f t="shared" si="75"/>
        <v>112822</v>
      </c>
      <c r="S162">
        <f t="shared" si="76"/>
        <v>51334.59</v>
      </c>
      <c r="T162" t="str">
        <f t="shared" si="77"/>
        <v>99</v>
      </c>
      <c r="U162">
        <f t="shared" si="78"/>
        <v>1</v>
      </c>
      <c r="V162">
        <f t="shared" si="96"/>
        <v>4</v>
      </c>
      <c r="W162">
        <f t="shared" si="79"/>
        <v>115547</v>
      </c>
      <c r="X162">
        <f t="shared" si="80"/>
        <v>51533.74</v>
      </c>
      <c r="Y162" t="str">
        <f t="shared" si="81"/>
        <v>99</v>
      </c>
      <c r="Z162">
        <f t="shared" si="82"/>
        <v>1</v>
      </c>
      <c r="AA162">
        <f t="shared" si="97"/>
        <v>5</v>
      </c>
      <c r="AB162">
        <f t="shared" si="83"/>
        <v>123027</v>
      </c>
      <c r="AC162">
        <f t="shared" si="84"/>
        <v>51330.7</v>
      </c>
      <c r="AD162" t="str">
        <f t="shared" si="85"/>
        <v>84</v>
      </c>
      <c r="AE162">
        <f t="shared" si="86"/>
        <v>1</v>
      </c>
      <c r="AF162">
        <f t="shared" si="98"/>
        <v>5</v>
      </c>
      <c r="AG162">
        <f t="shared" si="87"/>
        <v>124652</v>
      </c>
      <c r="AH162">
        <f t="shared" si="88"/>
        <v>51483.22</v>
      </c>
      <c r="AI162" t="str">
        <f t="shared" si="89"/>
        <v>66</v>
      </c>
      <c r="AJ162">
        <f t="shared" si="90"/>
        <v>1</v>
      </c>
      <c r="AK162">
        <f t="shared" si="99"/>
        <v>4</v>
      </c>
      <c r="AL162">
        <f t="shared" si="91"/>
        <v>132057</v>
      </c>
      <c r="AM162">
        <f t="shared" si="92"/>
        <v>51453.55</v>
      </c>
      <c r="AN162" t="str">
        <f t="shared" si="93"/>
        <v>04</v>
      </c>
      <c r="AO162">
        <f t="shared" si="94"/>
        <v>1</v>
      </c>
    </row>
    <row r="163" spans="1:41" x14ac:dyDescent="0.4">
      <c r="A163" t="str">
        <f>IF($CM$6=0,"",IF(INDEX('⑩ 원문 보관'!$A:$E,$CM$6+ROW()-9,COLUMN())="","",INDEX('⑩ 원문 보관'!$A:$E,$CM$6+ROW()-9,COLUMN())))</f>
        <v xml:space="preserve">112827.0  51334.61 99 </v>
      </c>
      <c r="B163" t="str">
        <f>IF($CM$6=0,"",IF(INDEX('⑩ 원문 보관'!$A:$E,$CM$6+ROW()-9,COLUMN())="","",INDEX('⑩ 원문 보관'!$A:$E,$CM$6+ROW()-9,COLUMN())))</f>
        <v xml:space="preserve">115552.0  51533.88 98 </v>
      </c>
      <c r="C163" t="str">
        <f>IF($CM$6=0,"",IF(INDEX('⑩ 원문 보관'!$A:$E,$CM$6+ROW()-9,COLUMN())="","",INDEX('⑩ 원문 보관'!$A:$E,$CM$6+ROW()-9,COLUMN())))</f>
        <v xml:space="preserve">123032.0  51330.04 73 </v>
      </c>
      <c r="D163" t="str">
        <f>IF($CM$6=0,"",IF(INDEX('⑩ 원문 보관'!$A:$E,$CM$6+ROW()-9,COLUMN())="","",INDEX('⑩ 원문 보관'!$A:$E,$CM$6+ROW()-9,COLUMN())))</f>
        <v xml:space="preserve">124657.0  51482.88 56 </v>
      </c>
      <c r="E163" t="str">
        <f>IF($CM$6=0,"",IF(INDEX('⑩ 원문 보관'!$A:$E,$CM$6+ROW()-9,COLUMN())="","",INDEX('⑩ 원문 보관'!$A:$E,$CM$6+ROW()-9,COLUMN())))</f>
        <v xml:space="preserve">132102.0  51448.56 04 </v>
      </c>
      <c r="Q163">
        <f t="shared" si="95"/>
        <v>4</v>
      </c>
      <c r="R163">
        <f t="shared" si="75"/>
        <v>112827</v>
      </c>
      <c r="S163">
        <f t="shared" si="76"/>
        <v>51334.61</v>
      </c>
      <c r="T163" t="str">
        <f t="shared" si="77"/>
        <v>99</v>
      </c>
      <c r="U163">
        <f t="shared" si="78"/>
        <v>1</v>
      </c>
      <c r="V163">
        <f t="shared" si="96"/>
        <v>4</v>
      </c>
      <c r="W163">
        <f t="shared" si="79"/>
        <v>115552</v>
      </c>
      <c r="X163">
        <f t="shared" si="80"/>
        <v>51533.88</v>
      </c>
      <c r="Y163" t="str">
        <f t="shared" si="81"/>
        <v>98</v>
      </c>
      <c r="Z163">
        <f t="shared" si="82"/>
        <v>1</v>
      </c>
      <c r="AA163">
        <f t="shared" si="97"/>
        <v>5</v>
      </c>
      <c r="AB163">
        <f t="shared" si="83"/>
        <v>123032</v>
      </c>
      <c r="AC163">
        <f t="shared" si="84"/>
        <v>51330.04</v>
      </c>
      <c r="AD163" t="str">
        <f t="shared" si="85"/>
        <v>73</v>
      </c>
      <c r="AE163">
        <f t="shared" si="86"/>
        <v>1</v>
      </c>
      <c r="AF163">
        <f t="shared" si="98"/>
        <v>5</v>
      </c>
      <c r="AG163">
        <f t="shared" si="87"/>
        <v>124657</v>
      </c>
      <c r="AH163">
        <f t="shared" si="88"/>
        <v>51482.879999999997</v>
      </c>
      <c r="AI163" t="str">
        <f t="shared" si="89"/>
        <v>56</v>
      </c>
      <c r="AJ163">
        <f t="shared" si="90"/>
        <v>1</v>
      </c>
      <c r="AK163">
        <f t="shared" si="99"/>
        <v>4</v>
      </c>
      <c r="AL163">
        <f t="shared" si="91"/>
        <v>132102</v>
      </c>
      <c r="AM163">
        <f t="shared" si="92"/>
        <v>51448.56</v>
      </c>
      <c r="AN163" t="str">
        <f t="shared" si="93"/>
        <v>04</v>
      </c>
      <c r="AO163">
        <f t="shared" si="94"/>
        <v>1</v>
      </c>
    </row>
    <row r="164" spans="1:41" x14ac:dyDescent="0.4">
      <c r="A164" t="str">
        <f>IF($CM$6=0,"",IF(INDEX('⑩ 원문 보관'!$A:$E,$CM$6+ROW()-9,COLUMN())="","",INDEX('⑩ 원문 보관'!$A:$E,$CM$6+ROW()-9,COLUMN())))</f>
        <v xml:space="preserve">112832.0  51334.78 99 </v>
      </c>
      <c r="B164" t="str">
        <f>IF($CM$6=0,"",IF(INDEX('⑩ 원문 보관'!$A:$E,$CM$6+ROW()-9,COLUMN())="","",INDEX('⑩ 원문 보관'!$A:$E,$CM$6+ROW()-9,COLUMN())))</f>
        <v xml:space="preserve">115557.0  51533.94 99 </v>
      </c>
      <c r="C164" t="str">
        <f>IF($CM$6=0,"",IF(INDEX('⑩ 원문 보관'!$A:$E,$CM$6+ROW()-9,COLUMN())="","",INDEX('⑩ 원문 보관'!$A:$E,$CM$6+ROW()-9,COLUMN())))</f>
        <v xml:space="preserve">123037.0  51330.79 64 </v>
      </c>
      <c r="D164" t="str">
        <f>IF($CM$6=0,"",IF(INDEX('⑩ 원문 보관'!$A:$E,$CM$6+ROW()-9,COLUMN())="","",INDEX('⑩ 원문 보관'!$A:$E,$CM$6+ROW()-9,COLUMN())))</f>
        <v xml:space="preserve">124702.0  51483.22 57 </v>
      </c>
      <c r="E164" t="str">
        <f>IF($CM$6=0,"",IF(INDEX('⑩ 원문 보관'!$A:$E,$CM$6+ROW()-9,COLUMN())="","",INDEX('⑩ 원문 보관'!$A:$E,$CM$6+ROW()-9,COLUMN())))</f>
        <v xml:space="preserve">132107.0  51468.56 04 </v>
      </c>
      <c r="Q164">
        <f t="shared" si="95"/>
        <v>4</v>
      </c>
      <c r="R164">
        <f t="shared" si="75"/>
        <v>112832</v>
      </c>
      <c r="S164">
        <f t="shared" si="76"/>
        <v>51334.78</v>
      </c>
      <c r="T164" t="str">
        <f t="shared" si="77"/>
        <v>99</v>
      </c>
      <c r="U164">
        <f t="shared" si="78"/>
        <v>1</v>
      </c>
      <c r="V164">
        <f t="shared" si="96"/>
        <v>4</v>
      </c>
      <c r="W164">
        <f t="shared" si="79"/>
        <v>115557</v>
      </c>
      <c r="X164">
        <f t="shared" si="80"/>
        <v>51533.94</v>
      </c>
      <c r="Y164" t="str">
        <f t="shared" si="81"/>
        <v>99</v>
      </c>
      <c r="Z164">
        <f t="shared" si="82"/>
        <v>1</v>
      </c>
      <c r="AA164">
        <f t="shared" si="97"/>
        <v>5</v>
      </c>
      <c r="AB164">
        <f t="shared" si="83"/>
        <v>123037</v>
      </c>
      <c r="AC164">
        <f t="shared" si="84"/>
        <v>51330.79</v>
      </c>
      <c r="AD164" t="str">
        <f t="shared" si="85"/>
        <v>64</v>
      </c>
      <c r="AE164">
        <f t="shared" si="86"/>
        <v>1</v>
      </c>
      <c r="AF164">
        <f t="shared" si="98"/>
        <v>5</v>
      </c>
      <c r="AG164">
        <f t="shared" si="87"/>
        <v>124702</v>
      </c>
      <c r="AH164">
        <f t="shared" si="88"/>
        <v>51483.22</v>
      </c>
      <c r="AI164" t="str">
        <f t="shared" si="89"/>
        <v>57</v>
      </c>
      <c r="AJ164">
        <f t="shared" si="90"/>
        <v>1</v>
      </c>
      <c r="AK164">
        <f t="shared" si="99"/>
        <v>4</v>
      </c>
      <c r="AL164">
        <f t="shared" si="91"/>
        <v>132107</v>
      </c>
      <c r="AM164">
        <f t="shared" si="92"/>
        <v>51468.56</v>
      </c>
      <c r="AN164" t="str">
        <f t="shared" si="93"/>
        <v>04</v>
      </c>
      <c r="AO164">
        <f t="shared" si="94"/>
        <v>1</v>
      </c>
    </row>
    <row r="165" spans="1:41" x14ac:dyDescent="0.4">
      <c r="A165" t="str">
        <f>IF($CM$6=0,"",IF(INDEX('⑩ 원문 보관'!$A:$E,$CM$6+ROW()-9,COLUMN())="","",INDEX('⑩ 원문 보관'!$A:$E,$CM$6+ROW()-9,COLUMN())))</f>
        <v xml:space="preserve">112837.0  51334.68 99 </v>
      </c>
      <c r="B165" t="str">
        <f>IF($CM$6=0,"",IF(INDEX('⑩ 원문 보관'!$A:$E,$CM$6+ROW()-9,COLUMN())="","",INDEX('⑩ 원문 보관'!$A:$E,$CM$6+ROW()-9,COLUMN())))</f>
        <v xml:space="preserve">115602.0  51533.82 99 </v>
      </c>
      <c r="C165" t="str">
        <f>IF($CM$6=0,"",IF(INDEX('⑩ 원문 보관'!$A:$E,$CM$6+ROW()-9,COLUMN())="","",INDEX('⑩ 원문 보관'!$A:$E,$CM$6+ROW()-9,COLUMN())))</f>
        <v xml:space="preserve">123042.0  51330.76 53 </v>
      </c>
      <c r="D165" t="str">
        <f>IF($CM$6=0,"",IF(INDEX('⑩ 원문 보관'!$A:$E,$CM$6+ROW()-9,COLUMN())="","",INDEX('⑩ 원문 보관'!$A:$E,$CM$6+ROW()-9,COLUMN())))</f>
        <v xml:space="preserve">124707.0  51483.38 67 </v>
      </c>
      <c r="E165" t="str">
        <f>IF($CM$6=0,"",IF(INDEX('⑩ 원문 보관'!$A:$E,$CM$6+ROW()-9,COLUMN())="","",INDEX('⑩ 원문 보관'!$A:$E,$CM$6+ROW()-9,COLUMN())))</f>
        <v xml:space="preserve">132112.0  51455.61 03 </v>
      </c>
      <c r="Q165">
        <f t="shared" si="95"/>
        <v>4</v>
      </c>
      <c r="R165">
        <f t="shared" si="75"/>
        <v>112837</v>
      </c>
      <c r="S165">
        <f t="shared" si="76"/>
        <v>51334.68</v>
      </c>
      <c r="T165" t="str">
        <f t="shared" si="77"/>
        <v>99</v>
      </c>
      <c r="U165">
        <f t="shared" si="78"/>
        <v>1</v>
      </c>
      <c r="V165">
        <f t="shared" si="96"/>
        <v>4</v>
      </c>
      <c r="W165">
        <f t="shared" si="79"/>
        <v>115602</v>
      </c>
      <c r="X165">
        <f t="shared" si="80"/>
        <v>51533.82</v>
      </c>
      <c r="Y165" t="str">
        <f t="shared" si="81"/>
        <v>99</v>
      </c>
      <c r="Z165">
        <f t="shared" si="82"/>
        <v>1</v>
      </c>
      <c r="AA165">
        <f t="shared" si="97"/>
        <v>5</v>
      </c>
      <c r="AB165">
        <f t="shared" si="83"/>
        <v>123042</v>
      </c>
      <c r="AC165">
        <f t="shared" si="84"/>
        <v>51330.76</v>
      </c>
      <c r="AD165" t="str">
        <f t="shared" si="85"/>
        <v>53</v>
      </c>
      <c r="AE165">
        <f t="shared" si="86"/>
        <v>1</v>
      </c>
      <c r="AF165">
        <f t="shared" si="98"/>
        <v>5</v>
      </c>
      <c r="AG165">
        <f t="shared" si="87"/>
        <v>124707</v>
      </c>
      <c r="AH165">
        <f t="shared" si="88"/>
        <v>51483.38</v>
      </c>
      <c r="AI165" t="str">
        <f t="shared" si="89"/>
        <v>67</v>
      </c>
      <c r="AJ165">
        <f t="shared" si="90"/>
        <v>1</v>
      </c>
      <c r="AK165">
        <f t="shared" si="99"/>
        <v>4</v>
      </c>
      <c r="AL165">
        <f t="shared" si="91"/>
        <v>132112</v>
      </c>
      <c r="AM165">
        <f t="shared" si="92"/>
        <v>51455.61</v>
      </c>
      <c r="AN165" t="str">
        <f t="shared" si="93"/>
        <v>03</v>
      </c>
      <c r="AO165">
        <f t="shared" si="94"/>
        <v>1</v>
      </c>
    </row>
    <row r="166" spans="1:41" x14ac:dyDescent="0.4">
      <c r="A166" t="str">
        <f>IF($CM$6=0,"",IF(INDEX('⑩ 원문 보관'!$A:$E,$CM$6+ROW()-9,COLUMN())="","",INDEX('⑩ 원문 보관'!$A:$E,$CM$6+ROW()-9,COLUMN())))</f>
        <v xml:space="preserve">112842.0  51334.64 99 </v>
      </c>
      <c r="B166" t="str">
        <f>IF($CM$6=0,"",IF(INDEX('⑩ 원문 보관'!$A:$E,$CM$6+ROW()-9,COLUMN())="","",INDEX('⑩ 원문 보관'!$A:$E,$CM$6+ROW()-9,COLUMN())))</f>
        <v xml:space="preserve">115607.0  51533.81 99 </v>
      </c>
      <c r="C166" t="str">
        <f>IF($CM$6=0,"",IF(INDEX('⑩ 원문 보관'!$A:$E,$CM$6+ROW()-9,COLUMN())="","",INDEX('⑩ 원문 보관'!$A:$E,$CM$6+ROW()-9,COLUMN())))</f>
        <v xml:space="preserve">123047.0  51329.17 44 </v>
      </c>
      <c r="D166" t="str">
        <f>IF($CM$6=0,"",IF(INDEX('⑩ 원문 보관'!$A:$E,$CM$6+ROW()-9,COLUMN())="","",INDEX('⑩ 원문 보관'!$A:$E,$CM$6+ROW()-9,COLUMN())))</f>
        <v xml:space="preserve">124712.0  51483.58 57 </v>
      </c>
      <c r="E166" t="str">
        <f>IF($CM$6=0,"",IF(INDEX('⑩ 원문 보관'!$A:$E,$CM$6+ROW()-9,COLUMN())="","",INDEX('⑩ 원문 보관'!$A:$E,$CM$6+ROW()-9,COLUMN())))</f>
        <v xml:space="preserve">132117.0  51481.64 03 </v>
      </c>
      <c r="Q166">
        <f t="shared" si="95"/>
        <v>4</v>
      </c>
      <c r="R166">
        <f t="shared" si="75"/>
        <v>112842</v>
      </c>
      <c r="S166">
        <f t="shared" si="76"/>
        <v>51334.64</v>
      </c>
      <c r="T166" t="str">
        <f t="shared" si="77"/>
        <v>99</v>
      </c>
      <c r="U166">
        <f t="shared" si="78"/>
        <v>1</v>
      </c>
      <c r="V166">
        <f t="shared" si="96"/>
        <v>4</v>
      </c>
      <c r="W166">
        <f t="shared" si="79"/>
        <v>115607</v>
      </c>
      <c r="X166">
        <f t="shared" si="80"/>
        <v>51533.81</v>
      </c>
      <c r="Y166" t="str">
        <f t="shared" si="81"/>
        <v>99</v>
      </c>
      <c r="Z166">
        <f t="shared" si="82"/>
        <v>1</v>
      </c>
      <c r="AA166">
        <f t="shared" si="97"/>
        <v>5</v>
      </c>
      <c r="AB166">
        <f t="shared" si="83"/>
        <v>123047</v>
      </c>
      <c r="AC166">
        <f t="shared" si="84"/>
        <v>51329.17</v>
      </c>
      <c r="AD166" t="str">
        <f t="shared" si="85"/>
        <v>44</v>
      </c>
      <c r="AE166">
        <f t="shared" si="86"/>
        <v>1</v>
      </c>
      <c r="AF166">
        <f t="shared" si="98"/>
        <v>5</v>
      </c>
      <c r="AG166">
        <f t="shared" si="87"/>
        <v>124712</v>
      </c>
      <c r="AH166">
        <f t="shared" si="88"/>
        <v>51483.58</v>
      </c>
      <c r="AI166" t="str">
        <f t="shared" si="89"/>
        <v>57</v>
      </c>
      <c r="AJ166">
        <f t="shared" si="90"/>
        <v>1</v>
      </c>
      <c r="AK166">
        <f t="shared" si="99"/>
        <v>4</v>
      </c>
      <c r="AL166">
        <f t="shared" si="91"/>
        <v>132117</v>
      </c>
      <c r="AM166">
        <f t="shared" si="92"/>
        <v>51481.64</v>
      </c>
      <c r="AN166" t="str">
        <f t="shared" si="93"/>
        <v>03</v>
      </c>
      <c r="AO166">
        <f t="shared" si="94"/>
        <v>1</v>
      </c>
    </row>
    <row r="167" spans="1:41" x14ac:dyDescent="0.4">
      <c r="A167" t="str">
        <f>IF($CM$6=0,"",IF(INDEX('⑩ 원문 보관'!$A:$E,$CM$6+ROW()-9,COLUMN())="","",INDEX('⑩ 원문 보관'!$A:$E,$CM$6+ROW()-9,COLUMN())))</f>
        <v xml:space="preserve">112847.0  51334.67 99 </v>
      </c>
      <c r="B167" t="str">
        <f>IF($CM$6=0,"",IF(INDEX('⑩ 원문 보관'!$A:$E,$CM$6+ROW()-9,COLUMN())="","",INDEX('⑩ 원문 보관'!$A:$E,$CM$6+ROW()-9,COLUMN())))</f>
        <v/>
      </c>
      <c r="C167" t="str">
        <f>IF($CM$6=0,"",IF(INDEX('⑩ 원문 보관'!$A:$E,$CM$6+ROW()-9,COLUMN())="","",INDEX('⑩ 원문 보관'!$A:$E,$CM$6+ROW()-9,COLUMN())))</f>
        <v xml:space="preserve">123052.0  51330.63 54 </v>
      </c>
      <c r="D167" t="str">
        <f>IF($CM$6=0,"",IF(INDEX('⑩ 원문 보관'!$A:$E,$CM$6+ROW()-9,COLUMN())="","",INDEX('⑩ 원문 보관'!$A:$E,$CM$6+ROW()-9,COLUMN())))</f>
        <v xml:space="preserve">124717.0  51484.09 67 </v>
      </c>
      <c r="E167" t="str">
        <f>IF($CM$6=0,"",IF(INDEX('⑩ 원문 보관'!$A:$E,$CM$6+ROW()-9,COLUMN())="","",INDEX('⑩ 원문 보관'!$A:$E,$CM$6+ROW()-9,COLUMN())))</f>
        <v/>
      </c>
      <c r="Q167">
        <f t="shared" si="95"/>
        <v>4</v>
      </c>
      <c r="R167">
        <f t="shared" si="75"/>
        <v>112847</v>
      </c>
      <c r="S167">
        <f t="shared" si="76"/>
        <v>51334.67</v>
      </c>
      <c r="T167" t="str">
        <f t="shared" si="77"/>
        <v>99</v>
      </c>
      <c r="U167">
        <f t="shared" si="78"/>
        <v>1</v>
      </c>
      <c r="V167">
        <f t="shared" si="96"/>
        <v>4</v>
      </c>
      <c r="W167" t="str">
        <f t="shared" si="79"/>
        <v/>
      </c>
      <c r="X167" t="str">
        <f t="shared" si="80"/>
        <v/>
      </c>
      <c r="Y167" t="str">
        <f t="shared" si="81"/>
        <v/>
      </c>
      <c r="Z167">
        <f t="shared" si="82"/>
        <v>0</v>
      </c>
      <c r="AA167">
        <f t="shared" si="97"/>
        <v>5</v>
      </c>
      <c r="AB167">
        <f t="shared" si="83"/>
        <v>123052</v>
      </c>
      <c r="AC167">
        <f t="shared" si="84"/>
        <v>51330.63</v>
      </c>
      <c r="AD167" t="str">
        <f t="shared" si="85"/>
        <v>54</v>
      </c>
      <c r="AE167">
        <f t="shared" si="86"/>
        <v>1</v>
      </c>
      <c r="AF167">
        <f t="shared" si="98"/>
        <v>5</v>
      </c>
      <c r="AG167">
        <f t="shared" si="87"/>
        <v>124717</v>
      </c>
      <c r="AH167">
        <f t="shared" si="88"/>
        <v>51484.09</v>
      </c>
      <c r="AI167" t="str">
        <f t="shared" si="89"/>
        <v>67</v>
      </c>
      <c r="AJ167">
        <f t="shared" si="90"/>
        <v>1</v>
      </c>
      <c r="AK167">
        <f t="shared" si="99"/>
        <v>4</v>
      </c>
      <c r="AL167" t="str">
        <f t="shared" si="91"/>
        <v/>
      </c>
      <c r="AM167" t="str">
        <f t="shared" si="92"/>
        <v/>
      </c>
      <c r="AN167" t="str">
        <f t="shared" si="93"/>
        <v/>
      </c>
      <c r="AO167">
        <f t="shared" si="94"/>
        <v>0</v>
      </c>
    </row>
    <row r="168" spans="1:41" x14ac:dyDescent="0.4">
      <c r="A168" t="str">
        <f>IF($CM$6=0,"",IF(INDEX('⑩ 원문 보관'!$A:$E,$CM$6+ROW()-9,COLUMN())="","",INDEX('⑩ 원문 보관'!$A:$E,$CM$6+ROW()-9,COLUMN())))</f>
        <v xml:space="preserve">112852.0  51334.61 99 </v>
      </c>
      <c r="B168" t="str">
        <f>IF($CM$6=0,"",IF(INDEX('⑩ 원문 보관'!$A:$E,$CM$6+ROW()-9,COLUMN())="","",INDEX('⑩ 원문 보관'!$A:$E,$CM$6+ROW()-9,COLUMN())))</f>
        <v/>
      </c>
      <c r="C168" t="str">
        <f>IF($CM$6=0,"",IF(INDEX('⑩ 원문 보관'!$A:$E,$CM$6+ROW()-9,COLUMN())="","",INDEX('⑩ 원문 보관'!$A:$E,$CM$6+ROW()-9,COLUMN())))</f>
        <v xml:space="preserve">123057.0  51331.03 63 </v>
      </c>
      <c r="D168" t="str">
        <f>IF($CM$6=0,"",IF(INDEX('⑩ 원문 보관'!$A:$E,$CM$6+ROW()-9,COLUMN())="","",INDEX('⑩ 원문 보관'!$A:$E,$CM$6+ROW()-9,COLUMN())))</f>
        <v xml:space="preserve">124722.0  51482.66 46 </v>
      </c>
      <c r="E168" t="str">
        <f>IF($CM$6=0,"",IF(INDEX('⑩ 원문 보관'!$A:$E,$CM$6+ROW()-9,COLUMN())="","",INDEX('⑩ 원문 보관'!$A:$E,$CM$6+ROW()-9,COLUMN())))</f>
        <v/>
      </c>
      <c r="Q168">
        <f t="shared" si="95"/>
        <v>4</v>
      </c>
      <c r="R168">
        <f t="shared" si="75"/>
        <v>112852</v>
      </c>
      <c r="S168">
        <f t="shared" si="76"/>
        <v>51334.61</v>
      </c>
      <c r="T168" t="str">
        <f t="shared" si="77"/>
        <v>99</v>
      </c>
      <c r="U168">
        <f t="shared" si="78"/>
        <v>1</v>
      </c>
      <c r="V168">
        <f t="shared" si="96"/>
        <v>4</v>
      </c>
      <c r="W168" t="str">
        <f t="shared" si="79"/>
        <v/>
      </c>
      <c r="X168" t="str">
        <f t="shared" si="80"/>
        <v/>
      </c>
      <c r="Y168" t="str">
        <f t="shared" si="81"/>
        <v/>
      </c>
      <c r="Z168">
        <f t="shared" si="82"/>
        <v>0</v>
      </c>
      <c r="AA168">
        <f t="shared" si="97"/>
        <v>5</v>
      </c>
      <c r="AB168">
        <f t="shared" si="83"/>
        <v>123057</v>
      </c>
      <c r="AC168">
        <f t="shared" si="84"/>
        <v>51331.03</v>
      </c>
      <c r="AD168" t="str">
        <f t="shared" si="85"/>
        <v>63</v>
      </c>
      <c r="AE168">
        <f t="shared" si="86"/>
        <v>1</v>
      </c>
      <c r="AF168">
        <f t="shared" si="98"/>
        <v>5</v>
      </c>
      <c r="AG168">
        <f t="shared" si="87"/>
        <v>124722</v>
      </c>
      <c r="AH168">
        <f t="shared" si="88"/>
        <v>51482.66</v>
      </c>
      <c r="AI168" t="str">
        <f t="shared" si="89"/>
        <v>46</v>
      </c>
      <c r="AJ168">
        <f t="shared" si="90"/>
        <v>1</v>
      </c>
      <c r="AK168">
        <f t="shared" si="99"/>
        <v>4</v>
      </c>
      <c r="AL168" t="str">
        <f t="shared" si="91"/>
        <v/>
      </c>
      <c r="AM168" t="str">
        <f t="shared" si="92"/>
        <v/>
      </c>
      <c r="AN168" t="str">
        <f t="shared" si="93"/>
        <v/>
      </c>
      <c r="AO168">
        <f t="shared" si="94"/>
        <v>0</v>
      </c>
    </row>
    <row r="169" spans="1:41" x14ac:dyDescent="0.4">
      <c r="A169" t="str">
        <f>IF($CM$6=0,"",IF(INDEX('⑩ 원문 보관'!$A:$E,$CM$6+ROW()-9,COLUMN())="","",INDEX('⑩ 원문 보관'!$A:$E,$CM$6+ROW()-9,COLUMN())))</f>
        <v xml:space="preserve">112857.0  51334.64 99 </v>
      </c>
      <c r="B169" t="str">
        <f>IF($CM$6=0,"",IF(INDEX('⑩ 원문 보관'!$A:$E,$CM$6+ROW()-9,COLUMN())="","",INDEX('⑩ 원문 보관'!$A:$E,$CM$6+ROW()-9,COLUMN())))</f>
        <v xml:space="preserve">/Gem Systems GSM-19T 4106808 v7.0 26 IX 2014 M t-e2l..v7o                         </v>
      </c>
      <c r="C169" t="str">
        <f>IF($CM$6=0,"",IF(INDEX('⑩ 원문 보관'!$A:$E,$CM$6+ROW()-9,COLUMN())="","",INDEX('⑩ 원문 보관'!$A:$E,$CM$6+ROW()-9,COLUMN())))</f>
        <v xml:space="preserve">123102.0  51330.61 64 </v>
      </c>
      <c r="D169" t="str">
        <f>IF($CM$6=0,"",IF(INDEX('⑩ 원문 보관'!$A:$E,$CM$6+ROW()-9,COLUMN())="","",INDEX('⑩ 원문 보관'!$A:$E,$CM$6+ROW()-9,COLUMN())))</f>
        <v xml:space="preserve">124727.0  51482.98 57 </v>
      </c>
      <c r="E169" t="str">
        <f>IF($CM$6=0,"",IF(INDEX('⑩ 원문 보관'!$A:$E,$CM$6+ROW()-9,COLUMN())="","",INDEX('⑩ 원문 보관'!$A:$E,$CM$6+ROW()-9,COLUMN())))</f>
        <v xml:space="preserve">/Gem Systems GSM-19T 4106808 v7.0 26 IX 2014 M t-e2l..v7o                         </v>
      </c>
      <c r="Q169">
        <f t="shared" si="95"/>
        <v>4</v>
      </c>
      <c r="R169">
        <f t="shared" si="75"/>
        <v>112857</v>
      </c>
      <c r="S169">
        <f t="shared" si="76"/>
        <v>51334.64</v>
      </c>
      <c r="T169" t="str">
        <f t="shared" si="77"/>
        <v>99</v>
      </c>
      <c r="U169">
        <f t="shared" si="78"/>
        <v>1</v>
      </c>
      <c r="V169">
        <f t="shared" si="96"/>
        <v>4</v>
      </c>
      <c r="W169" t="str">
        <f t="shared" si="79"/>
        <v/>
      </c>
      <c r="X169" t="str">
        <f t="shared" si="80"/>
        <v/>
      </c>
      <c r="Y169" t="str">
        <f t="shared" si="81"/>
        <v>GSM-19T</v>
      </c>
      <c r="Z169">
        <f t="shared" si="82"/>
        <v>0</v>
      </c>
      <c r="AA169">
        <f t="shared" si="97"/>
        <v>5</v>
      </c>
      <c r="AB169">
        <f t="shared" si="83"/>
        <v>123102</v>
      </c>
      <c r="AC169">
        <f t="shared" si="84"/>
        <v>51330.61</v>
      </c>
      <c r="AD169" t="str">
        <f t="shared" si="85"/>
        <v>64</v>
      </c>
      <c r="AE169">
        <f t="shared" si="86"/>
        <v>1</v>
      </c>
      <c r="AF169">
        <f t="shared" si="98"/>
        <v>5</v>
      </c>
      <c r="AG169">
        <f t="shared" si="87"/>
        <v>124727</v>
      </c>
      <c r="AH169">
        <f t="shared" si="88"/>
        <v>51482.98</v>
      </c>
      <c r="AI169" t="str">
        <f t="shared" si="89"/>
        <v>57</v>
      </c>
      <c r="AJ169">
        <f t="shared" si="90"/>
        <v>1</v>
      </c>
      <c r="AK169">
        <f t="shared" si="99"/>
        <v>4</v>
      </c>
      <c r="AL169" t="str">
        <f t="shared" si="91"/>
        <v/>
      </c>
      <c r="AM169" t="str">
        <f t="shared" si="92"/>
        <v/>
      </c>
      <c r="AN169" t="str">
        <f t="shared" si="93"/>
        <v>GSM-19T</v>
      </c>
      <c r="AO169">
        <f t="shared" si="94"/>
        <v>0</v>
      </c>
    </row>
    <row r="170" spans="1:41" x14ac:dyDescent="0.4">
      <c r="A170" t="str">
        <f>IF($CM$6=0,"",IF(INDEX('⑩ 원문 보관'!$A:$E,$CM$6+ROW()-9,COLUMN())="","",INDEX('⑩ 원문 보관'!$A:$E,$CM$6+ROW()-9,COLUMN())))</f>
        <v xml:space="preserve">112902.0  51334.15 98 </v>
      </c>
      <c r="B170" t="str">
        <f>IF($CM$6=0,"",IF(INDEX('⑩ 원문 보관'!$A:$E,$CM$6+ROW()-9,COLUMN())="","",INDEX('⑩ 원문 보관'!$A:$E,$CM$6+ROW()-9,COLUMN())))</f>
        <v>/ID 2666 file 14survey.b   21 IX 26</v>
      </c>
      <c r="C170" t="str">
        <f>IF($CM$6=0,"",IF(INDEX('⑩ 원문 보관'!$A:$E,$CM$6+ROW()-9,COLUMN())="","",INDEX('⑩ 원문 보관'!$A:$E,$CM$6+ROW()-9,COLUMN())))</f>
        <v xml:space="preserve">123107.0  51331.40 73 </v>
      </c>
      <c r="D170" t="str">
        <f>IF($CM$6=0,"",IF(INDEX('⑩ 원문 보관'!$A:$E,$CM$6+ROW()-9,COLUMN())="","",INDEX('⑩ 원문 보관'!$A:$E,$CM$6+ROW()-9,COLUMN())))</f>
        <v xml:space="preserve">124732.0  51483.16 57 </v>
      </c>
      <c r="E170" t="str">
        <f>IF($CM$6=0,"",IF(INDEX('⑩ 원문 보관'!$A:$E,$CM$6+ROW()-9,COLUMN())="","",INDEX('⑩ 원문 보관'!$A:$E,$CM$6+ROW()-9,COLUMN())))</f>
        <v>/ID 2666</v>
      </c>
      <c r="Q170">
        <f t="shared" si="95"/>
        <v>4</v>
      </c>
      <c r="R170">
        <f t="shared" si="75"/>
        <v>112902</v>
      </c>
      <c r="S170">
        <f t="shared" si="76"/>
        <v>51334.15</v>
      </c>
      <c r="T170" t="str">
        <f t="shared" si="77"/>
        <v>98</v>
      </c>
      <c r="U170">
        <f t="shared" si="78"/>
        <v>1</v>
      </c>
      <c r="V170">
        <f t="shared" si="96"/>
        <v>4</v>
      </c>
      <c r="W170" t="str">
        <f t="shared" si="79"/>
        <v/>
      </c>
      <c r="X170">
        <f t="shared" si="80"/>
        <v>2666</v>
      </c>
      <c r="Y170" t="str">
        <f t="shared" si="81"/>
        <v>file</v>
      </c>
      <c r="Z170">
        <f t="shared" si="82"/>
        <v>0</v>
      </c>
      <c r="AA170">
        <f t="shared" si="97"/>
        <v>5</v>
      </c>
      <c r="AB170">
        <f t="shared" si="83"/>
        <v>123107</v>
      </c>
      <c r="AC170">
        <f t="shared" si="84"/>
        <v>51331.4</v>
      </c>
      <c r="AD170" t="str">
        <f t="shared" si="85"/>
        <v>73</v>
      </c>
      <c r="AE170">
        <f t="shared" si="86"/>
        <v>1</v>
      </c>
      <c r="AF170">
        <f t="shared" si="98"/>
        <v>5</v>
      </c>
      <c r="AG170">
        <f t="shared" si="87"/>
        <v>124732</v>
      </c>
      <c r="AH170">
        <f t="shared" si="88"/>
        <v>51483.16</v>
      </c>
      <c r="AI170" t="str">
        <f t="shared" si="89"/>
        <v>57</v>
      </c>
      <c r="AJ170">
        <f t="shared" si="90"/>
        <v>1</v>
      </c>
      <c r="AK170">
        <f t="shared" si="99"/>
        <v>4</v>
      </c>
      <c r="AL170" t="str">
        <f t="shared" si="91"/>
        <v/>
      </c>
      <c r="AM170">
        <f t="shared" si="92"/>
        <v>2666</v>
      </c>
      <c r="AN170" t="str">
        <f t="shared" si="93"/>
        <v/>
      </c>
      <c r="AO170">
        <f t="shared" si="94"/>
        <v>0</v>
      </c>
    </row>
    <row r="171" spans="1:41" x14ac:dyDescent="0.4">
      <c r="A171" t="str">
        <f>IF($CM$6=0,"",IF(INDEX('⑩ 원문 보관'!$A:$E,$CM$6+ROW()-9,COLUMN())="","",INDEX('⑩ 원문 보관'!$A:$E,$CM$6+ROW()-9,COLUMN())))</f>
        <v/>
      </c>
      <c r="B171" t="str">
        <f>IF($CM$6=0,"",IF(INDEX('⑩ 원문 보관'!$A:$E,$CM$6+ROW()-9,COLUMN())="","",INDEX('⑩ 원문 보관'!$A:$E,$CM$6+ROW()-9,COLUMN())))</f>
        <v>/datum  57000.00</v>
      </c>
      <c r="C171" t="str">
        <f>IF($CM$6=0,"",IF(INDEX('⑩ 원문 보관'!$A:$E,$CM$6+ROW()-9,COLUMN())="","",INDEX('⑩ 원문 보관'!$A:$E,$CM$6+ROW()-9,COLUMN())))</f>
        <v xml:space="preserve">123112.0  51330.76 74 </v>
      </c>
      <c r="D171" t="str">
        <f>IF($CM$6=0,"",IF(INDEX('⑩ 원문 보관'!$A:$E,$CM$6+ROW()-9,COLUMN())="","",INDEX('⑩ 원문 보관'!$A:$E,$CM$6+ROW()-9,COLUMN())))</f>
        <v xml:space="preserve">124737.0  51483.68 57 </v>
      </c>
      <c r="E171" t="str">
        <f>IF($CM$6=0,"",IF(INDEX('⑩ 원문 보관'!$A:$E,$CM$6+ROW()-9,COLUMN())="","",INDEX('⑩ 원문 보관'!$A:$E,$CM$6+ROW()-9,COLUMN())))</f>
        <v/>
      </c>
      <c r="Q171">
        <f t="shared" si="95"/>
        <v>4</v>
      </c>
      <c r="R171" t="str">
        <f t="shared" si="75"/>
        <v/>
      </c>
      <c r="S171" t="str">
        <f t="shared" si="76"/>
        <v/>
      </c>
      <c r="T171" t="str">
        <f t="shared" si="77"/>
        <v/>
      </c>
      <c r="U171">
        <f t="shared" si="78"/>
        <v>0</v>
      </c>
      <c r="V171">
        <f t="shared" si="96"/>
        <v>4</v>
      </c>
      <c r="W171" t="str">
        <f t="shared" si="79"/>
        <v/>
      </c>
      <c r="X171">
        <f t="shared" si="80"/>
        <v>57000</v>
      </c>
      <c r="Y171" t="str">
        <f t="shared" si="81"/>
        <v/>
      </c>
      <c r="Z171">
        <f t="shared" si="82"/>
        <v>0</v>
      </c>
      <c r="AA171">
        <f t="shared" si="97"/>
        <v>5</v>
      </c>
      <c r="AB171">
        <f t="shared" si="83"/>
        <v>123112</v>
      </c>
      <c r="AC171">
        <f t="shared" si="84"/>
        <v>51330.76</v>
      </c>
      <c r="AD171" t="str">
        <f t="shared" si="85"/>
        <v>74</v>
      </c>
      <c r="AE171">
        <f t="shared" si="86"/>
        <v>1</v>
      </c>
      <c r="AF171">
        <f t="shared" si="98"/>
        <v>5</v>
      </c>
      <c r="AG171">
        <f t="shared" si="87"/>
        <v>124737</v>
      </c>
      <c r="AH171">
        <f t="shared" si="88"/>
        <v>51483.68</v>
      </c>
      <c r="AI171" t="str">
        <f t="shared" si="89"/>
        <v>57</v>
      </c>
      <c r="AJ171">
        <f t="shared" si="90"/>
        <v>1</v>
      </c>
      <c r="AK171">
        <f t="shared" si="99"/>
        <v>4</v>
      </c>
      <c r="AL171" t="str">
        <f t="shared" si="91"/>
        <v/>
      </c>
      <c r="AM171" t="str">
        <f t="shared" si="92"/>
        <v/>
      </c>
      <c r="AN171" t="str">
        <f t="shared" si="93"/>
        <v/>
      </c>
      <c r="AO171">
        <f t="shared" si="94"/>
        <v>0</v>
      </c>
    </row>
    <row r="172" spans="1:41" x14ac:dyDescent="0.4">
      <c r="A172" t="str">
        <f>IF($CM$6=0,"",IF(INDEX('⑩ 원문 보관'!$A:$E,$CM$6+ROW()-9,COLUMN())="","",INDEX('⑩ 원문 보관'!$A:$E,$CM$6+ROW()-9,COLUMN())))</f>
        <v/>
      </c>
      <c r="B172" t="str">
        <f>IF($CM$6=0,"",IF(INDEX('⑩ 원문 보관'!$A:$E,$CM$6+ROW()-9,COLUMN())="","",INDEX('⑩ 원문 보관'!$A:$E,$CM$6+ROW()-9,COLUMN())))</f>
        <v>/</v>
      </c>
      <c r="C172" t="str">
        <f>IF($CM$6=0,"",IF(INDEX('⑩ 원문 보관'!$A:$E,$CM$6+ROW()-9,COLUMN())="","",INDEX('⑩ 원문 보관'!$A:$E,$CM$6+ROW()-9,COLUMN())))</f>
        <v xml:space="preserve">123117.0  51331.82 53 </v>
      </c>
      <c r="D172" t="str">
        <f>IF($CM$6=0,"",IF(INDEX('⑩ 원문 보관'!$A:$E,$CM$6+ROW()-9,COLUMN())="","",INDEX('⑩ 원문 보관'!$A:$E,$CM$6+ROW()-9,COLUMN())))</f>
        <v xml:space="preserve">124742.0  51484.15 57 </v>
      </c>
      <c r="E172" t="str">
        <f>IF($CM$6=0,"",IF(INDEX('⑩ 원문 보관'!$A:$E,$CM$6+ROW()-9,COLUMN())="","",INDEX('⑩ 원문 보관'!$A:$E,$CM$6+ROW()-9,COLUMN())))</f>
        <v/>
      </c>
      <c r="Q172">
        <f t="shared" si="95"/>
        <v>4</v>
      </c>
      <c r="R172" t="str">
        <f t="shared" si="75"/>
        <v/>
      </c>
      <c r="S172" t="str">
        <f t="shared" si="76"/>
        <v/>
      </c>
      <c r="T172" t="str">
        <f t="shared" si="77"/>
        <v/>
      </c>
      <c r="U172">
        <f t="shared" si="78"/>
        <v>0</v>
      </c>
      <c r="V172">
        <f t="shared" si="96"/>
        <v>4</v>
      </c>
      <c r="W172" t="str">
        <f t="shared" si="79"/>
        <v/>
      </c>
      <c r="X172" t="str">
        <f t="shared" si="80"/>
        <v/>
      </c>
      <c r="Y172" t="str">
        <f t="shared" si="81"/>
        <v/>
      </c>
      <c r="Z172">
        <f t="shared" si="82"/>
        <v>0</v>
      </c>
      <c r="AA172">
        <f t="shared" si="97"/>
        <v>5</v>
      </c>
      <c r="AB172">
        <f t="shared" si="83"/>
        <v>123117</v>
      </c>
      <c r="AC172">
        <f t="shared" si="84"/>
        <v>51331.82</v>
      </c>
      <c r="AD172" t="str">
        <f t="shared" si="85"/>
        <v>53</v>
      </c>
      <c r="AE172">
        <f t="shared" si="86"/>
        <v>1</v>
      </c>
      <c r="AF172">
        <f t="shared" si="98"/>
        <v>5</v>
      </c>
      <c r="AG172">
        <f t="shared" si="87"/>
        <v>124742</v>
      </c>
      <c r="AH172">
        <f t="shared" si="88"/>
        <v>51484.15</v>
      </c>
      <c r="AI172" t="str">
        <f t="shared" si="89"/>
        <v>57</v>
      </c>
      <c r="AJ172">
        <f t="shared" si="90"/>
        <v>1</v>
      </c>
      <c r="AK172">
        <f t="shared" si="99"/>
        <v>4</v>
      </c>
      <c r="AL172" t="str">
        <f t="shared" si="91"/>
        <v/>
      </c>
      <c r="AM172" t="str">
        <f t="shared" si="92"/>
        <v/>
      </c>
      <c r="AN172" t="str">
        <f t="shared" si="93"/>
        <v/>
      </c>
      <c r="AO172">
        <f t="shared" si="94"/>
        <v>0</v>
      </c>
    </row>
    <row r="173" spans="1:41" x14ac:dyDescent="0.4">
      <c r="A173" t="str">
        <f>IF($CM$6=0,"",IF(INDEX('⑩ 원문 보관'!$A:$E,$CM$6+ROW()-9,COLUMN())="","",INDEX('⑩ 원문 보관'!$A:$E,$CM$6+ROW()-9,COLUMN())))</f>
        <v xml:space="preserve">/Gem Systems GSM-19T 4106808 v7.0 26 IX 2014 M t-e2l..v7o                         </v>
      </c>
      <c r="B173" t="str">
        <f>IF($CM$6=0,"",IF(INDEX('⑩ 원문 보관'!$A:$E,$CM$6+ROW()-9,COLUMN())="","",INDEX('⑩ 원문 보관'!$A:$E,$CM$6+ROW()-9,COLUMN())))</f>
        <v/>
      </c>
      <c r="C173" t="str">
        <f>IF($CM$6=0,"",IF(INDEX('⑩ 원문 보관'!$A:$E,$CM$6+ROW()-9,COLUMN())="","",INDEX('⑩ 원문 보관'!$A:$E,$CM$6+ROW()-9,COLUMN())))</f>
        <v xml:space="preserve">123122.0  51329.67 44 </v>
      </c>
      <c r="D173" t="str">
        <f>IF($CM$6=0,"",IF(INDEX('⑩ 원문 보관'!$A:$E,$CM$6+ROW()-9,COLUMN())="","",INDEX('⑩ 원문 보관'!$A:$E,$CM$6+ROW()-9,COLUMN())))</f>
        <v xml:space="preserve">124747.0  51483.62 56 </v>
      </c>
      <c r="E173" t="str">
        <f>IF($CM$6=0,"",IF(INDEX('⑩ 원문 보관'!$A:$E,$CM$6+ROW()-9,COLUMN())="","",INDEX('⑩ 원문 보관'!$A:$E,$CM$6+ROW()-9,COLUMN())))</f>
        <v/>
      </c>
      <c r="Q173">
        <f t="shared" si="95"/>
        <v>4</v>
      </c>
      <c r="R173" t="str">
        <f t="shared" si="75"/>
        <v/>
      </c>
      <c r="S173" t="str">
        <f t="shared" si="76"/>
        <v/>
      </c>
      <c r="T173" t="str">
        <f t="shared" si="77"/>
        <v>GSM-19T</v>
      </c>
      <c r="U173">
        <f t="shared" si="78"/>
        <v>0</v>
      </c>
      <c r="V173">
        <f t="shared" si="96"/>
        <v>4</v>
      </c>
      <c r="W173" t="str">
        <f t="shared" si="79"/>
        <v/>
      </c>
      <c r="X173" t="str">
        <f t="shared" si="80"/>
        <v/>
      </c>
      <c r="Y173" t="str">
        <f t="shared" si="81"/>
        <v/>
      </c>
      <c r="Z173">
        <f t="shared" si="82"/>
        <v>0</v>
      </c>
      <c r="AA173">
        <f t="shared" si="97"/>
        <v>5</v>
      </c>
      <c r="AB173">
        <f t="shared" si="83"/>
        <v>123122</v>
      </c>
      <c r="AC173">
        <f t="shared" si="84"/>
        <v>51329.67</v>
      </c>
      <c r="AD173" t="str">
        <f t="shared" si="85"/>
        <v>44</v>
      </c>
      <c r="AE173">
        <f t="shared" si="86"/>
        <v>1</v>
      </c>
      <c r="AF173">
        <f t="shared" si="98"/>
        <v>5</v>
      </c>
      <c r="AG173">
        <f t="shared" si="87"/>
        <v>124747</v>
      </c>
      <c r="AH173">
        <f t="shared" si="88"/>
        <v>51483.62</v>
      </c>
      <c r="AI173" t="str">
        <f t="shared" si="89"/>
        <v>56</v>
      </c>
      <c r="AJ173">
        <f t="shared" si="90"/>
        <v>1</v>
      </c>
      <c r="AK173">
        <f t="shared" si="99"/>
        <v>4</v>
      </c>
      <c r="AL173" t="str">
        <f t="shared" si="91"/>
        <v/>
      </c>
      <c r="AM173" t="str">
        <f t="shared" si="92"/>
        <v/>
      </c>
      <c r="AN173" t="str">
        <f t="shared" si="93"/>
        <v/>
      </c>
      <c r="AO173">
        <f t="shared" si="94"/>
        <v>0</v>
      </c>
    </row>
    <row r="174" spans="1:41" x14ac:dyDescent="0.4">
      <c r="A174" t="str">
        <f>IF($CM$6=0,"",IF(INDEX('⑩ 원문 보관'!$A:$E,$CM$6+ROW()-9,COLUMN())="","",INDEX('⑩ 원문 보관'!$A:$E,$CM$6+ROW()-9,COLUMN())))</f>
        <v>/ID 2666 file 05survey.b   21 IX 26</v>
      </c>
      <c r="B174" t="str">
        <f>IF($CM$6=0,"",IF(INDEX('⑩ 원문 보관'!$A:$E,$CM$6+ROW()-9,COLUMN())="","",INDEX('⑩ 원문 보관'!$A:$E,$CM$6+ROW()-9,COLUMN())))</f>
        <v xml:space="preserve">/time nT sq </v>
      </c>
      <c r="C174" t="str">
        <f>IF($CM$6=0,"",IF(INDEX('⑩ 원문 보관'!$A:$E,$CM$6+ROW()-9,COLUMN())="","",INDEX('⑩ 원문 보관'!$A:$E,$CM$6+ROW()-9,COLUMN())))</f>
        <v xml:space="preserve">123127.0  51330.34 54 </v>
      </c>
      <c r="D174" t="str">
        <f>IF($CM$6=0,"",IF(INDEX('⑩ 원문 보관'!$A:$E,$CM$6+ROW()-9,COLUMN())="","",INDEX('⑩ 원문 보관'!$A:$E,$CM$6+ROW()-9,COLUMN())))</f>
        <v xml:space="preserve">124752.0  51483.30 66 </v>
      </c>
      <c r="E174" t="str">
        <f>IF($CM$6=0,"",IF(INDEX('⑩ 원문 보관'!$A:$E,$CM$6+ROW()-9,COLUMN())="","",INDEX('⑩ 원문 보관'!$A:$E,$CM$6+ROW()-9,COLUMN())))</f>
        <v/>
      </c>
      <c r="Q174">
        <f t="shared" si="95"/>
        <v>4</v>
      </c>
      <c r="R174" t="str">
        <f t="shared" si="75"/>
        <v/>
      </c>
      <c r="S174">
        <f t="shared" si="76"/>
        <v>2666</v>
      </c>
      <c r="T174" t="str">
        <f t="shared" si="77"/>
        <v>file</v>
      </c>
      <c r="U174">
        <f t="shared" si="78"/>
        <v>0</v>
      </c>
      <c r="V174">
        <f t="shared" si="96"/>
        <v>5</v>
      </c>
      <c r="W174" t="str">
        <f t="shared" si="79"/>
        <v/>
      </c>
      <c r="X174" t="str">
        <f t="shared" si="80"/>
        <v/>
      </c>
      <c r="Y174" t="str">
        <f t="shared" si="81"/>
        <v>sq</v>
      </c>
      <c r="Z174">
        <f t="shared" si="82"/>
        <v>0</v>
      </c>
      <c r="AA174">
        <f t="shared" si="97"/>
        <v>5</v>
      </c>
      <c r="AB174">
        <f t="shared" si="83"/>
        <v>123127</v>
      </c>
      <c r="AC174">
        <f t="shared" si="84"/>
        <v>51330.34</v>
      </c>
      <c r="AD174" t="str">
        <f t="shared" si="85"/>
        <v>54</v>
      </c>
      <c r="AE174">
        <f t="shared" si="86"/>
        <v>1</v>
      </c>
      <c r="AF174">
        <f t="shared" si="98"/>
        <v>5</v>
      </c>
      <c r="AG174">
        <f t="shared" si="87"/>
        <v>124752</v>
      </c>
      <c r="AH174">
        <f t="shared" si="88"/>
        <v>51483.3</v>
      </c>
      <c r="AI174" t="str">
        <f t="shared" si="89"/>
        <v>66</v>
      </c>
      <c r="AJ174">
        <f t="shared" si="90"/>
        <v>1</v>
      </c>
      <c r="AK174">
        <f t="shared" si="99"/>
        <v>4</v>
      </c>
      <c r="AL174" t="str">
        <f t="shared" si="91"/>
        <v/>
      </c>
      <c r="AM174" t="str">
        <f t="shared" si="92"/>
        <v/>
      </c>
      <c r="AN174" t="str">
        <f t="shared" si="93"/>
        <v/>
      </c>
      <c r="AO174">
        <f t="shared" si="94"/>
        <v>0</v>
      </c>
    </row>
    <row r="175" spans="1:41" x14ac:dyDescent="0.4">
      <c r="A175" t="str">
        <f>IF($CM$6=0,"",IF(INDEX('⑩ 원문 보관'!$A:$E,$CM$6+ROW()-9,COLUMN())="","",INDEX('⑩ 원문 보관'!$A:$E,$CM$6+ROW()-9,COLUMN())))</f>
        <v>/datum  57000.00</v>
      </c>
      <c r="B175" t="str">
        <f>IF($CM$6=0,"",IF(INDEX('⑩ 원문 보관'!$A:$E,$CM$6+ROW()-9,COLUMN())="","",INDEX('⑩ 원문 보관'!$A:$E,$CM$6+ROW()-9,COLUMN())))</f>
        <v xml:space="preserve">115637.0  51394.73 77 </v>
      </c>
      <c r="C175" t="str">
        <f>IF($CM$6=0,"",IF(INDEX('⑩ 원문 보관'!$A:$E,$CM$6+ROW()-9,COLUMN())="","",INDEX('⑩ 원문 보관'!$A:$E,$CM$6+ROW()-9,COLUMN())))</f>
        <v xml:space="preserve">123132.0  51331.55 54 </v>
      </c>
      <c r="D175" t="str">
        <f>IF($CM$6=0,"",IF(INDEX('⑩ 원문 보관'!$A:$E,$CM$6+ROW()-9,COLUMN())="","",INDEX('⑩ 원문 보관'!$A:$E,$CM$6+ROW()-9,COLUMN())))</f>
        <v xml:space="preserve">124757.0  51483.02 56 </v>
      </c>
      <c r="E175" t="str">
        <f>IF($CM$6=0,"",IF(INDEX('⑩ 원문 보관'!$A:$E,$CM$6+ROW()-9,COLUMN())="","",INDEX('⑩ 원문 보관'!$A:$E,$CM$6+ROW()-9,COLUMN())))</f>
        <v/>
      </c>
      <c r="Q175">
        <f t="shared" si="95"/>
        <v>4</v>
      </c>
      <c r="R175" t="str">
        <f t="shared" si="75"/>
        <v/>
      </c>
      <c r="S175">
        <f t="shared" si="76"/>
        <v>57000</v>
      </c>
      <c r="T175" t="str">
        <f t="shared" si="77"/>
        <v/>
      </c>
      <c r="U175">
        <f t="shared" si="78"/>
        <v>0</v>
      </c>
      <c r="V175">
        <f t="shared" si="96"/>
        <v>5</v>
      </c>
      <c r="W175">
        <f t="shared" si="79"/>
        <v>115637</v>
      </c>
      <c r="X175">
        <f t="shared" si="80"/>
        <v>51394.73</v>
      </c>
      <c r="Y175" t="str">
        <f t="shared" si="81"/>
        <v>77</v>
      </c>
      <c r="Z175">
        <f t="shared" si="82"/>
        <v>1</v>
      </c>
      <c r="AA175">
        <f t="shared" si="97"/>
        <v>5</v>
      </c>
      <c r="AB175">
        <f t="shared" si="83"/>
        <v>123132</v>
      </c>
      <c r="AC175">
        <f t="shared" si="84"/>
        <v>51331.55</v>
      </c>
      <c r="AD175" t="str">
        <f t="shared" si="85"/>
        <v>54</v>
      </c>
      <c r="AE175">
        <f t="shared" si="86"/>
        <v>1</v>
      </c>
      <c r="AF175">
        <f t="shared" si="98"/>
        <v>5</v>
      </c>
      <c r="AG175">
        <f t="shared" si="87"/>
        <v>124757</v>
      </c>
      <c r="AH175">
        <f t="shared" si="88"/>
        <v>51483.02</v>
      </c>
      <c r="AI175" t="str">
        <f t="shared" si="89"/>
        <v>56</v>
      </c>
      <c r="AJ175">
        <f t="shared" si="90"/>
        <v>1</v>
      </c>
      <c r="AK175">
        <f t="shared" si="99"/>
        <v>4</v>
      </c>
      <c r="AL175" t="str">
        <f t="shared" si="91"/>
        <v/>
      </c>
      <c r="AM175" t="str">
        <f t="shared" si="92"/>
        <v/>
      </c>
      <c r="AN175" t="str">
        <f t="shared" si="93"/>
        <v/>
      </c>
      <c r="AO175">
        <f t="shared" si="94"/>
        <v>0</v>
      </c>
    </row>
    <row r="176" spans="1:41" x14ac:dyDescent="0.4">
      <c r="A176" t="str">
        <f>IF($CM$6=0,"",IF(INDEX('⑩ 원문 보관'!$A:$E,$CM$6+ROW()-9,COLUMN())="","",INDEX('⑩ 원문 보관'!$A:$E,$CM$6+ROW()-9,COLUMN())))</f>
        <v>/</v>
      </c>
      <c r="B176" t="str">
        <f>IF($CM$6=0,"",IF(INDEX('⑩ 원문 보관'!$A:$E,$CM$6+ROW()-9,COLUMN())="","",INDEX('⑩ 원문 보관'!$A:$E,$CM$6+ROW()-9,COLUMN())))</f>
        <v xml:space="preserve">115642.0  51394.14 97 </v>
      </c>
      <c r="C176" t="str">
        <f>IF($CM$6=0,"",IF(INDEX('⑩ 원문 보관'!$A:$E,$CM$6+ROW()-9,COLUMN())="","",INDEX('⑩ 원문 보관'!$A:$E,$CM$6+ROW()-9,COLUMN())))</f>
        <v xml:space="preserve">123137.0  51331.08 73 </v>
      </c>
      <c r="D176" t="str">
        <f>IF($CM$6=0,"",IF(INDEX('⑩ 원문 보관'!$A:$E,$CM$6+ROW()-9,COLUMN())="","",INDEX('⑩ 원문 보관'!$A:$E,$CM$6+ROW()-9,COLUMN())))</f>
        <v xml:space="preserve">124802.0  51483.34 57 </v>
      </c>
      <c r="E176" t="str">
        <f>IF($CM$6=0,"",IF(INDEX('⑩ 원문 보관'!$A:$E,$CM$6+ROW()-9,COLUMN())="","",INDEX('⑩ 원문 보관'!$A:$E,$CM$6+ROW()-9,COLUMN())))</f>
        <v/>
      </c>
      <c r="Q176">
        <f t="shared" si="95"/>
        <v>4</v>
      </c>
      <c r="R176" t="str">
        <f t="shared" si="75"/>
        <v/>
      </c>
      <c r="S176" t="str">
        <f t="shared" si="76"/>
        <v/>
      </c>
      <c r="T176" t="str">
        <f t="shared" si="77"/>
        <v/>
      </c>
      <c r="U176">
        <f t="shared" si="78"/>
        <v>0</v>
      </c>
      <c r="V176">
        <f t="shared" si="96"/>
        <v>5</v>
      </c>
      <c r="W176">
        <f t="shared" si="79"/>
        <v>115642</v>
      </c>
      <c r="X176">
        <f t="shared" si="80"/>
        <v>51394.14</v>
      </c>
      <c r="Y176" t="str">
        <f t="shared" si="81"/>
        <v>97</v>
      </c>
      <c r="Z176">
        <f t="shared" si="82"/>
        <v>1</v>
      </c>
      <c r="AA176">
        <f t="shared" si="97"/>
        <v>5</v>
      </c>
      <c r="AB176">
        <f t="shared" si="83"/>
        <v>123137</v>
      </c>
      <c r="AC176">
        <f t="shared" si="84"/>
        <v>51331.08</v>
      </c>
      <c r="AD176" t="str">
        <f t="shared" si="85"/>
        <v>73</v>
      </c>
      <c r="AE176">
        <f t="shared" si="86"/>
        <v>1</v>
      </c>
      <c r="AF176">
        <f t="shared" si="98"/>
        <v>5</v>
      </c>
      <c r="AG176">
        <f t="shared" si="87"/>
        <v>124802</v>
      </c>
      <c r="AH176">
        <f t="shared" si="88"/>
        <v>51483.34</v>
      </c>
      <c r="AI176" t="str">
        <f t="shared" si="89"/>
        <v>57</v>
      </c>
      <c r="AJ176">
        <f t="shared" si="90"/>
        <v>1</v>
      </c>
      <c r="AK176">
        <f t="shared" si="99"/>
        <v>4</v>
      </c>
      <c r="AL176" t="str">
        <f t="shared" si="91"/>
        <v/>
      </c>
      <c r="AM176" t="str">
        <f t="shared" si="92"/>
        <v/>
      </c>
      <c r="AN176" t="str">
        <f t="shared" si="93"/>
        <v/>
      </c>
      <c r="AO176">
        <f t="shared" si="94"/>
        <v>0</v>
      </c>
    </row>
    <row r="177" spans="1:41" x14ac:dyDescent="0.4">
      <c r="A177" t="str">
        <f>IF($CM$6=0,"",IF(INDEX('⑩ 원문 보관'!$A:$E,$CM$6+ROW()-9,COLUMN())="","",INDEX('⑩ 원문 보관'!$A:$E,$CM$6+ROW()-9,COLUMN())))</f>
        <v/>
      </c>
      <c r="B177" t="str">
        <f>IF($CM$6=0,"",IF(INDEX('⑩ 원문 보관'!$A:$E,$CM$6+ROW()-9,COLUMN())="","",INDEX('⑩ 원문 보관'!$A:$E,$CM$6+ROW()-9,COLUMN())))</f>
        <v xml:space="preserve">115647.0  51394.72 87 </v>
      </c>
      <c r="C177" t="str">
        <f>IF($CM$6=0,"",IF(INDEX('⑩ 원문 보관'!$A:$E,$CM$6+ROW()-9,COLUMN())="","",INDEX('⑩ 원문 보관'!$A:$E,$CM$6+ROW()-9,COLUMN())))</f>
        <v xml:space="preserve">123142.0  51330.47 63 </v>
      </c>
      <c r="D177" t="str">
        <f>IF($CM$6=0,"",IF(INDEX('⑩ 원문 보관'!$A:$E,$CM$6+ROW()-9,COLUMN())="","",INDEX('⑩ 원문 보관'!$A:$E,$CM$6+ROW()-9,COLUMN())))</f>
        <v xml:space="preserve">124807.0  51484.19 66 </v>
      </c>
      <c r="E177" t="str">
        <f>IF($CM$6=0,"",IF(INDEX('⑩ 원문 보관'!$A:$E,$CM$6+ROW()-9,COLUMN())="","",INDEX('⑩ 원문 보관'!$A:$E,$CM$6+ROW()-9,COLUMN())))</f>
        <v/>
      </c>
      <c r="Q177">
        <f t="shared" si="95"/>
        <v>4</v>
      </c>
      <c r="R177" t="str">
        <f t="shared" si="75"/>
        <v/>
      </c>
      <c r="S177" t="str">
        <f t="shared" si="76"/>
        <v/>
      </c>
      <c r="T177" t="str">
        <f t="shared" si="77"/>
        <v/>
      </c>
      <c r="U177">
        <f t="shared" si="78"/>
        <v>0</v>
      </c>
      <c r="V177">
        <f t="shared" si="96"/>
        <v>5</v>
      </c>
      <c r="W177">
        <f t="shared" si="79"/>
        <v>115647</v>
      </c>
      <c r="X177">
        <f t="shared" si="80"/>
        <v>51394.720000000001</v>
      </c>
      <c r="Y177" t="str">
        <f t="shared" si="81"/>
        <v>87</v>
      </c>
      <c r="Z177">
        <f t="shared" si="82"/>
        <v>1</v>
      </c>
      <c r="AA177">
        <f t="shared" si="97"/>
        <v>5</v>
      </c>
      <c r="AB177">
        <f t="shared" si="83"/>
        <v>123142</v>
      </c>
      <c r="AC177">
        <f t="shared" si="84"/>
        <v>51330.47</v>
      </c>
      <c r="AD177" t="str">
        <f t="shared" si="85"/>
        <v>63</v>
      </c>
      <c r="AE177">
        <f t="shared" si="86"/>
        <v>1</v>
      </c>
      <c r="AF177">
        <f t="shared" si="98"/>
        <v>5</v>
      </c>
      <c r="AG177">
        <f t="shared" si="87"/>
        <v>124807</v>
      </c>
      <c r="AH177">
        <f t="shared" si="88"/>
        <v>51484.19</v>
      </c>
      <c r="AI177" t="str">
        <f t="shared" si="89"/>
        <v>66</v>
      </c>
      <c r="AJ177">
        <f t="shared" si="90"/>
        <v>1</v>
      </c>
      <c r="AK177">
        <f t="shared" si="99"/>
        <v>4</v>
      </c>
      <c r="AL177" t="str">
        <f t="shared" si="91"/>
        <v/>
      </c>
      <c r="AM177" t="str">
        <f t="shared" si="92"/>
        <v/>
      </c>
      <c r="AN177" t="str">
        <f t="shared" si="93"/>
        <v/>
      </c>
      <c r="AO177">
        <f t="shared" si="94"/>
        <v>0</v>
      </c>
    </row>
    <row r="178" spans="1:41" x14ac:dyDescent="0.4">
      <c r="A178" t="str">
        <f>IF($CM$6=0,"",IF(INDEX('⑩ 원문 보관'!$A:$E,$CM$6+ROW()-9,COLUMN())="","",INDEX('⑩ 원문 보관'!$A:$E,$CM$6+ROW()-9,COLUMN())))</f>
        <v xml:space="preserve">/time nT sq </v>
      </c>
      <c r="B178" t="str">
        <f>IF($CM$6=0,"",IF(INDEX('⑩ 원문 보관'!$A:$E,$CM$6+ROW()-9,COLUMN())="","",INDEX('⑩ 원문 보관'!$A:$E,$CM$6+ROW()-9,COLUMN())))</f>
        <v xml:space="preserve">115652.0  51394.58 97 </v>
      </c>
      <c r="C178" t="str">
        <f>IF($CM$6=0,"",IF(INDEX('⑩ 원문 보관'!$A:$E,$CM$6+ROW()-9,COLUMN())="","",INDEX('⑩ 원문 보관'!$A:$E,$CM$6+ROW()-9,COLUMN())))</f>
        <v xml:space="preserve">123147.0  51330.90 53 </v>
      </c>
      <c r="D178" t="str">
        <f>IF($CM$6=0,"",IF(INDEX('⑩ 원문 보관'!$A:$E,$CM$6+ROW()-9,COLUMN())="","",INDEX('⑩ 원문 보관'!$A:$E,$CM$6+ROW()-9,COLUMN())))</f>
        <v xml:space="preserve">124812.0  51484.01 57 </v>
      </c>
      <c r="E178" t="str">
        <f>IF($CM$6=0,"",IF(INDEX('⑩ 원문 보관'!$A:$E,$CM$6+ROW()-9,COLUMN())="","",INDEX('⑩ 원문 보관'!$A:$E,$CM$6+ROW()-9,COLUMN())))</f>
        <v/>
      </c>
      <c r="Q178">
        <f t="shared" si="95"/>
        <v>5</v>
      </c>
      <c r="R178" t="str">
        <f t="shared" si="75"/>
        <v/>
      </c>
      <c r="S178" t="str">
        <f t="shared" si="76"/>
        <v/>
      </c>
      <c r="T178" t="str">
        <f t="shared" si="77"/>
        <v>sq</v>
      </c>
      <c r="U178">
        <f t="shared" si="78"/>
        <v>0</v>
      </c>
      <c r="V178">
        <f t="shared" si="96"/>
        <v>5</v>
      </c>
      <c r="W178">
        <f t="shared" si="79"/>
        <v>115652</v>
      </c>
      <c r="X178">
        <f t="shared" si="80"/>
        <v>51394.58</v>
      </c>
      <c r="Y178" t="str">
        <f t="shared" si="81"/>
        <v>97</v>
      </c>
      <c r="Z178">
        <f t="shared" si="82"/>
        <v>1</v>
      </c>
      <c r="AA178">
        <f t="shared" si="97"/>
        <v>5</v>
      </c>
      <c r="AB178">
        <f t="shared" si="83"/>
        <v>123147</v>
      </c>
      <c r="AC178">
        <f t="shared" si="84"/>
        <v>51330.9</v>
      </c>
      <c r="AD178" t="str">
        <f t="shared" si="85"/>
        <v>53</v>
      </c>
      <c r="AE178">
        <f t="shared" si="86"/>
        <v>1</v>
      </c>
      <c r="AF178">
        <f t="shared" si="98"/>
        <v>5</v>
      </c>
      <c r="AG178">
        <f t="shared" si="87"/>
        <v>124812</v>
      </c>
      <c r="AH178">
        <f t="shared" si="88"/>
        <v>51484.01</v>
      </c>
      <c r="AI178" t="str">
        <f t="shared" si="89"/>
        <v>57</v>
      </c>
      <c r="AJ178">
        <f t="shared" si="90"/>
        <v>1</v>
      </c>
      <c r="AK178">
        <f t="shared" si="99"/>
        <v>4</v>
      </c>
      <c r="AL178" t="str">
        <f t="shared" si="91"/>
        <v/>
      </c>
      <c r="AM178" t="str">
        <f t="shared" si="92"/>
        <v/>
      </c>
      <c r="AN178" t="str">
        <f t="shared" si="93"/>
        <v/>
      </c>
      <c r="AO178">
        <f t="shared" si="94"/>
        <v>0</v>
      </c>
    </row>
    <row r="179" spans="1:41" x14ac:dyDescent="0.4">
      <c r="A179" t="str">
        <f>IF($CM$6=0,"",IF(INDEX('⑩ 원문 보관'!$A:$E,$CM$6+ROW()-9,COLUMN())="","",INDEX('⑩ 원문 보관'!$A:$E,$CM$6+ROW()-9,COLUMN())))</f>
        <v xml:space="preserve">112937.0  51328.90 98 </v>
      </c>
      <c r="B179" t="str">
        <f>IF($CM$6=0,"",IF(INDEX('⑩ 원문 보관'!$A:$E,$CM$6+ROW()-9,COLUMN())="","",INDEX('⑩ 원문 보관'!$A:$E,$CM$6+ROW()-9,COLUMN())))</f>
        <v xml:space="preserve">115657.0  51394.81 77 </v>
      </c>
      <c r="C179" t="str">
        <f>IF($CM$6=0,"",IF(INDEX('⑩ 원문 보관'!$A:$E,$CM$6+ROW()-9,COLUMN())="","",INDEX('⑩ 원문 보관'!$A:$E,$CM$6+ROW()-9,COLUMN())))</f>
        <v xml:space="preserve">123152.0  51331.49 53 </v>
      </c>
      <c r="D179" t="str">
        <f>IF($CM$6=0,"",IF(INDEX('⑩ 원문 보관'!$A:$E,$CM$6+ROW()-9,COLUMN())="","",INDEX('⑩ 원문 보관'!$A:$E,$CM$6+ROW()-9,COLUMN())))</f>
        <v xml:space="preserve">124817.0  51483.98 66 </v>
      </c>
      <c r="E179" t="str">
        <f>IF($CM$6=0,"",IF(INDEX('⑩ 원문 보관'!$A:$E,$CM$6+ROW()-9,COLUMN())="","",INDEX('⑩ 원문 보관'!$A:$E,$CM$6+ROW()-9,COLUMN())))</f>
        <v/>
      </c>
      <c r="Q179">
        <f t="shared" si="95"/>
        <v>5</v>
      </c>
      <c r="R179">
        <f t="shared" si="75"/>
        <v>112937</v>
      </c>
      <c r="S179">
        <f t="shared" si="76"/>
        <v>51328.9</v>
      </c>
      <c r="T179" t="str">
        <f t="shared" si="77"/>
        <v>98</v>
      </c>
      <c r="U179">
        <f t="shared" si="78"/>
        <v>1</v>
      </c>
      <c r="V179">
        <f t="shared" si="96"/>
        <v>5</v>
      </c>
      <c r="W179">
        <f t="shared" si="79"/>
        <v>115657</v>
      </c>
      <c r="X179">
        <f t="shared" si="80"/>
        <v>51394.81</v>
      </c>
      <c r="Y179" t="str">
        <f t="shared" si="81"/>
        <v>77</v>
      </c>
      <c r="Z179">
        <f t="shared" si="82"/>
        <v>1</v>
      </c>
      <c r="AA179">
        <f t="shared" si="97"/>
        <v>5</v>
      </c>
      <c r="AB179">
        <f t="shared" si="83"/>
        <v>123152</v>
      </c>
      <c r="AC179">
        <f t="shared" si="84"/>
        <v>51331.49</v>
      </c>
      <c r="AD179" t="str">
        <f t="shared" si="85"/>
        <v>53</v>
      </c>
      <c r="AE179">
        <f t="shared" si="86"/>
        <v>1</v>
      </c>
      <c r="AF179">
        <f t="shared" si="98"/>
        <v>5</v>
      </c>
      <c r="AG179">
        <f t="shared" si="87"/>
        <v>124817</v>
      </c>
      <c r="AH179">
        <f t="shared" si="88"/>
        <v>51483.98</v>
      </c>
      <c r="AI179" t="str">
        <f t="shared" si="89"/>
        <v>66</v>
      </c>
      <c r="AJ179">
        <f t="shared" si="90"/>
        <v>1</v>
      </c>
      <c r="AK179">
        <f t="shared" si="99"/>
        <v>4</v>
      </c>
      <c r="AL179" t="str">
        <f t="shared" si="91"/>
        <v/>
      </c>
      <c r="AM179" t="str">
        <f t="shared" si="92"/>
        <v/>
      </c>
      <c r="AN179" t="str">
        <f t="shared" si="93"/>
        <v/>
      </c>
      <c r="AO179">
        <f t="shared" si="94"/>
        <v>0</v>
      </c>
    </row>
    <row r="180" spans="1:41" x14ac:dyDescent="0.4">
      <c r="A180" t="str">
        <f>IF($CM$6=0,"",IF(INDEX('⑩ 원문 보관'!$A:$E,$CM$6+ROW()-9,COLUMN())="","",INDEX('⑩ 원문 보관'!$A:$E,$CM$6+ROW()-9,COLUMN())))</f>
        <v xml:space="preserve">112942.0  51329.16 97 </v>
      </c>
      <c r="B180" t="str">
        <f>IF($CM$6=0,"",IF(INDEX('⑩ 원문 보관'!$A:$E,$CM$6+ROW()-9,COLUMN())="","",INDEX('⑩ 원문 보관'!$A:$E,$CM$6+ROW()-9,COLUMN())))</f>
        <v xml:space="preserve">115702.0  51394.24 77 </v>
      </c>
      <c r="C180" t="str">
        <f>IF($CM$6=0,"",IF(INDEX('⑩ 원문 보관'!$A:$E,$CM$6+ROW()-9,COLUMN())="","",INDEX('⑩ 원문 보관'!$A:$E,$CM$6+ROW()-9,COLUMN())))</f>
        <v xml:space="preserve">123157.0  51330.99 43 </v>
      </c>
      <c r="D180" t="str">
        <f>IF($CM$6=0,"",IF(INDEX('⑩ 원문 보관'!$A:$E,$CM$6+ROW()-9,COLUMN())="","",INDEX('⑩ 원문 보관'!$A:$E,$CM$6+ROW()-9,COLUMN())))</f>
        <v xml:space="preserve">124822.0  51483.98 66 </v>
      </c>
      <c r="E180" t="str">
        <f>IF($CM$6=0,"",IF(INDEX('⑩ 원문 보관'!$A:$E,$CM$6+ROW()-9,COLUMN())="","",INDEX('⑩ 원문 보관'!$A:$E,$CM$6+ROW()-9,COLUMN())))</f>
        <v/>
      </c>
      <c r="Q180">
        <f t="shared" si="95"/>
        <v>5</v>
      </c>
      <c r="R180">
        <f t="shared" si="75"/>
        <v>112942</v>
      </c>
      <c r="S180">
        <f t="shared" si="76"/>
        <v>51329.16</v>
      </c>
      <c r="T180" t="str">
        <f t="shared" si="77"/>
        <v>97</v>
      </c>
      <c r="U180">
        <f t="shared" si="78"/>
        <v>1</v>
      </c>
      <c r="V180">
        <f t="shared" si="96"/>
        <v>5</v>
      </c>
      <c r="W180">
        <f t="shared" si="79"/>
        <v>115702</v>
      </c>
      <c r="X180">
        <f t="shared" si="80"/>
        <v>51394.239999999998</v>
      </c>
      <c r="Y180" t="str">
        <f t="shared" si="81"/>
        <v>77</v>
      </c>
      <c r="Z180">
        <f t="shared" si="82"/>
        <v>1</v>
      </c>
      <c r="AA180">
        <f t="shared" si="97"/>
        <v>5</v>
      </c>
      <c r="AB180">
        <f t="shared" si="83"/>
        <v>123157</v>
      </c>
      <c r="AC180">
        <f t="shared" si="84"/>
        <v>51330.99</v>
      </c>
      <c r="AD180" t="str">
        <f t="shared" si="85"/>
        <v>43</v>
      </c>
      <c r="AE180">
        <f t="shared" si="86"/>
        <v>1</v>
      </c>
      <c r="AF180">
        <f t="shared" si="98"/>
        <v>5</v>
      </c>
      <c r="AG180">
        <f t="shared" si="87"/>
        <v>124822</v>
      </c>
      <c r="AH180">
        <f t="shared" si="88"/>
        <v>51483.98</v>
      </c>
      <c r="AI180" t="str">
        <f t="shared" si="89"/>
        <v>66</v>
      </c>
      <c r="AJ180">
        <f t="shared" si="90"/>
        <v>1</v>
      </c>
      <c r="AK180">
        <f t="shared" si="99"/>
        <v>4</v>
      </c>
      <c r="AL180" t="str">
        <f t="shared" si="91"/>
        <v/>
      </c>
      <c r="AM180" t="str">
        <f t="shared" si="92"/>
        <v/>
      </c>
      <c r="AN180" t="str">
        <f t="shared" si="93"/>
        <v/>
      </c>
      <c r="AO180">
        <f t="shared" si="94"/>
        <v>0</v>
      </c>
    </row>
    <row r="181" spans="1:41" x14ac:dyDescent="0.4">
      <c r="A181" t="str">
        <f>IF($CM$6=0,"",IF(INDEX('⑩ 원문 보관'!$A:$E,$CM$6+ROW()-9,COLUMN())="","",INDEX('⑩ 원문 보관'!$A:$E,$CM$6+ROW()-9,COLUMN())))</f>
        <v xml:space="preserve">112947.0  51329.60 98 </v>
      </c>
      <c r="B181" t="str">
        <f>IF($CM$6=0,"",IF(INDEX('⑩ 원문 보관'!$A:$E,$CM$6+ROW()-9,COLUMN())="","",INDEX('⑩ 원문 보관'!$A:$E,$CM$6+ROW()-9,COLUMN())))</f>
        <v xml:space="preserve">115707.0  51394.39 87 </v>
      </c>
      <c r="C181" t="str">
        <f>IF($CM$6=0,"",IF(INDEX('⑩ 원문 보관'!$A:$E,$CM$6+ROW()-9,COLUMN())="","",INDEX('⑩ 원문 보관'!$A:$E,$CM$6+ROW()-9,COLUMN())))</f>
        <v xml:space="preserve">123202.0  51330.99 54 </v>
      </c>
      <c r="D181" t="str">
        <f>IF($CM$6=0,"",IF(INDEX('⑩ 원문 보관'!$A:$E,$CM$6+ROW()-9,COLUMN())="","",INDEX('⑩ 원문 보관'!$A:$E,$CM$6+ROW()-9,COLUMN())))</f>
        <v xml:space="preserve">124827.0  51483.06 46 </v>
      </c>
      <c r="E181" t="str">
        <f>IF($CM$6=0,"",IF(INDEX('⑩ 원문 보관'!$A:$E,$CM$6+ROW()-9,COLUMN())="","",INDEX('⑩ 원문 보관'!$A:$E,$CM$6+ROW()-9,COLUMN())))</f>
        <v/>
      </c>
      <c r="Q181">
        <f t="shared" si="95"/>
        <v>5</v>
      </c>
      <c r="R181">
        <f t="shared" si="75"/>
        <v>112947</v>
      </c>
      <c r="S181">
        <f t="shared" si="76"/>
        <v>51329.599999999999</v>
      </c>
      <c r="T181" t="str">
        <f t="shared" si="77"/>
        <v>98</v>
      </c>
      <c r="U181">
        <f t="shared" si="78"/>
        <v>1</v>
      </c>
      <c r="V181">
        <f t="shared" si="96"/>
        <v>5</v>
      </c>
      <c r="W181">
        <f t="shared" si="79"/>
        <v>115707</v>
      </c>
      <c r="X181">
        <f t="shared" si="80"/>
        <v>51394.39</v>
      </c>
      <c r="Y181" t="str">
        <f t="shared" si="81"/>
        <v>87</v>
      </c>
      <c r="Z181">
        <f t="shared" si="82"/>
        <v>1</v>
      </c>
      <c r="AA181">
        <f t="shared" si="97"/>
        <v>5</v>
      </c>
      <c r="AB181">
        <f t="shared" si="83"/>
        <v>123202</v>
      </c>
      <c r="AC181">
        <f t="shared" si="84"/>
        <v>51330.99</v>
      </c>
      <c r="AD181" t="str">
        <f t="shared" si="85"/>
        <v>54</v>
      </c>
      <c r="AE181">
        <f t="shared" si="86"/>
        <v>1</v>
      </c>
      <c r="AF181">
        <f t="shared" si="98"/>
        <v>5</v>
      </c>
      <c r="AG181">
        <f t="shared" si="87"/>
        <v>124827</v>
      </c>
      <c r="AH181">
        <f t="shared" si="88"/>
        <v>51483.06</v>
      </c>
      <c r="AI181" t="str">
        <f t="shared" si="89"/>
        <v>46</v>
      </c>
      <c r="AJ181">
        <f t="shared" si="90"/>
        <v>1</v>
      </c>
      <c r="AK181">
        <f t="shared" si="99"/>
        <v>4</v>
      </c>
      <c r="AL181" t="str">
        <f t="shared" si="91"/>
        <v/>
      </c>
      <c r="AM181" t="str">
        <f t="shared" si="92"/>
        <v/>
      </c>
      <c r="AN181" t="str">
        <f t="shared" si="93"/>
        <v/>
      </c>
      <c r="AO181">
        <f t="shared" si="94"/>
        <v>0</v>
      </c>
    </row>
    <row r="182" spans="1:41" x14ac:dyDescent="0.4">
      <c r="A182" t="str">
        <f>IF($CM$6=0,"",IF(INDEX('⑩ 원문 보관'!$A:$E,$CM$6+ROW()-9,COLUMN())="","",INDEX('⑩ 원문 보관'!$A:$E,$CM$6+ROW()-9,COLUMN())))</f>
        <v xml:space="preserve">112952.0  51329.49 98 </v>
      </c>
      <c r="B182" t="str">
        <f>IF($CM$6=0,"",IF(INDEX('⑩ 원문 보관'!$A:$E,$CM$6+ROW()-9,COLUMN())="","",INDEX('⑩ 원문 보관'!$A:$E,$CM$6+ROW()-9,COLUMN())))</f>
        <v xml:space="preserve">115712.0  51394.41 96 </v>
      </c>
      <c r="C182" t="str">
        <f>IF($CM$6=0,"",IF(INDEX('⑩ 원문 보관'!$A:$E,$CM$6+ROW()-9,COLUMN())="","",INDEX('⑩ 원문 보관'!$A:$E,$CM$6+ROW()-9,COLUMN())))</f>
        <v xml:space="preserve">123207.0  51331.02 55 </v>
      </c>
      <c r="D182" t="str">
        <f>IF($CM$6=0,"",IF(INDEX('⑩ 원문 보관'!$A:$E,$CM$6+ROW()-9,COLUMN())="","",INDEX('⑩ 원문 보관'!$A:$E,$CM$6+ROW()-9,COLUMN())))</f>
        <v/>
      </c>
      <c r="E182" t="str">
        <f>IF($CM$6=0,"",IF(INDEX('⑩ 원문 보관'!$A:$E,$CM$6+ROW()-9,COLUMN())="","",INDEX('⑩ 원문 보관'!$A:$E,$CM$6+ROW()-9,COLUMN())))</f>
        <v/>
      </c>
      <c r="Q182">
        <f t="shared" si="95"/>
        <v>5</v>
      </c>
      <c r="R182">
        <f t="shared" si="75"/>
        <v>112952</v>
      </c>
      <c r="S182">
        <f t="shared" si="76"/>
        <v>51329.49</v>
      </c>
      <c r="T182" t="str">
        <f t="shared" si="77"/>
        <v>98</v>
      </c>
      <c r="U182">
        <f t="shared" si="78"/>
        <v>1</v>
      </c>
      <c r="V182">
        <f t="shared" si="96"/>
        <v>5</v>
      </c>
      <c r="W182">
        <f t="shared" si="79"/>
        <v>115712</v>
      </c>
      <c r="X182">
        <f t="shared" si="80"/>
        <v>51394.41</v>
      </c>
      <c r="Y182" t="str">
        <f t="shared" si="81"/>
        <v>96</v>
      </c>
      <c r="Z182">
        <f t="shared" si="82"/>
        <v>1</v>
      </c>
      <c r="AA182">
        <f t="shared" si="97"/>
        <v>5</v>
      </c>
      <c r="AB182">
        <f t="shared" si="83"/>
        <v>123207</v>
      </c>
      <c r="AC182">
        <f t="shared" si="84"/>
        <v>51331.02</v>
      </c>
      <c r="AD182" t="str">
        <f t="shared" si="85"/>
        <v>55</v>
      </c>
      <c r="AE182">
        <f t="shared" si="86"/>
        <v>1</v>
      </c>
      <c r="AF182">
        <f t="shared" si="98"/>
        <v>5</v>
      </c>
      <c r="AG182" t="str">
        <f t="shared" si="87"/>
        <v/>
      </c>
      <c r="AH182" t="str">
        <f t="shared" si="88"/>
        <v/>
      </c>
      <c r="AI182" t="str">
        <f t="shared" si="89"/>
        <v/>
      </c>
      <c r="AJ182">
        <f t="shared" si="90"/>
        <v>0</v>
      </c>
      <c r="AK182">
        <f t="shared" si="99"/>
        <v>4</v>
      </c>
      <c r="AL182" t="str">
        <f t="shared" si="91"/>
        <v/>
      </c>
      <c r="AM182" t="str">
        <f t="shared" si="92"/>
        <v/>
      </c>
      <c r="AN182" t="str">
        <f t="shared" si="93"/>
        <v/>
      </c>
      <c r="AO182">
        <f t="shared" si="94"/>
        <v>0</v>
      </c>
    </row>
    <row r="183" spans="1:41" x14ac:dyDescent="0.4">
      <c r="A183" t="str">
        <f>IF($CM$6=0,"",IF(INDEX('⑩ 원문 보관'!$A:$E,$CM$6+ROW()-9,COLUMN())="","",INDEX('⑩ 원문 보관'!$A:$E,$CM$6+ROW()-9,COLUMN())))</f>
        <v xml:space="preserve">112957.0  51329.50 98 </v>
      </c>
      <c r="B183" t="str">
        <f>IF($CM$6=0,"",IF(INDEX('⑩ 원문 보관'!$A:$E,$CM$6+ROW()-9,COLUMN())="","",INDEX('⑩ 원문 보관'!$A:$E,$CM$6+ROW()-9,COLUMN())))</f>
        <v xml:space="preserve">115717.0  51394.52 97 </v>
      </c>
      <c r="C183" t="str">
        <f>IF($CM$6=0,"",IF(INDEX('⑩ 원문 보관'!$A:$E,$CM$6+ROW()-9,COLUMN())="","",INDEX('⑩ 원문 보관'!$A:$E,$CM$6+ROW()-9,COLUMN())))</f>
        <v/>
      </c>
      <c r="D183" t="str">
        <f>IF($CM$6=0,"",IF(INDEX('⑩ 원문 보관'!$A:$E,$CM$6+ROW()-9,COLUMN())="","",INDEX('⑩ 원문 보관'!$A:$E,$CM$6+ROW()-9,COLUMN())))</f>
        <v/>
      </c>
      <c r="E183" t="str">
        <f>IF($CM$6=0,"",IF(INDEX('⑩ 원문 보관'!$A:$E,$CM$6+ROW()-9,COLUMN())="","",INDEX('⑩ 원문 보관'!$A:$E,$CM$6+ROW()-9,COLUMN())))</f>
        <v/>
      </c>
      <c r="Q183">
        <f t="shared" si="95"/>
        <v>5</v>
      </c>
      <c r="R183">
        <f t="shared" si="75"/>
        <v>112957</v>
      </c>
      <c r="S183">
        <f t="shared" si="76"/>
        <v>51329.5</v>
      </c>
      <c r="T183" t="str">
        <f t="shared" si="77"/>
        <v>98</v>
      </c>
      <c r="U183">
        <f t="shared" si="78"/>
        <v>1</v>
      </c>
      <c r="V183">
        <f t="shared" si="96"/>
        <v>5</v>
      </c>
      <c r="W183">
        <f t="shared" si="79"/>
        <v>115717</v>
      </c>
      <c r="X183">
        <f t="shared" si="80"/>
        <v>51394.52</v>
      </c>
      <c r="Y183" t="str">
        <f t="shared" si="81"/>
        <v>97</v>
      </c>
      <c r="Z183">
        <f t="shared" si="82"/>
        <v>1</v>
      </c>
      <c r="AA183">
        <f t="shared" si="97"/>
        <v>5</v>
      </c>
      <c r="AB183" t="str">
        <f t="shared" si="83"/>
        <v/>
      </c>
      <c r="AC183" t="str">
        <f t="shared" si="84"/>
        <v/>
      </c>
      <c r="AD183" t="str">
        <f t="shared" si="85"/>
        <v/>
      </c>
      <c r="AE183">
        <f t="shared" si="86"/>
        <v>0</v>
      </c>
      <c r="AF183">
        <f t="shared" si="98"/>
        <v>5</v>
      </c>
      <c r="AG183" t="str">
        <f t="shared" si="87"/>
        <v/>
      </c>
      <c r="AH183" t="str">
        <f t="shared" si="88"/>
        <v/>
      </c>
      <c r="AI183" t="str">
        <f t="shared" si="89"/>
        <v/>
      </c>
      <c r="AJ183">
        <f t="shared" si="90"/>
        <v>0</v>
      </c>
      <c r="AK183">
        <f t="shared" si="99"/>
        <v>4</v>
      </c>
      <c r="AL183" t="str">
        <f t="shared" si="91"/>
        <v/>
      </c>
      <c r="AM183" t="str">
        <f t="shared" si="92"/>
        <v/>
      </c>
      <c r="AN183" t="str">
        <f t="shared" si="93"/>
        <v/>
      </c>
      <c r="AO183">
        <f t="shared" si="94"/>
        <v>0</v>
      </c>
    </row>
    <row r="184" spans="1:41" x14ac:dyDescent="0.4">
      <c r="A184" t="str">
        <f>IF($CM$6=0,"",IF(INDEX('⑩ 원문 보관'!$A:$E,$CM$6+ROW()-9,COLUMN())="","",INDEX('⑩ 원문 보관'!$A:$E,$CM$6+ROW()-9,COLUMN())))</f>
        <v xml:space="preserve">113002.0  51329.51 98 </v>
      </c>
      <c r="B184" t="str">
        <f>IF($CM$6=0,"",IF(INDEX('⑩ 원문 보관'!$A:$E,$CM$6+ROW()-9,COLUMN())="","",INDEX('⑩ 원문 보관'!$A:$E,$CM$6+ROW()-9,COLUMN())))</f>
        <v xml:space="preserve">115722.0  51394.78 77 </v>
      </c>
      <c r="C184" t="str">
        <f>IF($CM$6=0,"",IF(INDEX('⑩ 원문 보관'!$A:$E,$CM$6+ROW()-9,COLUMN())="","",INDEX('⑩ 원문 보관'!$A:$E,$CM$6+ROW()-9,COLUMN())))</f>
        <v/>
      </c>
      <c r="D184" t="str">
        <f>IF($CM$6=0,"",IF(INDEX('⑩ 원문 보관'!$A:$E,$CM$6+ROW()-9,COLUMN())="","",INDEX('⑩ 원문 보관'!$A:$E,$CM$6+ROW()-9,COLUMN())))</f>
        <v xml:space="preserve">/Gem Systems GSM-19T 4106808 v7.0 26 IX 2014 M t-e2l..v7o                         </v>
      </c>
      <c r="E184" t="str">
        <f>IF($CM$6=0,"",IF(INDEX('⑩ 원문 보관'!$A:$E,$CM$6+ROW()-9,COLUMN())="","",INDEX('⑩ 원문 보관'!$A:$E,$CM$6+ROW()-9,COLUMN())))</f>
        <v/>
      </c>
      <c r="Q184">
        <f t="shared" si="95"/>
        <v>5</v>
      </c>
      <c r="R184">
        <f t="shared" si="75"/>
        <v>113002</v>
      </c>
      <c r="S184">
        <f t="shared" si="76"/>
        <v>51329.51</v>
      </c>
      <c r="T184" t="str">
        <f t="shared" si="77"/>
        <v>98</v>
      </c>
      <c r="U184">
        <f t="shared" si="78"/>
        <v>1</v>
      </c>
      <c r="V184">
        <f t="shared" si="96"/>
        <v>5</v>
      </c>
      <c r="W184">
        <f t="shared" si="79"/>
        <v>115722</v>
      </c>
      <c r="X184">
        <f t="shared" si="80"/>
        <v>51394.78</v>
      </c>
      <c r="Y184" t="str">
        <f t="shared" si="81"/>
        <v>77</v>
      </c>
      <c r="Z184">
        <f t="shared" si="82"/>
        <v>1</v>
      </c>
      <c r="AA184">
        <f t="shared" si="97"/>
        <v>5</v>
      </c>
      <c r="AB184" t="str">
        <f t="shared" si="83"/>
        <v/>
      </c>
      <c r="AC184" t="str">
        <f t="shared" si="84"/>
        <v/>
      </c>
      <c r="AD184" t="str">
        <f t="shared" si="85"/>
        <v/>
      </c>
      <c r="AE184">
        <f t="shared" si="86"/>
        <v>0</v>
      </c>
      <c r="AF184">
        <f t="shared" si="98"/>
        <v>5</v>
      </c>
      <c r="AG184" t="str">
        <f t="shared" si="87"/>
        <v/>
      </c>
      <c r="AH184" t="str">
        <f t="shared" si="88"/>
        <v/>
      </c>
      <c r="AI184" t="str">
        <f t="shared" si="89"/>
        <v>GSM-19T</v>
      </c>
      <c r="AJ184">
        <f t="shared" si="90"/>
        <v>0</v>
      </c>
      <c r="AK184">
        <f t="shared" si="99"/>
        <v>4</v>
      </c>
      <c r="AL184" t="str">
        <f t="shared" si="91"/>
        <v/>
      </c>
      <c r="AM184" t="str">
        <f t="shared" si="92"/>
        <v/>
      </c>
      <c r="AN184" t="str">
        <f t="shared" si="93"/>
        <v/>
      </c>
      <c r="AO184">
        <f t="shared" si="94"/>
        <v>0</v>
      </c>
    </row>
    <row r="185" spans="1:41" x14ac:dyDescent="0.4">
      <c r="A185" t="str">
        <f>IF($CM$6=0,"",IF(INDEX('⑩ 원문 보관'!$A:$E,$CM$6+ROW()-9,COLUMN())="","",INDEX('⑩ 원문 보관'!$A:$E,$CM$6+ROW()-9,COLUMN())))</f>
        <v xml:space="preserve">113007.0  51329.52 98 </v>
      </c>
      <c r="B185" t="str">
        <f>IF($CM$6=0,"",IF(INDEX('⑩ 원문 보관'!$A:$E,$CM$6+ROW()-9,COLUMN())="","",INDEX('⑩ 원문 보관'!$A:$E,$CM$6+ROW()-9,COLUMN())))</f>
        <v xml:space="preserve">115727.0  51394.72 67 </v>
      </c>
      <c r="C185" t="str">
        <f>IF($CM$6=0,"",IF(INDEX('⑩ 원문 보관'!$A:$E,$CM$6+ROW()-9,COLUMN())="","",INDEX('⑩ 원문 보관'!$A:$E,$CM$6+ROW()-9,COLUMN())))</f>
        <v xml:space="preserve">/Gem Systems GSM-19T 4106808 v7.0 26 IX 2014 M t-e2l..v7o                         </v>
      </c>
      <c r="D185" t="str">
        <f>IF($CM$6=0,"",IF(INDEX('⑩ 원문 보관'!$A:$E,$CM$6+ROW()-9,COLUMN())="","",INDEX('⑩ 원문 보관'!$A:$E,$CM$6+ROW()-9,COLUMN())))</f>
        <v>/ID 2666 file 33survey.b   21 IX 26</v>
      </c>
      <c r="E185" t="str">
        <f>IF($CM$6=0,"",IF(INDEX('⑩ 원문 보관'!$A:$E,$CM$6+ROW()-9,COLUMN())="","",INDEX('⑩ 원문 보관'!$A:$E,$CM$6+ROW()-9,COLUMN())))</f>
        <v/>
      </c>
      <c r="Q185">
        <f t="shared" si="95"/>
        <v>5</v>
      </c>
      <c r="R185">
        <f t="shared" si="75"/>
        <v>113007</v>
      </c>
      <c r="S185">
        <f t="shared" si="76"/>
        <v>51329.52</v>
      </c>
      <c r="T185" t="str">
        <f t="shared" si="77"/>
        <v>98</v>
      </c>
      <c r="U185">
        <f t="shared" si="78"/>
        <v>1</v>
      </c>
      <c r="V185">
        <f t="shared" si="96"/>
        <v>5</v>
      </c>
      <c r="W185">
        <f t="shared" si="79"/>
        <v>115727</v>
      </c>
      <c r="X185">
        <f t="shared" si="80"/>
        <v>51394.720000000001</v>
      </c>
      <c r="Y185" t="str">
        <f t="shared" si="81"/>
        <v>67</v>
      </c>
      <c r="Z185">
        <f t="shared" si="82"/>
        <v>1</v>
      </c>
      <c r="AA185">
        <f t="shared" si="97"/>
        <v>5</v>
      </c>
      <c r="AB185" t="str">
        <f t="shared" si="83"/>
        <v/>
      </c>
      <c r="AC185" t="str">
        <f t="shared" si="84"/>
        <v/>
      </c>
      <c r="AD185" t="str">
        <f t="shared" si="85"/>
        <v>GSM-19T</v>
      </c>
      <c r="AE185">
        <f t="shared" si="86"/>
        <v>0</v>
      </c>
      <c r="AF185">
        <f t="shared" si="98"/>
        <v>5</v>
      </c>
      <c r="AG185" t="str">
        <f t="shared" si="87"/>
        <v/>
      </c>
      <c r="AH185">
        <f t="shared" si="88"/>
        <v>2666</v>
      </c>
      <c r="AI185" t="str">
        <f t="shared" si="89"/>
        <v>file</v>
      </c>
      <c r="AJ185">
        <f t="shared" si="90"/>
        <v>0</v>
      </c>
      <c r="AK185">
        <f t="shared" si="99"/>
        <v>4</v>
      </c>
      <c r="AL185" t="str">
        <f t="shared" si="91"/>
        <v/>
      </c>
      <c r="AM185" t="str">
        <f t="shared" si="92"/>
        <v/>
      </c>
      <c r="AN185" t="str">
        <f t="shared" si="93"/>
        <v/>
      </c>
      <c r="AO185">
        <f t="shared" si="94"/>
        <v>0</v>
      </c>
    </row>
    <row r="186" spans="1:41" x14ac:dyDescent="0.4">
      <c r="A186" t="str">
        <f>IF($CM$6=0,"",IF(INDEX('⑩ 원문 보관'!$A:$E,$CM$6+ROW()-9,COLUMN())="","",INDEX('⑩ 원문 보관'!$A:$E,$CM$6+ROW()-9,COLUMN())))</f>
        <v xml:space="preserve">113012.0  51329.45 97 </v>
      </c>
      <c r="B186" t="str">
        <f>IF($CM$6=0,"",IF(INDEX('⑩ 원문 보관'!$A:$E,$CM$6+ROW()-9,COLUMN())="","",INDEX('⑩ 원문 보관'!$A:$E,$CM$6+ROW()-9,COLUMN())))</f>
        <v xml:space="preserve">115732.0  51394.48 77 </v>
      </c>
      <c r="C186" t="str">
        <f>IF($CM$6=0,"",IF(INDEX('⑩ 원문 보관'!$A:$E,$CM$6+ROW()-9,COLUMN())="","",INDEX('⑩ 원문 보관'!$A:$E,$CM$6+ROW()-9,COLUMN())))</f>
        <v>/ID 2666 file 27survey.b   21 IX 26</v>
      </c>
      <c r="D186" t="str">
        <f>IF($CM$6=0,"",IF(INDEX('⑩ 원문 보관'!$A:$E,$CM$6+ROW()-9,COLUMN())="","",INDEX('⑩ 원문 보관'!$A:$E,$CM$6+ROW()-9,COLUMN())))</f>
        <v>/datum  57000.00</v>
      </c>
      <c r="E186" t="str">
        <f>IF($CM$6=0,"",IF(INDEX('⑩ 원문 보관'!$A:$E,$CM$6+ROW()-9,COLUMN())="","",INDEX('⑩ 원문 보관'!$A:$E,$CM$6+ROW()-9,COLUMN())))</f>
        <v/>
      </c>
      <c r="Q186">
        <f t="shared" si="95"/>
        <v>5</v>
      </c>
      <c r="R186">
        <f t="shared" si="75"/>
        <v>113012</v>
      </c>
      <c r="S186">
        <f t="shared" si="76"/>
        <v>51329.45</v>
      </c>
      <c r="T186" t="str">
        <f t="shared" si="77"/>
        <v>97</v>
      </c>
      <c r="U186">
        <f t="shared" si="78"/>
        <v>1</v>
      </c>
      <c r="V186">
        <f t="shared" si="96"/>
        <v>5</v>
      </c>
      <c r="W186">
        <f t="shared" si="79"/>
        <v>115732</v>
      </c>
      <c r="X186">
        <f t="shared" si="80"/>
        <v>51394.48</v>
      </c>
      <c r="Y186" t="str">
        <f t="shared" si="81"/>
        <v>77</v>
      </c>
      <c r="Z186">
        <f t="shared" si="82"/>
        <v>1</v>
      </c>
      <c r="AA186">
        <f t="shared" si="97"/>
        <v>5</v>
      </c>
      <c r="AB186" t="str">
        <f t="shared" si="83"/>
        <v/>
      </c>
      <c r="AC186">
        <f t="shared" si="84"/>
        <v>2666</v>
      </c>
      <c r="AD186" t="str">
        <f t="shared" si="85"/>
        <v>file</v>
      </c>
      <c r="AE186">
        <f t="shared" si="86"/>
        <v>0</v>
      </c>
      <c r="AF186">
        <f t="shared" si="98"/>
        <v>5</v>
      </c>
      <c r="AG186" t="str">
        <f t="shared" si="87"/>
        <v/>
      </c>
      <c r="AH186">
        <f t="shared" si="88"/>
        <v>57000</v>
      </c>
      <c r="AI186" t="str">
        <f t="shared" si="89"/>
        <v/>
      </c>
      <c r="AJ186">
        <f t="shared" si="90"/>
        <v>0</v>
      </c>
      <c r="AK186">
        <f t="shared" si="99"/>
        <v>4</v>
      </c>
      <c r="AL186" t="str">
        <f t="shared" si="91"/>
        <v/>
      </c>
      <c r="AM186" t="str">
        <f t="shared" si="92"/>
        <v/>
      </c>
      <c r="AN186" t="str">
        <f t="shared" si="93"/>
        <v/>
      </c>
      <c r="AO186">
        <f t="shared" si="94"/>
        <v>0</v>
      </c>
    </row>
    <row r="187" spans="1:41" x14ac:dyDescent="0.4">
      <c r="A187" t="str">
        <f>IF($CM$6=0,"",IF(INDEX('⑩ 원문 보관'!$A:$E,$CM$6+ROW()-9,COLUMN())="","",INDEX('⑩ 원문 보관'!$A:$E,$CM$6+ROW()-9,COLUMN())))</f>
        <v xml:space="preserve">113017.0  51329.66 98 </v>
      </c>
      <c r="B187" t="str">
        <f>IF($CM$6=0,"",IF(INDEX('⑩ 원문 보관'!$A:$E,$CM$6+ROW()-9,COLUMN())="","",INDEX('⑩ 원문 보관'!$A:$E,$CM$6+ROW()-9,COLUMN())))</f>
        <v xml:space="preserve">115737.0  51394.33 97 </v>
      </c>
      <c r="C187" t="str">
        <f>IF($CM$6=0,"",IF(INDEX('⑩ 원문 보관'!$A:$E,$CM$6+ROW()-9,COLUMN())="","",INDEX('⑩ 원문 보관'!$A:$E,$CM$6+ROW()-9,COLUMN())))</f>
        <v>/datum  57000.00</v>
      </c>
      <c r="D187" t="str">
        <f>IF($CM$6=0,"",IF(INDEX('⑩ 원문 보관'!$A:$E,$CM$6+ROW()-9,COLUMN())="","",INDEX('⑩ 원문 보관'!$A:$E,$CM$6+ROW()-9,COLUMN())))</f>
        <v>/</v>
      </c>
      <c r="E187" t="str">
        <f>IF($CM$6=0,"",IF(INDEX('⑩ 원문 보관'!$A:$E,$CM$6+ROW()-9,COLUMN())="","",INDEX('⑩ 원문 보관'!$A:$E,$CM$6+ROW()-9,COLUMN())))</f>
        <v/>
      </c>
      <c r="Q187">
        <f t="shared" si="95"/>
        <v>5</v>
      </c>
      <c r="R187">
        <f t="shared" si="75"/>
        <v>113017</v>
      </c>
      <c r="S187">
        <f t="shared" si="76"/>
        <v>51329.66</v>
      </c>
      <c r="T187" t="str">
        <f t="shared" si="77"/>
        <v>98</v>
      </c>
      <c r="U187">
        <f t="shared" si="78"/>
        <v>1</v>
      </c>
      <c r="V187">
        <f t="shared" si="96"/>
        <v>5</v>
      </c>
      <c r="W187">
        <f t="shared" si="79"/>
        <v>115737</v>
      </c>
      <c r="X187">
        <f t="shared" si="80"/>
        <v>51394.33</v>
      </c>
      <c r="Y187" t="str">
        <f t="shared" si="81"/>
        <v>97</v>
      </c>
      <c r="Z187">
        <f t="shared" si="82"/>
        <v>1</v>
      </c>
      <c r="AA187">
        <f t="shared" si="97"/>
        <v>5</v>
      </c>
      <c r="AB187" t="str">
        <f t="shared" si="83"/>
        <v/>
      </c>
      <c r="AC187">
        <f t="shared" si="84"/>
        <v>57000</v>
      </c>
      <c r="AD187" t="str">
        <f t="shared" si="85"/>
        <v/>
      </c>
      <c r="AE187">
        <f t="shared" si="86"/>
        <v>0</v>
      </c>
      <c r="AF187">
        <f t="shared" si="98"/>
        <v>5</v>
      </c>
      <c r="AG187" t="str">
        <f t="shared" si="87"/>
        <v/>
      </c>
      <c r="AH187" t="str">
        <f t="shared" si="88"/>
        <v/>
      </c>
      <c r="AI187" t="str">
        <f t="shared" si="89"/>
        <v/>
      </c>
      <c r="AJ187">
        <f t="shared" si="90"/>
        <v>0</v>
      </c>
      <c r="AK187">
        <f t="shared" si="99"/>
        <v>4</v>
      </c>
      <c r="AL187" t="str">
        <f t="shared" si="91"/>
        <v/>
      </c>
      <c r="AM187" t="str">
        <f t="shared" si="92"/>
        <v/>
      </c>
      <c r="AN187" t="str">
        <f t="shared" si="93"/>
        <v/>
      </c>
      <c r="AO187">
        <f t="shared" si="94"/>
        <v>0</v>
      </c>
    </row>
    <row r="188" spans="1:41" x14ac:dyDescent="0.4">
      <c r="A188" t="str">
        <f>IF($CM$6=0,"",IF(INDEX('⑩ 원문 보관'!$A:$E,$CM$6+ROW()-9,COLUMN())="","",INDEX('⑩ 원문 보관'!$A:$E,$CM$6+ROW()-9,COLUMN())))</f>
        <v xml:space="preserve">113022.0  51329.54 98 </v>
      </c>
      <c r="B188" t="str">
        <f>IF($CM$6=0,"",IF(INDEX('⑩ 원문 보관'!$A:$E,$CM$6+ROW()-9,COLUMN())="","",INDEX('⑩ 원문 보관'!$A:$E,$CM$6+ROW()-9,COLUMN())))</f>
        <v xml:space="preserve">115742.0  51394.68 77 </v>
      </c>
      <c r="C188" t="str">
        <f>IF($CM$6=0,"",IF(INDEX('⑩ 원문 보관'!$A:$E,$CM$6+ROW()-9,COLUMN())="","",INDEX('⑩ 원문 보관'!$A:$E,$CM$6+ROW()-9,COLUMN())))</f>
        <v>/</v>
      </c>
      <c r="D188" t="str">
        <f>IF($CM$6=0,"",IF(INDEX('⑩ 원문 보관'!$A:$E,$CM$6+ROW()-9,COLUMN())="","",INDEX('⑩ 원문 보관'!$A:$E,$CM$6+ROW()-9,COLUMN())))</f>
        <v/>
      </c>
      <c r="E188" t="str">
        <f>IF($CM$6=0,"",IF(INDEX('⑩ 원문 보관'!$A:$E,$CM$6+ROW()-9,COLUMN())="","",INDEX('⑩ 원문 보관'!$A:$E,$CM$6+ROW()-9,COLUMN())))</f>
        <v/>
      </c>
      <c r="Q188">
        <f t="shared" si="95"/>
        <v>5</v>
      </c>
      <c r="R188">
        <f t="shared" si="75"/>
        <v>113022</v>
      </c>
      <c r="S188">
        <f t="shared" si="76"/>
        <v>51329.54</v>
      </c>
      <c r="T188" t="str">
        <f t="shared" si="77"/>
        <v>98</v>
      </c>
      <c r="U188">
        <f t="shared" si="78"/>
        <v>1</v>
      </c>
      <c r="V188">
        <f t="shared" si="96"/>
        <v>5</v>
      </c>
      <c r="W188">
        <f t="shared" si="79"/>
        <v>115742</v>
      </c>
      <c r="X188">
        <f t="shared" si="80"/>
        <v>51394.68</v>
      </c>
      <c r="Y188" t="str">
        <f t="shared" si="81"/>
        <v>77</v>
      </c>
      <c r="Z188">
        <f t="shared" si="82"/>
        <v>1</v>
      </c>
      <c r="AA188">
        <f t="shared" si="97"/>
        <v>5</v>
      </c>
      <c r="AB188" t="str">
        <f t="shared" si="83"/>
        <v/>
      </c>
      <c r="AC188" t="str">
        <f t="shared" si="84"/>
        <v/>
      </c>
      <c r="AD188" t="str">
        <f t="shared" si="85"/>
        <v/>
      </c>
      <c r="AE188">
        <f t="shared" si="86"/>
        <v>0</v>
      </c>
      <c r="AF188">
        <f t="shared" si="98"/>
        <v>5</v>
      </c>
      <c r="AG188" t="str">
        <f t="shared" si="87"/>
        <v/>
      </c>
      <c r="AH188" t="str">
        <f t="shared" si="88"/>
        <v/>
      </c>
      <c r="AI188" t="str">
        <f t="shared" si="89"/>
        <v/>
      </c>
      <c r="AJ188">
        <f t="shared" si="90"/>
        <v>0</v>
      </c>
      <c r="AK188">
        <f t="shared" si="99"/>
        <v>4</v>
      </c>
      <c r="AL188" t="str">
        <f t="shared" si="91"/>
        <v/>
      </c>
      <c r="AM188" t="str">
        <f t="shared" si="92"/>
        <v/>
      </c>
      <c r="AN188" t="str">
        <f t="shared" si="93"/>
        <v/>
      </c>
      <c r="AO188">
        <f t="shared" si="94"/>
        <v>0</v>
      </c>
    </row>
    <row r="189" spans="1:41" x14ac:dyDescent="0.4">
      <c r="A189" t="str">
        <f>IF($CM$6=0,"",IF(INDEX('⑩ 원문 보관'!$A:$E,$CM$6+ROW()-9,COLUMN())="","",INDEX('⑩ 원문 보관'!$A:$E,$CM$6+ROW()-9,COLUMN())))</f>
        <v xml:space="preserve">113027.0  51329.08 97 </v>
      </c>
      <c r="B189" t="str">
        <f>IF($CM$6=0,"",IF(INDEX('⑩ 원문 보관'!$A:$E,$CM$6+ROW()-9,COLUMN())="","",INDEX('⑩ 원문 보관'!$A:$E,$CM$6+ROW()-9,COLUMN())))</f>
        <v xml:space="preserve">115747.0  51394.73 67 </v>
      </c>
      <c r="C189" t="str">
        <f>IF($CM$6=0,"",IF(INDEX('⑩ 원문 보관'!$A:$E,$CM$6+ROW()-9,COLUMN())="","",INDEX('⑩ 원문 보관'!$A:$E,$CM$6+ROW()-9,COLUMN())))</f>
        <v/>
      </c>
      <c r="D189" t="str">
        <f>IF($CM$6=0,"",IF(INDEX('⑩ 원문 보관'!$A:$E,$CM$6+ROW()-9,COLUMN())="","",INDEX('⑩ 원문 보관'!$A:$E,$CM$6+ROW()-9,COLUMN())))</f>
        <v xml:space="preserve">/time nT sq </v>
      </c>
      <c r="E189" t="str">
        <f>IF($CM$6=0,"",IF(INDEX('⑩ 원문 보관'!$A:$E,$CM$6+ROW()-9,COLUMN())="","",INDEX('⑩ 원문 보관'!$A:$E,$CM$6+ROW()-9,COLUMN())))</f>
        <v/>
      </c>
      <c r="Q189">
        <f t="shared" si="95"/>
        <v>5</v>
      </c>
      <c r="R189">
        <f t="shared" si="75"/>
        <v>113027</v>
      </c>
      <c r="S189">
        <f t="shared" si="76"/>
        <v>51329.08</v>
      </c>
      <c r="T189" t="str">
        <f t="shared" si="77"/>
        <v>97</v>
      </c>
      <c r="U189">
        <f t="shared" si="78"/>
        <v>1</v>
      </c>
      <c r="V189">
        <f t="shared" si="96"/>
        <v>5</v>
      </c>
      <c r="W189">
        <f t="shared" si="79"/>
        <v>115747</v>
      </c>
      <c r="X189">
        <f t="shared" si="80"/>
        <v>51394.73</v>
      </c>
      <c r="Y189" t="str">
        <f t="shared" si="81"/>
        <v>67</v>
      </c>
      <c r="Z189">
        <f t="shared" si="82"/>
        <v>1</v>
      </c>
      <c r="AA189">
        <f t="shared" si="97"/>
        <v>5</v>
      </c>
      <c r="AB189" t="str">
        <f t="shared" si="83"/>
        <v/>
      </c>
      <c r="AC189" t="str">
        <f t="shared" si="84"/>
        <v/>
      </c>
      <c r="AD189" t="str">
        <f t="shared" si="85"/>
        <v/>
      </c>
      <c r="AE189">
        <f t="shared" si="86"/>
        <v>0</v>
      </c>
      <c r="AF189">
        <f t="shared" si="98"/>
        <v>6</v>
      </c>
      <c r="AG189" t="str">
        <f t="shared" si="87"/>
        <v/>
      </c>
      <c r="AH189" t="str">
        <f t="shared" si="88"/>
        <v/>
      </c>
      <c r="AI189" t="str">
        <f t="shared" si="89"/>
        <v>sq</v>
      </c>
      <c r="AJ189">
        <f t="shared" si="90"/>
        <v>0</v>
      </c>
      <c r="AK189">
        <f t="shared" si="99"/>
        <v>4</v>
      </c>
      <c r="AL189" t="str">
        <f t="shared" si="91"/>
        <v/>
      </c>
      <c r="AM189" t="str">
        <f t="shared" si="92"/>
        <v/>
      </c>
      <c r="AN189" t="str">
        <f t="shared" si="93"/>
        <v/>
      </c>
      <c r="AO189">
        <f t="shared" si="94"/>
        <v>0</v>
      </c>
    </row>
    <row r="190" spans="1:41" x14ac:dyDescent="0.4">
      <c r="A190" t="str">
        <f>IF($CM$6=0,"",IF(INDEX('⑩ 원문 보관'!$A:$E,$CM$6+ROW()-9,COLUMN())="","",INDEX('⑩ 원문 보관'!$A:$E,$CM$6+ROW()-9,COLUMN())))</f>
        <v xml:space="preserve">113032.0  51329.09 98 </v>
      </c>
      <c r="B190" t="str">
        <f>IF($CM$6=0,"",IF(INDEX('⑩ 원문 보관'!$A:$E,$CM$6+ROW()-9,COLUMN())="","",INDEX('⑩ 원문 보관'!$A:$E,$CM$6+ROW()-9,COLUMN())))</f>
        <v xml:space="preserve">115752.0  51394.21 67 </v>
      </c>
      <c r="C190" t="str">
        <f>IF($CM$6=0,"",IF(INDEX('⑩ 원문 보관'!$A:$E,$CM$6+ROW()-9,COLUMN())="","",INDEX('⑩ 원문 보관'!$A:$E,$CM$6+ROW()-9,COLUMN())))</f>
        <v xml:space="preserve">/time nT sq </v>
      </c>
      <c r="D190" t="str">
        <f>IF($CM$6=0,"",IF(INDEX('⑩ 원문 보관'!$A:$E,$CM$6+ROW()-9,COLUMN())="","",INDEX('⑩ 원문 보관'!$A:$E,$CM$6+ROW()-9,COLUMN())))</f>
        <v xml:space="preserve">124902.0  51352.63 23 </v>
      </c>
      <c r="E190" t="str">
        <f>IF($CM$6=0,"",IF(INDEX('⑩ 원문 보관'!$A:$E,$CM$6+ROW()-9,COLUMN())="","",INDEX('⑩ 원문 보관'!$A:$E,$CM$6+ROW()-9,COLUMN())))</f>
        <v/>
      </c>
      <c r="Q190">
        <f t="shared" si="95"/>
        <v>5</v>
      </c>
      <c r="R190">
        <f t="shared" si="75"/>
        <v>113032</v>
      </c>
      <c r="S190">
        <f t="shared" si="76"/>
        <v>51329.09</v>
      </c>
      <c r="T190" t="str">
        <f t="shared" si="77"/>
        <v>98</v>
      </c>
      <c r="U190">
        <f t="shared" si="78"/>
        <v>1</v>
      </c>
      <c r="V190">
        <f t="shared" si="96"/>
        <v>5</v>
      </c>
      <c r="W190">
        <f t="shared" si="79"/>
        <v>115752</v>
      </c>
      <c r="X190">
        <f t="shared" si="80"/>
        <v>51394.21</v>
      </c>
      <c r="Y190" t="str">
        <f t="shared" si="81"/>
        <v>67</v>
      </c>
      <c r="Z190">
        <f t="shared" si="82"/>
        <v>1</v>
      </c>
      <c r="AA190">
        <f t="shared" si="97"/>
        <v>6</v>
      </c>
      <c r="AB190" t="str">
        <f t="shared" si="83"/>
        <v/>
      </c>
      <c r="AC190" t="str">
        <f t="shared" si="84"/>
        <v/>
      </c>
      <c r="AD190" t="str">
        <f t="shared" si="85"/>
        <v>sq</v>
      </c>
      <c r="AE190">
        <f t="shared" si="86"/>
        <v>0</v>
      </c>
      <c r="AF190">
        <f t="shared" si="98"/>
        <v>6</v>
      </c>
      <c r="AG190">
        <f t="shared" si="87"/>
        <v>124902</v>
      </c>
      <c r="AH190">
        <f t="shared" si="88"/>
        <v>51352.63</v>
      </c>
      <c r="AI190" t="str">
        <f t="shared" si="89"/>
        <v>23</v>
      </c>
      <c r="AJ190">
        <f t="shared" si="90"/>
        <v>1</v>
      </c>
      <c r="AK190">
        <f t="shared" si="99"/>
        <v>4</v>
      </c>
      <c r="AL190" t="str">
        <f t="shared" si="91"/>
        <v/>
      </c>
      <c r="AM190" t="str">
        <f t="shared" si="92"/>
        <v/>
      </c>
      <c r="AN190" t="str">
        <f t="shared" si="93"/>
        <v/>
      </c>
      <c r="AO190">
        <f t="shared" si="94"/>
        <v>0</v>
      </c>
    </row>
    <row r="191" spans="1:41" x14ac:dyDescent="0.4">
      <c r="A191" t="str">
        <f>IF($CM$6=0,"",IF(INDEX('⑩ 원문 보관'!$A:$E,$CM$6+ROW()-9,COLUMN())="","",INDEX('⑩ 원문 보관'!$A:$E,$CM$6+ROW()-9,COLUMN())))</f>
        <v xml:space="preserve">113037.0  51329.03 98 </v>
      </c>
      <c r="B191" t="str">
        <f>IF($CM$6=0,"",IF(INDEX('⑩ 원문 보관'!$A:$E,$CM$6+ROW()-9,COLUMN())="","",INDEX('⑩ 원문 보관'!$A:$E,$CM$6+ROW()-9,COLUMN())))</f>
        <v xml:space="preserve">115757.0  51394.18 96 </v>
      </c>
      <c r="C191" t="str">
        <f>IF($CM$6=0,"",IF(INDEX('⑩ 원문 보관'!$A:$E,$CM$6+ROW()-9,COLUMN())="","",INDEX('⑩ 원문 보관'!$A:$E,$CM$6+ROW()-9,COLUMN())))</f>
        <v xml:space="preserve">123257.0  51397.75 53 </v>
      </c>
      <c r="D191" t="str">
        <f>IF($CM$6=0,"",IF(INDEX('⑩ 원문 보관'!$A:$E,$CM$6+ROW()-9,COLUMN())="","",INDEX('⑩ 원문 보관'!$A:$E,$CM$6+ROW()-9,COLUMN())))</f>
        <v xml:space="preserve">124907.0  51356.07 13 </v>
      </c>
      <c r="E191" t="str">
        <f>IF($CM$6=0,"",IF(INDEX('⑩ 원문 보관'!$A:$E,$CM$6+ROW()-9,COLUMN())="","",INDEX('⑩ 원문 보관'!$A:$E,$CM$6+ROW()-9,COLUMN())))</f>
        <v/>
      </c>
      <c r="Q191">
        <f t="shared" si="95"/>
        <v>5</v>
      </c>
      <c r="R191">
        <f t="shared" si="75"/>
        <v>113037</v>
      </c>
      <c r="S191">
        <f t="shared" si="76"/>
        <v>51329.03</v>
      </c>
      <c r="T191" t="str">
        <f t="shared" si="77"/>
        <v>98</v>
      </c>
      <c r="U191">
        <f t="shared" si="78"/>
        <v>1</v>
      </c>
      <c r="V191">
        <f t="shared" si="96"/>
        <v>5</v>
      </c>
      <c r="W191">
        <f t="shared" si="79"/>
        <v>115757</v>
      </c>
      <c r="X191">
        <f t="shared" si="80"/>
        <v>51394.18</v>
      </c>
      <c r="Y191" t="str">
        <f t="shared" si="81"/>
        <v>96</v>
      </c>
      <c r="Z191">
        <f t="shared" si="82"/>
        <v>1</v>
      </c>
      <c r="AA191">
        <f t="shared" si="97"/>
        <v>6</v>
      </c>
      <c r="AB191">
        <f t="shared" si="83"/>
        <v>123257</v>
      </c>
      <c r="AC191">
        <f t="shared" si="84"/>
        <v>51397.75</v>
      </c>
      <c r="AD191" t="str">
        <f t="shared" si="85"/>
        <v>53</v>
      </c>
      <c r="AE191">
        <f t="shared" si="86"/>
        <v>1</v>
      </c>
      <c r="AF191">
        <f t="shared" si="98"/>
        <v>6</v>
      </c>
      <c r="AG191">
        <f t="shared" si="87"/>
        <v>124907</v>
      </c>
      <c r="AH191">
        <f t="shared" si="88"/>
        <v>51356.07</v>
      </c>
      <c r="AI191" t="str">
        <f t="shared" si="89"/>
        <v>13</v>
      </c>
      <c r="AJ191">
        <f t="shared" si="90"/>
        <v>1</v>
      </c>
      <c r="AK191">
        <f t="shared" si="99"/>
        <v>4</v>
      </c>
      <c r="AL191" t="str">
        <f t="shared" si="91"/>
        <v/>
      </c>
      <c r="AM191" t="str">
        <f t="shared" si="92"/>
        <v/>
      </c>
      <c r="AN191" t="str">
        <f t="shared" si="93"/>
        <v/>
      </c>
      <c r="AO191">
        <f t="shared" si="94"/>
        <v>0</v>
      </c>
    </row>
    <row r="192" spans="1:41" x14ac:dyDescent="0.4">
      <c r="A192" t="str">
        <f>IF($CM$6=0,"",IF(INDEX('⑩ 원문 보관'!$A:$E,$CM$6+ROW()-9,COLUMN())="","",INDEX('⑩ 원문 보관'!$A:$E,$CM$6+ROW()-9,COLUMN())))</f>
        <v xml:space="preserve">113042.0  51329.01 98 </v>
      </c>
      <c r="B192" t="str">
        <f>IF($CM$6=0,"",IF(INDEX('⑩ 원문 보관'!$A:$E,$CM$6+ROW()-9,COLUMN())="","",INDEX('⑩ 원문 보관'!$A:$E,$CM$6+ROW()-9,COLUMN())))</f>
        <v xml:space="preserve">115802.0  51394.49 77 </v>
      </c>
      <c r="C192" t="str">
        <f>IF($CM$6=0,"",IF(INDEX('⑩ 원문 보관'!$A:$E,$CM$6+ROW()-9,COLUMN())="","",INDEX('⑩ 원문 보관'!$A:$E,$CM$6+ROW()-9,COLUMN())))</f>
        <v xml:space="preserve">123302.0  51397.86 43 </v>
      </c>
      <c r="D192" t="str">
        <f>IF($CM$6=0,"",IF(INDEX('⑩ 원문 보관'!$A:$E,$CM$6+ROW()-9,COLUMN())="","",INDEX('⑩ 원문 보관'!$A:$E,$CM$6+ROW()-9,COLUMN())))</f>
        <v xml:space="preserve">124912.0  51356.12 13 </v>
      </c>
      <c r="E192" t="str">
        <f>IF($CM$6=0,"",IF(INDEX('⑩ 원문 보관'!$A:$E,$CM$6+ROW()-9,COLUMN())="","",INDEX('⑩ 원문 보관'!$A:$E,$CM$6+ROW()-9,COLUMN())))</f>
        <v/>
      </c>
      <c r="Q192">
        <f t="shared" si="95"/>
        <v>5</v>
      </c>
      <c r="R192">
        <f t="shared" si="75"/>
        <v>113042</v>
      </c>
      <c r="S192">
        <f t="shared" si="76"/>
        <v>51329.01</v>
      </c>
      <c r="T192" t="str">
        <f t="shared" si="77"/>
        <v>98</v>
      </c>
      <c r="U192">
        <f t="shared" si="78"/>
        <v>1</v>
      </c>
      <c r="V192">
        <f t="shared" si="96"/>
        <v>5</v>
      </c>
      <c r="W192">
        <f t="shared" si="79"/>
        <v>115802</v>
      </c>
      <c r="X192">
        <f t="shared" si="80"/>
        <v>51394.49</v>
      </c>
      <c r="Y192" t="str">
        <f t="shared" si="81"/>
        <v>77</v>
      </c>
      <c r="Z192">
        <f t="shared" si="82"/>
        <v>1</v>
      </c>
      <c r="AA192">
        <f t="shared" si="97"/>
        <v>6</v>
      </c>
      <c r="AB192">
        <f t="shared" si="83"/>
        <v>123302</v>
      </c>
      <c r="AC192">
        <f t="shared" si="84"/>
        <v>51397.86</v>
      </c>
      <c r="AD192" t="str">
        <f t="shared" si="85"/>
        <v>43</v>
      </c>
      <c r="AE192">
        <f t="shared" si="86"/>
        <v>1</v>
      </c>
      <c r="AF192">
        <f t="shared" si="98"/>
        <v>6</v>
      </c>
      <c r="AG192">
        <f t="shared" si="87"/>
        <v>124912</v>
      </c>
      <c r="AH192">
        <f t="shared" si="88"/>
        <v>51356.12</v>
      </c>
      <c r="AI192" t="str">
        <f t="shared" si="89"/>
        <v>13</v>
      </c>
      <c r="AJ192">
        <f t="shared" si="90"/>
        <v>1</v>
      </c>
      <c r="AK192">
        <f t="shared" si="99"/>
        <v>4</v>
      </c>
      <c r="AL192" t="str">
        <f t="shared" si="91"/>
        <v/>
      </c>
      <c r="AM192" t="str">
        <f t="shared" si="92"/>
        <v/>
      </c>
      <c r="AN192" t="str">
        <f t="shared" si="93"/>
        <v/>
      </c>
      <c r="AO192">
        <f t="shared" si="94"/>
        <v>0</v>
      </c>
    </row>
    <row r="193" spans="1:41" x14ac:dyDescent="0.4">
      <c r="A193" t="str">
        <f>IF($CM$6=0,"",IF(INDEX('⑩ 원문 보관'!$A:$E,$CM$6+ROW()-9,COLUMN())="","",INDEX('⑩ 원문 보관'!$A:$E,$CM$6+ROW()-9,COLUMN())))</f>
        <v xml:space="preserve">113047.0  51329.04 98 </v>
      </c>
      <c r="B193" t="str">
        <f>IF($CM$6=0,"",IF(INDEX('⑩ 원문 보관'!$A:$E,$CM$6+ROW()-9,COLUMN())="","",INDEX('⑩ 원문 보관'!$A:$E,$CM$6+ROW()-9,COLUMN())))</f>
        <v xml:space="preserve">115807.0  51394.64 67 </v>
      </c>
      <c r="C193" t="str">
        <f>IF($CM$6=0,"",IF(INDEX('⑩ 원문 보관'!$A:$E,$CM$6+ROW()-9,COLUMN())="","",INDEX('⑩ 원문 보관'!$A:$E,$CM$6+ROW()-9,COLUMN())))</f>
        <v xml:space="preserve">123307.0  51397.74 64 </v>
      </c>
      <c r="D193" t="str">
        <f>IF($CM$6=0,"",IF(INDEX('⑩ 원문 보관'!$A:$E,$CM$6+ROW()-9,COLUMN())="","",INDEX('⑩ 원문 보관'!$A:$E,$CM$6+ROW()-9,COLUMN())))</f>
        <v xml:space="preserve">124917.0  51346.71 13 </v>
      </c>
      <c r="E193" t="str">
        <f>IF($CM$6=0,"",IF(INDEX('⑩ 원문 보관'!$A:$E,$CM$6+ROW()-9,COLUMN())="","",INDEX('⑩ 원문 보관'!$A:$E,$CM$6+ROW()-9,COLUMN())))</f>
        <v/>
      </c>
      <c r="Q193">
        <f t="shared" si="95"/>
        <v>5</v>
      </c>
      <c r="R193">
        <f t="shared" si="75"/>
        <v>113047</v>
      </c>
      <c r="S193">
        <f t="shared" si="76"/>
        <v>51329.04</v>
      </c>
      <c r="T193" t="str">
        <f t="shared" si="77"/>
        <v>98</v>
      </c>
      <c r="U193">
        <f t="shared" si="78"/>
        <v>1</v>
      </c>
      <c r="V193">
        <f t="shared" si="96"/>
        <v>5</v>
      </c>
      <c r="W193">
        <f t="shared" si="79"/>
        <v>115807</v>
      </c>
      <c r="X193">
        <f t="shared" si="80"/>
        <v>51394.64</v>
      </c>
      <c r="Y193" t="str">
        <f t="shared" si="81"/>
        <v>67</v>
      </c>
      <c r="Z193">
        <f t="shared" si="82"/>
        <v>1</v>
      </c>
      <c r="AA193">
        <f t="shared" si="97"/>
        <v>6</v>
      </c>
      <c r="AB193">
        <f t="shared" si="83"/>
        <v>123307</v>
      </c>
      <c r="AC193">
        <f t="shared" si="84"/>
        <v>51397.74</v>
      </c>
      <c r="AD193" t="str">
        <f t="shared" si="85"/>
        <v>64</v>
      </c>
      <c r="AE193">
        <f t="shared" si="86"/>
        <v>1</v>
      </c>
      <c r="AF193">
        <f t="shared" si="98"/>
        <v>6</v>
      </c>
      <c r="AG193">
        <f t="shared" si="87"/>
        <v>124917</v>
      </c>
      <c r="AH193">
        <f t="shared" si="88"/>
        <v>51346.71</v>
      </c>
      <c r="AI193" t="str">
        <f t="shared" si="89"/>
        <v>13</v>
      </c>
      <c r="AJ193">
        <f t="shared" si="90"/>
        <v>1</v>
      </c>
      <c r="AK193">
        <f t="shared" si="99"/>
        <v>4</v>
      </c>
      <c r="AL193" t="str">
        <f t="shared" si="91"/>
        <v/>
      </c>
      <c r="AM193" t="str">
        <f t="shared" si="92"/>
        <v/>
      </c>
      <c r="AN193" t="str">
        <f t="shared" si="93"/>
        <v/>
      </c>
      <c r="AO193">
        <f t="shared" si="94"/>
        <v>0</v>
      </c>
    </row>
    <row r="194" spans="1:41" x14ac:dyDescent="0.4">
      <c r="A194" t="str">
        <f>IF($CM$6=0,"",IF(INDEX('⑩ 원문 보관'!$A:$E,$CM$6+ROW()-9,COLUMN())="","",INDEX('⑩ 원문 보관'!$A:$E,$CM$6+ROW()-9,COLUMN())))</f>
        <v xml:space="preserve">113052.0  51329.23 97 </v>
      </c>
      <c r="B194" t="str">
        <f>IF($CM$6=0,"",IF(INDEX('⑩ 원문 보관'!$A:$E,$CM$6+ROW()-9,COLUMN())="","",INDEX('⑩ 원문 보관'!$A:$E,$CM$6+ROW()-9,COLUMN())))</f>
        <v xml:space="preserve">115812.0  51394.25 86 </v>
      </c>
      <c r="C194" t="str">
        <f>IF($CM$6=0,"",IF(INDEX('⑩ 원문 보관'!$A:$E,$CM$6+ROW()-9,COLUMN())="","",INDEX('⑩ 원문 보관'!$A:$E,$CM$6+ROW()-9,COLUMN())))</f>
        <v xml:space="preserve">123312.0  51398.23 54 </v>
      </c>
      <c r="D194" t="str">
        <f>IF($CM$6=0,"",IF(INDEX('⑩ 원문 보관'!$A:$E,$CM$6+ROW()-9,COLUMN())="","",INDEX('⑩ 원문 보관'!$A:$E,$CM$6+ROW()-9,COLUMN())))</f>
        <v xml:space="preserve">124922.0  51353.76 32 </v>
      </c>
      <c r="E194" t="str">
        <f>IF($CM$6=0,"",IF(INDEX('⑩ 원문 보관'!$A:$E,$CM$6+ROW()-9,COLUMN())="","",INDEX('⑩ 원문 보관'!$A:$E,$CM$6+ROW()-9,COLUMN())))</f>
        <v/>
      </c>
      <c r="Q194">
        <f t="shared" si="95"/>
        <v>5</v>
      </c>
      <c r="R194">
        <f t="shared" si="75"/>
        <v>113052</v>
      </c>
      <c r="S194">
        <f t="shared" si="76"/>
        <v>51329.23</v>
      </c>
      <c r="T194" t="str">
        <f t="shared" si="77"/>
        <v>97</v>
      </c>
      <c r="U194">
        <f t="shared" si="78"/>
        <v>1</v>
      </c>
      <c r="V194">
        <f t="shared" si="96"/>
        <v>5</v>
      </c>
      <c r="W194">
        <f t="shared" si="79"/>
        <v>115812</v>
      </c>
      <c r="X194">
        <f t="shared" si="80"/>
        <v>51394.25</v>
      </c>
      <c r="Y194" t="str">
        <f t="shared" si="81"/>
        <v>86</v>
      </c>
      <c r="Z194">
        <f t="shared" si="82"/>
        <v>1</v>
      </c>
      <c r="AA194">
        <f t="shared" si="97"/>
        <v>6</v>
      </c>
      <c r="AB194">
        <f t="shared" si="83"/>
        <v>123312</v>
      </c>
      <c r="AC194">
        <f t="shared" si="84"/>
        <v>51398.23</v>
      </c>
      <c r="AD194" t="str">
        <f t="shared" si="85"/>
        <v>54</v>
      </c>
      <c r="AE194">
        <f t="shared" si="86"/>
        <v>1</v>
      </c>
      <c r="AF194">
        <f t="shared" si="98"/>
        <v>6</v>
      </c>
      <c r="AG194">
        <f t="shared" si="87"/>
        <v>124922</v>
      </c>
      <c r="AH194">
        <f t="shared" si="88"/>
        <v>51353.760000000002</v>
      </c>
      <c r="AI194" t="str">
        <f t="shared" si="89"/>
        <v>32</v>
      </c>
      <c r="AJ194">
        <f t="shared" si="90"/>
        <v>1</v>
      </c>
      <c r="AK194">
        <f t="shared" si="99"/>
        <v>4</v>
      </c>
      <c r="AL194" t="str">
        <f t="shared" si="91"/>
        <v/>
      </c>
      <c r="AM194" t="str">
        <f t="shared" si="92"/>
        <v/>
      </c>
      <c r="AN194" t="str">
        <f t="shared" si="93"/>
        <v/>
      </c>
      <c r="AO194">
        <f t="shared" si="94"/>
        <v>0</v>
      </c>
    </row>
    <row r="195" spans="1:41" x14ac:dyDescent="0.4">
      <c r="A195" t="str">
        <f>IF($CM$6=0,"",IF(INDEX('⑩ 원문 보관'!$A:$E,$CM$6+ROW()-9,COLUMN())="","",INDEX('⑩ 원문 보관'!$A:$E,$CM$6+ROW()-9,COLUMN())))</f>
        <v xml:space="preserve">113057.0  51329.18 98 </v>
      </c>
      <c r="B195" t="str">
        <f>IF($CM$6=0,"",IF(INDEX('⑩ 원문 보관'!$A:$E,$CM$6+ROW()-9,COLUMN())="","",INDEX('⑩ 원문 보관'!$A:$E,$CM$6+ROW()-9,COLUMN())))</f>
        <v xml:space="preserve">115817.0  51394.52 67 </v>
      </c>
      <c r="C195" t="str">
        <f>IF($CM$6=0,"",IF(INDEX('⑩ 원문 보관'!$A:$E,$CM$6+ROW()-9,COLUMN())="","",INDEX('⑩ 원문 보관'!$A:$E,$CM$6+ROW()-9,COLUMN())))</f>
        <v xml:space="preserve">123317.0  51398.35 34 </v>
      </c>
      <c r="D195" t="str">
        <f>IF($CM$6=0,"",IF(INDEX('⑩ 원문 보관'!$A:$E,$CM$6+ROW()-9,COLUMN())="","",INDEX('⑩ 원문 보관'!$A:$E,$CM$6+ROW()-9,COLUMN())))</f>
        <v xml:space="preserve">124927.0  51354.23 32 </v>
      </c>
      <c r="E195" t="str">
        <f>IF($CM$6=0,"",IF(INDEX('⑩ 원문 보관'!$A:$E,$CM$6+ROW()-9,COLUMN())="","",INDEX('⑩ 원문 보관'!$A:$E,$CM$6+ROW()-9,COLUMN())))</f>
        <v/>
      </c>
      <c r="Q195">
        <f t="shared" si="95"/>
        <v>5</v>
      </c>
      <c r="R195">
        <f t="shared" si="75"/>
        <v>113057</v>
      </c>
      <c r="S195">
        <f t="shared" si="76"/>
        <v>51329.18</v>
      </c>
      <c r="T195" t="str">
        <f t="shared" si="77"/>
        <v>98</v>
      </c>
      <c r="U195">
        <f t="shared" si="78"/>
        <v>1</v>
      </c>
      <c r="V195">
        <f t="shared" si="96"/>
        <v>5</v>
      </c>
      <c r="W195">
        <f t="shared" si="79"/>
        <v>115817</v>
      </c>
      <c r="X195">
        <f t="shared" si="80"/>
        <v>51394.52</v>
      </c>
      <c r="Y195" t="str">
        <f t="shared" si="81"/>
        <v>67</v>
      </c>
      <c r="Z195">
        <f t="shared" si="82"/>
        <v>1</v>
      </c>
      <c r="AA195">
        <f t="shared" si="97"/>
        <v>6</v>
      </c>
      <c r="AB195">
        <f t="shared" si="83"/>
        <v>123317</v>
      </c>
      <c r="AC195">
        <f t="shared" si="84"/>
        <v>51398.35</v>
      </c>
      <c r="AD195" t="str">
        <f t="shared" si="85"/>
        <v>34</v>
      </c>
      <c r="AE195">
        <f t="shared" si="86"/>
        <v>1</v>
      </c>
      <c r="AF195">
        <f t="shared" si="98"/>
        <v>6</v>
      </c>
      <c r="AG195">
        <f t="shared" si="87"/>
        <v>124927</v>
      </c>
      <c r="AH195">
        <f t="shared" si="88"/>
        <v>51354.23</v>
      </c>
      <c r="AI195" t="str">
        <f t="shared" si="89"/>
        <v>32</v>
      </c>
      <c r="AJ195">
        <f t="shared" si="90"/>
        <v>1</v>
      </c>
      <c r="AK195">
        <f t="shared" si="99"/>
        <v>4</v>
      </c>
      <c r="AL195" t="str">
        <f t="shared" si="91"/>
        <v/>
      </c>
      <c r="AM195" t="str">
        <f t="shared" si="92"/>
        <v/>
      </c>
      <c r="AN195" t="str">
        <f t="shared" si="93"/>
        <v/>
      </c>
      <c r="AO195">
        <f t="shared" si="94"/>
        <v>0</v>
      </c>
    </row>
    <row r="196" spans="1:41" x14ac:dyDescent="0.4">
      <c r="A196" t="str">
        <f>IF($CM$6=0,"",IF(INDEX('⑩ 원문 보관'!$A:$E,$CM$6+ROW()-9,COLUMN())="","",INDEX('⑩ 원문 보관'!$A:$E,$CM$6+ROW()-9,COLUMN())))</f>
        <v xml:space="preserve">113102.0  51329.12 98 </v>
      </c>
      <c r="B196" t="str">
        <f>IF($CM$6=0,"",IF(INDEX('⑩ 원문 보관'!$A:$E,$CM$6+ROW()-9,COLUMN())="","",INDEX('⑩ 원문 보관'!$A:$E,$CM$6+ROW()-9,COLUMN())))</f>
        <v xml:space="preserve">115822.0  51394.55 87 </v>
      </c>
      <c r="C196" t="str">
        <f>IF($CM$6=0,"",IF(INDEX('⑩ 원문 보관'!$A:$E,$CM$6+ROW()-9,COLUMN())="","",INDEX('⑩ 원문 보관'!$A:$E,$CM$6+ROW()-9,COLUMN())))</f>
        <v xml:space="preserve">123322.0  51398.35 53 </v>
      </c>
      <c r="D196" t="str">
        <f>IF($CM$6=0,"",IF(INDEX('⑩ 원문 보관'!$A:$E,$CM$6+ROW()-9,COLUMN())="","",INDEX('⑩ 원문 보관'!$A:$E,$CM$6+ROW()-9,COLUMN())))</f>
        <v xml:space="preserve">124932.0  51351.83 33 </v>
      </c>
      <c r="E196" t="str">
        <f>IF($CM$6=0,"",IF(INDEX('⑩ 원문 보관'!$A:$E,$CM$6+ROW()-9,COLUMN())="","",INDEX('⑩ 원문 보관'!$A:$E,$CM$6+ROW()-9,COLUMN())))</f>
        <v/>
      </c>
      <c r="Q196">
        <f t="shared" si="95"/>
        <v>5</v>
      </c>
      <c r="R196">
        <f t="shared" si="75"/>
        <v>113102</v>
      </c>
      <c r="S196">
        <f t="shared" si="76"/>
        <v>51329.120000000003</v>
      </c>
      <c r="T196" t="str">
        <f t="shared" si="77"/>
        <v>98</v>
      </c>
      <c r="U196">
        <f t="shared" si="78"/>
        <v>1</v>
      </c>
      <c r="V196">
        <f t="shared" si="96"/>
        <v>5</v>
      </c>
      <c r="W196">
        <f t="shared" si="79"/>
        <v>115822</v>
      </c>
      <c r="X196">
        <f t="shared" si="80"/>
        <v>51394.55</v>
      </c>
      <c r="Y196" t="str">
        <f t="shared" si="81"/>
        <v>87</v>
      </c>
      <c r="Z196">
        <f t="shared" si="82"/>
        <v>1</v>
      </c>
      <c r="AA196">
        <f t="shared" si="97"/>
        <v>6</v>
      </c>
      <c r="AB196">
        <f t="shared" si="83"/>
        <v>123322</v>
      </c>
      <c r="AC196">
        <f t="shared" si="84"/>
        <v>51398.35</v>
      </c>
      <c r="AD196" t="str">
        <f t="shared" si="85"/>
        <v>53</v>
      </c>
      <c r="AE196">
        <f t="shared" si="86"/>
        <v>1</v>
      </c>
      <c r="AF196">
        <f t="shared" si="98"/>
        <v>6</v>
      </c>
      <c r="AG196">
        <f t="shared" si="87"/>
        <v>124932</v>
      </c>
      <c r="AH196">
        <f t="shared" si="88"/>
        <v>51351.83</v>
      </c>
      <c r="AI196" t="str">
        <f t="shared" si="89"/>
        <v>33</v>
      </c>
      <c r="AJ196">
        <f t="shared" si="90"/>
        <v>1</v>
      </c>
      <c r="AK196">
        <f t="shared" si="99"/>
        <v>4</v>
      </c>
      <c r="AL196" t="str">
        <f t="shared" si="91"/>
        <v/>
      </c>
      <c r="AM196" t="str">
        <f t="shared" si="92"/>
        <v/>
      </c>
      <c r="AN196" t="str">
        <f t="shared" si="93"/>
        <v/>
      </c>
      <c r="AO196">
        <f t="shared" si="94"/>
        <v>0</v>
      </c>
    </row>
    <row r="197" spans="1:41" x14ac:dyDescent="0.4">
      <c r="A197" t="str">
        <f>IF($CM$6=0,"",IF(INDEX('⑩ 원문 보관'!$A:$E,$CM$6+ROW()-9,COLUMN())="","",INDEX('⑩ 원문 보관'!$A:$E,$CM$6+ROW()-9,COLUMN())))</f>
        <v xml:space="preserve">113107.0  51329.12 98 </v>
      </c>
      <c r="B197" t="str">
        <f>IF($CM$6=0,"",IF(INDEX('⑩ 원문 보관'!$A:$E,$CM$6+ROW()-9,COLUMN())="","",INDEX('⑩ 원문 보관'!$A:$E,$CM$6+ROW()-9,COLUMN())))</f>
        <v xml:space="preserve">115827.0  51394.45 76 </v>
      </c>
      <c r="C197" t="str">
        <f>IF($CM$6=0,"",IF(INDEX('⑩ 원문 보관'!$A:$E,$CM$6+ROW()-9,COLUMN())="","",INDEX('⑩ 원문 보관'!$A:$E,$CM$6+ROW()-9,COLUMN())))</f>
        <v xml:space="preserve">123327.0  51398.24 63 </v>
      </c>
      <c r="D197" t="str">
        <f>IF($CM$6=0,"",IF(INDEX('⑩ 원문 보관'!$A:$E,$CM$6+ROW()-9,COLUMN())="","",INDEX('⑩ 원문 보관'!$A:$E,$CM$6+ROW()-9,COLUMN())))</f>
        <v xml:space="preserve">124937.0  51351.67 23 </v>
      </c>
      <c r="E197" t="str">
        <f>IF($CM$6=0,"",IF(INDEX('⑩ 원문 보관'!$A:$E,$CM$6+ROW()-9,COLUMN())="","",INDEX('⑩ 원문 보관'!$A:$E,$CM$6+ROW()-9,COLUMN())))</f>
        <v/>
      </c>
      <c r="Q197">
        <f t="shared" si="95"/>
        <v>5</v>
      </c>
      <c r="R197">
        <f t="shared" si="75"/>
        <v>113107</v>
      </c>
      <c r="S197">
        <f t="shared" si="76"/>
        <v>51329.120000000003</v>
      </c>
      <c r="T197" t="str">
        <f t="shared" si="77"/>
        <v>98</v>
      </c>
      <c r="U197">
        <f t="shared" si="78"/>
        <v>1</v>
      </c>
      <c r="V197">
        <f t="shared" si="96"/>
        <v>5</v>
      </c>
      <c r="W197">
        <f t="shared" si="79"/>
        <v>115827</v>
      </c>
      <c r="X197">
        <f t="shared" si="80"/>
        <v>51394.45</v>
      </c>
      <c r="Y197" t="str">
        <f t="shared" si="81"/>
        <v>76</v>
      </c>
      <c r="Z197">
        <f t="shared" si="82"/>
        <v>1</v>
      </c>
      <c r="AA197">
        <f t="shared" si="97"/>
        <v>6</v>
      </c>
      <c r="AB197">
        <f t="shared" si="83"/>
        <v>123327</v>
      </c>
      <c r="AC197">
        <f t="shared" si="84"/>
        <v>51398.239999999998</v>
      </c>
      <c r="AD197" t="str">
        <f t="shared" si="85"/>
        <v>63</v>
      </c>
      <c r="AE197">
        <f t="shared" si="86"/>
        <v>1</v>
      </c>
      <c r="AF197">
        <f t="shared" si="98"/>
        <v>6</v>
      </c>
      <c r="AG197">
        <f t="shared" si="87"/>
        <v>124937</v>
      </c>
      <c r="AH197">
        <f t="shared" si="88"/>
        <v>51351.67</v>
      </c>
      <c r="AI197" t="str">
        <f t="shared" si="89"/>
        <v>23</v>
      </c>
      <c r="AJ197">
        <f t="shared" si="90"/>
        <v>1</v>
      </c>
      <c r="AK197">
        <f t="shared" si="99"/>
        <v>4</v>
      </c>
      <c r="AL197" t="str">
        <f t="shared" si="91"/>
        <v/>
      </c>
      <c r="AM197" t="str">
        <f t="shared" si="92"/>
        <v/>
      </c>
      <c r="AN197" t="str">
        <f t="shared" si="93"/>
        <v/>
      </c>
      <c r="AO197">
        <f t="shared" si="94"/>
        <v>0</v>
      </c>
    </row>
    <row r="198" spans="1:41" x14ac:dyDescent="0.4">
      <c r="A198" t="str">
        <f>IF($CM$6=0,"",IF(INDEX('⑩ 원문 보관'!$A:$E,$CM$6+ROW()-9,COLUMN())="","",INDEX('⑩ 원문 보관'!$A:$E,$CM$6+ROW()-9,COLUMN())))</f>
        <v xml:space="preserve">113112.0  51329.06 98 </v>
      </c>
      <c r="B198" t="str">
        <f>IF($CM$6=0,"",IF(INDEX('⑩ 원문 보관'!$A:$E,$CM$6+ROW()-9,COLUMN())="","",INDEX('⑩ 원문 보관'!$A:$E,$CM$6+ROW()-9,COLUMN())))</f>
        <v xml:space="preserve">115832.0  51394.47 77 </v>
      </c>
      <c r="C198" t="str">
        <f>IF($CM$6=0,"",IF(INDEX('⑩ 원문 보관'!$A:$E,$CM$6+ROW()-9,COLUMN())="","",INDEX('⑩ 원문 보관'!$A:$E,$CM$6+ROW()-9,COLUMN())))</f>
        <v xml:space="preserve">123332.0  51398.17 34 </v>
      </c>
      <c r="D198" t="str">
        <f>IF($CM$6=0,"",IF(INDEX('⑩ 원문 보관'!$A:$E,$CM$6+ROW()-9,COLUMN())="","",INDEX('⑩ 원문 보관'!$A:$E,$CM$6+ROW()-9,COLUMN())))</f>
        <v xml:space="preserve">124942.0  51355.70 23 </v>
      </c>
      <c r="E198" t="str">
        <f>IF($CM$6=0,"",IF(INDEX('⑩ 원문 보관'!$A:$E,$CM$6+ROW()-9,COLUMN())="","",INDEX('⑩ 원문 보관'!$A:$E,$CM$6+ROW()-9,COLUMN())))</f>
        <v/>
      </c>
      <c r="Q198">
        <f t="shared" si="95"/>
        <v>5</v>
      </c>
      <c r="R198">
        <f t="shared" si="75"/>
        <v>113112</v>
      </c>
      <c r="S198">
        <f t="shared" si="76"/>
        <v>51329.06</v>
      </c>
      <c r="T198" t="str">
        <f t="shared" si="77"/>
        <v>98</v>
      </c>
      <c r="U198">
        <f t="shared" si="78"/>
        <v>1</v>
      </c>
      <c r="V198">
        <f t="shared" si="96"/>
        <v>5</v>
      </c>
      <c r="W198">
        <f t="shared" si="79"/>
        <v>115832</v>
      </c>
      <c r="X198">
        <f t="shared" si="80"/>
        <v>51394.47</v>
      </c>
      <c r="Y198" t="str">
        <f t="shared" si="81"/>
        <v>77</v>
      </c>
      <c r="Z198">
        <f t="shared" si="82"/>
        <v>1</v>
      </c>
      <c r="AA198">
        <f t="shared" si="97"/>
        <v>6</v>
      </c>
      <c r="AB198">
        <f t="shared" si="83"/>
        <v>123332</v>
      </c>
      <c r="AC198">
        <f t="shared" si="84"/>
        <v>51398.17</v>
      </c>
      <c r="AD198" t="str">
        <f t="shared" si="85"/>
        <v>34</v>
      </c>
      <c r="AE198">
        <f t="shared" si="86"/>
        <v>1</v>
      </c>
      <c r="AF198">
        <f t="shared" si="98"/>
        <v>6</v>
      </c>
      <c r="AG198">
        <f t="shared" si="87"/>
        <v>124942</v>
      </c>
      <c r="AH198">
        <f t="shared" si="88"/>
        <v>51355.7</v>
      </c>
      <c r="AI198" t="str">
        <f t="shared" si="89"/>
        <v>23</v>
      </c>
      <c r="AJ198">
        <f t="shared" si="90"/>
        <v>1</v>
      </c>
      <c r="AK198">
        <f t="shared" si="99"/>
        <v>4</v>
      </c>
      <c r="AL198" t="str">
        <f t="shared" si="91"/>
        <v/>
      </c>
      <c r="AM198" t="str">
        <f t="shared" si="92"/>
        <v/>
      </c>
      <c r="AN198" t="str">
        <f t="shared" si="93"/>
        <v/>
      </c>
      <c r="AO198">
        <f t="shared" si="94"/>
        <v>0</v>
      </c>
    </row>
    <row r="199" spans="1:41" x14ac:dyDescent="0.4">
      <c r="A199" t="str">
        <f>IF($CM$6=0,"",IF(INDEX('⑩ 원문 보관'!$A:$E,$CM$6+ROW()-9,COLUMN())="","",INDEX('⑩ 원문 보관'!$A:$E,$CM$6+ROW()-9,COLUMN())))</f>
        <v xml:space="preserve">113117.0  51328.97 97 </v>
      </c>
      <c r="B199" t="str">
        <f>IF($CM$6=0,"",IF(INDEX('⑩ 원문 보관'!$A:$E,$CM$6+ROW()-9,COLUMN())="","",INDEX('⑩ 원문 보관'!$A:$E,$CM$6+ROW()-9,COLUMN())))</f>
        <v xml:space="preserve">115837.0  51394.26 87 </v>
      </c>
      <c r="C199" t="str">
        <f>IF($CM$6=0,"",IF(INDEX('⑩ 원문 보관'!$A:$E,$CM$6+ROW()-9,COLUMN())="","",INDEX('⑩ 원문 보관'!$A:$E,$CM$6+ROW()-9,COLUMN())))</f>
        <v xml:space="preserve">123337.0  51398.02 73 </v>
      </c>
      <c r="D199" t="str">
        <f>IF($CM$6=0,"",IF(INDEX('⑩ 원문 보관'!$A:$E,$CM$6+ROW()-9,COLUMN())="","",INDEX('⑩ 원문 보관'!$A:$E,$CM$6+ROW()-9,COLUMN())))</f>
        <v xml:space="preserve">124947.0  51352.33 13 </v>
      </c>
      <c r="E199" t="str">
        <f>IF($CM$6=0,"",IF(INDEX('⑩ 원문 보관'!$A:$E,$CM$6+ROW()-9,COLUMN())="","",INDEX('⑩ 원문 보관'!$A:$E,$CM$6+ROW()-9,COLUMN())))</f>
        <v/>
      </c>
      <c r="Q199">
        <f t="shared" si="95"/>
        <v>5</v>
      </c>
      <c r="R199">
        <f t="shared" si="75"/>
        <v>113117</v>
      </c>
      <c r="S199">
        <f t="shared" si="76"/>
        <v>51328.97</v>
      </c>
      <c r="T199" t="str">
        <f t="shared" si="77"/>
        <v>97</v>
      </c>
      <c r="U199">
        <f t="shared" si="78"/>
        <v>1</v>
      </c>
      <c r="V199">
        <f t="shared" si="96"/>
        <v>5</v>
      </c>
      <c r="W199">
        <f t="shared" si="79"/>
        <v>115837</v>
      </c>
      <c r="X199">
        <f t="shared" si="80"/>
        <v>51394.26</v>
      </c>
      <c r="Y199" t="str">
        <f t="shared" si="81"/>
        <v>87</v>
      </c>
      <c r="Z199">
        <f t="shared" si="82"/>
        <v>1</v>
      </c>
      <c r="AA199">
        <f t="shared" si="97"/>
        <v>6</v>
      </c>
      <c r="AB199">
        <f t="shared" si="83"/>
        <v>123337</v>
      </c>
      <c r="AC199">
        <f t="shared" si="84"/>
        <v>51398.02</v>
      </c>
      <c r="AD199" t="str">
        <f t="shared" si="85"/>
        <v>73</v>
      </c>
      <c r="AE199">
        <f t="shared" si="86"/>
        <v>1</v>
      </c>
      <c r="AF199">
        <f t="shared" si="98"/>
        <v>6</v>
      </c>
      <c r="AG199">
        <f t="shared" si="87"/>
        <v>124947</v>
      </c>
      <c r="AH199">
        <f t="shared" si="88"/>
        <v>51352.33</v>
      </c>
      <c r="AI199" t="str">
        <f t="shared" si="89"/>
        <v>13</v>
      </c>
      <c r="AJ199">
        <f t="shared" si="90"/>
        <v>1</v>
      </c>
      <c r="AK199">
        <f t="shared" si="99"/>
        <v>4</v>
      </c>
      <c r="AL199" t="str">
        <f t="shared" si="91"/>
        <v/>
      </c>
      <c r="AM199" t="str">
        <f t="shared" si="92"/>
        <v/>
      </c>
      <c r="AN199" t="str">
        <f t="shared" si="93"/>
        <v/>
      </c>
      <c r="AO199">
        <f t="shared" si="94"/>
        <v>0</v>
      </c>
    </row>
    <row r="200" spans="1:41" x14ac:dyDescent="0.4">
      <c r="A200" t="str">
        <f>IF($CM$6=0,"",IF(INDEX('⑩ 원문 보관'!$A:$E,$CM$6+ROW()-9,COLUMN())="","",INDEX('⑩ 원문 보관'!$A:$E,$CM$6+ROW()-9,COLUMN())))</f>
        <v xml:space="preserve">113122.0  51329.13 97 </v>
      </c>
      <c r="B200" t="str">
        <f>IF($CM$6=0,"",IF(INDEX('⑩ 원문 보관'!$A:$E,$CM$6+ROW()-9,COLUMN())="","",INDEX('⑩ 원문 보관'!$A:$E,$CM$6+ROW()-9,COLUMN())))</f>
        <v xml:space="preserve">115842.0  51394.62 77 </v>
      </c>
      <c r="C200" t="str">
        <f>IF($CM$6=0,"",IF(INDEX('⑩ 원문 보관'!$A:$E,$CM$6+ROW()-9,COLUMN())="","",INDEX('⑩ 원문 보관'!$A:$E,$CM$6+ROW()-9,COLUMN())))</f>
        <v xml:space="preserve">123342.0  51397.26 43 </v>
      </c>
      <c r="D200" t="str">
        <f>IF($CM$6=0,"",IF(INDEX('⑩ 원문 보관'!$A:$E,$CM$6+ROW()-9,COLUMN())="","",INDEX('⑩ 원문 보관'!$A:$E,$CM$6+ROW()-9,COLUMN())))</f>
        <v xml:space="preserve">124952.0  51351.37 23 </v>
      </c>
      <c r="E200" t="str">
        <f>IF($CM$6=0,"",IF(INDEX('⑩ 원문 보관'!$A:$E,$CM$6+ROW()-9,COLUMN())="","",INDEX('⑩ 원문 보관'!$A:$E,$CM$6+ROW()-9,COLUMN())))</f>
        <v/>
      </c>
      <c r="Q200">
        <f t="shared" si="95"/>
        <v>5</v>
      </c>
      <c r="R200">
        <f t="shared" si="75"/>
        <v>113122</v>
      </c>
      <c r="S200">
        <f t="shared" si="76"/>
        <v>51329.13</v>
      </c>
      <c r="T200" t="str">
        <f t="shared" si="77"/>
        <v>97</v>
      </c>
      <c r="U200">
        <f t="shared" si="78"/>
        <v>1</v>
      </c>
      <c r="V200">
        <f t="shared" si="96"/>
        <v>5</v>
      </c>
      <c r="W200">
        <f t="shared" si="79"/>
        <v>115842</v>
      </c>
      <c r="X200">
        <f t="shared" si="80"/>
        <v>51394.62</v>
      </c>
      <c r="Y200" t="str">
        <f t="shared" si="81"/>
        <v>77</v>
      </c>
      <c r="Z200">
        <f t="shared" si="82"/>
        <v>1</v>
      </c>
      <c r="AA200">
        <f t="shared" si="97"/>
        <v>6</v>
      </c>
      <c r="AB200">
        <f t="shared" si="83"/>
        <v>123342</v>
      </c>
      <c r="AC200">
        <f t="shared" si="84"/>
        <v>51397.26</v>
      </c>
      <c r="AD200" t="str">
        <f t="shared" si="85"/>
        <v>43</v>
      </c>
      <c r="AE200">
        <f t="shared" si="86"/>
        <v>1</v>
      </c>
      <c r="AF200">
        <f t="shared" si="98"/>
        <v>6</v>
      </c>
      <c r="AG200">
        <f t="shared" si="87"/>
        <v>124952</v>
      </c>
      <c r="AH200">
        <f t="shared" si="88"/>
        <v>51351.37</v>
      </c>
      <c r="AI200" t="str">
        <f t="shared" si="89"/>
        <v>23</v>
      </c>
      <c r="AJ200">
        <f t="shared" si="90"/>
        <v>1</v>
      </c>
      <c r="AK200">
        <f t="shared" si="99"/>
        <v>4</v>
      </c>
      <c r="AL200" t="str">
        <f t="shared" si="91"/>
        <v/>
      </c>
      <c r="AM200" t="str">
        <f t="shared" si="92"/>
        <v/>
      </c>
      <c r="AN200" t="str">
        <f t="shared" si="93"/>
        <v/>
      </c>
      <c r="AO200">
        <f t="shared" si="94"/>
        <v>0</v>
      </c>
    </row>
    <row r="201" spans="1:41" x14ac:dyDescent="0.4">
      <c r="A201" t="str">
        <f>IF($CM$6=0,"",IF(INDEX('⑩ 원문 보관'!$A:$E,$CM$6+ROW()-9,COLUMN())="","",INDEX('⑩ 원문 보관'!$A:$E,$CM$6+ROW()-9,COLUMN())))</f>
        <v xml:space="preserve">113127.0  51329.16 98 </v>
      </c>
      <c r="B201" t="str">
        <f>IF($CM$6=0,"",IF(INDEX('⑩ 원문 보관'!$A:$E,$CM$6+ROW()-9,COLUMN())="","",INDEX('⑩ 원문 보관'!$A:$E,$CM$6+ROW()-9,COLUMN())))</f>
        <v/>
      </c>
      <c r="C201" t="str">
        <f>IF($CM$6=0,"",IF(INDEX('⑩ 원문 보관'!$A:$E,$CM$6+ROW()-9,COLUMN())="","",INDEX('⑩ 원문 보관'!$A:$E,$CM$6+ROW()-9,COLUMN())))</f>
        <v xml:space="preserve">123347.0  51397.84 43 </v>
      </c>
      <c r="D201" t="str">
        <f>IF($CM$6=0,"",IF(INDEX('⑩ 원문 보관'!$A:$E,$CM$6+ROW()-9,COLUMN())="","",INDEX('⑩ 원문 보관'!$A:$E,$CM$6+ROW()-9,COLUMN())))</f>
        <v xml:space="preserve">124957.0  51354.01 34 </v>
      </c>
      <c r="E201" t="str">
        <f>IF($CM$6=0,"",IF(INDEX('⑩ 원문 보관'!$A:$E,$CM$6+ROW()-9,COLUMN())="","",INDEX('⑩ 원문 보관'!$A:$E,$CM$6+ROW()-9,COLUMN())))</f>
        <v/>
      </c>
      <c r="Q201">
        <f t="shared" si="95"/>
        <v>5</v>
      </c>
      <c r="R201">
        <f t="shared" ref="R201:R264" si="100">IFERROR(IF(ISNUMBER(--LEFT(TRIM(A201),1)),VALUE(LEFT(TRIM(A201),6)),""),"")</f>
        <v>113127</v>
      </c>
      <c r="S201">
        <f t="shared" ref="S201:S264" si="101">IFERROR(VALUE(TRIM(MID(SUBSTITUTE(TRIM(A201)," ",REPT(" ",30)),31,30))),"")</f>
        <v>51329.16</v>
      </c>
      <c r="T201" t="str">
        <f t="shared" ref="T201:T264" si="102">IFERROR(TRIM(MID(SUBSTITUTE(TRIM(A201)," ",REPT(" ",30)),61,30)),"")</f>
        <v>98</v>
      </c>
      <c r="U201">
        <f t="shared" ref="U201:U264" si="103">IF(OR(R201="",S201="",T201=""),0,IF(AND(S201&gt;1000,RIGHT(T201,1)&lt;&gt;"0"),1,0))</f>
        <v>1</v>
      </c>
      <c r="V201">
        <f t="shared" si="96"/>
        <v>5</v>
      </c>
      <c r="W201" t="str">
        <f t="shared" ref="W201:W264" si="104">IFERROR(IF(ISNUMBER(--LEFT(TRIM(B201),1)),VALUE(LEFT(TRIM(B201),6)),""),"")</f>
        <v/>
      </c>
      <c r="X201" t="str">
        <f t="shared" ref="X201:X264" si="105">IFERROR(VALUE(TRIM(MID(SUBSTITUTE(TRIM(B201)," ",REPT(" ",30)),31,30))),"")</f>
        <v/>
      </c>
      <c r="Y201" t="str">
        <f t="shared" ref="Y201:Y264" si="106">IFERROR(TRIM(MID(SUBSTITUTE(TRIM(B201)," ",REPT(" ",30)),61,30)),"")</f>
        <v/>
      </c>
      <c r="Z201">
        <f t="shared" ref="Z201:Z264" si="107">IF(OR(W201="",X201="",Y201=""),0,IF(AND(X201&gt;1000,RIGHT(Y201,1)&lt;&gt;"0"),1,0))</f>
        <v>0</v>
      </c>
      <c r="AA201">
        <f t="shared" si="97"/>
        <v>6</v>
      </c>
      <c r="AB201">
        <f t="shared" ref="AB201:AB264" si="108">IFERROR(IF(ISNUMBER(--LEFT(TRIM(C201),1)),VALUE(LEFT(TRIM(C201),6)),""),"")</f>
        <v>123347</v>
      </c>
      <c r="AC201">
        <f t="shared" ref="AC201:AC264" si="109">IFERROR(VALUE(TRIM(MID(SUBSTITUTE(TRIM(C201)," ",REPT(" ",30)),31,30))),"")</f>
        <v>51397.84</v>
      </c>
      <c r="AD201" t="str">
        <f t="shared" ref="AD201:AD264" si="110">IFERROR(TRIM(MID(SUBSTITUTE(TRIM(C201)," ",REPT(" ",30)),61,30)),"")</f>
        <v>43</v>
      </c>
      <c r="AE201">
        <f t="shared" ref="AE201:AE264" si="111">IF(OR(AB201="",AC201="",AD201=""),0,IF(AND(AC201&gt;1000,RIGHT(AD201,1)&lt;&gt;"0"),1,0))</f>
        <v>1</v>
      </c>
      <c r="AF201">
        <f t="shared" si="98"/>
        <v>6</v>
      </c>
      <c r="AG201">
        <f t="shared" ref="AG201:AG264" si="112">IFERROR(IF(ISNUMBER(--LEFT(TRIM(D201),1)),VALUE(LEFT(TRIM(D201),6)),""),"")</f>
        <v>124957</v>
      </c>
      <c r="AH201">
        <f t="shared" ref="AH201:AH264" si="113">IFERROR(VALUE(TRIM(MID(SUBSTITUTE(TRIM(D201)," ",REPT(" ",30)),31,30))),"")</f>
        <v>51354.01</v>
      </c>
      <c r="AI201" t="str">
        <f t="shared" ref="AI201:AI264" si="114">IFERROR(TRIM(MID(SUBSTITUTE(TRIM(D201)," ",REPT(" ",30)),61,30)),"")</f>
        <v>34</v>
      </c>
      <c r="AJ201">
        <f t="shared" ref="AJ201:AJ264" si="115">IF(OR(AG201="",AH201="",AI201=""),0,IF(AND(AH201&gt;1000,RIGHT(AI201,1)&lt;&gt;"0"),1,0))</f>
        <v>1</v>
      </c>
      <c r="AK201">
        <f t="shared" si="99"/>
        <v>4</v>
      </c>
      <c r="AL201" t="str">
        <f t="shared" ref="AL201:AL264" si="116">IFERROR(IF(ISNUMBER(--LEFT(TRIM(E201),1)),VALUE(LEFT(TRIM(E201),6)),""),"")</f>
        <v/>
      </c>
      <c r="AM201" t="str">
        <f t="shared" ref="AM201:AM264" si="117">IFERROR(VALUE(TRIM(MID(SUBSTITUTE(TRIM(E201)," ",REPT(" ",30)),31,30))),"")</f>
        <v/>
      </c>
      <c r="AN201" t="str">
        <f t="shared" ref="AN201:AN264" si="118">IFERROR(TRIM(MID(SUBSTITUTE(TRIM(E201)," ",REPT(" ",30)),61,30)),"")</f>
        <v/>
      </c>
      <c r="AO201">
        <f t="shared" ref="AO201:AO264" si="119">IF(OR(AL201="",AM201="",AN201=""),0,IF(AND(AM201&gt;1000,RIGHT(AN201,1)&lt;&gt;"0"),1,0))</f>
        <v>0</v>
      </c>
    </row>
    <row r="202" spans="1:41" x14ac:dyDescent="0.4">
      <c r="A202" t="str">
        <f>IF($CM$6=0,"",IF(INDEX('⑩ 원문 보관'!$A:$E,$CM$6+ROW()-9,COLUMN())="","",INDEX('⑩ 원문 보관'!$A:$E,$CM$6+ROW()-9,COLUMN())))</f>
        <v xml:space="preserve">113132.0  51329.12 98 </v>
      </c>
      <c r="B202" t="str">
        <f>IF($CM$6=0,"",IF(INDEX('⑩ 원문 보관'!$A:$E,$CM$6+ROW()-9,COLUMN())="","",INDEX('⑩ 원문 보관'!$A:$E,$CM$6+ROW()-9,COLUMN())))</f>
        <v/>
      </c>
      <c r="C202" t="str">
        <f>IF($CM$6=0,"",IF(INDEX('⑩ 원문 보관'!$A:$E,$CM$6+ROW()-9,COLUMN())="","",INDEX('⑩ 원문 보관'!$A:$E,$CM$6+ROW()-9,COLUMN())))</f>
        <v xml:space="preserve">123352.0  51398.03 74 </v>
      </c>
      <c r="D202" t="str">
        <f>IF($CM$6=0,"",IF(INDEX('⑩ 원문 보관'!$A:$E,$CM$6+ROW()-9,COLUMN())="","",INDEX('⑩ 원문 보관'!$A:$E,$CM$6+ROW()-9,COLUMN())))</f>
        <v xml:space="preserve">125002.0  51353.52 43 </v>
      </c>
      <c r="E202" t="str">
        <f>IF($CM$6=0,"",IF(INDEX('⑩ 원문 보관'!$A:$E,$CM$6+ROW()-9,COLUMN())="","",INDEX('⑩ 원문 보관'!$A:$E,$CM$6+ROW()-9,COLUMN())))</f>
        <v/>
      </c>
      <c r="Q202">
        <f t="shared" ref="Q202:Q265" si="120">IF(A202="",N(Q201),IF(LEFT(TRIM(A202),5)="/time",N(Q201)+1,N(Q201)))</f>
        <v>5</v>
      </c>
      <c r="R202">
        <f t="shared" si="100"/>
        <v>113132</v>
      </c>
      <c r="S202">
        <f t="shared" si="101"/>
        <v>51329.120000000003</v>
      </c>
      <c r="T202" t="str">
        <f t="shared" si="102"/>
        <v>98</v>
      </c>
      <c r="U202">
        <f t="shared" si="103"/>
        <v>1</v>
      </c>
      <c r="V202">
        <f t="shared" ref="V202:V265" si="121">IF(B202="",N(V201),IF(LEFT(TRIM(B202),5)="/time",N(V201)+1,N(V201)))</f>
        <v>5</v>
      </c>
      <c r="W202" t="str">
        <f t="shared" si="104"/>
        <v/>
      </c>
      <c r="X202" t="str">
        <f t="shared" si="105"/>
        <v/>
      </c>
      <c r="Y202" t="str">
        <f t="shared" si="106"/>
        <v/>
      </c>
      <c r="Z202">
        <f t="shared" si="107"/>
        <v>0</v>
      </c>
      <c r="AA202">
        <f t="shared" ref="AA202:AA265" si="122">IF(C202="",N(AA201),IF(LEFT(TRIM(C202),5)="/time",N(AA201)+1,N(AA201)))</f>
        <v>6</v>
      </c>
      <c r="AB202">
        <f t="shared" si="108"/>
        <v>123352</v>
      </c>
      <c r="AC202">
        <f t="shared" si="109"/>
        <v>51398.03</v>
      </c>
      <c r="AD202" t="str">
        <f t="shared" si="110"/>
        <v>74</v>
      </c>
      <c r="AE202">
        <f t="shared" si="111"/>
        <v>1</v>
      </c>
      <c r="AF202">
        <f t="shared" ref="AF202:AF265" si="123">IF(D202="",N(AF201),IF(LEFT(TRIM(D202),5)="/time",N(AF201)+1,N(AF201)))</f>
        <v>6</v>
      </c>
      <c r="AG202">
        <f t="shared" si="112"/>
        <v>125002</v>
      </c>
      <c r="AH202">
        <f t="shared" si="113"/>
        <v>51353.52</v>
      </c>
      <c r="AI202" t="str">
        <f t="shared" si="114"/>
        <v>43</v>
      </c>
      <c r="AJ202">
        <f t="shared" si="115"/>
        <v>1</v>
      </c>
      <c r="AK202">
        <f t="shared" ref="AK202:AK265" si="124">IF(E202="",N(AK201),IF(LEFT(TRIM(E202),5)="/time",N(AK201)+1,N(AK201)))</f>
        <v>4</v>
      </c>
      <c r="AL202" t="str">
        <f t="shared" si="116"/>
        <v/>
      </c>
      <c r="AM202" t="str">
        <f t="shared" si="117"/>
        <v/>
      </c>
      <c r="AN202" t="str">
        <f t="shared" si="118"/>
        <v/>
      </c>
      <c r="AO202">
        <f t="shared" si="119"/>
        <v>0</v>
      </c>
    </row>
    <row r="203" spans="1:41" x14ac:dyDescent="0.4">
      <c r="A203" t="str">
        <f>IF($CM$6=0,"",IF(INDEX('⑩ 원문 보관'!$A:$E,$CM$6+ROW()-9,COLUMN())="","",INDEX('⑩ 원문 보관'!$A:$E,$CM$6+ROW()-9,COLUMN())))</f>
        <v xml:space="preserve">113137.0  51329.00 97 </v>
      </c>
      <c r="B203" t="str">
        <f>IF($CM$6=0,"",IF(INDEX('⑩ 원문 보관'!$A:$E,$CM$6+ROW()-9,COLUMN())="","",INDEX('⑩ 원문 보관'!$A:$E,$CM$6+ROW()-9,COLUMN())))</f>
        <v xml:space="preserve">/Gem Systems GSM-19T 4106808 v7.0 26 IX 2014 M t-e2l..v7o                         </v>
      </c>
      <c r="C203" t="str">
        <f>IF($CM$6=0,"",IF(INDEX('⑩ 원문 보관'!$A:$E,$CM$6+ROW()-9,COLUMN())="","",INDEX('⑩ 원문 보관'!$A:$E,$CM$6+ROW()-9,COLUMN())))</f>
        <v xml:space="preserve">123357.0  51397.88 54 </v>
      </c>
      <c r="D203" t="str">
        <f>IF($CM$6=0,"",IF(INDEX('⑩ 원문 보관'!$A:$E,$CM$6+ROW()-9,COLUMN())="","",INDEX('⑩ 원문 보관'!$A:$E,$CM$6+ROW()-9,COLUMN())))</f>
        <v xml:space="preserve">125007.0  51354.61 23 </v>
      </c>
      <c r="E203" t="str">
        <f>IF($CM$6=0,"",IF(INDEX('⑩ 원문 보관'!$A:$E,$CM$6+ROW()-9,COLUMN())="","",INDEX('⑩ 원문 보관'!$A:$E,$CM$6+ROW()-9,COLUMN())))</f>
        <v/>
      </c>
      <c r="Q203">
        <f t="shared" si="120"/>
        <v>5</v>
      </c>
      <c r="R203">
        <f t="shared" si="100"/>
        <v>113137</v>
      </c>
      <c r="S203">
        <f t="shared" si="101"/>
        <v>51329</v>
      </c>
      <c r="T203" t="str">
        <f t="shared" si="102"/>
        <v>97</v>
      </c>
      <c r="U203">
        <f t="shared" si="103"/>
        <v>1</v>
      </c>
      <c r="V203">
        <f t="shared" si="121"/>
        <v>5</v>
      </c>
      <c r="W203" t="str">
        <f t="shared" si="104"/>
        <v/>
      </c>
      <c r="X203" t="str">
        <f t="shared" si="105"/>
        <v/>
      </c>
      <c r="Y203" t="str">
        <f t="shared" si="106"/>
        <v>GSM-19T</v>
      </c>
      <c r="Z203">
        <f t="shared" si="107"/>
        <v>0</v>
      </c>
      <c r="AA203">
        <f t="shared" si="122"/>
        <v>6</v>
      </c>
      <c r="AB203">
        <f t="shared" si="108"/>
        <v>123357</v>
      </c>
      <c r="AC203">
        <f t="shared" si="109"/>
        <v>51397.88</v>
      </c>
      <c r="AD203" t="str">
        <f t="shared" si="110"/>
        <v>54</v>
      </c>
      <c r="AE203">
        <f t="shared" si="111"/>
        <v>1</v>
      </c>
      <c r="AF203">
        <f t="shared" si="123"/>
        <v>6</v>
      </c>
      <c r="AG203">
        <f t="shared" si="112"/>
        <v>125007</v>
      </c>
      <c r="AH203">
        <f t="shared" si="113"/>
        <v>51354.61</v>
      </c>
      <c r="AI203" t="str">
        <f t="shared" si="114"/>
        <v>23</v>
      </c>
      <c r="AJ203">
        <f t="shared" si="115"/>
        <v>1</v>
      </c>
      <c r="AK203">
        <f t="shared" si="124"/>
        <v>4</v>
      </c>
      <c r="AL203" t="str">
        <f t="shared" si="116"/>
        <v/>
      </c>
      <c r="AM203" t="str">
        <f t="shared" si="117"/>
        <v/>
      </c>
      <c r="AN203" t="str">
        <f t="shared" si="118"/>
        <v/>
      </c>
      <c r="AO203">
        <f t="shared" si="119"/>
        <v>0</v>
      </c>
    </row>
    <row r="204" spans="1:41" x14ac:dyDescent="0.4">
      <c r="A204" t="str">
        <f>IF($CM$6=0,"",IF(INDEX('⑩ 원문 보관'!$A:$E,$CM$6+ROW()-9,COLUMN())="","",INDEX('⑩ 원문 보관'!$A:$E,$CM$6+ROW()-9,COLUMN())))</f>
        <v xml:space="preserve">113142.0  51329.01 98 </v>
      </c>
      <c r="B204" t="str">
        <f>IF($CM$6=0,"",IF(INDEX('⑩ 원문 보관'!$A:$E,$CM$6+ROW()-9,COLUMN())="","",INDEX('⑩ 원문 보관'!$A:$E,$CM$6+ROW()-9,COLUMN())))</f>
        <v>/ID 2666 file 15survey.b   21 IX 26</v>
      </c>
      <c r="C204" t="str">
        <f>IF($CM$6=0,"",IF(INDEX('⑩ 원문 보관'!$A:$E,$CM$6+ROW()-9,COLUMN())="","",INDEX('⑩ 원문 보관'!$A:$E,$CM$6+ROW()-9,COLUMN())))</f>
        <v xml:space="preserve">123402.0  51397.89 34 </v>
      </c>
      <c r="D204" t="str">
        <f>IF($CM$6=0,"",IF(INDEX('⑩ 원문 보관'!$A:$E,$CM$6+ROW()-9,COLUMN())="","",INDEX('⑩ 원문 보관'!$A:$E,$CM$6+ROW()-9,COLUMN())))</f>
        <v xml:space="preserve">125012.0  51352.03 13 </v>
      </c>
      <c r="E204" t="str">
        <f>IF($CM$6=0,"",IF(INDEX('⑩ 원문 보관'!$A:$E,$CM$6+ROW()-9,COLUMN())="","",INDEX('⑩ 원문 보관'!$A:$E,$CM$6+ROW()-9,COLUMN())))</f>
        <v/>
      </c>
      <c r="Q204">
        <f t="shared" si="120"/>
        <v>5</v>
      </c>
      <c r="R204">
        <f t="shared" si="100"/>
        <v>113142</v>
      </c>
      <c r="S204">
        <f t="shared" si="101"/>
        <v>51329.01</v>
      </c>
      <c r="T204" t="str">
        <f t="shared" si="102"/>
        <v>98</v>
      </c>
      <c r="U204">
        <f t="shared" si="103"/>
        <v>1</v>
      </c>
      <c r="V204">
        <f t="shared" si="121"/>
        <v>5</v>
      </c>
      <c r="W204" t="str">
        <f t="shared" si="104"/>
        <v/>
      </c>
      <c r="X204">
        <f t="shared" si="105"/>
        <v>2666</v>
      </c>
      <c r="Y204" t="str">
        <f t="shared" si="106"/>
        <v>file</v>
      </c>
      <c r="Z204">
        <f t="shared" si="107"/>
        <v>0</v>
      </c>
      <c r="AA204">
        <f t="shared" si="122"/>
        <v>6</v>
      </c>
      <c r="AB204">
        <f t="shared" si="108"/>
        <v>123402</v>
      </c>
      <c r="AC204">
        <f t="shared" si="109"/>
        <v>51397.89</v>
      </c>
      <c r="AD204" t="str">
        <f t="shared" si="110"/>
        <v>34</v>
      </c>
      <c r="AE204">
        <f t="shared" si="111"/>
        <v>1</v>
      </c>
      <c r="AF204">
        <f t="shared" si="123"/>
        <v>6</v>
      </c>
      <c r="AG204">
        <f t="shared" si="112"/>
        <v>125012</v>
      </c>
      <c r="AH204">
        <f t="shared" si="113"/>
        <v>51352.03</v>
      </c>
      <c r="AI204" t="str">
        <f t="shared" si="114"/>
        <v>13</v>
      </c>
      <c r="AJ204">
        <f t="shared" si="115"/>
        <v>1</v>
      </c>
      <c r="AK204">
        <f t="shared" si="124"/>
        <v>4</v>
      </c>
      <c r="AL204" t="str">
        <f t="shared" si="116"/>
        <v/>
      </c>
      <c r="AM204" t="str">
        <f t="shared" si="117"/>
        <v/>
      </c>
      <c r="AN204" t="str">
        <f t="shared" si="118"/>
        <v/>
      </c>
      <c r="AO204">
        <f t="shared" si="119"/>
        <v>0</v>
      </c>
    </row>
    <row r="205" spans="1:41" x14ac:dyDescent="0.4">
      <c r="A205" t="str">
        <f>IF($CM$6=0,"",IF(INDEX('⑩ 원문 보관'!$A:$E,$CM$6+ROW()-9,COLUMN())="","",INDEX('⑩ 원문 보관'!$A:$E,$CM$6+ROW()-9,COLUMN())))</f>
        <v xml:space="preserve">113147.0  51329.06 97 </v>
      </c>
      <c r="B205" t="str">
        <f>IF($CM$6=0,"",IF(INDEX('⑩ 원문 보관'!$A:$E,$CM$6+ROW()-9,COLUMN())="","",INDEX('⑩ 원문 보관'!$A:$E,$CM$6+ROW()-9,COLUMN())))</f>
        <v>/datum  57000.00</v>
      </c>
      <c r="C205" t="str">
        <f>IF($CM$6=0,"",IF(INDEX('⑩ 원문 보관'!$A:$E,$CM$6+ROW()-9,COLUMN())="","",INDEX('⑩ 원문 보관'!$A:$E,$CM$6+ROW()-9,COLUMN())))</f>
        <v xml:space="preserve">123407.0  51396.78 43 </v>
      </c>
      <c r="D205" t="str">
        <f>IF($CM$6=0,"",IF(INDEX('⑩ 원문 보관'!$A:$E,$CM$6+ROW()-9,COLUMN())="","",INDEX('⑩ 원문 보관'!$A:$E,$CM$6+ROW()-9,COLUMN())))</f>
        <v xml:space="preserve">125017.0  51354.83 23 </v>
      </c>
      <c r="E205" t="str">
        <f>IF($CM$6=0,"",IF(INDEX('⑩ 원문 보관'!$A:$E,$CM$6+ROW()-9,COLUMN())="","",INDEX('⑩ 원문 보관'!$A:$E,$CM$6+ROW()-9,COLUMN())))</f>
        <v/>
      </c>
      <c r="Q205">
        <f t="shared" si="120"/>
        <v>5</v>
      </c>
      <c r="R205">
        <f t="shared" si="100"/>
        <v>113147</v>
      </c>
      <c r="S205">
        <f t="shared" si="101"/>
        <v>51329.06</v>
      </c>
      <c r="T205" t="str">
        <f t="shared" si="102"/>
        <v>97</v>
      </c>
      <c r="U205">
        <f t="shared" si="103"/>
        <v>1</v>
      </c>
      <c r="V205">
        <f t="shared" si="121"/>
        <v>5</v>
      </c>
      <c r="W205" t="str">
        <f t="shared" si="104"/>
        <v/>
      </c>
      <c r="X205">
        <f t="shared" si="105"/>
        <v>57000</v>
      </c>
      <c r="Y205" t="str">
        <f t="shared" si="106"/>
        <v/>
      </c>
      <c r="Z205">
        <f t="shared" si="107"/>
        <v>0</v>
      </c>
      <c r="AA205">
        <f t="shared" si="122"/>
        <v>6</v>
      </c>
      <c r="AB205">
        <f t="shared" si="108"/>
        <v>123407</v>
      </c>
      <c r="AC205">
        <f t="shared" si="109"/>
        <v>51396.78</v>
      </c>
      <c r="AD205" t="str">
        <f t="shared" si="110"/>
        <v>43</v>
      </c>
      <c r="AE205">
        <f t="shared" si="111"/>
        <v>1</v>
      </c>
      <c r="AF205">
        <f t="shared" si="123"/>
        <v>6</v>
      </c>
      <c r="AG205">
        <f t="shared" si="112"/>
        <v>125017</v>
      </c>
      <c r="AH205">
        <f t="shared" si="113"/>
        <v>51354.83</v>
      </c>
      <c r="AI205" t="str">
        <f t="shared" si="114"/>
        <v>23</v>
      </c>
      <c r="AJ205">
        <f t="shared" si="115"/>
        <v>1</v>
      </c>
      <c r="AK205">
        <f t="shared" si="124"/>
        <v>4</v>
      </c>
      <c r="AL205" t="str">
        <f t="shared" si="116"/>
        <v/>
      </c>
      <c r="AM205" t="str">
        <f t="shared" si="117"/>
        <v/>
      </c>
      <c r="AN205" t="str">
        <f t="shared" si="118"/>
        <v/>
      </c>
      <c r="AO205">
        <f t="shared" si="119"/>
        <v>0</v>
      </c>
    </row>
    <row r="206" spans="1:41" x14ac:dyDescent="0.4">
      <c r="A206" t="str">
        <f>IF($CM$6=0,"",IF(INDEX('⑩ 원문 보관'!$A:$E,$CM$6+ROW()-9,COLUMN())="","",INDEX('⑩ 원문 보관'!$A:$E,$CM$6+ROW()-9,COLUMN())))</f>
        <v xml:space="preserve">113152.0  51329.14 97 </v>
      </c>
      <c r="B206" t="str">
        <f>IF($CM$6=0,"",IF(INDEX('⑩ 원문 보관'!$A:$E,$CM$6+ROW()-9,COLUMN())="","",INDEX('⑩ 원문 보관'!$A:$E,$CM$6+ROW()-9,COLUMN())))</f>
        <v>/</v>
      </c>
      <c r="C206" t="str">
        <f>IF($CM$6=0,"",IF(INDEX('⑩ 원문 보관'!$A:$E,$CM$6+ROW()-9,COLUMN())="","",INDEX('⑩ 원문 보관'!$A:$E,$CM$6+ROW()-9,COLUMN())))</f>
        <v xml:space="preserve">123412.0  51396.28 33 </v>
      </c>
      <c r="D206" t="str">
        <f>IF($CM$6=0,"",IF(INDEX('⑩ 원문 보관'!$A:$E,$CM$6+ROW()-9,COLUMN())="","",INDEX('⑩ 원문 보관'!$A:$E,$CM$6+ROW()-9,COLUMN())))</f>
        <v xml:space="preserve">125022.0  51353.69 33 </v>
      </c>
      <c r="E206" t="str">
        <f>IF($CM$6=0,"",IF(INDEX('⑩ 원문 보관'!$A:$E,$CM$6+ROW()-9,COLUMN())="","",INDEX('⑩ 원문 보관'!$A:$E,$CM$6+ROW()-9,COLUMN())))</f>
        <v/>
      </c>
      <c r="Q206">
        <f t="shared" si="120"/>
        <v>5</v>
      </c>
      <c r="R206">
        <f t="shared" si="100"/>
        <v>113152</v>
      </c>
      <c r="S206">
        <f t="shared" si="101"/>
        <v>51329.14</v>
      </c>
      <c r="T206" t="str">
        <f t="shared" si="102"/>
        <v>97</v>
      </c>
      <c r="U206">
        <f t="shared" si="103"/>
        <v>1</v>
      </c>
      <c r="V206">
        <f t="shared" si="121"/>
        <v>5</v>
      </c>
      <c r="W206" t="str">
        <f t="shared" si="104"/>
        <v/>
      </c>
      <c r="X206" t="str">
        <f t="shared" si="105"/>
        <v/>
      </c>
      <c r="Y206" t="str">
        <f t="shared" si="106"/>
        <v/>
      </c>
      <c r="Z206">
        <f t="shared" si="107"/>
        <v>0</v>
      </c>
      <c r="AA206">
        <f t="shared" si="122"/>
        <v>6</v>
      </c>
      <c r="AB206">
        <f t="shared" si="108"/>
        <v>123412</v>
      </c>
      <c r="AC206">
        <f t="shared" si="109"/>
        <v>51396.28</v>
      </c>
      <c r="AD206" t="str">
        <f t="shared" si="110"/>
        <v>33</v>
      </c>
      <c r="AE206">
        <f t="shared" si="111"/>
        <v>1</v>
      </c>
      <c r="AF206">
        <f t="shared" si="123"/>
        <v>6</v>
      </c>
      <c r="AG206">
        <f t="shared" si="112"/>
        <v>125022</v>
      </c>
      <c r="AH206">
        <f t="shared" si="113"/>
        <v>51353.69</v>
      </c>
      <c r="AI206" t="str">
        <f t="shared" si="114"/>
        <v>33</v>
      </c>
      <c r="AJ206">
        <f t="shared" si="115"/>
        <v>1</v>
      </c>
      <c r="AK206">
        <f t="shared" si="124"/>
        <v>4</v>
      </c>
      <c r="AL206" t="str">
        <f t="shared" si="116"/>
        <v/>
      </c>
      <c r="AM206" t="str">
        <f t="shared" si="117"/>
        <v/>
      </c>
      <c r="AN206" t="str">
        <f t="shared" si="118"/>
        <v/>
      </c>
      <c r="AO206">
        <f t="shared" si="119"/>
        <v>0</v>
      </c>
    </row>
    <row r="207" spans="1:41" x14ac:dyDescent="0.4">
      <c r="A207" t="str">
        <f>IF($CM$6=0,"",IF(INDEX('⑩ 원문 보관'!$A:$E,$CM$6+ROW()-9,COLUMN())="","",INDEX('⑩ 원문 보관'!$A:$E,$CM$6+ROW()-9,COLUMN())))</f>
        <v xml:space="preserve">113157.0  51328.95 97 </v>
      </c>
      <c r="B207" t="str">
        <f>IF($CM$6=0,"",IF(INDEX('⑩ 원문 보관'!$A:$E,$CM$6+ROW()-9,COLUMN())="","",INDEX('⑩ 원문 보관'!$A:$E,$CM$6+ROW()-9,COLUMN())))</f>
        <v/>
      </c>
      <c r="C207" t="str">
        <f>IF($CM$6=0,"",IF(INDEX('⑩ 원문 보관'!$A:$E,$CM$6+ROW()-9,COLUMN())="","",INDEX('⑩ 원문 보관'!$A:$E,$CM$6+ROW()-9,COLUMN())))</f>
        <v xml:space="preserve">123417.0  51398.41 64 </v>
      </c>
      <c r="D207" t="str">
        <f>IF($CM$6=0,"",IF(INDEX('⑩ 원문 보관'!$A:$E,$CM$6+ROW()-9,COLUMN())="","",INDEX('⑩ 원문 보관'!$A:$E,$CM$6+ROW()-9,COLUMN())))</f>
        <v xml:space="preserve">125027.0  51349.92 13 </v>
      </c>
      <c r="E207" t="str">
        <f>IF($CM$6=0,"",IF(INDEX('⑩ 원문 보관'!$A:$E,$CM$6+ROW()-9,COLUMN())="","",INDEX('⑩ 원문 보관'!$A:$E,$CM$6+ROW()-9,COLUMN())))</f>
        <v/>
      </c>
      <c r="Q207">
        <f t="shared" si="120"/>
        <v>5</v>
      </c>
      <c r="R207">
        <f t="shared" si="100"/>
        <v>113157</v>
      </c>
      <c r="S207">
        <f t="shared" si="101"/>
        <v>51328.95</v>
      </c>
      <c r="T207" t="str">
        <f t="shared" si="102"/>
        <v>97</v>
      </c>
      <c r="U207">
        <f t="shared" si="103"/>
        <v>1</v>
      </c>
      <c r="V207">
        <f t="shared" si="121"/>
        <v>5</v>
      </c>
      <c r="W207" t="str">
        <f t="shared" si="104"/>
        <v/>
      </c>
      <c r="X207" t="str">
        <f t="shared" si="105"/>
        <v/>
      </c>
      <c r="Y207" t="str">
        <f t="shared" si="106"/>
        <v/>
      </c>
      <c r="Z207">
        <f t="shared" si="107"/>
        <v>0</v>
      </c>
      <c r="AA207">
        <f t="shared" si="122"/>
        <v>6</v>
      </c>
      <c r="AB207">
        <f t="shared" si="108"/>
        <v>123417</v>
      </c>
      <c r="AC207">
        <f t="shared" si="109"/>
        <v>51398.41</v>
      </c>
      <c r="AD207" t="str">
        <f t="shared" si="110"/>
        <v>64</v>
      </c>
      <c r="AE207">
        <f t="shared" si="111"/>
        <v>1</v>
      </c>
      <c r="AF207">
        <f t="shared" si="123"/>
        <v>6</v>
      </c>
      <c r="AG207">
        <f t="shared" si="112"/>
        <v>125027</v>
      </c>
      <c r="AH207">
        <f t="shared" si="113"/>
        <v>51349.919999999998</v>
      </c>
      <c r="AI207" t="str">
        <f t="shared" si="114"/>
        <v>13</v>
      </c>
      <c r="AJ207">
        <f t="shared" si="115"/>
        <v>1</v>
      </c>
      <c r="AK207">
        <f t="shared" si="124"/>
        <v>4</v>
      </c>
      <c r="AL207" t="str">
        <f t="shared" si="116"/>
        <v/>
      </c>
      <c r="AM207" t="str">
        <f t="shared" si="117"/>
        <v/>
      </c>
      <c r="AN207" t="str">
        <f t="shared" si="118"/>
        <v/>
      </c>
      <c r="AO207">
        <f t="shared" si="119"/>
        <v>0</v>
      </c>
    </row>
    <row r="208" spans="1:41" x14ac:dyDescent="0.4">
      <c r="A208" t="str">
        <f>IF($CM$6=0,"",IF(INDEX('⑩ 원문 보관'!$A:$E,$CM$6+ROW()-9,COLUMN())="","",INDEX('⑩ 원문 보관'!$A:$E,$CM$6+ROW()-9,COLUMN())))</f>
        <v xml:space="preserve">113202.0  51329.04 97 </v>
      </c>
      <c r="B208" t="str">
        <f>IF($CM$6=0,"",IF(INDEX('⑩ 원문 보관'!$A:$E,$CM$6+ROW()-9,COLUMN())="","",INDEX('⑩ 원문 보관'!$A:$E,$CM$6+ROW()-9,COLUMN())))</f>
        <v xml:space="preserve">/time nT sq </v>
      </c>
      <c r="C208" t="str">
        <f>IF($CM$6=0,"",IF(INDEX('⑩ 원문 보관'!$A:$E,$CM$6+ROW()-9,COLUMN())="","",INDEX('⑩ 원문 보관'!$A:$E,$CM$6+ROW()-9,COLUMN())))</f>
        <v xml:space="preserve">123422.0  51398.02 54 </v>
      </c>
      <c r="D208" t="str">
        <f>IF($CM$6=0,"",IF(INDEX('⑩ 원문 보관'!$A:$E,$CM$6+ROW()-9,COLUMN())="","",INDEX('⑩ 원문 보관'!$A:$E,$CM$6+ROW()-9,COLUMN())))</f>
        <v xml:space="preserve">125032.0  51354.22 23 </v>
      </c>
      <c r="E208" t="str">
        <f>IF($CM$6=0,"",IF(INDEX('⑩ 원문 보관'!$A:$E,$CM$6+ROW()-9,COLUMN())="","",INDEX('⑩ 원문 보관'!$A:$E,$CM$6+ROW()-9,COLUMN())))</f>
        <v/>
      </c>
      <c r="Q208">
        <f t="shared" si="120"/>
        <v>5</v>
      </c>
      <c r="R208">
        <f t="shared" si="100"/>
        <v>113202</v>
      </c>
      <c r="S208">
        <f t="shared" si="101"/>
        <v>51329.04</v>
      </c>
      <c r="T208" t="str">
        <f t="shared" si="102"/>
        <v>97</v>
      </c>
      <c r="U208">
        <f t="shared" si="103"/>
        <v>1</v>
      </c>
      <c r="V208">
        <f t="shared" si="121"/>
        <v>6</v>
      </c>
      <c r="W208" t="str">
        <f t="shared" si="104"/>
        <v/>
      </c>
      <c r="X208" t="str">
        <f t="shared" si="105"/>
        <v/>
      </c>
      <c r="Y208" t="str">
        <f t="shared" si="106"/>
        <v>sq</v>
      </c>
      <c r="Z208">
        <f t="shared" si="107"/>
        <v>0</v>
      </c>
      <c r="AA208">
        <f t="shared" si="122"/>
        <v>6</v>
      </c>
      <c r="AB208">
        <f t="shared" si="108"/>
        <v>123422</v>
      </c>
      <c r="AC208">
        <f t="shared" si="109"/>
        <v>51398.02</v>
      </c>
      <c r="AD208" t="str">
        <f t="shared" si="110"/>
        <v>54</v>
      </c>
      <c r="AE208">
        <f t="shared" si="111"/>
        <v>1</v>
      </c>
      <c r="AF208">
        <f t="shared" si="123"/>
        <v>6</v>
      </c>
      <c r="AG208">
        <f t="shared" si="112"/>
        <v>125032</v>
      </c>
      <c r="AH208">
        <f t="shared" si="113"/>
        <v>51354.22</v>
      </c>
      <c r="AI208" t="str">
        <f t="shared" si="114"/>
        <v>23</v>
      </c>
      <c r="AJ208">
        <f t="shared" si="115"/>
        <v>1</v>
      </c>
      <c r="AK208">
        <f t="shared" si="124"/>
        <v>4</v>
      </c>
      <c r="AL208" t="str">
        <f t="shared" si="116"/>
        <v/>
      </c>
      <c r="AM208" t="str">
        <f t="shared" si="117"/>
        <v/>
      </c>
      <c r="AN208" t="str">
        <f t="shared" si="118"/>
        <v/>
      </c>
      <c r="AO208">
        <f t="shared" si="119"/>
        <v>0</v>
      </c>
    </row>
    <row r="209" spans="1:41" x14ac:dyDescent="0.4">
      <c r="A209" t="str">
        <f>IF($CM$6=0,"",IF(INDEX('⑩ 원문 보관'!$A:$E,$CM$6+ROW()-9,COLUMN())="","",INDEX('⑩ 원문 보관'!$A:$E,$CM$6+ROW()-9,COLUMN())))</f>
        <v xml:space="preserve">113207.0  51329.51 97 </v>
      </c>
      <c r="B209" t="str">
        <f>IF($CM$6=0,"",IF(INDEX('⑩ 원문 보관'!$A:$E,$CM$6+ROW()-9,COLUMN())="","",INDEX('⑩ 원문 보관'!$A:$E,$CM$6+ROW()-9,COLUMN())))</f>
        <v xml:space="preserve">115917.0  51199.57 46 </v>
      </c>
      <c r="C209" t="str">
        <f>IF($CM$6=0,"",IF(INDEX('⑩ 원문 보관'!$A:$E,$CM$6+ROW()-9,COLUMN())="","",INDEX('⑩ 원문 보관'!$A:$E,$CM$6+ROW()-9,COLUMN())))</f>
        <v xml:space="preserve">123427.0  51398.15 34 </v>
      </c>
      <c r="D209" t="str">
        <f>IF($CM$6=0,"",IF(INDEX('⑩ 원문 보관'!$A:$E,$CM$6+ROW()-9,COLUMN())="","",INDEX('⑩ 원문 보관'!$A:$E,$CM$6+ROW()-9,COLUMN())))</f>
        <v xml:space="preserve">125037.0  51354.90 33 </v>
      </c>
      <c r="E209" t="str">
        <f>IF($CM$6=0,"",IF(INDEX('⑩ 원문 보관'!$A:$E,$CM$6+ROW()-9,COLUMN())="","",INDEX('⑩ 원문 보관'!$A:$E,$CM$6+ROW()-9,COLUMN())))</f>
        <v/>
      </c>
      <c r="Q209">
        <f t="shared" si="120"/>
        <v>5</v>
      </c>
      <c r="R209">
        <f t="shared" si="100"/>
        <v>113207</v>
      </c>
      <c r="S209">
        <f t="shared" si="101"/>
        <v>51329.51</v>
      </c>
      <c r="T209" t="str">
        <f t="shared" si="102"/>
        <v>97</v>
      </c>
      <c r="U209">
        <f t="shared" si="103"/>
        <v>1</v>
      </c>
      <c r="V209">
        <f t="shared" si="121"/>
        <v>6</v>
      </c>
      <c r="W209">
        <f t="shared" si="104"/>
        <v>115917</v>
      </c>
      <c r="X209">
        <f t="shared" si="105"/>
        <v>51199.57</v>
      </c>
      <c r="Y209" t="str">
        <f t="shared" si="106"/>
        <v>46</v>
      </c>
      <c r="Z209">
        <f t="shared" si="107"/>
        <v>1</v>
      </c>
      <c r="AA209">
        <f t="shared" si="122"/>
        <v>6</v>
      </c>
      <c r="AB209">
        <f t="shared" si="108"/>
        <v>123427</v>
      </c>
      <c r="AC209">
        <f t="shared" si="109"/>
        <v>51398.15</v>
      </c>
      <c r="AD209" t="str">
        <f t="shared" si="110"/>
        <v>34</v>
      </c>
      <c r="AE209">
        <f t="shared" si="111"/>
        <v>1</v>
      </c>
      <c r="AF209">
        <f t="shared" si="123"/>
        <v>6</v>
      </c>
      <c r="AG209">
        <f t="shared" si="112"/>
        <v>125037</v>
      </c>
      <c r="AH209">
        <f t="shared" si="113"/>
        <v>51354.9</v>
      </c>
      <c r="AI209" t="str">
        <f t="shared" si="114"/>
        <v>33</v>
      </c>
      <c r="AJ209">
        <f t="shared" si="115"/>
        <v>1</v>
      </c>
      <c r="AK209">
        <f t="shared" si="124"/>
        <v>4</v>
      </c>
      <c r="AL209" t="str">
        <f t="shared" si="116"/>
        <v/>
      </c>
      <c r="AM209" t="str">
        <f t="shared" si="117"/>
        <v/>
      </c>
      <c r="AN209" t="str">
        <f t="shared" si="118"/>
        <v/>
      </c>
      <c r="AO209">
        <f t="shared" si="119"/>
        <v>0</v>
      </c>
    </row>
    <row r="210" spans="1:41" x14ac:dyDescent="0.4">
      <c r="A210" t="str">
        <f>IF($CM$6=0,"",IF(INDEX('⑩ 원문 보관'!$A:$E,$CM$6+ROW()-9,COLUMN())="","",INDEX('⑩ 원문 보관'!$A:$E,$CM$6+ROW()-9,COLUMN())))</f>
        <v xml:space="preserve">113212.0  51313.06 97 </v>
      </c>
      <c r="B210" t="str">
        <f>IF($CM$6=0,"",IF(INDEX('⑩ 원문 보관'!$A:$E,$CM$6+ROW()-9,COLUMN())="","",INDEX('⑩ 원문 보관'!$A:$E,$CM$6+ROW()-9,COLUMN())))</f>
        <v xml:space="preserve">115922.0  51199.28 46 </v>
      </c>
      <c r="C210" t="str">
        <f>IF($CM$6=0,"",IF(INDEX('⑩ 원문 보관'!$A:$E,$CM$6+ROW()-9,COLUMN())="","",INDEX('⑩ 원문 보관'!$A:$E,$CM$6+ROW()-9,COLUMN())))</f>
        <v xml:space="preserve">123432.0  51397.60 63 </v>
      </c>
      <c r="D210" t="str">
        <f>IF($CM$6=0,"",IF(INDEX('⑩ 원문 보관'!$A:$E,$CM$6+ROW()-9,COLUMN())="","",INDEX('⑩ 원문 보관'!$A:$E,$CM$6+ROW()-9,COLUMN())))</f>
        <v xml:space="preserve">125042.0  51354.83 33 </v>
      </c>
      <c r="E210" t="str">
        <f>IF($CM$6=0,"",IF(INDEX('⑩ 원문 보관'!$A:$E,$CM$6+ROW()-9,COLUMN())="","",INDEX('⑩ 원문 보관'!$A:$E,$CM$6+ROW()-9,COLUMN())))</f>
        <v/>
      </c>
      <c r="Q210">
        <f t="shared" si="120"/>
        <v>5</v>
      </c>
      <c r="R210">
        <f t="shared" si="100"/>
        <v>113212</v>
      </c>
      <c r="S210">
        <f t="shared" si="101"/>
        <v>51313.06</v>
      </c>
      <c r="T210" t="str">
        <f t="shared" si="102"/>
        <v>97</v>
      </c>
      <c r="U210">
        <f t="shared" si="103"/>
        <v>1</v>
      </c>
      <c r="V210">
        <f t="shared" si="121"/>
        <v>6</v>
      </c>
      <c r="W210">
        <f t="shared" si="104"/>
        <v>115922</v>
      </c>
      <c r="X210">
        <f t="shared" si="105"/>
        <v>51199.28</v>
      </c>
      <c r="Y210" t="str">
        <f t="shared" si="106"/>
        <v>46</v>
      </c>
      <c r="Z210">
        <f t="shared" si="107"/>
        <v>1</v>
      </c>
      <c r="AA210">
        <f t="shared" si="122"/>
        <v>6</v>
      </c>
      <c r="AB210">
        <f t="shared" si="108"/>
        <v>123432</v>
      </c>
      <c r="AC210">
        <f t="shared" si="109"/>
        <v>51397.599999999999</v>
      </c>
      <c r="AD210" t="str">
        <f t="shared" si="110"/>
        <v>63</v>
      </c>
      <c r="AE210">
        <f t="shared" si="111"/>
        <v>1</v>
      </c>
      <c r="AF210">
        <f t="shared" si="123"/>
        <v>6</v>
      </c>
      <c r="AG210">
        <f t="shared" si="112"/>
        <v>125042</v>
      </c>
      <c r="AH210">
        <f t="shared" si="113"/>
        <v>51354.83</v>
      </c>
      <c r="AI210" t="str">
        <f t="shared" si="114"/>
        <v>33</v>
      </c>
      <c r="AJ210">
        <f t="shared" si="115"/>
        <v>1</v>
      </c>
      <c r="AK210">
        <f t="shared" si="124"/>
        <v>4</v>
      </c>
      <c r="AL210" t="str">
        <f t="shared" si="116"/>
        <v/>
      </c>
      <c r="AM210" t="str">
        <f t="shared" si="117"/>
        <v/>
      </c>
      <c r="AN210" t="str">
        <f t="shared" si="118"/>
        <v/>
      </c>
      <c r="AO210">
        <f t="shared" si="119"/>
        <v>0</v>
      </c>
    </row>
    <row r="211" spans="1:41" x14ac:dyDescent="0.4">
      <c r="A211" t="str">
        <f>IF($CM$6=0,"",IF(INDEX('⑩ 원문 보관'!$A:$E,$CM$6+ROW()-9,COLUMN())="","",INDEX('⑩ 원문 보관'!$A:$E,$CM$6+ROW()-9,COLUMN())))</f>
        <v xml:space="preserve">113217.0  51335.49 59 </v>
      </c>
      <c r="B211" t="str">
        <f>IF($CM$6=0,"",IF(INDEX('⑩ 원문 보관'!$A:$E,$CM$6+ROW()-9,COLUMN())="","",INDEX('⑩ 원문 보관'!$A:$E,$CM$6+ROW()-9,COLUMN())))</f>
        <v xml:space="preserve">115927.0  51200.26 56 </v>
      </c>
      <c r="C211" t="str">
        <f>IF($CM$6=0,"",IF(INDEX('⑩ 원문 보관'!$A:$E,$CM$6+ROW()-9,COLUMN())="","",INDEX('⑩ 원문 보관'!$A:$E,$CM$6+ROW()-9,COLUMN())))</f>
        <v xml:space="preserve">123437.0  51398.85 33 </v>
      </c>
      <c r="D211" t="str">
        <f>IF($CM$6=0,"",IF(INDEX('⑩ 원문 보관'!$A:$E,$CM$6+ROW()-9,COLUMN())="","",INDEX('⑩ 원문 보관'!$A:$E,$CM$6+ROW()-9,COLUMN())))</f>
        <v xml:space="preserve">125047.0  51355.16 33 </v>
      </c>
      <c r="E211" t="str">
        <f>IF($CM$6=0,"",IF(INDEX('⑩ 원문 보관'!$A:$E,$CM$6+ROW()-9,COLUMN())="","",INDEX('⑩ 원문 보관'!$A:$E,$CM$6+ROW()-9,COLUMN())))</f>
        <v/>
      </c>
      <c r="Q211">
        <f t="shared" si="120"/>
        <v>5</v>
      </c>
      <c r="R211">
        <f t="shared" si="100"/>
        <v>113217</v>
      </c>
      <c r="S211">
        <f t="shared" si="101"/>
        <v>51335.49</v>
      </c>
      <c r="T211" t="str">
        <f t="shared" si="102"/>
        <v>59</v>
      </c>
      <c r="U211">
        <f t="shared" si="103"/>
        <v>1</v>
      </c>
      <c r="V211">
        <f t="shared" si="121"/>
        <v>6</v>
      </c>
      <c r="W211">
        <f t="shared" si="104"/>
        <v>115927</v>
      </c>
      <c r="X211">
        <f t="shared" si="105"/>
        <v>51200.26</v>
      </c>
      <c r="Y211" t="str">
        <f t="shared" si="106"/>
        <v>56</v>
      </c>
      <c r="Z211">
        <f t="shared" si="107"/>
        <v>1</v>
      </c>
      <c r="AA211">
        <f t="shared" si="122"/>
        <v>6</v>
      </c>
      <c r="AB211">
        <f t="shared" si="108"/>
        <v>123437</v>
      </c>
      <c r="AC211">
        <f t="shared" si="109"/>
        <v>51398.85</v>
      </c>
      <c r="AD211" t="str">
        <f t="shared" si="110"/>
        <v>33</v>
      </c>
      <c r="AE211">
        <f t="shared" si="111"/>
        <v>1</v>
      </c>
      <c r="AF211">
        <f t="shared" si="123"/>
        <v>6</v>
      </c>
      <c r="AG211">
        <f t="shared" si="112"/>
        <v>125047</v>
      </c>
      <c r="AH211">
        <f t="shared" si="113"/>
        <v>51355.16</v>
      </c>
      <c r="AI211" t="str">
        <f t="shared" si="114"/>
        <v>33</v>
      </c>
      <c r="AJ211">
        <f t="shared" si="115"/>
        <v>1</v>
      </c>
      <c r="AK211">
        <f t="shared" si="124"/>
        <v>4</v>
      </c>
      <c r="AL211" t="str">
        <f t="shared" si="116"/>
        <v/>
      </c>
      <c r="AM211" t="str">
        <f t="shared" si="117"/>
        <v/>
      </c>
      <c r="AN211" t="str">
        <f t="shared" si="118"/>
        <v/>
      </c>
      <c r="AO211">
        <f t="shared" si="119"/>
        <v>0</v>
      </c>
    </row>
    <row r="212" spans="1:41" x14ac:dyDescent="0.4">
      <c r="A212" t="str">
        <f>IF($CM$6=0,"",IF(INDEX('⑩ 원문 보관'!$A:$E,$CM$6+ROW()-9,COLUMN())="","",INDEX('⑩ 원문 보관'!$A:$E,$CM$6+ROW()-9,COLUMN())))</f>
        <v xml:space="preserve">113222.0  51338.44 64 </v>
      </c>
      <c r="B212" t="str">
        <f>IF($CM$6=0,"",IF(INDEX('⑩ 원문 보관'!$A:$E,$CM$6+ROW()-9,COLUMN())="","",INDEX('⑩ 원문 보관'!$A:$E,$CM$6+ROW()-9,COLUMN())))</f>
        <v xml:space="preserve">115932.0  51200.04 46 </v>
      </c>
      <c r="C212" t="str">
        <f>IF($CM$6=0,"",IF(INDEX('⑩ 원문 보관'!$A:$E,$CM$6+ROW()-9,COLUMN())="","",INDEX('⑩ 원문 보관'!$A:$E,$CM$6+ROW()-9,COLUMN())))</f>
        <v xml:space="preserve">123442.0  51398.31 53 </v>
      </c>
      <c r="D212" t="str">
        <f>IF($CM$6=0,"",IF(INDEX('⑩ 원문 보관'!$A:$E,$CM$6+ROW()-9,COLUMN())="","",INDEX('⑩ 원문 보관'!$A:$E,$CM$6+ROW()-9,COLUMN())))</f>
        <v xml:space="preserve">125052.0  51355.42 13 </v>
      </c>
      <c r="E212" t="str">
        <f>IF($CM$6=0,"",IF(INDEX('⑩ 원문 보관'!$A:$E,$CM$6+ROW()-9,COLUMN())="","",INDEX('⑩ 원문 보관'!$A:$E,$CM$6+ROW()-9,COLUMN())))</f>
        <v/>
      </c>
      <c r="Q212">
        <f t="shared" si="120"/>
        <v>5</v>
      </c>
      <c r="R212">
        <f t="shared" si="100"/>
        <v>113222</v>
      </c>
      <c r="S212">
        <f t="shared" si="101"/>
        <v>51338.44</v>
      </c>
      <c r="T212" t="str">
        <f t="shared" si="102"/>
        <v>64</v>
      </c>
      <c r="U212">
        <f t="shared" si="103"/>
        <v>1</v>
      </c>
      <c r="V212">
        <f t="shared" si="121"/>
        <v>6</v>
      </c>
      <c r="W212">
        <f t="shared" si="104"/>
        <v>115932</v>
      </c>
      <c r="X212">
        <f t="shared" si="105"/>
        <v>51200.04</v>
      </c>
      <c r="Y212" t="str">
        <f t="shared" si="106"/>
        <v>46</v>
      </c>
      <c r="Z212">
        <f t="shared" si="107"/>
        <v>1</v>
      </c>
      <c r="AA212">
        <f t="shared" si="122"/>
        <v>6</v>
      </c>
      <c r="AB212">
        <f t="shared" si="108"/>
        <v>123442</v>
      </c>
      <c r="AC212">
        <f t="shared" si="109"/>
        <v>51398.31</v>
      </c>
      <c r="AD212" t="str">
        <f t="shared" si="110"/>
        <v>53</v>
      </c>
      <c r="AE212">
        <f t="shared" si="111"/>
        <v>1</v>
      </c>
      <c r="AF212">
        <f t="shared" si="123"/>
        <v>6</v>
      </c>
      <c r="AG212">
        <f t="shared" si="112"/>
        <v>125052</v>
      </c>
      <c r="AH212">
        <f t="shared" si="113"/>
        <v>51355.42</v>
      </c>
      <c r="AI212" t="str">
        <f t="shared" si="114"/>
        <v>13</v>
      </c>
      <c r="AJ212">
        <f t="shared" si="115"/>
        <v>1</v>
      </c>
      <c r="AK212">
        <f t="shared" si="124"/>
        <v>4</v>
      </c>
      <c r="AL212" t="str">
        <f t="shared" si="116"/>
        <v/>
      </c>
      <c r="AM212" t="str">
        <f t="shared" si="117"/>
        <v/>
      </c>
      <c r="AN212" t="str">
        <f t="shared" si="118"/>
        <v/>
      </c>
      <c r="AO212">
        <f t="shared" si="119"/>
        <v>0</v>
      </c>
    </row>
    <row r="213" spans="1:41" x14ac:dyDescent="0.4">
      <c r="A213" t="str">
        <f>IF($CM$6=0,"",IF(INDEX('⑩ 원문 보관'!$A:$E,$CM$6+ROW()-9,COLUMN())="","",INDEX('⑩ 원문 보관'!$A:$E,$CM$6+ROW()-9,COLUMN())))</f>
        <v/>
      </c>
      <c r="B213" t="str">
        <f>IF($CM$6=0,"",IF(INDEX('⑩ 원문 보관'!$A:$E,$CM$6+ROW()-9,COLUMN())="","",INDEX('⑩ 원문 보관'!$A:$E,$CM$6+ROW()-9,COLUMN())))</f>
        <v xml:space="preserve">115937.0  51198.56 57 </v>
      </c>
      <c r="C213" t="str">
        <f>IF($CM$6=0,"",IF(INDEX('⑩ 원문 보관'!$A:$E,$CM$6+ROW()-9,COLUMN())="","",INDEX('⑩ 원문 보관'!$A:$E,$CM$6+ROW()-9,COLUMN())))</f>
        <v xml:space="preserve">123447.0  51397.80 73 </v>
      </c>
      <c r="D213" t="str">
        <f>IF($CM$6=0,"",IF(INDEX('⑩ 원문 보관'!$A:$E,$CM$6+ROW()-9,COLUMN())="","",INDEX('⑩ 원문 보관'!$A:$E,$CM$6+ROW()-9,COLUMN())))</f>
        <v xml:space="preserve">125057.0  51356.02 12 </v>
      </c>
      <c r="E213" t="str">
        <f>IF($CM$6=0,"",IF(INDEX('⑩ 원문 보관'!$A:$E,$CM$6+ROW()-9,COLUMN())="","",INDEX('⑩ 원문 보관'!$A:$E,$CM$6+ROW()-9,COLUMN())))</f>
        <v/>
      </c>
      <c r="Q213">
        <f t="shared" si="120"/>
        <v>5</v>
      </c>
      <c r="R213" t="str">
        <f t="shared" si="100"/>
        <v/>
      </c>
      <c r="S213" t="str">
        <f t="shared" si="101"/>
        <v/>
      </c>
      <c r="T213" t="str">
        <f t="shared" si="102"/>
        <v/>
      </c>
      <c r="U213">
        <f t="shared" si="103"/>
        <v>0</v>
      </c>
      <c r="V213">
        <f t="shared" si="121"/>
        <v>6</v>
      </c>
      <c r="W213">
        <f t="shared" si="104"/>
        <v>115937</v>
      </c>
      <c r="X213">
        <f t="shared" si="105"/>
        <v>51198.559999999998</v>
      </c>
      <c r="Y213" t="str">
        <f t="shared" si="106"/>
        <v>57</v>
      </c>
      <c r="Z213">
        <f t="shared" si="107"/>
        <v>1</v>
      </c>
      <c r="AA213">
        <f t="shared" si="122"/>
        <v>6</v>
      </c>
      <c r="AB213">
        <f t="shared" si="108"/>
        <v>123447</v>
      </c>
      <c r="AC213">
        <f t="shared" si="109"/>
        <v>51397.8</v>
      </c>
      <c r="AD213" t="str">
        <f t="shared" si="110"/>
        <v>73</v>
      </c>
      <c r="AE213">
        <f t="shared" si="111"/>
        <v>1</v>
      </c>
      <c r="AF213">
        <f t="shared" si="123"/>
        <v>6</v>
      </c>
      <c r="AG213">
        <f t="shared" si="112"/>
        <v>125057</v>
      </c>
      <c r="AH213">
        <f t="shared" si="113"/>
        <v>51356.02</v>
      </c>
      <c r="AI213" t="str">
        <f t="shared" si="114"/>
        <v>12</v>
      </c>
      <c r="AJ213">
        <f t="shared" si="115"/>
        <v>1</v>
      </c>
      <c r="AK213">
        <f t="shared" si="124"/>
        <v>4</v>
      </c>
      <c r="AL213" t="str">
        <f t="shared" si="116"/>
        <v/>
      </c>
      <c r="AM213" t="str">
        <f t="shared" si="117"/>
        <v/>
      </c>
      <c r="AN213" t="str">
        <f t="shared" si="118"/>
        <v/>
      </c>
      <c r="AO213">
        <f t="shared" si="119"/>
        <v>0</v>
      </c>
    </row>
    <row r="214" spans="1:41" x14ac:dyDescent="0.4">
      <c r="A214" t="str">
        <f>IF($CM$6=0,"",IF(INDEX('⑩ 원문 보관'!$A:$E,$CM$6+ROW()-9,COLUMN())="","",INDEX('⑩ 원문 보관'!$A:$E,$CM$6+ROW()-9,COLUMN())))</f>
        <v/>
      </c>
      <c r="B214" t="str">
        <f>IF($CM$6=0,"",IF(INDEX('⑩ 원문 보관'!$A:$E,$CM$6+ROW()-9,COLUMN())="","",INDEX('⑩ 원문 보관'!$A:$E,$CM$6+ROW()-9,COLUMN())))</f>
        <v xml:space="preserve">115942.0  51199.48 46 </v>
      </c>
      <c r="C214" t="str">
        <f>IF($CM$6=0,"",IF(INDEX('⑩ 원문 보관'!$A:$E,$CM$6+ROW()-9,COLUMN())="","",INDEX('⑩ 원문 보관'!$A:$E,$CM$6+ROW()-9,COLUMN())))</f>
        <v xml:space="preserve">123452.0  51398.19 63 </v>
      </c>
      <c r="D214" t="str">
        <f>IF($CM$6=0,"",IF(INDEX('⑩ 원문 보관'!$A:$E,$CM$6+ROW()-9,COLUMN())="","",INDEX('⑩ 원문 보관'!$A:$E,$CM$6+ROW()-9,COLUMN())))</f>
        <v xml:space="preserve">125102.0  51356.58 43 </v>
      </c>
      <c r="E214" t="str">
        <f>IF($CM$6=0,"",IF(INDEX('⑩ 원문 보관'!$A:$E,$CM$6+ROW()-9,COLUMN())="","",INDEX('⑩ 원문 보관'!$A:$E,$CM$6+ROW()-9,COLUMN())))</f>
        <v/>
      </c>
      <c r="Q214">
        <f t="shared" si="120"/>
        <v>5</v>
      </c>
      <c r="R214" t="str">
        <f t="shared" si="100"/>
        <v/>
      </c>
      <c r="S214" t="str">
        <f t="shared" si="101"/>
        <v/>
      </c>
      <c r="T214" t="str">
        <f t="shared" si="102"/>
        <v/>
      </c>
      <c r="U214">
        <f t="shared" si="103"/>
        <v>0</v>
      </c>
      <c r="V214">
        <f t="shared" si="121"/>
        <v>6</v>
      </c>
      <c r="W214">
        <f t="shared" si="104"/>
        <v>115942</v>
      </c>
      <c r="X214">
        <f t="shared" si="105"/>
        <v>51199.48</v>
      </c>
      <c r="Y214" t="str">
        <f t="shared" si="106"/>
        <v>46</v>
      </c>
      <c r="Z214">
        <f t="shared" si="107"/>
        <v>1</v>
      </c>
      <c r="AA214">
        <f t="shared" si="122"/>
        <v>6</v>
      </c>
      <c r="AB214">
        <f t="shared" si="108"/>
        <v>123452</v>
      </c>
      <c r="AC214">
        <f t="shared" si="109"/>
        <v>51398.19</v>
      </c>
      <c r="AD214" t="str">
        <f t="shared" si="110"/>
        <v>63</v>
      </c>
      <c r="AE214">
        <f t="shared" si="111"/>
        <v>1</v>
      </c>
      <c r="AF214">
        <f t="shared" si="123"/>
        <v>6</v>
      </c>
      <c r="AG214">
        <f t="shared" si="112"/>
        <v>125102</v>
      </c>
      <c r="AH214">
        <f t="shared" si="113"/>
        <v>51356.58</v>
      </c>
      <c r="AI214" t="str">
        <f t="shared" si="114"/>
        <v>43</v>
      </c>
      <c r="AJ214">
        <f t="shared" si="115"/>
        <v>1</v>
      </c>
      <c r="AK214">
        <f t="shared" si="124"/>
        <v>4</v>
      </c>
      <c r="AL214" t="str">
        <f t="shared" si="116"/>
        <v/>
      </c>
      <c r="AM214" t="str">
        <f t="shared" si="117"/>
        <v/>
      </c>
      <c r="AN214" t="str">
        <f t="shared" si="118"/>
        <v/>
      </c>
      <c r="AO214">
        <f t="shared" si="119"/>
        <v>0</v>
      </c>
    </row>
    <row r="215" spans="1:41" x14ac:dyDescent="0.4">
      <c r="A215" t="str">
        <f>IF($CM$6=0,"",IF(INDEX('⑩ 원문 보관'!$A:$E,$CM$6+ROW()-9,COLUMN())="","",INDEX('⑩ 원문 보관'!$A:$E,$CM$6+ROW()-9,COLUMN())))</f>
        <v xml:space="preserve">/Gem Systems GSM-19T 4106808 v7.0 26 IX 2014 M t-e2l..v7o                         </v>
      </c>
      <c r="B215" t="str">
        <f>IF($CM$6=0,"",IF(INDEX('⑩ 원문 보관'!$A:$E,$CM$6+ROW()-9,COLUMN())="","",INDEX('⑩ 원문 보관'!$A:$E,$CM$6+ROW()-9,COLUMN())))</f>
        <v xml:space="preserve">115947.0  51198.82 56 </v>
      </c>
      <c r="C215" t="str">
        <f>IF($CM$6=0,"",IF(INDEX('⑩ 원문 보관'!$A:$E,$CM$6+ROW()-9,COLUMN())="","",INDEX('⑩ 원문 보관'!$A:$E,$CM$6+ROW()-9,COLUMN())))</f>
        <v xml:space="preserve">123457.0  51397.03 43 </v>
      </c>
      <c r="D215" t="str">
        <f>IF($CM$6=0,"",IF(INDEX('⑩ 원문 보관'!$A:$E,$CM$6+ROW()-9,COLUMN())="","",INDEX('⑩ 원문 보관'!$A:$E,$CM$6+ROW()-9,COLUMN())))</f>
        <v xml:space="preserve">125107.0  51348.95 13 </v>
      </c>
      <c r="E215" t="str">
        <f>IF($CM$6=0,"",IF(INDEX('⑩ 원문 보관'!$A:$E,$CM$6+ROW()-9,COLUMN())="","",INDEX('⑩ 원문 보관'!$A:$E,$CM$6+ROW()-9,COLUMN())))</f>
        <v/>
      </c>
      <c r="Q215">
        <f t="shared" si="120"/>
        <v>5</v>
      </c>
      <c r="R215" t="str">
        <f t="shared" si="100"/>
        <v/>
      </c>
      <c r="S215" t="str">
        <f t="shared" si="101"/>
        <v/>
      </c>
      <c r="T215" t="str">
        <f t="shared" si="102"/>
        <v>GSM-19T</v>
      </c>
      <c r="U215">
        <f t="shared" si="103"/>
        <v>0</v>
      </c>
      <c r="V215">
        <f t="shared" si="121"/>
        <v>6</v>
      </c>
      <c r="W215">
        <f t="shared" si="104"/>
        <v>115947</v>
      </c>
      <c r="X215">
        <f t="shared" si="105"/>
        <v>51198.82</v>
      </c>
      <c r="Y215" t="str">
        <f t="shared" si="106"/>
        <v>56</v>
      </c>
      <c r="Z215">
        <f t="shared" si="107"/>
        <v>1</v>
      </c>
      <c r="AA215">
        <f t="shared" si="122"/>
        <v>6</v>
      </c>
      <c r="AB215">
        <f t="shared" si="108"/>
        <v>123457</v>
      </c>
      <c r="AC215">
        <f t="shared" si="109"/>
        <v>51397.03</v>
      </c>
      <c r="AD215" t="str">
        <f t="shared" si="110"/>
        <v>43</v>
      </c>
      <c r="AE215">
        <f t="shared" si="111"/>
        <v>1</v>
      </c>
      <c r="AF215">
        <f t="shared" si="123"/>
        <v>6</v>
      </c>
      <c r="AG215">
        <f t="shared" si="112"/>
        <v>125107</v>
      </c>
      <c r="AH215">
        <f t="shared" si="113"/>
        <v>51348.95</v>
      </c>
      <c r="AI215" t="str">
        <f t="shared" si="114"/>
        <v>13</v>
      </c>
      <c r="AJ215">
        <f t="shared" si="115"/>
        <v>1</v>
      </c>
      <c r="AK215">
        <f t="shared" si="124"/>
        <v>4</v>
      </c>
      <c r="AL215" t="str">
        <f t="shared" si="116"/>
        <v/>
      </c>
      <c r="AM215" t="str">
        <f t="shared" si="117"/>
        <v/>
      </c>
      <c r="AN215" t="str">
        <f t="shared" si="118"/>
        <v/>
      </c>
      <c r="AO215">
        <f t="shared" si="119"/>
        <v>0</v>
      </c>
    </row>
    <row r="216" spans="1:41" x14ac:dyDescent="0.4">
      <c r="A216" t="str">
        <f>IF($CM$6=0,"",IF(INDEX('⑩ 원문 보관'!$A:$E,$CM$6+ROW()-9,COLUMN())="","",INDEX('⑩ 원문 보관'!$A:$E,$CM$6+ROW()-9,COLUMN())))</f>
        <v>/ID 2666 file 06survey.b   21 IX 26</v>
      </c>
      <c r="B216" t="str">
        <f>IF($CM$6=0,"",IF(INDEX('⑩ 원문 보관'!$A:$E,$CM$6+ROW()-9,COLUMN())="","",INDEX('⑩ 원문 보관'!$A:$E,$CM$6+ROW()-9,COLUMN())))</f>
        <v xml:space="preserve">115952.0  51198.91 56 </v>
      </c>
      <c r="C216" t="str">
        <f>IF($CM$6=0,"",IF(INDEX('⑩ 원문 보관'!$A:$E,$CM$6+ROW()-9,COLUMN())="","",INDEX('⑩ 원문 보관'!$A:$E,$CM$6+ROW()-9,COLUMN())))</f>
        <v xml:space="preserve">123502.0  51397.86 54 </v>
      </c>
      <c r="D216" t="str">
        <f>IF($CM$6=0,"",IF(INDEX('⑩ 원문 보관'!$A:$E,$CM$6+ROW()-9,COLUMN())="","",INDEX('⑩ 원문 보관'!$A:$E,$CM$6+ROW()-9,COLUMN())))</f>
        <v xml:space="preserve">125112.0  51358.35 23 </v>
      </c>
      <c r="E216" t="str">
        <f>IF($CM$6=0,"",IF(INDEX('⑩ 원문 보관'!$A:$E,$CM$6+ROW()-9,COLUMN())="","",INDEX('⑩ 원문 보관'!$A:$E,$CM$6+ROW()-9,COLUMN())))</f>
        <v/>
      </c>
      <c r="Q216">
        <f t="shared" si="120"/>
        <v>5</v>
      </c>
      <c r="R216" t="str">
        <f t="shared" si="100"/>
        <v/>
      </c>
      <c r="S216">
        <f t="shared" si="101"/>
        <v>2666</v>
      </c>
      <c r="T216" t="str">
        <f t="shared" si="102"/>
        <v>file</v>
      </c>
      <c r="U216">
        <f t="shared" si="103"/>
        <v>0</v>
      </c>
      <c r="V216">
        <f t="shared" si="121"/>
        <v>6</v>
      </c>
      <c r="W216">
        <f t="shared" si="104"/>
        <v>115952</v>
      </c>
      <c r="X216">
        <f t="shared" si="105"/>
        <v>51198.91</v>
      </c>
      <c r="Y216" t="str">
        <f t="shared" si="106"/>
        <v>56</v>
      </c>
      <c r="Z216">
        <f t="shared" si="107"/>
        <v>1</v>
      </c>
      <c r="AA216">
        <f t="shared" si="122"/>
        <v>6</v>
      </c>
      <c r="AB216">
        <f t="shared" si="108"/>
        <v>123502</v>
      </c>
      <c r="AC216">
        <f t="shared" si="109"/>
        <v>51397.86</v>
      </c>
      <c r="AD216" t="str">
        <f t="shared" si="110"/>
        <v>54</v>
      </c>
      <c r="AE216">
        <f t="shared" si="111"/>
        <v>1</v>
      </c>
      <c r="AF216">
        <f t="shared" si="123"/>
        <v>6</v>
      </c>
      <c r="AG216">
        <f t="shared" si="112"/>
        <v>125112</v>
      </c>
      <c r="AH216">
        <f t="shared" si="113"/>
        <v>51358.35</v>
      </c>
      <c r="AI216" t="str">
        <f t="shared" si="114"/>
        <v>23</v>
      </c>
      <c r="AJ216">
        <f t="shared" si="115"/>
        <v>1</v>
      </c>
      <c r="AK216">
        <f t="shared" si="124"/>
        <v>4</v>
      </c>
      <c r="AL216" t="str">
        <f t="shared" si="116"/>
        <v/>
      </c>
      <c r="AM216" t="str">
        <f t="shared" si="117"/>
        <v/>
      </c>
      <c r="AN216" t="str">
        <f t="shared" si="118"/>
        <v/>
      </c>
      <c r="AO216">
        <f t="shared" si="119"/>
        <v>0</v>
      </c>
    </row>
    <row r="217" spans="1:41" x14ac:dyDescent="0.4">
      <c r="A217" t="str">
        <f>IF($CM$6=0,"",IF(INDEX('⑩ 원문 보관'!$A:$E,$CM$6+ROW()-9,COLUMN())="","",INDEX('⑩ 원문 보관'!$A:$E,$CM$6+ROW()-9,COLUMN())))</f>
        <v>/datum  57000.00</v>
      </c>
      <c r="B217" t="str">
        <f>IF($CM$6=0,"",IF(INDEX('⑩ 원문 보관'!$A:$E,$CM$6+ROW()-9,COLUMN())="","",INDEX('⑩ 원문 보관'!$A:$E,$CM$6+ROW()-9,COLUMN())))</f>
        <v xml:space="preserve">115957.0  51199.03 47 </v>
      </c>
      <c r="C217" t="str">
        <f>IF($CM$6=0,"",IF(INDEX('⑩ 원문 보관'!$A:$E,$CM$6+ROW()-9,COLUMN())="","",INDEX('⑩ 원문 보관'!$A:$E,$CM$6+ROW()-9,COLUMN())))</f>
        <v/>
      </c>
      <c r="D217" t="str">
        <f>IF($CM$6=0,"",IF(INDEX('⑩ 원문 보관'!$A:$E,$CM$6+ROW()-9,COLUMN())="","",INDEX('⑩ 원문 보관'!$A:$E,$CM$6+ROW()-9,COLUMN())))</f>
        <v xml:space="preserve">125117.0  51355.79 23 </v>
      </c>
      <c r="E217" t="str">
        <f>IF($CM$6=0,"",IF(INDEX('⑩ 원문 보관'!$A:$E,$CM$6+ROW()-9,COLUMN())="","",INDEX('⑩ 원문 보관'!$A:$E,$CM$6+ROW()-9,COLUMN())))</f>
        <v/>
      </c>
      <c r="Q217">
        <f t="shared" si="120"/>
        <v>5</v>
      </c>
      <c r="R217" t="str">
        <f t="shared" si="100"/>
        <v/>
      </c>
      <c r="S217">
        <f t="shared" si="101"/>
        <v>57000</v>
      </c>
      <c r="T217" t="str">
        <f t="shared" si="102"/>
        <v/>
      </c>
      <c r="U217">
        <f t="shared" si="103"/>
        <v>0</v>
      </c>
      <c r="V217">
        <f t="shared" si="121"/>
        <v>6</v>
      </c>
      <c r="W217">
        <f t="shared" si="104"/>
        <v>115957</v>
      </c>
      <c r="X217">
        <f t="shared" si="105"/>
        <v>51199.03</v>
      </c>
      <c r="Y217" t="str">
        <f t="shared" si="106"/>
        <v>47</v>
      </c>
      <c r="Z217">
        <f t="shared" si="107"/>
        <v>1</v>
      </c>
      <c r="AA217">
        <f t="shared" si="122"/>
        <v>6</v>
      </c>
      <c r="AB217" t="str">
        <f t="shared" si="108"/>
        <v/>
      </c>
      <c r="AC217" t="str">
        <f t="shared" si="109"/>
        <v/>
      </c>
      <c r="AD217" t="str">
        <f t="shared" si="110"/>
        <v/>
      </c>
      <c r="AE217">
        <f t="shared" si="111"/>
        <v>0</v>
      </c>
      <c r="AF217">
        <f t="shared" si="123"/>
        <v>6</v>
      </c>
      <c r="AG217">
        <f t="shared" si="112"/>
        <v>125117</v>
      </c>
      <c r="AH217">
        <f t="shared" si="113"/>
        <v>51355.79</v>
      </c>
      <c r="AI217" t="str">
        <f t="shared" si="114"/>
        <v>23</v>
      </c>
      <c r="AJ217">
        <f t="shared" si="115"/>
        <v>1</v>
      </c>
      <c r="AK217">
        <f t="shared" si="124"/>
        <v>4</v>
      </c>
      <c r="AL217" t="str">
        <f t="shared" si="116"/>
        <v/>
      </c>
      <c r="AM217" t="str">
        <f t="shared" si="117"/>
        <v/>
      </c>
      <c r="AN217" t="str">
        <f t="shared" si="118"/>
        <v/>
      </c>
      <c r="AO217">
        <f t="shared" si="119"/>
        <v>0</v>
      </c>
    </row>
    <row r="218" spans="1:41" x14ac:dyDescent="0.4">
      <c r="A218" t="str">
        <f>IF($CM$6=0,"",IF(INDEX('⑩ 원문 보관'!$A:$E,$CM$6+ROW()-9,COLUMN())="","",INDEX('⑩ 원문 보관'!$A:$E,$CM$6+ROW()-9,COLUMN())))</f>
        <v>/</v>
      </c>
      <c r="B218" t="str">
        <f>IF($CM$6=0,"",IF(INDEX('⑩ 원문 보관'!$A:$E,$CM$6+ROW()-9,COLUMN())="","",INDEX('⑩ 원문 보관'!$A:$E,$CM$6+ROW()-9,COLUMN())))</f>
        <v xml:space="preserve">120002.0  51199.33 56 </v>
      </c>
      <c r="C218" t="str">
        <f>IF($CM$6=0,"",IF(INDEX('⑩ 원문 보관'!$A:$E,$CM$6+ROW()-9,COLUMN())="","",INDEX('⑩ 원문 보관'!$A:$E,$CM$6+ROW()-9,COLUMN())))</f>
        <v/>
      </c>
      <c r="D218" t="str">
        <f>IF($CM$6=0,"",IF(INDEX('⑩ 원문 보관'!$A:$E,$CM$6+ROW()-9,COLUMN())="","",INDEX('⑩ 원문 보관'!$A:$E,$CM$6+ROW()-9,COLUMN())))</f>
        <v/>
      </c>
      <c r="E218" t="str">
        <f>IF($CM$6=0,"",IF(INDEX('⑩ 원문 보관'!$A:$E,$CM$6+ROW()-9,COLUMN())="","",INDEX('⑩ 원문 보관'!$A:$E,$CM$6+ROW()-9,COLUMN())))</f>
        <v/>
      </c>
      <c r="Q218">
        <f t="shared" si="120"/>
        <v>5</v>
      </c>
      <c r="R218" t="str">
        <f t="shared" si="100"/>
        <v/>
      </c>
      <c r="S218" t="str">
        <f t="shared" si="101"/>
        <v/>
      </c>
      <c r="T218" t="str">
        <f t="shared" si="102"/>
        <v/>
      </c>
      <c r="U218">
        <f t="shared" si="103"/>
        <v>0</v>
      </c>
      <c r="V218">
        <f t="shared" si="121"/>
        <v>6</v>
      </c>
      <c r="W218">
        <f t="shared" si="104"/>
        <v>120002</v>
      </c>
      <c r="X218">
        <f t="shared" si="105"/>
        <v>51199.33</v>
      </c>
      <c r="Y218" t="str">
        <f t="shared" si="106"/>
        <v>56</v>
      </c>
      <c r="Z218">
        <f t="shared" si="107"/>
        <v>1</v>
      </c>
      <c r="AA218">
        <f t="shared" si="122"/>
        <v>6</v>
      </c>
      <c r="AB218" t="str">
        <f t="shared" si="108"/>
        <v/>
      </c>
      <c r="AC218" t="str">
        <f t="shared" si="109"/>
        <v/>
      </c>
      <c r="AD218" t="str">
        <f t="shared" si="110"/>
        <v/>
      </c>
      <c r="AE218">
        <f t="shared" si="111"/>
        <v>0</v>
      </c>
      <c r="AF218">
        <f t="shared" si="123"/>
        <v>6</v>
      </c>
      <c r="AG218" t="str">
        <f t="shared" si="112"/>
        <v/>
      </c>
      <c r="AH218" t="str">
        <f t="shared" si="113"/>
        <v/>
      </c>
      <c r="AI218" t="str">
        <f t="shared" si="114"/>
        <v/>
      </c>
      <c r="AJ218">
        <f t="shared" si="115"/>
        <v>0</v>
      </c>
      <c r="AK218">
        <f t="shared" si="124"/>
        <v>4</v>
      </c>
      <c r="AL218" t="str">
        <f t="shared" si="116"/>
        <v/>
      </c>
      <c r="AM218" t="str">
        <f t="shared" si="117"/>
        <v/>
      </c>
      <c r="AN218" t="str">
        <f t="shared" si="118"/>
        <v/>
      </c>
      <c r="AO218">
        <f t="shared" si="119"/>
        <v>0</v>
      </c>
    </row>
    <row r="219" spans="1:41" x14ac:dyDescent="0.4">
      <c r="A219" t="str">
        <f>IF($CM$6=0,"",IF(INDEX('⑩ 원문 보관'!$A:$E,$CM$6+ROW()-9,COLUMN())="","",INDEX('⑩ 원문 보관'!$A:$E,$CM$6+ROW()-9,COLUMN())))</f>
        <v/>
      </c>
      <c r="B219" t="str">
        <f>IF($CM$6=0,"",IF(INDEX('⑩ 원문 보관'!$A:$E,$CM$6+ROW()-9,COLUMN())="","",INDEX('⑩ 원문 보관'!$A:$E,$CM$6+ROW()-9,COLUMN())))</f>
        <v xml:space="preserve">120007.0  51199.95 46 </v>
      </c>
      <c r="C219" t="str">
        <f>IF($CM$6=0,"",IF(INDEX('⑩ 원문 보관'!$A:$E,$CM$6+ROW()-9,COLUMN())="","",INDEX('⑩ 원문 보관'!$A:$E,$CM$6+ROW()-9,COLUMN())))</f>
        <v/>
      </c>
      <c r="D219" t="str">
        <f>IF($CM$6=0,"",IF(INDEX('⑩ 원문 보관'!$A:$E,$CM$6+ROW()-9,COLUMN())="","",INDEX('⑩ 원문 보관'!$A:$E,$CM$6+ROW()-9,COLUMN())))</f>
        <v/>
      </c>
      <c r="E219" t="str">
        <f>IF($CM$6=0,"",IF(INDEX('⑩ 원문 보관'!$A:$E,$CM$6+ROW()-9,COLUMN())="","",INDEX('⑩ 원문 보관'!$A:$E,$CM$6+ROW()-9,COLUMN())))</f>
        <v/>
      </c>
      <c r="Q219">
        <f t="shared" si="120"/>
        <v>5</v>
      </c>
      <c r="R219" t="str">
        <f t="shared" si="100"/>
        <v/>
      </c>
      <c r="S219" t="str">
        <f t="shared" si="101"/>
        <v/>
      </c>
      <c r="T219" t="str">
        <f t="shared" si="102"/>
        <v/>
      </c>
      <c r="U219">
        <f t="shared" si="103"/>
        <v>0</v>
      </c>
      <c r="V219">
        <f t="shared" si="121"/>
        <v>6</v>
      </c>
      <c r="W219">
        <f t="shared" si="104"/>
        <v>120007</v>
      </c>
      <c r="X219">
        <f t="shared" si="105"/>
        <v>51199.95</v>
      </c>
      <c r="Y219" t="str">
        <f t="shared" si="106"/>
        <v>46</v>
      </c>
      <c r="Z219">
        <f t="shared" si="107"/>
        <v>1</v>
      </c>
      <c r="AA219">
        <f t="shared" si="122"/>
        <v>6</v>
      </c>
      <c r="AB219" t="str">
        <f t="shared" si="108"/>
        <v/>
      </c>
      <c r="AC219" t="str">
        <f t="shared" si="109"/>
        <v/>
      </c>
      <c r="AD219" t="str">
        <f t="shared" si="110"/>
        <v/>
      </c>
      <c r="AE219">
        <f t="shared" si="111"/>
        <v>0</v>
      </c>
      <c r="AF219">
        <f t="shared" si="123"/>
        <v>6</v>
      </c>
      <c r="AG219" t="str">
        <f t="shared" si="112"/>
        <v/>
      </c>
      <c r="AH219" t="str">
        <f t="shared" si="113"/>
        <v/>
      </c>
      <c r="AI219" t="str">
        <f t="shared" si="114"/>
        <v/>
      </c>
      <c r="AJ219">
        <f t="shared" si="115"/>
        <v>0</v>
      </c>
      <c r="AK219">
        <f t="shared" si="124"/>
        <v>4</v>
      </c>
      <c r="AL219" t="str">
        <f t="shared" si="116"/>
        <v/>
      </c>
      <c r="AM219" t="str">
        <f t="shared" si="117"/>
        <v/>
      </c>
      <c r="AN219" t="str">
        <f t="shared" si="118"/>
        <v/>
      </c>
      <c r="AO219">
        <f t="shared" si="119"/>
        <v>0</v>
      </c>
    </row>
    <row r="220" spans="1:41" x14ac:dyDescent="0.4">
      <c r="A220" t="str">
        <f>IF($CM$6=0,"",IF(INDEX('⑩ 원문 보관'!$A:$E,$CM$6+ROW()-9,COLUMN())="","",INDEX('⑩ 원문 보관'!$A:$E,$CM$6+ROW()-9,COLUMN())))</f>
        <v xml:space="preserve">/time nT sq </v>
      </c>
      <c r="B220" t="str">
        <f>IF($CM$6=0,"",IF(INDEX('⑩ 원문 보관'!$A:$E,$CM$6+ROW()-9,COLUMN())="","",INDEX('⑩ 원문 보관'!$A:$E,$CM$6+ROW()-9,COLUMN())))</f>
        <v xml:space="preserve">120012.0  51198.42 56 </v>
      </c>
      <c r="C220" t="str">
        <f>IF($CM$6=0,"",IF(INDEX('⑩ 원문 보관'!$A:$E,$CM$6+ROW()-9,COLUMN())="","",INDEX('⑩ 원문 보관'!$A:$E,$CM$6+ROW()-9,COLUMN())))</f>
        <v/>
      </c>
      <c r="D220" t="str">
        <f>IF($CM$6=0,"",IF(INDEX('⑩ 원문 보관'!$A:$E,$CM$6+ROW()-9,COLUMN())="","",INDEX('⑩ 원문 보관'!$A:$E,$CM$6+ROW()-9,COLUMN())))</f>
        <v xml:space="preserve">/Gem Systems GSM-19T 4106808 v7.0 26 IX 2014 M t-e2l..v7o                         </v>
      </c>
      <c r="E220" t="str">
        <f>IF($CM$6=0,"",IF(INDEX('⑩ 원문 보관'!$A:$E,$CM$6+ROW()-9,COLUMN())="","",INDEX('⑩ 원문 보관'!$A:$E,$CM$6+ROW()-9,COLUMN())))</f>
        <v/>
      </c>
      <c r="Q220">
        <f t="shared" si="120"/>
        <v>6</v>
      </c>
      <c r="R220" t="str">
        <f t="shared" si="100"/>
        <v/>
      </c>
      <c r="S220" t="str">
        <f t="shared" si="101"/>
        <v/>
      </c>
      <c r="T220" t="str">
        <f t="shared" si="102"/>
        <v>sq</v>
      </c>
      <c r="U220">
        <f t="shared" si="103"/>
        <v>0</v>
      </c>
      <c r="V220">
        <f t="shared" si="121"/>
        <v>6</v>
      </c>
      <c r="W220">
        <f t="shared" si="104"/>
        <v>120012</v>
      </c>
      <c r="X220">
        <f t="shared" si="105"/>
        <v>51198.42</v>
      </c>
      <c r="Y220" t="str">
        <f t="shared" si="106"/>
        <v>56</v>
      </c>
      <c r="Z220">
        <f t="shared" si="107"/>
        <v>1</v>
      </c>
      <c r="AA220">
        <f t="shared" si="122"/>
        <v>6</v>
      </c>
      <c r="AB220" t="str">
        <f t="shared" si="108"/>
        <v/>
      </c>
      <c r="AC220" t="str">
        <f t="shared" si="109"/>
        <v/>
      </c>
      <c r="AD220" t="str">
        <f t="shared" si="110"/>
        <v/>
      </c>
      <c r="AE220">
        <f t="shared" si="111"/>
        <v>0</v>
      </c>
      <c r="AF220">
        <f t="shared" si="123"/>
        <v>6</v>
      </c>
      <c r="AG220" t="str">
        <f t="shared" si="112"/>
        <v/>
      </c>
      <c r="AH220" t="str">
        <f t="shared" si="113"/>
        <v/>
      </c>
      <c r="AI220" t="str">
        <f t="shared" si="114"/>
        <v>GSM-19T</v>
      </c>
      <c r="AJ220">
        <f t="shared" si="115"/>
        <v>0</v>
      </c>
      <c r="AK220">
        <f t="shared" si="124"/>
        <v>4</v>
      </c>
      <c r="AL220" t="str">
        <f t="shared" si="116"/>
        <v/>
      </c>
      <c r="AM220" t="str">
        <f t="shared" si="117"/>
        <v/>
      </c>
      <c r="AN220" t="str">
        <f t="shared" si="118"/>
        <v/>
      </c>
      <c r="AO220">
        <f t="shared" si="119"/>
        <v>0</v>
      </c>
    </row>
    <row r="221" spans="1:41" x14ac:dyDescent="0.4">
      <c r="A221" t="str">
        <f>IF($CM$6=0,"",IF(INDEX('⑩ 원문 보관'!$A:$E,$CM$6+ROW()-9,COLUMN())="","",INDEX('⑩ 원문 보관'!$A:$E,$CM$6+ROW()-9,COLUMN())))</f>
        <v xml:space="preserve">113252.0  51329.31 53 </v>
      </c>
      <c r="B221" t="str">
        <f>IF($CM$6=0,"",IF(INDEX('⑩ 원문 보관'!$A:$E,$CM$6+ROW()-9,COLUMN())="","",INDEX('⑩ 원문 보관'!$A:$E,$CM$6+ROW()-9,COLUMN())))</f>
        <v xml:space="preserve">120017.0  51198.56 56 </v>
      </c>
      <c r="C221" t="str">
        <f>IF($CM$6=0,"",IF(INDEX('⑩ 원문 보관'!$A:$E,$CM$6+ROW()-9,COLUMN())="","",INDEX('⑩ 원문 보관'!$A:$E,$CM$6+ROW()-9,COLUMN())))</f>
        <v/>
      </c>
      <c r="D221" t="str">
        <f>IF($CM$6=0,"",IF(INDEX('⑩ 원문 보관'!$A:$E,$CM$6+ROW()-9,COLUMN())="","",INDEX('⑩ 원문 보관'!$A:$E,$CM$6+ROW()-9,COLUMN())))</f>
        <v>/ID 2666 file 34survey.b   21 IX 26</v>
      </c>
      <c r="E221" t="str">
        <f>IF($CM$6=0,"",IF(INDEX('⑩ 원문 보관'!$A:$E,$CM$6+ROW()-9,COLUMN())="","",INDEX('⑩ 원문 보관'!$A:$E,$CM$6+ROW()-9,COLUMN())))</f>
        <v/>
      </c>
      <c r="Q221">
        <f t="shared" si="120"/>
        <v>6</v>
      </c>
      <c r="R221">
        <f t="shared" si="100"/>
        <v>113252</v>
      </c>
      <c r="S221">
        <f t="shared" si="101"/>
        <v>51329.31</v>
      </c>
      <c r="T221" t="str">
        <f t="shared" si="102"/>
        <v>53</v>
      </c>
      <c r="U221">
        <f t="shared" si="103"/>
        <v>1</v>
      </c>
      <c r="V221">
        <f t="shared" si="121"/>
        <v>6</v>
      </c>
      <c r="W221">
        <f t="shared" si="104"/>
        <v>120017</v>
      </c>
      <c r="X221">
        <f t="shared" si="105"/>
        <v>51198.559999999998</v>
      </c>
      <c r="Y221" t="str">
        <f t="shared" si="106"/>
        <v>56</v>
      </c>
      <c r="Z221">
        <f t="shared" si="107"/>
        <v>1</v>
      </c>
      <c r="AA221">
        <f t="shared" si="122"/>
        <v>6</v>
      </c>
      <c r="AB221" t="str">
        <f t="shared" si="108"/>
        <v/>
      </c>
      <c r="AC221" t="str">
        <f t="shared" si="109"/>
        <v/>
      </c>
      <c r="AD221" t="str">
        <f t="shared" si="110"/>
        <v/>
      </c>
      <c r="AE221">
        <f t="shared" si="111"/>
        <v>0</v>
      </c>
      <c r="AF221">
        <f t="shared" si="123"/>
        <v>6</v>
      </c>
      <c r="AG221" t="str">
        <f t="shared" si="112"/>
        <v/>
      </c>
      <c r="AH221">
        <f t="shared" si="113"/>
        <v>2666</v>
      </c>
      <c r="AI221" t="str">
        <f t="shared" si="114"/>
        <v>file</v>
      </c>
      <c r="AJ221">
        <f t="shared" si="115"/>
        <v>0</v>
      </c>
      <c r="AK221">
        <f t="shared" si="124"/>
        <v>4</v>
      </c>
      <c r="AL221" t="str">
        <f t="shared" si="116"/>
        <v/>
      </c>
      <c r="AM221" t="str">
        <f t="shared" si="117"/>
        <v/>
      </c>
      <c r="AN221" t="str">
        <f t="shared" si="118"/>
        <v/>
      </c>
      <c r="AO221">
        <f t="shared" si="119"/>
        <v>0</v>
      </c>
    </row>
    <row r="222" spans="1:41" x14ac:dyDescent="0.4">
      <c r="A222" t="str">
        <f>IF($CM$6=0,"",IF(INDEX('⑩ 원문 보관'!$A:$E,$CM$6+ROW()-9,COLUMN())="","",INDEX('⑩ 원문 보관'!$A:$E,$CM$6+ROW()-9,COLUMN())))</f>
        <v xml:space="preserve">113257.0  51329.78 54 </v>
      </c>
      <c r="B222" t="str">
        <f>IF($CM$6=0,"",IF(INDEX('⑩ 원문 보관'!$A:$E,$CM$6+ROW()-9,COLUMN())="","",INDEX('⑩ 원문 보관'!$A:$E,$CM$6+ROW()-9,COLUMN())))</f>
        <v xml:space="preserve">120022.0  51198.94 56 </v>
      </c>
      <c r="C222" t="str">
        <f>IF($CM$6=0,"",IF(INDEX('⑩ 원문 보관'!$A:$E,$CM$6+ROW()-9,COLUMN())="","",INDEX('⑩ 원문 보관'!$A:$E,$CM$6+ROW()-9,COLUMN())))</f>
        <v/>
      </c>
      <c r="D222" t="str">
        <f>IF($CM$6=0,"",IF(INDEX('⑩ 원문 보관'!$A:$E,$CM$6+ROW()-9,COLUMN())="","",INDEX('⑩ 원문 보관'!$A:$E,$CM$6+ROW()-9,COLUMN())))</f>
        <v>/datum  57000.00</v>
      </c>
      <c r="E222" t="str">
        <f>IF($CM$6=0,"",IF(INDEX('⑩ 원문 보관'!$A:$E,$CM$6+ROW()-9,COLUMN())="","",INDEX('⑩ 원문 보관'!$A:$E,$CM$6+ROW()-9,COLUMN())))</f>
        <v/>
      </c>
      <c r="Q222">
        <f t="shared" si="120"/>
        <v>6</v>
      </c>
      <c r="R222">
        <f t="shared" si="100"/>
        <v>113257</v>
      </c>
      <c r="S222">
        <f t="shared" si="101"/>
        <v>51329.78</v>
      </c>
      <c r="T222" t="str">
        <f t="shared" si="102"/>
        <v>54</v>
      </c>
      <c r="U222">
        <f t="shared" si="103"/>
        <v>1</v>
      </c>
      <c r="V222">
        <f t="shared" si="121"/>
        <v>6</v>
      </c>
      <c r="W222">
        <f t="shared" si="104"/>
        <v>120022</v>
      </c>
      <c r="X222">
        <f t="shared" si="105"/>
        <v>51198.94</v>
      </c>
      <c r="Y222" t="str">
        <f t="shared" si="106"/>
        <v>56</v>
      </c>
      <c r="Z222">
        <f t="shared" si="107"/>
        <v>1</v>
      </c>
      <c r="AA222">
        <f t="shared" si="122"/>
        <v>6</v>
      </c>
      <c r="AB222" t="str">
        <f t="shared" si="108"/>
        <v/>
      </c>
      <c r="AC222" t="str">
        <f t="shared" si="109"/>
        <v/>
      </c>
      <c r="AD222" t="str">
        <f t="shared" si="110"/>
        <v/>
      </c>
      <c r="AE222">
        <f t="shared" si="111"/>
        <v>0</v>
      </c>
      <c r="AF222">
        <f t="shared" si="123"/>
        <v>6</v>
      </c>
      <c r="AG222" t="str">
        <f t="shared" si="112"/>
        <v/>
      </c>
      <c r="AH222">
        <f t="shared" si="113"/>
        <v>57000</v>
      </c>
      <c r="AI222" t="str">
        <f t="shared" si="114"/>
        <v/>
      </c>
      <c r="AJ222">
        <f t="shared" si="115"/>
        <v>0</v>
      </c>
      <c r="AK222">
        <f t="shared" si="124"/>
        <v>4</v>
      </c>
      <c r="AL222" t="str">
        <f t="shared" si="116"/>
        <v/>
      </c>
      <c r="AM222" t="str">
        <f t="shared" si="117"/>
        <v/>
      </c>
      <c r="AN222" t="str">
        <f t="shared" si="118"/>
        <v/>
      </c>
      <c r="AO222">
        <f t="shared" si="119"/>
        <v>0</v>
      </c>
    </row>
    <row r="223" spans="1:41" x14ac:dyDescent="0.4">
      <c r="A223" t="str">
        <f>IF($CM$6=0,"",IF(INDEX('⑩ 원문 보관'!$A:$E,$CM$6+ROW()-9,COLUMN())="","",INDEX('⑩ 원문 보관'!$A:$E,$CM$6+ROW()-9,COLUMN())))</f>
        <v xml:space="preserve">113302.0  51328.93 53 </v>
      </c>
      <c r="B223" t="str">
        <f>IF($CM$6=0,"",IF(INDEX('⑩ 원문 보관'!$A:$E,$CM$6+ROW()-9,COLUMN())="","",INDEX('⑩ 원문 보관'!$A:$E,$CM$6+ROW()-9,COLUMN())))</f>
        <v xml:space="preserve">120027.0  51198.61 55 </v>
      </c>
      <c r="C223" t="str">
        <f>IF($CM$6=0,"",IF(INDEX('⑩ 원문 보관'!$A:$E,$CM$6+ROW()-9,COLUMN())="","",INDEX('⑩ 원문 보관'!$A:$E,$CM$6+ROW()-9,COLUMN())))</f>
        <v/>
      </c>
      <c r="D223" t="str">
        <f>IF($CM$6=0,"",IF(INDEX('⑩ 원문 보관'!$A:$E,$CM$6+ROW()-9,COLUMN())="","",INDEX('⑩ 원문 보관'!$A:$E,$CM$6+ROW()-9,COLUMN())))</f>
        <v>/</v>
      </c>
      <c r="E223" t="str">
        <f>IF($CM$6=0,"",IF(INDEX('⑩ 원문 보관'!$A:$E,$CM$6+ROW()-9,COLUMN())="","",INDEX('⑩ 원문 보관'!$A:$E,$CM$6+ROW()-9,COLUMN())))</f>
        <v/>
      </c>
      <c r="Q223">
        <f t="shared" si="120"/>
        <v>6</v>
      </c>
      <c r="R223">
        <f t="shared" si="100"/>
        <v>113302</v>
      </c>
      <c r="S223">
        <f t="shared" si="101"/>
        <v>51328.93</v>
      </c>
      <c r="T223" t="str">
        <f t="shared" si="102"/>
        <v>53</v>
      </c>
      <c r="U223">
        <f t="shared" si="103"/>
        <v>1</v>
      </c>
      <c r="V223">
        <f t="shared" si="121"/>
        <v>6</v>
      </c>
      <c r="W223">
        <f t="shared" si="104"/>
        <v>120027</v>
      </c>
      <c r="X223">
        <f t="shared" si="105"/>
        <v>51198.61</v>
      </c>
      <c r="Y223" t="str">
        <f t="shared" si="106"/>
        <v>55</v>
      </c>
      <c r="Z223">
        <f t="shared" si="107"/>
        <v>1</v>
      </c>
      <c r="AA223">
        <f t="shared" si="122"/>
        <v>6</v>
      </c>
      <c r="AB223" t="str">
        <f t="shared" si="108"/>
        <v/>
      </c>
      <c r="AC223" t="str">
        <f t="shared" si="109"/>
        <v/>
      </c>
      <c r="AD223" t="str">
        <f t="shared" si="110"/>
        <v/>
      </c>
      <c r="AE223">
        <f t="shared" si="111"/>
        <v>0</v>
      </c>
      <c r="AF223">
        <f t="shared" si="123"/>
        <v>6</v>
      </c>
      <c r="AG223" t="str">
        <f t="shared" si="112"/>
        <v/>
      </c>
      <c r="AH223" t="str">
        <f t="shared" si="113"/>
        <v/>
      </c>
      <c r="AI223" t="str">
        <f t="shared" si="114"/>
        <v/>
      </c>
      <c r="AJ223">
        <f t="shared" si="115"/>
        <v>0</v>
      </c>
      <c r="AK223">
        <f t="shared" si="124"/>
        <v>4</v>
      </c>
      <c r="AL223" t="str">
        <f t="shared" si="116"/>
        <v/>
      </c>
      <c r="AM223" t="str">
        <f t="shared" si="117"/>
        <v/>
      </c>
      <c r="AN223" t="str">
        <f t="shared" si="118"/>
        <v/>
      </c>
      <c r="AO223">
        <f t="shared" si="119"/>
        <v>0</v>
      </c>
    </row>
    <row r="224" spans="1:41" x14ac:dyDescent="0.4">
      <c r="A224" t="str">
        <f>IF($CM$6=0,"",IF(INDEX('⑩ 원문 보관'!$A:$E,$CM$6+ROW()-9,COLUMN())="","",INDEX('⑩ 원문 보관'!$A:$E,$CM$6+ROW()-9,COLUMN())))</f>
        <v xml:space="preserve">113307.0  51328.82 53 </v>
      </c>
      <c r="B224" t="str">
        <f>IF($CM$6=0,"",IF(INDEX('⑩ 원문 보관'!$A:$E,$CM$6+ROW()-9,COLUMN())="","",INDEX('⑩ 원문 보관'!$A:$E,$CM$6+ROW()-9,COLUMN())))</f>
        <v xml:space="preserve">120032.0  51198.68 46 </v>
      </c>
      <c r="C224" t="str">
        <f>IF($CM$6=0,"",IF(INDEX('⑩ 원문 보관'!$A:$E,$CM$6+ROW()-9,COLUMN())="","",INDEX('⑩ 원문 보관'!$A:$E,$CM$6+ROW()-9,COLUMN())))</f>
        <v/>
      </c>
      <c r="D224" t="str">
        <f>IF($CM$6=0,"",IF(INDEX('⑩ 원문 보관'!$A:$E,$CM$6+ROW()-9,COLUMN())="","",INDEX('⑩ 원문 보관'!$A:$E,$CM$6+ROW()-9,COLUMN())))</f>
        <v/>
      </c>
      <c r="E224" t="str">
        <f>IF($CM$6=0,"",IF(INDEX('⑩ 원문 보관'!$A:$E,$CM$6+ROW()-9,COLUMN())="","",INDEX('⑩ 원문 보관'!$A:$E,$CM$6+ROW()-9,COLUMN())))</f>
        <v/>
      </c>
      <c r="Q224">
        <f t="shared" si="120"/>
        <v>6</v>
      </c>
      <c r="R224">
        <f t="shared" si="100"/>
        <v>113307</v>
      </c>
      <c r="S224">
        <f t="shared" si="101"/>
        <v>51328.82</v>
      </c>
      <c r="T224" t="str">
        <f t="shared" si="102"/>
        <v>53</v>
      </c>
      <c r="U224">
        <f t="shared" si="103"/>
        <v>1</v>
      </c>
      <c r="V224">
        <f t="shared" si="121"/>
        <v>6</v>
      </c>
      <c r="W224">
        <f t="shared" si="104"/>
        <v>120032</v>
      </c>
      <c r="X224">
        <f t="shared" si="105"/>
        <v>51198.68</v>
      </c>
      <c r="Y224" t="str">
        <f t="shared" si="106"/>
        <v>46</v>
      </c>
      <c r="Z224">
        <f t="shared" si="107"/>
        <v>1</v>
      </c>
      <c r="AA224">
        <f t="shared" si="122"/>
        <v>6</v>
      </c>
      <c r="AB224" t="str">
        <f t="shared" si="108"/>
        <v/>
      </c>
      <c r="AC224" t="str">
        <f t="shared" si="109"/>
        <v/>
      </c>
      <c r="AD224" t="str">
        <f t="shared" si="110"/>
        <v/>
      </c>
      <c r="AE224">
        <f t="shared" si="111"/>
        <v>0</v>
      </c>
      <c r="AF224">
        <f t="shared" si="123"/>
        <v>6</v>
      </c>
      <c r="AG224" t="str">
        <f t="shared" si="112"/>
        <v/>
      </c>
      <c r="AH224" t="str">
        <f t="shared" si="113"/>
        <v/>
      </c>
      <c r="AI224" t="str">
        <f t="shared" si="114"/>
        <v/>
      </c>
      <c r="AJ224">
        <f t="shared" si="115"/>
        <v>0</v>
      </c>
      <c r="AK224">
        <f t="shared" si="124"/>
        <v>4</v>
      </c>
      <c r="AL224" t="str">
        <f t="shared" si="116"/>
        <v/>
      </c>
      <c r="AM224" t="str">
        <f t="shared" si="117"/>
        <v/>
      </c>
      <c r="AN224" t="str">
        <f t="shared" si="118"/>
        <v/>
      </c>
      <c r="AO224">
        <f t="shared" si="119"/>
        <v>0</v>
      </c>
    </row>
    <row r="225" spans="1:41" x14ac:dyDescent="0.4">
      <c r="A225" t="str">
        <f>IF($CM$6=0,"",IF(INDEX('⑩ 원문 보관'!$A:$E,$CM$6+ROW()-9,COLUMN())="","",INDEX('⑩ 원문 보관'!$A:$E,$CM$6+ROW()-9,COLUMN())))</f>
        <v xml:space="preserve">113312.0  51328.50 43 </v>
      </c>
      <c r="B225" t="str">
        <f>IF($CM$6=0,"",IF(INDEX('⑩ 원문 보관'!$A:$E,$CM$6+ROW()-9,COLUMN())="","",INDEX('⑩ 원문 보관'!$A:$E,$CM$6+ROW()-9,COLUMN())))</f>
        <v xml:space="preserve">120037.0  51199.74 57 </v>
      </c>
      <c r="C225" t="str">
        <f>IF($CM$6=0,"",IF(INDEX('⑩ 원문 보관'!$A:$E,$CM$6+ROW()-9,COLUMN())="","",INDEX('⑩ 원문 보관'!$A:$E,$CM$6+ROW()-9,COLUMN())))</f>
        <v/>
      </c>
      <c r="D225" t="str">
        <f>IF($CM$6=0,"",IF(INDEX('⑩ 원문 보관'!$A:$E,$CM$6+ROW()-9,COLUMN())="","",INDEX('⑩ 원문 보관'!$A:$E,$CM$6+ROW()-9,COLUMN())))</f>
        <v xml:space="preserve">/time nT sq </v>
      </c>
      <c r="E225" t="str">
        <f>IF($CM$6=0,"",IF(INDEX('⑩ 원문 보관'!$A:$E,$CM$6+ROW()-9,COLUMN())="","",INDEX('⑩ 원문 보관'!$A:$E,$CM$6+ROW()-9,COLUMN())))</f>
        <v/>
      </c>
      <c r="Q225">
        <f t="shared" si="120"/>
        <v>6</v>
      </c>
      <c r="R225">
        <f t="shared" si="100"/>
        <v>113312</v>
      </c>
      <c r="S225">
        <f t="shared" si="101"/>
        <v>51328.5</v>
      </c>
      <c r="T225" t="str">
        <f t="shared" si="102"/>
        <v>43</v>
      </c>
      <c r="U225">
        <f t="shared" si="103"/>
        <v>1</v>
      </c>
      <c r="V225">
        <f t="shared" si="121"/>
        <v>6</v>
      </c>
      <c r="W225">
        <f t="shared" si="104"/>
        <v>120037</v>
      </c>
      <c r="X225">
        <f t="shared" si="105"/>
        <v>51199.74</v>
      </c>
      <c r="Y225" t="str">
        <f t="shared" si="106"/>
        <v>57</v>
      </c>
      <c r="Z225">
        <f t="shared" si="107"/>
        <v>1</v>
      </c>
      <c r="AA225">
        <f t="shared" si="122"/>
        <v>6</v>
      </c>
      <c r="AB225" t="str">
        <f t="shared" si="108"/>
        <v/>
      </c>
      <c r="AC225" t="str">
        <f t="shared" si="109"/>
        <v/>
      </c>
      <c r="AD225" t="str">
        <f t="shared" si="110"/>
        <v/>
      </c>
      <c r="AE225">
        <f t="shared" si="111"/>
        <v>0</v>
      </c>
      <c r="AF225">
        <f t="shared" si="123"/>
        <v>7</v>
      </c>
      <c r="AG225" t="str">
        <f t="shared" si="112"/>
        <v/>
      </c>
      <c r="AH225" t="str">
        <f t="shared" si="113"/>
        <v/>
      </c>
      <c r="AI225" t="str">
        <f t="shared" si="114"/>
        <v>sq</v>
      </c>
      <c r="AJ225">
        <f t="shared" si="115"/>
        <v>0</v>
      </c>
      <c r="AK225">
        <f t="shared" si="124"/>
        <v>4</v>
      </c>
      <c r="AL225" t="str">
        <f t="shared" si="116"/>
        <v/>
      </c>
      <c r="AM225" t="str">
        <f t="shared" si="117"/>
        <v/>
      </c>
      <c r="AN225" t="str">
        <f t="shared" si="118"/>
        <v/>
      </c>
      <c r="AO225">
        <f t="shared" si="119"/>
        <v>0</v>
      </c>
    </row>
    <row r="226" spans="1:41" x14ac:dyDescent="0.4">
      <c r="A226" t="str">
        <f>IF($CM$6=0,"",IF(INDEX('⑩ 원문 보관'!$A:$E,$CM$6+ROW()-9,COLUMN())="","",INDEX('⑩ 원문 보관'!$A:$E,$CM$6+ROW()-9,COLUMN())))</f>
        <v xml:space="preserve">113317.0  51328.38 33 </v>
      </c>
      <c r="B226" t="str">
        <f>IF($CM$6=0,"",IF(INDEX('⑩ 원문 보관'!$A:$E,$CM$6+ROW()-9,COLUMN())="","",INDEX('⑩ 원문 보관'!$A:$E,$CM$6+ROW()-9,COLUMN())))</f>
        <v xml:space="preserve">120042.0  51198.90 56 </v>
      </c>
      <c r="C226" t="str">
        <f>IF($CM$6=0,"",IF(INDEX('⑩ 원문 보관'!$A:$E,$CM$6+ROW()-9,COLUMN())="","",INDEX('⑩ 원문 보관'!$A:$E,$CM$6+ROW()-9,COLUMN())))</f>
        <v/>
      </c>
      <c r="D226" t="str">
        <f>IF($CM$6=0,"",IF(INDEX('⑩ 원문 보관'!$A:$E,$CM$6+ROW()-9,COLUMN())="","",INDEX('⑩ 원문 보관'!$A:$E,$CM$6+ROW()-9,COLUMN())))</f>
        <v xml:space="preserve">125152.0  51581.12 67 </v>
      </c>
      <c r="E226" t="str">
        <f>IF($CM$6=0,"",IF(INDEX('⑩ 원문 보관'!$A:$E,$CM$6+ROW()-9,COLUMN())="","",INDEX('⑩ 원문 보관'!$A:$E,$CM$6+ROW()-9,COLUMN())))</f>
        <v/>
      </c>
      <c r="Q226">
        <f t="shared" si="120"/>
        <v>6</v>
      </c>
      <c r="R226">
        <f t="shared" si="100"/>
        <v>113317</v>
      </c>
      <c r="S226">
        <f t="shared" si="101"/>
        <v>51328.38</v>
      </c>
      <c r="T226" t="str">
        <f t="shared" si="102"/>
        <v>33</v>
      </c>
      <c r="U226">
        <f t="shared" si="103"/>
        <v>1</v>
      </c>
      <c r="V226">
        <f t="shared" si="121"/>
        <v>6</v>
      </c>
      <c r="W226">
        <f t="shared" si="104"/>
        <v>120042</v>
      </c>
      <c r="X226">
        <f t="shared" si="105"/>
        <v>51198.9</v>
      </c>
      <c r="Y226" t="str">
        <f t="shared" si="106"/>
        <v>56</v>
      </c>
      <c r="Z226">
        <f t="shared" si="107"/>
        <v>1</v>
      </c>
      <c r="AA226">
        <f t="shared" si="122"/>
        <v>6</v>
      </c>
      <c r="AB226" t="str">
        <f t="shared" si="108"/>
        <v/>
      </c>
      <c r="AC226" t="str">
        <f t="shared" si="109"/>
        <v/>
      </c>
      <c r="AD226" t="str">
        <f t="shared" si="110"/>
        <v/>
      </c>
      <c r="AE226">
        <f t="shared" si="111"/>
        <v>0</v>
      </c>
      <c r="AF226">
        <f t="shared" si="123"/>
        <v>7</v>
      </c>
      <c r="AG226">
        <f t="shared" si="112"/>
        <v>125152</v>
      </c>
      <c r="AH226">
        <f t="shared" si="113"/>
        <v>51581.120000000003</v>
      </c>
      <c r="AI226" t="str">
        <f t="shared" si="114"/>
        <v>67</v>
      </c>
      <c r="AJ226">
        <f t="shared" si="115"/>
        <v>1</v>
      </c>
      <c r="AK226">
        <f t="shared" si="124"/>
        <v>4</v>
      </c>
      <c r="AL226" t="str">
        <f t="shared" si="116"/>
        <v/>
      </c>
      <c r="AM226" t="str">
        <f t="shared" si="117"/>
        <v/>
      </c>
      <c r="AN226" t="str">
        <f t="shared" si="118"/>
        <v/>
      </c>
      <c r="AO226">
        <f t="shared" si="119"/>
        <v>0</v>
      </c>
    </row>
    <row r="227" spans="1:41" x14ac:dyDescent="0.4">
      <c r="A227" t="str">
        <f>IF($CM$6=0,"",IF(INDEX('⑩ 원문 보관'!$A:$E,$CM$6+ROW()-9,COLUMN())="","",INDEX('⑩ 원문 보관'!$A:$E,$CM$6+ROW()-9,COLUMN())))</f>
        <v xml:space="preserve">113322.0  51329.70 53 </v>
      </c>
      <c r="B227" t="str">
        <f>IF($CM$6=0,"",IF(INDEX('⑩ 원문 보관'!$A:$E,$CM$6+ROW()-9,COLUMN())="","",INDEX('⑩ 원문 보관'!$A:$E,$CM$6+ROW()-9,COLUMN())))</f>
        <v xml:space="preserve">120047.0  51198.74 45 </v>
      </c>
      <c r="C227" t="str">
        <f>IF($CM$6=0,"",IF(INDEX('⑩ 원문 보관'!$A:$E,$CM$6+ROW()-9,COLUMN())="","",INDEX('⑩ 원문 보관'!$A:$E,$CM$6+ROW()-9,COLUMN())))</f>
        <v/>
      </c>
      <c r="D227" t="str">
        <f>IF($CM$6=0,"",IF(INDEX('⑩ 원문 보관'!$A:$E,$CM$6+ROW()-9,COLUMN())="","",INDEX('⑩ 원문 보관'!$A:$E,$CM$6+ROW()-9,COLUMN())))</f>
        <v xml:space="preserve">125157.0  51578.48 67 </v>
      </c>
      <c r="E227" t="str">
        <f>IF($CM$6=0,"",IF(INDEX('⑩ 원문 보관'!$A:$E,$CM$6+ROW()-9,COLUMN())="","",INDEX('⑩ 원문 보관'!$A:$E,$CM$6+ROW()-9,COLUMN())))</f>
        <v/>
      </c>
      <c r="Q227">
        <f t="shared" si="120"/>
        <v>6</v>
      </c>
      <c r="R227">
        <f t="shared" si="100"/>
        <v>113322</v>
      </c>
      <c r="S227">
        <f t="shared" si="101"/>
        <v>51329.7</v>
      </c>
      <c r="T227" t="str">
        <f t="shared" si="102"/>
        <v>53</v>
      </c>
      <c r="U227">
        <f t="shared" si="103"/>
        <v>1</v>
      </c>
      <c r="V227">
        <f t="shared" si="121"/>
        <v>6</v>
      </c>
      <c r="W227">
        <f t="shared" si="104"/>
        <v>120047</v>
      </c>
      <c r="X227">
        <f t="shared" si="105"/>
        <v>51198.74</v>
      </c>
      <c r="Y227" t="str">
        <f t="shared" si="106"/>
        <v>45</v>
      </c>
      <c r="Z227">
        <f t="shared" si="107"/>
        <v>1</v>
      </c>
      <c r="AA227">
        <f t="shared" si="122"/>
        <v>6</v>
      </c>
      <c r="AB227" t="str">
        <f t="shared" si="108"/>
        <v/>
      </c>
      <c r="AC227" t="str">
        <f t="shared" si="109"/>
        <v/>
      </c>
      <c r="AD227" t="str">
        <f t="shared" si="110"/>
        <v/>
      </c>
      <c r="AE227">
        <f t="shared" si="111"/>
        <v>0</v>
      </c>
      <c r="AF227">
        <f t="shared" si="123"/>
        <v>7</v>
      </c>
      <c r="AG227">
        <f t="shared" si="112"/>
        <v>125157</v>
      </c>
      <c r="AH227">
        <f t="shared" si="113"/>
        <v>51578.48</v>
      </c>
      <c r="AI227" t="str">
        <f t="shared" si="114"/>
        <v>67</v>
      </c>
      <c r="AJ227">
        <f t="shared" si="115"/>
        <v>1</v>
      </c>
      <c r="AK227">
        <f t="shared" si="124"/>
        <v>4</v>
      </c>
      <c r="AL227" t="str">
        <f t="shared" si="116"/>
        <v/>
      </c>
      <c r="AM227" t="str">
        <f t="shared" si="117"/>
        <v/>
      </c>
      <c r="AN227" t="str">
        <f t="shared" si="118"/>
        <v/>
      </c>
      <c r="AO227">
        <f t="shared" si="119"/>
        <v>0</v>
      </c>
    </row>
    <row r="228" spans="1:41" x14ac:dyDescent="0.4">
      <c r="A228" t="str">
        <f>IF($CM$6=0,"",IF(INDEX('⑩ 원문 보관'!$A:$E,$CM$6+ROW()-9,COLUMN())="","",INDEX('⑩ 원문 보관'!$A:$E,$CM$6+ROW()-9,COLUMN())))</f>
        <v xml:space="preserve">113327.0  51329.44 33 </v>
      </c>
      <c r="B228" t="str">
        <f>IF($CM$6=0,"",IF(INDEX('⑩ 원문 보관'!$A:$E,$CM$6+ROW()-9,COLUMN())="","",INDEX('⑩ 원문 보관'!$A:$E,$CM$6+ROW()-9,COLUMN())))</f>
        <v xml:space="preserve">120052.0  51200.44 46 </v>
      </c>
      <c r="C228" t="str">
        <f>IF($CM$6=0,"",IF(INDEX('⑩ 원문 보관'!$A:$E,$CM$6+ROW()-9,COLUMN())="","",INDEX('⑩ 원문 보관'!$A:$E,$CM$6+ROW()-9,COLUMN())))</f>
        <v/>
      </c>
      <c r="D228" t="str">
        <f>IF($CM$6=0,"",IF(INDEX('⑩ 원문 보관'!$A:$E,$CM$6+ROW()-9,COLUMN())="","",INDEX('⑩ 원문 보관'!$A:$E,$CM$6+ROW()-9,COLUMN())))</f>
        <v xml:space="preserve">125202.0  51578.03 57 </v>
      </c>
      <c r="E228" t="str">
        <f>IF($CM$6=0,"",IF(INDEX('⑩ 원문 보관'!$A:$E,$CM$6+ROW()-9,COLUMN())="","",INDEX('⑩ 원문 보관'!$A:$E,$CM$6+ROW()-9,COLUMN())))</f>
        <v/>
      </c>
      <c r="Q228">
        <f t="shared" si="120"/>
        <v>6</v>
      </c>
      <c r="R228">
        <f t="shared" si="100"/>
        <v>113327</v>
      </c>
      <c r="S228">
        <f t="shared" si="101"/>
        <v>51329.440000000002</v>
      </c>
      <c r="T228" t="str">
        <f t="shared" si="102"/>
        <v>33</v>
      </c>
      <c r="U228">
        <f t="shared" si="103"/>
        <v>1</v>
      </c>
      <c r="V228">
        <f t="shared" si="121"/>
        <v>6</v>
      </c>
      <c r="W228">
        <f t="shared" si="104"/>
        <v>120052</v>
      </c>
      <c r="X228">
        <f t="shared" si="105"/>
        <v>51200.44</v>
      </c>
      <c r="Y228" t="str">
        <f t="shared" si="106"/>
        <v>46</v>
      </c>
      <c r="Z228">
        <f t="shared" si="107"/>
        <v>1</v>
      </c>
      <c r="AA228">
        <f t="shared" si="122"/>
        <v>6</v>
      </c>
      <c r="AB228" t="str">
        <f t="shared" si="108"/>
        <v/>
      </c>
      <c r="AC228" t="str">
        <f t="shared" si="109"/>
        <v/>
      </c>
      <c r="AD228" t="str">
        <f t="shared" si="110"/>
        <v/>
      </c>
      <c r="AE228">
        <f t="shared" si="111"/>
        <v>0</v>
      </c>
      <c r="AF228">
        <f t="shared" si="123"/>
        <v>7</v>
      </c>
      <c r="AG228">
        <f t="shared" si="112"/>
        <v>125202</v>
      </c>
      <c r="AH228">
        <f t="shared" si="113"/>
        <v>51578.03</v>
      </c>
      <c r="AI228" t="str">
        <f t="shared" si="114"/>
        <v>57</v>
      </c>
      <c r="AJ228">
        <f t="shared" si="115"/>
        <v>1</v>
      </c>
      <c r="AK228">
        <f t="shared" si="124"/>
        <v>4</v>
      </c>
      <c r="AL228" t="str">
        <f t="shared" si="116"/>
        <v/>
      </c>
      <c r="AM228" t="str">
        <f t="shared" si="117"/>
        <v/>
      </c>
      <c r="AN228" t="str">
        <f t="shared" si="118"/>
        <v/>
      </c>
      <c r="AO228">
        <f t="shared" si="119"/>
        <v>0</v>
      </c>
    </row>
    <row r="229" spans="1:41" x14ac:dyDescent="0.4">
      <c r="A229" t="str">
        <f>IF($CM$6=0,"",IF(INDEX('⑩ 원문 보관'!$A:$E,$CM$6+ROW()-9,COLUMN())="","",INDEX('⑩ 원문 보관'!$A:$E,$CM$6+ROW()-9,COLUMN())))</f>
        <v xml:space="preserve">113332.0  51329.45 43 </v>
      </c>
      <c r="B229" t="str">
        <f>IF($CM$6=0,"",IF(INDEX('⑩ 원문 보관'!$A:$E,$CM$6+ROW()-9,COLUMN())="","",INDEX('⑩ 원문 보관'!$A:$E,$CM$6+ROW()-9,COLUMN())))</f>
        <v xml:space="preserve">120057.0  51199.30 46 </v>
      </c>
      <c r="C229" t="str">
        <f>IF($CM$6=0,"",IF(INDEX('⑩ 원문 보관'!$A:$E,$CM$6+ROW()-9,COLUMN())="","",INDEX('⑩ 원문 보관'!$A:$E,$CM$6+ROW()-9,COLUMN())))</f>
        <v/>
      </c>
      <c r="D229" t="str">
        <f>IF($CM$6=0,"",IF(INDEX('⑩ 원문 보관'!$A:$E,$CM$6+ROW()-9,COLUMN())="","",INDEX('⑩ 원문 보관'!$A:$E,$CM$6+ROW()-9,COLUMN())))</f>
        <v xml:space="preserve">125207.0  51578.92 47 </v>
      </c>
      <c r="E229" t="str">
        <f>IF($CM$6=0,"",IF(INDEX('⑩ 원문 보관'!$A:$E,$CM$6+ROW()-9,COLUMN())="","",INDEX('⑩ 원문 보관'!$A:$E,$CM$6+ROW()-9,COLUMN())))</f>
        <v/>
      </c>
      <c r="Q229">
        <f t="shared" si="120"/>
        <v>6</v>
      </c>
      <c r="R229">
        <f t="shared" si="100"/>
        <v>113332</v>
      </c>
      <c r="S229">
        <f t="shared" si="101"/>
        <v>51329.45</v>
      </c>
      <c r="T229" t="str">
        <f t="shared" si="102"/>
        <v>43</v>
      </c>
      <c r="U229">
        <f t="shared" si="103"/>
        <v>1</v>
      </c>
      <c r="V229">
        <f t="shared" si="121"/>
        <v>6</v>
      </c>
      <c r="W229">
        <f t="shared" si="104"/>
        <v>120057</v>
      </c>
      <c r="X229">
        <f t="shared" si="105"/>
        <v>51199.3</v>
      </c>
      <c r="Y229" t="str">
        <f t="shared" si="106"/>
        <v>46</v>
      </c>
      <c r="Z229">
        <f t="shared" si="107"/>
        <v>1</v>
      </c>
      <c r="AA229">
        <f t="shared" si="122"/>
        <v>6</v>
      </c>
      <c r="AB229" t="str">
        <f t="shared" si="108"/>
        <v/>
      </c>
      <c r="AC229" t="str">
        <f t="shared" si="109"/>
        <v/>
      </c>
      <c r="AD229" t="str">
        <f t="shared" si="110"/>
        <v/>
      </c>
      <c r="AE229">
        <f t="shared" si="111"/>
        <v>0</v>
      </c>
      <c r="AF229">
        <f t="shared" si="123"/>
        <v>7</v>
      </c>
      <c r="AG229">
        <f t="shared" si="112"/>
        <v>125207</v>
      </c>
      <c r="AH229">
        <f t="shared" si="113"/>
        <v>51578.92</v>
      </c>
      <c r="AI229" t="str">
        <f t="shared" si="114"/>
        <v>47</v>
      </c>
      <c r="AJ229">
        <f t="shared" si="115"/>
        <v>1</v>
      </c>
      <c r="AK229">
        <f t="shared" si="124"/>
        <v>4</v>
      </c>
      <c r="AL229" t="str">
        <f t="shared" si="116"/>
        <v/>
      </c>
      <c r="AM229" t="str">
        <f t="shared" si="117"/>
        <v/>
      </c>
      <c r="AN229" t="str">
        <f t="shared" si="118"/>
        <v/>
      </c>
      <c r="AO229">
        <f t="shared" si="119"/>
        <v>0</v>
      </c>
    </row>
    <row r="230" spans="1:41" x14ac:dyDescent="0.4">
      <c r="A230" t="str">
        <f>IF($CM$6=0,"",IF(INDEX('⑩ 원문 보관'!$A:$E,$CM$6+ROW()-9,COLUMN())="","",INDEX('⑩ 원문 보관'!$A:$E,$CM$6+ROW()-9,COLUMN())))</f>
        <v xml:space="preserve">113337.0  51330.22 43 </v>
      </c>
      <c r="B230" t="str">
        <f>IF($CM$6=0,"",IF(INDEX('⑩ 원문 보관'!$A:$E,$CM$6+ROW()-9,COLUMN())="","",INDEX('⑩ 원문 보관'!$A:$E,$CM$6+ROW()-9,COLUMN())))</f>
        <v xml:space="preserve">120102.0  51199.08 46 </v>
      </c>
      <c r="C230" t="str">
        <f>IF($CM$6=0,"",IF(INDEX('⑩ 원문 보관'!$A:$E,$CM$6+ROW()-9,COLUMN())="","",INDEX('⑩ 원문 보관'!$A:$E,$CM$6+ROW()-9,COLUMN())))</f>
        <v/>
      </c>
      <c r="D230" t="str">
        <f>IF($CM$6=0,"",IF(INDEX('⑩ 원문 보관'!$A:$E,$CM$6+ROW()-9,COLUMN())="","",INDEX('⑩ 원문 보관'!$A:$E,$CM$6+ROW()-9,COLUMN())))</f>
        <v xml:space="preserve">125212.0  51578.39 57 </v>
      </c>
      <c r="E230" t="str">
        <f>IF($CM$6=0,"",IF(INDEX('⑩ 원문 보관'!$A:$E,$CM$6+ROW()-9,COLUMN())="","",INDEX('⑩ 원문 보관'!$A:$E,$CM$6+ROW()-9,COLUMN())))</f>
        <v/>
      </c>
      <c r="Q230">
        <f t="shared" si="120"/>
        <v>6</v>
      </c>
      <c r="R230">
        <f t="shared" si="100"/>
        <v>113337</v>
      </c>
      <c r="S230">
        <f t="shared" si="101"/>
        <v>51330.22</v>
      </c>
      <c r="T230" t="str">
        <f t="shared" si="102"/>
        <v>43</v>
      </c>
      <c r="U230">
        <f t="shared" si="103"/>
        <v>1</v>
      </c>
      <c r="V230">
        <f t="shared" si="121"/>
        <v>6</v>
      </c>
      <c r="W230">
        <f t="shared" si="104"/>
        <v>120102</v>
      </c>
      <c r="X230">
        <f t="shared" si="105"/>
        <v>51199.08</v>
      </c>
      <c r="Y230" t="str">
        <f t="shared" si="106"/>
        <v>46</v>
      </c>
      <c r="Z230">
        <f t="shared" si="107"/>
        <v>1</v>
      </c>
      <c r="AA230">
        <f t="shared" si="122"/>
        <v>6</v>
      </c>
      <c r="AB230" t="str">
        <f t="shared" si="108"/>
        <v/>
      </c>
      <c r="AC230" t="str">
        <f t="shared" si="109"/>
        <v/>
      </c>
      <c r="AD230" t="str">
        <f t="shared" si="110"/>
        <v/>
      </c>
      <c r="AE230">
        <f t="shared" si="111"/>
        <v>0</v>
      </c>
      <c r="AF230">
        <f t="shared" si="123"/>
        <v>7</v>
      </c>
      <c r="AG230">
        <f t="shared" si="112"/>
        <v>125212</v>
      </c>
      <c r="AH230">
        <f t="shared" si="113"/>
        <v>51578.39</v>
      </c>
      <c r="AI230" t="str">
        <f t="shared" si="114"/>
        <v>57</v>
      </c>
      <c r="AJ230">
        <f t="shared" si="115"/>
        <v>1</v>
      </c>
      <c r="AK230">
        <f t="shared" si="124"/>
        <v>4</v>
      </c>
      <c r="AL230" t="str">
        <f t="shared" si="116"/>
        <v/>
      </c>
      <c r="AM230" t="str">
        <f t="shared" si="117"/>
        <v/>
      </c>
      <c r="AN230" t="str">
        <f t="shared" si="118"/>
        <v/>
      </c>
      <c r="AO230">
        <f t="shared" si="119"/>
        <v>0</v>
      </c>
    </row>
    <row r="231" spans="1:41" x14ac:dyDescent="0.4">
      <c r="A231" t="str">
        <f>IF($CM$6=0,"",IF(INDEX('⑩ 원문 보관'!$A:$E,$CM$6+ROW()-9,COLUMN())="","",INDEX('⑩ 원문 보관'!$A:$E,$CM$6+ROW()-9,COLUMN())))</f>
        <v xml:space="preserve">113342.0  51328.96 33 </v>
      </c>
      <c r="B231" t="str">
        <f>IF($CM$6=0,"",IF(INDEX('⑩ 원문 보관'!$A:$E,$CM$6+ROW()-9,COLUMN())="","",INDEX('⑩ 원문 보관'!$A:$E,$CM$6+ROW()-9,COLUMN())))</f>
        <v xml:space="preserve">120107.0  51198.85 56 </v>
      </c>
      <c r="C231" t="str">
        <f>IF($CM$6=0,"",IF(INDEX('⑩ 원문 보관'!$A:$E,$CM$6+ROW()-9,COLUMN())="","",INDEX('⑩ 원문 보관'!$A:$E,$CM$6+ROW()-9,COLUMN())))</f>
        <v/>
      </c>
      <c r="D231" t="str">
        <f>IF($CM$6=0,"",IF(INDEX('⑩ 원문 보관'!$A:$E,$CM$6+ROW()-9,COLUMN())="","",INDEX('⑩ 원문 보관'!$A:$E,$CM$6+ROW()-9,COLUMN())))</f>
        <v xml:space="preserve">125217.0  51578.79 68 </v>
      </c>
      <c r="E231" t="str">
        <f>IF($CM$6=0,"",IF(INDEX('⑩ 원문 보관'!$A:$E,$CM$6+ROW()-9,COLUMN())="","",INDEX('⑩ 원문 보관'!$A:$E,$CM$6+ROW()-9,COLUMN())))</f>
        <v/>
      </c>
      <c r="Q231">
        <f t="shared" si="120"/>
        <v>6</v>
      </c>
      <c r="R231">
        <f t="shared" si="100"/>
        <v>113342</v>
      </c>
      <c r="S231">
        <f t="shared" si="101"/>
        <v>51328.959999999999</v>
      </c>
      <c r="T231" t="str">
        <f t="shared" si="102"/>
        <v>33</v>
      </c>
      <c r="U231">
        <f t="shared" si="103"/>
        <v>1</v>
      </c>
      <c r="V231">
        <f t="shared" si="121"/>
        <v>6</v>
      </c>
      <c r="W231">
        <f t="shared" si="104"/>
        <v>120107</v>
      </c>
      <c r="X231">
        <f t="shared" si="105"/>
        <v>51198.85</v>
      </c>
      <c r="Y231" t="str">
        <f t="shared" si="106"/>
        <v>56</v>
      </c>
      <c r="Z231">
        <f t="shared" si="107"/>
        <v>1</v>
      </c>
      <c r="AA231">
        <f t="shared" si="122"/>
        <v>6</v>
      </c>
      <c r="AB231" t="str">
        <f t="shared" si="108"/>
        <v/>
      </c>
      <c r="AC231" t="str">
        <f t="shared" si="109"/>
        <v/>
      </c>
      <c r="AD231" t="str">
        <f t="shared" si="110"/>
        <v/>
      </c>
      <c r="AE231">
        <f t="shared" si="111"/>
        <v>0</v>
      </c>
      <c r="AF231">
        <f t="shared" si="123"/>
        <v>7</v>
      </c>
      <c r="AG231">
        <f t="shared" si="112"/>
        <v>125217</v>
      </c>
      <c r="AH231">
        <f t="shared" si="113"/>
        <v>51578.79</v>
      </c>
      <c r="AI231" t="str">
        <f t="shared" si="114"/>
        <v>68</v>
      </c>
      <c r="AJ231">
        <f t="shared" si="115"/>
        <v>1</v>
      </c>
      <c r="AK231">
        <f t="shared" si="124"/>
        <v>4</v>
      </c>
      <c r="AL231" t="str">
        <f t="shared" si="116"/>
        <v/>
      </c>
      <c r="AM231" t="str">
        <f t="shared" si="117"/>
        <v/>
      </c>
      <c r="AN231" t="str">
        <f t="shared" si="118"/>
        <v/>
      </c>
      <c r="AO231">
        <f t="shared" si="119"/>
        <v>0</v>
      </c>
    </row>
    <row r="232" spans="1:41" x14ac:dyDescent="0.4">
      <c r="A232" t="str">
        <f>IF($CM$6=0,"",IF(INDEX('⑩ 원문 보관'!$A:$E,$CM$6+ROW()-9,COLUMN())="","",INDEX('⑩ 원문 보관'!$A:$E,$CM$6+ROW()-9,COLUMN())))</f>
        <v xml:space="preserve">113347.0  51328.08 43 </v>
      </c>
      <c r="B232" t="str">
        <f>IF($CM$6=0,"",IF(INDEX('⑩ 원문 보관'!$A:$E,$CM$6+ROW()-9,COLUMN())="","",INDEX('⑩ 원문 보관'!$A:$E,$CM$6+ROW()-9,COLUMN())))</f>
        <v xml:space="preserve">120112.0  51199.55 46 </v>
      </c>
      <c r="C232" t="str">
        <f>IF($CM$6=0,"",IF(INDEX('⑩ 원문 보관'!$A:$E,$CM$6+ROW()-9,COLUMN())="","",INDEX('⑩ 원문 보관'!$A:$E,$CM$6+ROW()-9,COLUMN())))</f>
        <v/>
      </c>
      <c r="D232" t="str">
        <f>IF($CM$6=0,"",IF(INDEX('⑩ 원문 보관'!$A:$E,$CM$6+ROW()-9,COLUMN())="","",INDEX('⑩ 원문 보관'!$A:$E,$CM$6+ROW()-9,COLUMN())))</f>
        <v xml:space="preserve">125222.0  51579.18 68 </v>
      </c>
      <c r="E232" t="str">
        <f>IF($CM$6=0,"",IF(INDEX('⑩ 원문 보관'!$A:$E,$CM$6+ROW()-9,COLUMN())="","",INDEX('⑩ 원문 보관'!$A:$E,$CM$6+ROW()-9,COLUMN())))</f>
        <v/>
      </c>
      <c r="Q232">
        <f t="shared" si="120"/>
        <v>6</v>
      </c>
      <c r="R232">
        <f t="shared" si="100"/>
        <v>113347</v>
      </c>
      <c r="S232">
        <f t="shared" si="101"/>
        <v>51328.08</v>
      </c>
      <c r="T232" t="str">
        <f t="shared" si="102"/>
        <v>43</v>
      </c>
      <c r="U232">
        <f t="shared" si="103"/>
        <v>1</v>
      </c>
      <c r="V232">
        <f t="shared" si="121"/>
        <v>6</v>
      </c>
      <c r="W232">
        <f t="shared" si="104"/>
        <v>120112</v>
      </c>
      <c r="X232">
        <f t="shared" si="105"/>
        <v>51199.55</v>
      </c>
      <c r="Y232" t="str">
        <f t="shared" si="106"/>
        <v>46</v>
      </c>
      <c r="Z232">
        <f t="shared" si="107"/>
        <v>1</v>
      </c>
      <c r="AA232">
        <f t="shared" si="122"/>
        <v>6</v>
      </c>
      <c r="AB232" t="str">
        <f t="shared" si="108"/>
        <v/>
      </c>
      <c r="AC232" t="str">
        <f t="shared" si="109"/>
        <v/>
      </c>
      <c r="AD232" t="str">
        <f t="shared" si="110"/>
        <v/>
      </c>
      <c r="AE232">
        <f t="shared" si="111"/>
        <v>0</v>
      </c>
      <c r="AF232">
        <f t="shared" si="123"/>
        <v>7</v>
      </c>
      <c r="AG232">
        <f t="shared" si="112"/>
        <v>125222</v>
      </c>
      <c r="AH232">
        <f t="shared" si="113"/>
        <v>51579.18</v>
      </c>
      <c r="AI232" t="str">
        <f t="shared" si="114"/>
        <v>68</v>
      </c>
      <c r="AJ232">
        <f t="shared" si="115"/>
        <v>1</v>
      </c>
      <c r="AK232">
        <f t="shared" si="124"/>
        <v>4</v>
      </c>
      <c r="AL232" t="str">
        <f t="shared" si="116"/>
        <v/>
      </c>
      <c r="AM232" t="str">
        <f t="shared" si="117"/>
        <v/>
      </c>
      <c r="AN232" t="str">
        <f t="shared" si="118"/>
        <v/>
      </c>
      <c r="AO232">
        <f t="shared" si="119"/>
        <v>0</v>
      </c>
    </row>
    <row r="233" spans="1:41" x14ac:dyDescent="0.4">
      <c r="A233" t="str">
        <f>IF($CM$6=0,"",IF(INDEX('⑩ 원문 보관'!$A:$E,$CM$6+ROW()-9,COLUMN())="","",INDEX('⑩ 원문 보관'!$A:$E,$CM$6+ROW()-9,COLUMN())))</f>
        <v xml:space="preserve">113352.0  51332.82 63 </v>
      </c>
      <c r="B233" t="str">
        <f>IF($CM$6=0,"",IF(INDEX('⑩ 원문 보관'!$A:$E,$CM$6+ROW()-9,COLUMN())="","",INDEX('⑩ 원문 보관'!$A:$E,$CM$6+ROW()-9,COLUMN())))</f>
        <v xml:space="preserve">120117.0  51200.77 57 </v>
      </c>
      <c r="C233" t="str">
        <f>IF($CM$6=0,"",IF(INDEX('⑩ 원문 보관'!$A:$E,$CM$6+ROW()-9,COLUMN())="","",INDEX('⑩ 원문 보관'!$A:$E,$CM$6+ROW()-9,COLUMN())))</f>
        <v/>
      </c>
      <c r="D233" t="str">
        <f>IF($CM$6=0,"",IF(INDEX('⑩ 원문 보관'!$A:$E,$CM$6+ROW()-9,COLUMN())="","",INDEX('⑩ 원문 보관'!$A:$E,$CM$6+ROW()-9,COLUMN())))</f>
        <v xml:space="preserve">125227.0  51579.45 67 </v>
      </c>
      <c r="E233" t="str">
        <f>IF($CM$6=0,"",IF(INDEX('⑩ 원문 보관'!$A:$E,$CM$6+ROW()-9,COLUMN())="","",INDEX('⑩ 원문 보관'!$A:$E,$CM$6+ROW()-9,COLUMN())))</f>
        <v/>
      </c>
      <c r="Q233">
        <f t="shared" si="120"/>
        <v>6</v>
      </c>
      <c r="R233">
        <f t="shared" si="100"/>
        <v>113352</v>
      </c>
      <c r="S233">
        <f t="shared" si="101"/>
        <v>51332.82</v>
      </c>
      <c r="T233" t="str">
        <f t="shared" si="102"/>
        <v>63</v>
      </c>
      <c r="U233">
        <f t="shared" si="103"/>
        <v>1</v>
      </c>
      <c r="V233">
        <f t="shared" si="121"/>
        <v>6</v>
      </c>
      <c r="W233">
        <f t="shared" si="104"/>
        <v>120117</v>
      </c>
      <c r="X233">
        <f t="shared" si="105"/>
        <v>51200.77</v>
      </c>
      <c r="Y233" t="str">
        <f t="shared" si="106"/>
        <v>57</v>
      </c>
      <c r="Z233">
        <f t="shared" si="107"/>
        <v>1</v>
      </c>
      <c r="AA233">
        <f t="shared" si="122"/>
        <v>6</v>
      </c>
      <c r="AB233" t="str">
        <f t="shared" si="108"/>
        <v/>
      </c>
      <c r="AC233" t="str">
        <f t="shared" si="109"/>
        <v/>
      </c>
      <c r="AD233" t="str">
        <f t="shared" si="110"/>
        <v/>
      </c>
      <c r="AE233">
        <f t="shared" si="111"/>
        <v>0</v>
      </c>
      <c r="AF233">
        <f t="shared" si="123"/>
        <v>7</v>
      </c>
      <c r="AG233">
        <f t="shared" si="112"/>
        <v>125227</v>
      </c>
      <c r="AH233">
        <f t="shared" si="113"/>
        <v>51579.45</v>
      </c>
      <c r="AI233" t="str">
        <f t="shared" si="114"/>
        <v>67</v>
      </c>
      <c r="AJ233">
        <f t="shared" si="115"/>
        <v>1</v>
      </c>
      <c r="AK233">
        <f t="shared" si="124"/>
        <v>4</v>
      </c>
      <c r="AL233" t="str">
        <f t="shared" si="116"/>
        <v/>
      </c>
      <c r="AM233" t="str">
        <f t="shared" si="117"/>
        <v/>
      </c>
      <c r="AN233" t="str">
        <f t="shared" si="118"/>
        <v/>
      </c>
      <c r="AO233">
        <f t="shared" si="119"/>
        <v>0</v>
      </c>
    </row>
    <row r="234" spans="1:41" x14ac:dyDescent="0.4">
      <c r="A234" t="str">
        <f>IF($CM$6=0,"",IF(INDEX('⑩ 원문 보관'!$A:$E,$CM$6+ROW()-9,COLUMN())="","",INDEX('⑩ 원문 보관'!$A:$E,$CM$6+ROW()-9,COLUMN())))</f>
        <v xml:space="preserve">113357.0  51334.23 43 </v>
      </c>
      <c r="B234" t="str">
        <f>IF($CM$6=0,"",IF(INDEX('⑩ 원문 보관'!$A:$E,$CM$6+ROW()-9,COLUMN())="","",INDEX('⑩ 원문 보관'!$A:$E,$CM$6+ROW()-9,COLUMN())))</f>
        <v xml:space="preserve">120122.0  51199.10 46 </v>
      </c>
      <c r="C234" t="str">
        <f>IF($CM$6=0,"",IF(INDEX('⑩ 원문 보관'!$A:$E,$CM$6+ROW()-9,COLUMN())="","",INDEX('⑩ 원문 보관'!$A:$E,$CM$6+ROW()-9,COLUMN())))</f>
        <v/>
      </c>
      <c r="D234" t="str">
        <f>IF($CM$6=0,"",IF(INDEX('⑩ 원문 보관'!$A:$E,$CM$6+ROW()-9,COLUMN())="","",INDEX('⑩ 원문 보관'!$A:$E,$CM$6+ROW()-9,COLUMN())))</f>
        <v xml:space="preserve">125232.0  51578.82 47 </v>
      </c>
      <c r="E234" t="str">
        <f>IF($CM$6=0,"",IF(INDEX('⑩ 원문 보관'!$A:$E,$CM$6+ROW()-9,COLUMN())="","",INDEX('⑩ 원문 보관'!$A:$E,$CM$6+ROW()-9,COLUMN())))</f>
        <v/>
      </c>
      <c r="Q234">
        <f t="shared" si="120"/>
        <v>6</v>
      </c>
      <c r="R234">
        <f t="shared" si="100"/>
        <v>113357</v>
      </c>
      <c r="S234">
        <f t="shared" si="101"/>
        <v>51334.23</v>
      </c>
      <c r="T234" t="str">
        <f t="shared" si="102"/>
        <v>43</v>
      </c>
      <c r="U234">
        <f t="shared" si="103"/>
        <v>1</v>
      </c>
      <c r="V234">
        <f t="shared" si="121"/>
        <v>6</v>
      </c>
      <c r="W234">
        <f t="shared" si="104"/>
        <v>120122</v>
      </c>
      <c r="X234">
        <f t="shared" si="105"/>
        <v>51199.1</v>
      </c>
      <c r="Y234" t="str">
        <f t="shared" si="106"/>
        <v>46</v>
      </c>
      <c r="Z234">
        <f t="shared" si="107"/>
        <v>1</v>
      </c>
      <c r="AA234">
        <f t="shared" si="122"/>
        <v>6</v>
      </c>
      <c r="AB234" t="str">
        <f t="shared" si="108"/>
        <v/>
      </c>
      <c r="AC234" t="str">
        <f t="shared" si="109"/>
        <v/>
      </c>
      <c r="AD234" t="str">
        <f t="shared" si="110"/>
        <v/>
      </c>
      <c r="AE234">
        <f t="shared" si="111"/>
        <v>0</v>
      </c>
      <c r="AF234">
        <f t="shared" si="123"/>
        <v>7</v>
      </c>
      <c r="AG234">
        <f t="shared" si="112"/>
        <v>125232</v>
      </c>
      <c r="AH234">
        <f t="shared" si="113"/>
        <v>51578.82</v>
      </c>
      <c r="AI234" t="str">
        <f t="shared" si="114"/>
        <v>47</v>
      </c>
      <c r="AJ234">
        <f t="shared" si="115"/>
        <v>1</v>
      </c>
      <c r="AK234">
        <f t="shared" si="124"/>
        <v>4</v>
      </c>
      <c r="AL234" t="str">
        <f t="shared" si="116"/>
        <v/>
      </c>
      <c r="AM234" t="str">
        <f t="shared" si="117"/>
        <v/>
      </c>
      <c r="AN234" t="str">
        <f t="shared" si="118"/>
        <v/>
      </c>
      <c r="AO234">
        <f t="shared" si="119"/>
        <v>0</v>
      </c>
    </row>
    <row r="235" spans="1:41" x14ac:dyDescent="0.4">
      <c r="A235" t="str">
        <f>IF($CM$6=0,"",IF(INDEX('⑩ 원문 보관'!$A:$E,$CM$6+ROW()-9,COLUMN())="","",INDEX('⑩ 원문 보관'!$A:$E,$CM$6+ROW()-9,COLUMN())))</f>
        <v xml:space="preserve">113402.0  51338.64 33 </v>
      </c>
      <c r="B235" t="str">
        <f>IF($CM$6=0,"",IF(INDEX('⑩ 원문 보관'!$A:$E,$CM$6+ROW()-9,COLUMN())="","",INDEX('⑩ 원문 보관'!$A:$E,$CM$6+ROW()-9,COLUMN())))</f>
        <v xml:space="preserve">120127.0  51198.81 56 </v>
      </c>
      <c r="C235" t="str">
        <f>IF($CM$6=0,"",IF(INDEX('⑩ 원문 보관'!$A:$E,$CM$6+ROW()-9,COLUMN())="","",INDEX('⑩ 원문 보관'!$A:$E,$CM$6+ROW()-9,COLUMN())))</f>
        <v/>
      </c>
      <c r="D235" t="str">
        <f>IF($CM$6=0,"",IF(INDEX('⑩ 원문 보관'!$A:$E,$CM$6+ROW()-9,COLUMN())="","",INDEX('⑩ 원문 보관'!$A:$E,$CM$6+ROW()-9,COLUMN())))</f>
        <v xml:space="preserve">125237.0  51579.09 67 </v>
      </c>
      <c r="E235" t="str">
        <f>IF($CM$6=0,"",IF(INDEX('⑩ 원문 보관'!$A:$E,$CM$6+ROW()-9,COLUMN())="","",INDEX('⑩ 원문 보관'!$A:$E,$CM$6+ROW()-9,COLUMN())))</f>
        <v/>
      </c>
      <c r="Q235">
        <f t="shared" si="120"/>
        <v>6</v>
      </c>
      <c r="R235">
        <f t="shared" si="100"/>
        <v>113402</v>
      </c>
      <c r="S235">
        <f t="shared" si="101"/>
        <v>51338.64</v>
      </c>
      <c r="T235" t="str">
        <f t="shared" si="102"/>
        <v>33</v>
      </c>
      <c r="U235">
        <f t="shared" si="103"/>
        <v>1</v>
      </c>
      <c r="V235">
        <f t="shared" si="121"/>
        <v>6</v>
      </c>
      <c r="W235">
        <f t="shared" si="104"/>
        <v>120127</v>
      </c>
      <c r="X235">
        <f t="shared" si="105"/>
        <v>51198.81</v>
      </c>
      <c r="Y235" t="str">
        <f t="shared" si="106"/>
        <v>56</v>
      </c>
      <c r="Z235">
        <f t="shared" si="107"/>
        <v>1</v>
      </c>
      <c r="AA235">
        <f t="shared" si="122"/>
        <v>6</v>
      </c>
      <c r="AB235" t="str">
        <f t="shared" si="108"/>
        <v/>
      </c>
      <c r="AC235" t="str">
        <f t="shared" si="109"/>
        <v/>
      </c>
      <c r="AD235" t="str">
        <f t="shared" si="110"/>
        <v/>
      </c>
      <c r="AE235">
        <f t="shared" si="111"/>
        <v>0</v>
      </c>
      <c r="AF235">
        <f t="shared" si="123"/>
        <v>7</v>
      </c>
      <c r="AG235">
        <f t="shared" si="112"/>
        <v>125237</v>
      </c>
      <c r="AH235">
        <f t="shared" si="113"/>
        <v>51579.09</v>
      </c>
      <c r="AI235" t="str">
        <f t="shared" si="114"/>
        <v>67</v>
      </c>
      <c r="AJ235">
        <f t="shared" si="115"/>
        <v>1</v>
      </c>
      <c r="AK235">
        <f t="shared" si="124"/>
        <v>4</v>
      </c>
      <c r="AL235" t="str">
        <f t="shared" si="116"/>
        <v/>
      </c>
      <c r="AM235" t="str">
        <f t="shared" si="117"/>
        <v/>
      </c>
      <c r="AN235" t="str">
        <f t="shared" si="118"/>
        <v/>
      </c>
      <c r="AO235">
        <f t="shared" si="119"/>
        <v>0</v>
      </c>
    </row>
    <row r="236" spans="1:41" x14ac:dyDescent="0.4">
      <c r="A236" t="str">
        <f>IF($CM$6=0,"",IF(INDEX('⑩ 원문 보관'!$A:$E,$CM$6+ROW()-9,COLUMN())="","",INDEX('⑩ 원문 보관'!$A:$E,$CM$6+ROW()-9,COLUMN())))</f>
        <v xml:space="preserve">113407.0  51393.92 33 </v>
      </c>
      <c r="B236" t="str">
        <f>IF($CM$6=0,"",IF(INDEX('⑩ 원문 보관'!$A:$E,$CM$6+ROW()-9,COLUMN())="","",INDEX('⑩ 원문 보관'!$A:$E,$CM$6+ROW()-9,COLUMN())))</f>
        <v/>
      </c>
      <c r="C236" t="str">
        <f>IF($CM$6=0,"",IF(INDEX('⑩ 원문 보관'!$A:$E,$CM$6+ROW()-9,COLUMN())="","",INDEX('⑩ 원문 보관'!$A:$E,$CM$6+ROW()-9,COLUMN())))</f>
        <v/>
      </c>
      <c r="D236" t="str">
        <f>IF($CM$6=0,"",IF(INDEX('⑩ 원문 보관'!$A:$E,$CM$6+ROW()-9,COLUMN())="","",INDEX('⑩ 원문 보관'!$A:$E,$CM$6+ROW()-9,COLUMN())))</f>
        <v xml:space="preserve">125242.0  51578.88 57 </v>
      </c>
      <c r="E236" t="str">
        <f>IF($CM$6=0,"",IF(INDEX('⑩ 원문 보관'!$A:$E,$CM$6+ROW()-9,COLUMN())="","",INDEX('⑩ 원문 보관'!$A:$E,$CM$6+ROW()-9,COLUMN())))</f>
        <v/>
      </c>
      <c r="Q236">
        <f t="shared" si="120"/>
        <v>6</v>
      </c>
      <c r="R236">
        <f t="shared" si="100"/>
        <v>113407</v>
      </c>
      <c r="S236">
        <f t="shared" si="101"/>
        <v>51393.919999999998</v>
      </c>
      <c r="T236" t="str">
        <f t="shared" si="102"/>
        <v>33</v>
      </c>
      <c r="U236">
        <f t="shared" si="103"/>
        <v>1</v>
      </c>
      <c r="V236">
        <f t="shared" si="121"/>
        <v>6</v>
      </c>
      <c r="W236" t="str">
        <f t="shared" si="104"/>
        <v/>
      </c>
      <c r="X236" t="str">
        <f t="shared" si="105"/>
        <v/>
      </c>
      <c r="Y236" t="str">
        <f t="shared" si="106"/>
        <v/>
      </c>
      <c r="Z236">
        <f t="shared" si="107"/>
        <v>0</v>
      </c>
      <c r="AA236">
        <f t="shared" si="122"/>
        <v>6</v>
      </c>
      <c r="AB236" t="str">
        <f t="shared" si="108"/>
        <v/>
      </c>
      <c r="AC236" t="str">
        <f t="shared" si="109"/>
        <v/>
      </c>
      <c r="AD236" t="str">
        <f t="shared" si="110"/>
        <v/>
      </c>
      <c r="AE236">
        <f t="shared" si="111"/>
        <v>0</v>
      </c>
      <c r="AF236">
        <f t="shared" si="123"/>
        <v>7</v>
      </c>
      <c r="AG236">
        <f t="shared" si="112"/>
        <v>125242</v>
      </c>
      <c r="AH236">
        <f t="shared" si="113"/>
        <v>51578.879999999997</v>
      </c>
      <c r="AI236" t="str">
        <f t="shared" si="114"/>
        <v>57</v>
      </c>
      <c r="AJ236">
        <f t="shared" si="115"/>
        <v>1</v>
      </c>
      <c r="AK236">
        <f t="shared" si="124"/>
        <v>4</v>
      </c>
      <c r="AL236" t="str">
        <f t="shared" si="116"/>
        <v/>
      </c>
      <c r="AM236" t="str">
        <f t="shared" si="117"/>
        <v/>
      </c>
      <c r="AN236" t="str">
        <f t="shared" si="118"/>
        <v/>
      </c>
      <c r="AO236">
        <f t="shared" si="119"/>
        <v>0</v>
      </c>
    </row>
    <row r="237" spans="1:41" x14ac:dyDescent="0.4">
      <c r="A237" t="str">
        <f>IF($CM$6=0,"",IF(INDEX('⑩ 원문 보관'!$A:$E,$CM$6+ROW()-9,COLUMN())="","",INDEX('⑩ 원문 보관'!$A:$E,$CM$6+ROW()-9,COLUMN())))</f>
        <v xml:space="preserve">113412.0  51310.80 63 </v>
      </c>
      <c r="B237" t="str">
        <f>IF($CM$6=0,"",IF(INDEX('⑩ 원문 보관'!$A:$E,$CM$6+ROW()-9,COLUMN())="","",INDEX('⑩ 원문 보관'!$A:$E,$CM$6+ROW()-9,COLUMN())))</f>
        <v/>
      </c>
      <c r="C237" t="str">
        <f>IF($CM$6=0,"",IF(INDEX('⑩ 원문 보관'!$A:$E,$CM$6+ROW()-9,COLUMN())="","",INDEX('⑩ 원문 보관'!$A:$E,$CM$6+ROW()-9,COLUMN())))</f>
        <v/>
      </c>
      <c r="D237" t="str">
        <f>IF($CM$6=0,"",IF(INDEX('⑩ 원문 보관'!$A:$E,$CM$6+ROW()-9,COLUMN())="","",INDEX('⑩ 원문 보관'!$A:$E,$CM$6+ROW()-9,COLUMN())))</f>
        <v xml:space="preserve">125247.0  51578.87 67 </v>
      </c>
      <c r="E237" t="str">
        <f>IF($CM$6=0,"",IF(INDEX('⑩ 원문 보관'!$A:$E,$CM$6+ROW()-9,COLUMN())="","",INDEX('⑩ 원문 보관'!$A:$E,$CM$6+ROW()-9,COLUMN())))</f>
        <v/>
      </c>
      <c r="Q237">
        <f t="shared" si="120"/>
        <v>6</v>
      </c>
      <c r="R237">
        <f t="shared" si="100"/>
        <v>113412</v>
      </c>
      <c r="S237">
        <f t="shared" si="101"/>
        <v>51310.8</v>
      </c>
      <c r="T237" t="str">
        <f t="shared" si="102"/>
        <v>63</v>
      </c>
      <c r="U237">
        <f t="shared" si="103"/>
        <v>1</v>
      </c>
      <c r="V237">
        <f t="shared" si="121"/>
        <v>6</v>
      </c>
      <c r="W237" t="str">
        <f t="shared" si="104"/>
        <v/>
      </c>
      <c r="X237" t="str">
        <f t="shared" si="105"/>
        <v/>
      </c>
      <c r="Y237" t="str">
        <f t="shared" si="106"/>
        <v/>
      </c>
      <c r="Z237">
        <f t="shared" si="107"/>
        <v>0</v>
      </c>
      <c r="AA237">
        <f t="shared" si="122"/>
        <v>6</v>
      </c>
      <c r="AB237" t="str">
        <f t="shared" si="108"/>
        <v/>
      </c>
      <c r="AC237" t="str">
        <f t="shared" si="109"/>
        <v/>
      </c>
      <c r="AD237" t="str">
        <f t="shared" si="110"/>
        <v/>
      </c>
      <c r="AE237">
        <f t="shared" si="111"/>
        <v>0</v>
      </c>
      <c r="AF237">
        <f t="shared" si="123"/>
        <v>7</v>
      </c>
      <c r="AG237">
        <f t="shared" si="112"/>
        <v>125247</v>
      </c>
      <c r="AH237">
        <f t="shared" si="113"/>
        <v>51578.87</v>
      </c>
      <c r="AI237" t="str">
        <f t="shared" si="114"/>
        <v>67</v>
      </c>
      <c r="AJ237">
        <f t="shared" si="115"/>
        <v>1</v>
      </c>
      <c r="AK237">
        <f t="shared" si="124"/>
        <v>4</v>
      </c>
      <c r="AL237" t="str">
        <f t="shared" si="116"/>
        <v/>
      </c>
      <c r="AM237" t="str">
        <f t="shared" si="117"/>
        <v/>
      </c>
      <c r="AN237" t="str">
        <f t="shared" si="118"/>
        <v/>
      </c>
      <c r="AO237">
        <f t="shared" si="119"/>
        <v>0</v>
      </c>
    </row>
    <row r="238" spans="1:41" x14ac:dyDescent="0.4">
      <c r="A238" t="str">
        <f>IF($CM$6=0,"",IF(INDEX('⑩ 원문 보관'!$A:$E,$CM$6+ROW()-9,COLUMN())="","",INDEX('⑩ 원문 보관'!$A:$E,$CM$6+ROW()-9,COLUMN())))</f>
        <v xml:space="preserve">113417.0  51332.17 33 </v>
      </c>
      <c r="B238" t="str">
        <f>IF($CM$6=0,"",IF(INDEX('⑩ 원문 보관'!$A:$E,$CM$6+ROW()-9,COLUMN())="","",INDEX('⑩ 원문 보관'!$A:$E,$CM$6+ROW()-9,COLUMN())))</f>
        <v xml:space="preserve">/Gem Systems GSM-19T 4106808 v7.0 26 IX 2014 M t-e2l..v7o                         </v>
      </c>
      <c r="C238" t="str">
        <f>IF($CM$6=0,"",IF(INDEX('⑩ 원문 보관'!$A:$E,$CM$6+ROW()-9,COLUMN())="","",INDEX('⑩ 원문 보관'!$A:$E,$CM$6+ROW()-9,COLUMN())))</f>
        <v/>
      </c>
      <c r="D238" t="str">
        <f>IF($CM$6=0,"",IF(INDEX('⑩ 원문 보관'!$A:$E,$CM$6+ROW()-9,COLUMN())="","",INDEX('⑩ 원문 보관'!$A:$E,$CM$6+ROW()-9,COLUMN())))</f>
        <v xml:space="preserve">125252.0  51579.40 67 </v>
      </c>
      <c r="E238" t="str">
        <f>IF($CM$6=0,"",IF(INDEX('⑩ 원문 보관'!$A:$E,$CM$6+ROW()-9,COLUMN())="","",INDEX('⑩ 원문 보관'!$A:$E,$CM$6+ROW()-9,COLUMN())))</f>
        <v/>
      </c>
      <c r="Q238">
        <f t="shared" si="120"/>
        <v>6</v>
      </c>
      <c r="R238">
        <f t="shared" si="100"/>
        <v>113417</v>
      </c>
      <c r="S238">
        <f t="shared" si="101"/>
        <v>51332.17</v>
      </c>
      <c r="T238" t="str">
        <f t="shared" si="102"/>
        <v>33</v>
      </c>
      <c r="U238">
        <f t="shared" si="103"/>
        <v>1</v>
      </c>
      <c r="V238">
        <f t="shared" si="121"/>
        <v>6</v>
      </c>
      <c r="W238" t="str">
        <f t="shared" si="104"/>
        <v/>
      </c>
      <c r="X238" t="str">
        <f t="shared" si="105"/>
        <v/>
      </c>
      <c r="Y238" t="str">
        <f t="shared" si="106"/>
        <v>GSM-19T</v>
      </c>
      <c r="Z238">
        <f t="shared" si="107"/>
        <v>0</v>
      </c>
      <c r="AA238">
        <f t="shared" si="122"/>
        <v>6</v>
      </c>
      <c r="AB238" t="str">
        <f t="shared" si="108"/>
        <v/>
      </c>
      <c r="AC238" t="str">
        <f t="shared" si="109"/>
        <v/>
      </c>
      <c r="AD238" t="str">
        <f t="shared" si="110"/>
        <v/>
      </c>
      <c r="AE238">
        <f t="shared" si="111"/>
        <v>0</v>
      </c>
      <c r="AF238">
        <f t="shared" si="123"/>
        <v>7</v>
      </c>
      <c r="AG238">
        <f t="shared" si="112"/>
        <v>125252</v>
      </c>
      <c r="AH238">
        <f t="shared" si="113"/>
        <v>51579.4</v>
      </c>
      <c r="AI238" t="str">
        <f t="shared" si="114"/>
        <v>67</v>
      </c>
      <c r="AJ238">
        <f t="shared" si="115"/>
        <v>1</v>
      </c>
      <c r="AK238">
        <f t="shared" si="124"/>
        <v>4</v>
      </c>
      <c r="AL238" t="str">
        <f t="shared" si="116"/>
        <v/>
      </c>
      <c r="AM238" t="str">
        <f t="shared" si="117"/>
        <v/>
      </c>
      <c r="AN238" t="str">
        <f t="shared" si="118"/>
        <v/>
      </c>
      <c r="AO238">
        <f t="shared" si="119"/>
        <v>0</v>
      </c>
    </row>
    <row r="239" spans="1:41" x14ac:dyDescent="0.4">
      <c r="A239" t="str">
        <f>IF($CM$6=0,"",IF(INDEX('⑩ 원문 보관'!$A:$E,$CM$6+ROW()-9,COLUMN())="","",INDEX('⑩ 원문 보관'!$A:$E,$CM$6+ROW()-9,COLUMN())))</f>
        <v xml:space="preserve">113422.0  51335.11 53 </v>
      </c>
      <c r="B239" t="str">
        <f>IF($CM$6=0,"",IF(INDEX('⑩ 원문 보관'!$A:$E,$CM$6+ROW()-9,COLUMN())="","",INDEX('⑩ 원문 보관'!$A:$E,$CM$6+ROW()-9,COLUMN())))</f>
        <v>/ID 2666 file 16survey.b   21 IX 26</v>
      </c>
      <c r="C239" t="str">
        <f>IF($CM$6=0,"",IF(INDEX('⑩ 원문 보관'!$A:$E,$CM$6+ROW()-9,COLUMN())="","",INDEX('⑩ 원문 보관'!$A:$E,$CM$6+ROW()-9,COLUMN())))</f>
        <v/>
      </c>
      <c r="D239" t="str">
        <f>IF($CM$6=0,"",IF(INDEX('⑩ 원문 보관'!$A:$E,$CM$6+ROW()-9,COLUMN())="","",INDEX('⑩ 원문 보관'!$A:$E,$CM$6+ROW()-9,COLUMN())))</f>
        <v xml:space="preserve">125257.0  51578.63 57 </v>
      </c>
      <c r="E239" t="str">
        <f>IF($CM$6=0,"",IF(INDEX('⑩ 원문 보관'!$A:$E,$CM$6+ROW()-9,COLUMN())="","",INDEX('⑩ 원문 보관'!$A:$E,$CM$6+ROW()-9,COLUMN())))</f>
        <v/>
      </c>
      <c r="Q239">
        <f t="shared" si="120"/>
        <v>6</v>
      </c>
      <c r="R239">
        <f t="shared" si="100"/>
        <v>113422</v>
      </c>
      <c r="S239">
        <f t="shared" si="101"/>
        <v>51335.11</v>
      </c>
      <c r="T239" t="str">
        <f t="shared" si="102"/>
        <v>53</v>
      </c>
      <c r="U239">
        <f t="shared" si="103"/>
        <v>1</v>
      </c>
      <c r="V239">
        <f t="shared" si="121"/>
        <v>6</v>
      </c>
      <c r="W239" t="str">
        <f t="shared" si="104"/>
        <v/>
      </c>
      <c r="X239">
        <f t="shared" si="105"/>
        <v>2666</v>
      </c>
      <c r="Y239" t="str">
        <f t="shared" si="106"/>
        <v>file</v>
      </c>
      <c r="Z239">
        <f t="shared" si="107"/>
        <v>0</v>
      </c>
      <c r="AA239">
        <f t="shared" si="122"/>
        <v>6</v>
      </c>
      <c r="AB239" t="str">
        <f t="shared" si="108"/>
        <v/>
      </c>
      <c r="AC239" t="str">
        <f t="shared" si="109"/>
        <v/>
      </c>
      <c r="AD239" t="str">
        <f t="shared" si="110"/>
        <v/>
      </c>
      <c r="AE239">
        <f t="shared" si="111"/>
        <v>0</v>
      </c>
      <c r="AF239">
        <f t="shared" si="123"/>
        <v>7</v>
      </c>
      <c r="AG239">
        <f t="shared" si="112"/>
        <v>125257</v>
      </c>
      <c r="AH239">
        <f t="shared" si="113"/>
        <v>51578.63</v>
      </c>
      <c r="AI239" t="str">
        <f t="shared" si="114"/>
        <v>57</v>
      </c>
      <c r="AJ239">
        <f t="shared" si="115"/>
        <v>1</v>
      </c>
      <c r="AK239">
        <f t="shared" si="124"/>
        <v>4</v>
      </c>
      <c r="AL239" t="str">
        <f t="shared" si="116"/>
        <v/>
      </c>
      <c r="AM239" t="str">
        <f t="shared" si="117"/>
        <v/>
      </c>
      <c r="AN239" t="str">
        <f t="shared" si="118"/>
        <v/>
      </c>
      <c r="AO239">
        <f t="shared" si="119"/>
        <v>0</v>
      </c>
    </row>
    <row r="240" spans="1:41" x14ac:dyDescent="0.4">
      <c r="A240" t="str">
        <f>IF($CM$6=0,"",IF(INDEX('⑩ 원문 보관'!$A:$E,$CM$6+ROW()-9,COLUMN())="","",INDEX('⑩ 원문 보관'!$A:$E,$CM$6+ROW()-9,COLUMN())))</f>
        <v xml:space="preserve">113427.0  51338.00 53 </v>
      </c>
      <c r="B240" t="str">
        <f>IF($CM$6=0,"",IF(INDEX('⑩ 원문 보관'!$A:$E,$CM$6+ROW()-9,COLUMN())="","",INDEX('⑩ 원문 보관'!$A:$E,$CM$6+ROW()-9,COLUMN())))</f>
        <v>/datum  57000.00</v>
      </c>
      <c r="C240" t="str">
        <f>IF($CM$6=0,"",IF(INDEX('⑩ 원문 보관'!$A:$E,$CM$6+ROW()-9,COLUMN())="","",INDEX('⑩ 원문 보관'!$A:$E,$CM$6+ROW()-9,COLUMN())))</f>
        <v/>
      </c>
      <c r="D240" t="str">
        <f>IF($CM$6=0,"",IF(INDEX('⑩ 원문 보관'!$A:$E,$CM$6+ROW()-9,COLUMN())="","",INDEX('⑩ 원문 보관'!$A:$E,$CM$6+ROW()-9,COLUMN())))</f>
        <v xml:space="preserve">125302.0  51578.83 57 </v>
      </c>
      <c r="E240" t="str">
        <f>IF($CM$6=0,"",IF(INDEX('⑩ 원문 보관'!$A:$E,$CM$6+ROW()-9,COLUMN())="","",INDEX('⑩ 원문 보관'!$A:$E,$CM$6+ROW()-9,COLUMN())))</f>
        <v/>
      </c>
      <c r="Q240">
        <f t="shared" si="120"/>
        <v>6</v>
      </c>
      <c r="R240">
        <f t="shared" si="100"/>
        <v>113427</v>
      </c>
      <c r="S240">
        <f t="shared" si="101"/>
        <v>51338</v>
      </c>
      <c r="T240" t="str">
        <f t="shared" si="102"/>
        <v>53</v>
      </c>
      <c r="U240">
        <f t="shared" si="103"/>
        <v>1</v>
      </c>
      <c r="V240">
        <f t="shared" si="121"/>
        <v>6</v>
      </c>
      <c r="W240" t="str">
        <f t="shared" si="104"/>
        <v/>
      </c>
      <c r="X240">
        <f t="shared" si="105"/>
        <v>57000</v>
      </c>
      <c r="Y240" t="str">
        <f t="shared" si="106"/>
        <v/>
      </c>
      <c r="Z240">
        <f t="shared" si="107"/>
        <v>0</v>
      </c>
      <c r="AA240">
        <f t="shared" si="122"/>
        <v>6</v>
      </c>
      <c r="AB240" t="str">
        <f t="shared" si="108"/>
        <v/>
      </c>
      <c r="AC240" t="str">
        <f t="shared" si="109"/>
        <v/>
      </c>
      <c r="AD240" t="str">
        <f t="shared" si="110"/>
        <v/>
      </c>
      <c r="AE240">
        <f t="shared" si="111"/>
        <v>0</v>
      </c>
      <c r="AF240">
        <f t="shared" si="123"/>
        <v>7</v>
      </c>
      <c r="AG240">
        <f t="shared" si="112"/>
        <v>125302</v>
      </c>
      <c r="AH240">
        <f t="shared" si="113"/>
        <v>51578.83</v>
      </c>
      <c r="AI240" t="str">
        <f t="shared" si="114"/>
        <v>57</v>
      </c>
      <c r="AJ240">
        <f t="shared" si="115"/>
        <v>1</v>
      </c>
      <c r="AK240">
        <f t="shared" si="124"/>
        <v>4</v>
      </c>
      <c r="AL240" t="str">
        <f t="shared" si="116"/>
        <v/>
      </c>
      <c r="AM240" t="str">
        <f t="shared" si="117"/>
        <v/>
      </c>
      <c r="AN240" t="str">
        <f t="shared" si="118"/>
        <v/>
      </c>
      <c r="AO240">
        <f t="shared" si="119"/>
        <v>0</v>
      </c>
    </row>
    <row r="241" spans="1:41" x14ac:dyDescent="0.4">
      <c r="A241" t="str">
        <f>IF($CM$6=0,"",IF(INDEX('⑩ 원문 보관'!$A:$E,$CM$6+ROW()-9,COLUMN())="","",INDEX('⑩ 원문 보관'!$A:$E,$CM$6+ROW()-9,COLUMN())))</f>
        <v xml:space="preserve">113432.0  51350.24 53 </v>
      </c>
      <c r="B241" t="str">
        <f>IF($CM$6=0,"",IF(INDEX('⑩ 원문 보관'!$A:$E,$CM$6+ROW()-9,COLUMN())="","",INDEX('⑩ 원문 보관'!$A:$E,$CM$6+ROW()-9,COLUMN())))</f>
        <v>/</v>
      </c>
      <c r="C241" t="str">
        <f>IF($CM$6=0,"",IF(INDEX('⑩ 원문 보관'!$A:$E,$CM$6+ROW()-9,COLUMN())="","",INDEX('⑩ 원문 보관'!$A:$E,$CM$6+ROW()-9,COLUMN())))</f>
        <v/>
      </c>
      <c r="D241" t="str">
        <f>IF($CM$6=0,"",IF(INDEX('⑩ 원문 보관'!$A:$E,$CM$6+ROW()-9,COLUMN())="","",INDEX('⑩ 원문 보관'!$A:$E,$CM$6+ROW()-9,COLUMN())))</f>
        <v xml:space="preserve">125307.0  51578.78 57 </v>
      </c>
      <c r="E241" t="str">
        <f>IF($CM$6=0,"",IF(INDEX('⑩ 원문 보관'!$A:$E,$CM$6+ROW()-9,COLUMN())="","",INDEX('⑩ 원문 보관'!$A:$E,$CM$6+ROW()-9,COLUMN())))</f>
        <v/>
      </c>
      <c r="Q241">
        <f t="shared" si="120"/>
        <v>6</v>
      </c>
      <c r="R241">
        <f t="shared" si="100"/>
        <v>113432</v>
      </c>
      <c r="S241">
        <f t="shared" si="101"/>
        <v>51350.239999999998</v>
      </c>
      <c r="T241" t="str">
        <f t="shared" si="102"/>
        <v>53</v>
      </c>
      <c r="U241">
        <f t="shared" si="103"/>
        <v>1</v>
      </c>
      <c r="V241">
        <f t="shared" si="121"/>
        <v>6</v>
      </c>
      <c r="W241" t="str">
        <f t="shared" si="104"/>
        <v/>
      </c>
      <c r="X241" t="str">
        <f t="shared" si="105"/>
        <v/>
      </c>
      <c r="Y241" t="str">
        <f t="shared" si="106"/>
        <v/>
      </c>
      <c r="Z241">
        <f t="shared" si="107"/>
        <v>0</v>
      </c>
      <c r="AA241">
        <f t="shared" si="122"/>
        <v>6</v>
      </c>
      <c r="AB241" t="str">
        <f t="shared" si="108"/>
        <v/>
      </c>
      <c r="AC241" t="str">
        <f t="shared" si="109"/>
        <v/>
      </c>
      <c r="AD241" t="str">
        <f t="shared" si="110"/>
        <v/>
      </c>
      <c r="AE241">
        <f t="shared" si="111"/>
        <v>0</v>
      </c>
      <c r="AF241">
        <f t="shared" si="123"/>
        <v>7</v>
      </c>
      <c r="AG241">
        <f t="shared" si="112"/>
        <v>125307</v>
      </c>
      <c r="AH241">
        <f t="shared" si="113"/>
        <v>51578.78</v>
      </c>
      <c r="AI241" t="str">
        <f t="shared" si="114"/>
        <v>57</v>
      </c>
      <c r="AJ241">
        <f t="shared" si="115"/>
        <v>1</v>
      </c>
      <c r="AK241">
        <f t="shared" si="124"/>
        <v>4</v>
      </c>
      <c r="AL241" t="str">
        <f t="shared" si="116"/>
        <v/>
      </c>
      <c r="AM241" t="str">
        <f t="shared" si="117"/>
        <v/>
      </c>
      <c r="AN241" t="str">
        <f t="shared" si="118"/>
        <v/>
      </c>
      <c r="AO241">
        <f t="shared" si="119"/>
        <v>0</v>
      </c>
    </row>
    <row r="242" spans="1:41" x14ac:dyDescent="0.4">
      <c r="A242" t="str">
        <f>IF($CM$6=0,"",IF(INDEX('⑩ 원문 보관'!$A:$E,$CM$6+ROW()-9,COLUMN())="","",INDEX('⑩ 원문 보관'!$A:$E,$CM$6+ROW()-9,COLUMN())))</f>
        <v xml:space="preserve">113437.0  51340.88 63 </v>
      </c>
      <c r="B242" t="str">
        <f>IF($CM$6=0,"",IF(INDEX('⑩ 원문 보관'!$A:$E,$CM$6+ROW()-9,COLUMN())="","",INDEX('⑩ 원문 보관'!$A:$E,$CM$6+ROW()-9,COLUMN())))</f>
        <v/>
      </c>
      <c r="C242" t="str">
        <f>IF($CM$6=0,"",IF(INDEX('⑩ 원문 보관'!$A:$E,$CM$6+ROW()-9,COLUMN())="","",INDEX('⑩ 원문 보관'!$A:$E,$CM$6+ROW()-9,COLUMN())))</f>
        <v/>
      </c>
      <c r="D242" t="str">
        <f>IF($CM$6=0,"",IF(INDEX('⑩ 원문 보관'!$A:$E,$CM$6+ROW()-9,COLUMN())="","",INDEX('⑩ 원문 보관'!$A:$E,$CM$6+ROW()-9,COLUMN())))</f>
        <v xml:space="preserve">125312.0  51578.85 68 </v>
      </c>
      <c r="E242" t="str">
        <f>IF($CM$6=0,"",IF(INDEX('⑩ 원문 보관'!$A:$E,$CM$6+ROW()-9,COLUMN())="","",INDEX('⑩ 원문 보관'!$A:$E,$CM$6+ROW()-9,COLUMN())))</f>
        <v/>
      </c>
      <c r="Q242">
        <f t="shared" si="120"/>
        <v>6</v>
      </c>
      <c r="R242">
        <f t="shared" si="100"/>
        <v>113437</v>
      </c>
      <c r="S242">
        <f t="shared" si="101"/>
        <v>51340.88</v>
      </c>
      <c r="T242" t="str">
        <f t="shared" si="102"/>
        <v>63</v>
      </c>
      <c r="U242">
        <f t="shared" si="103"/>
        <v>1</v>
      </c>
      <c r="V242">
        <f t="shared" si="121"/>
        <v>6</v>
      </c>
      <c r="W242" t="str">
        <f t="shared" si="104"/>
        <v/>
      </c>
      <c r="X242" t="str">
        <f t="shared" si="105"/>
        <v/>
      </c>
      <c r="Y242" t="str">
        <f t="shared" si="106"/>
        <v/>
      </c>
      <c r="Z242">
        <f t="shared" si="107"/>
        <v>0</v>
      </c>
      <c r="AA242">
        <f t="shared" si="122"/>
        <v>6</v>
      </c>
      <c r="AB242" t="str">
        <f t="shared" si="108"/>
        <v/>
      </c>
      <c r="AC242" t="str">
        <f t="shared" si="109"/>
        <v/>
      </c>
      <c r="AD242" t="str">
        <f t="shared" si="110"/>
        <v/>
      </c>
      <c r="AE242">
        <f t="shared" si="111"/>
        <v>0</v>
      </c>
      <c r="AF242">
        <f t="shared" si="123"/>
        <v>7</v>
      </c>
      <c r="AG242">
        <f t="shared" si="112"/>
        <v>125312</v>
      </c>
      <c r="AH242">
        <f t="shared" si="113"/>
        <v>51578.85</v>
      </c>
      <c r="AI242" t="str">
        <f t="shared" si="114"/>
        <v>68</v>
      </c>
      <c r="AJ242">
        <f t="shared" si="115"/>
        <v>1</v>
      </c>
      <c r="AK242">
        <f t="shared" si="124"/>
        <v>4</v>
      </c>
      <c r="AL242" t="str">
        <f t="shared" si="116"/>
        <v/>
      </c>
      <c r="AM242" t="str">
        <f t="shared" si="117"/>
        <v/>
      </c>
      <c r="AN242" t="str">
        <f t="shared" si="118"/>
        <v/>
      </c>
      <c r="AO242">
        <f t="shared" si="119"/>
        <v>0</v>
      </c>
    </row>
    <row r="243" spans="1:41" x14ac:dyDescent="0.4">
      <c r="A243" t="str">
        <f>IF($CM$6=0,"",IF(INDEX('⑩ 원문 보관'!$A:$E,$CM$6+ROW()-9,COLUMN())="","",INDEX('⑩ 원문 보관'!$A:$E,$CM$6+ROW()-9,COLUMN())))</f>
        <v xml:space="preserve">113442.0  51330.64 53 </v>
      </c>
      <c r="B243" t="str">
        <f>IF($CM$6=0,"",IF(INDEX('⑩ 원문 보관'!$A:$E,$CM$6+ROW()-9,COLUMN())="","",INDEX('⑩ 원문 보관'!$A:$E,$CM$6+ROW()-9,COLUMN())))</f>
        <v xml:space="preserve">/time nT sq </v>
      </c>
      <c r="C243" t="str">
        <f>IF($CM$6=0,"",IF(INDEX('⑩ 원문 보관'!$A:$E,$CM$6+ROW()-9,COLUMN())="","",INDEX('⑩ 원문 보관'!$A:$E,$CM$6+ROW()-9,COLUMN())))</f>
        <v/>
      </c>
      <c r="D243" t="str">
        <f>IF($CM$6=0,"",IF(INDEX('⑩ 원문 보관'!$A:$E,$CM$6+ROW()-9,COLUMN())="","",INDEX('⑩ 원문 보관'!$A:$E,$CM$6+ROW()-9,COLUMN())))</f>
        <v xml:space="preserve">125317.0  51579.15 68 </v>
      </c>
      <c r="E243" t="str">
        <f>IF($CM$6=0,"",IF(INDEX('⑩ 원문 보관'!$A:$E,$CM$6+ROW()-9,COLUMN())="","",INDEX('⑩ 원문 보관'!$A:$E,$CM$6+ROW()-9,COLUMN())))</f>
        <v/>
      </c>
      <c r="Q243">
        <f t="shared" si="120"/>
        <v>6</v>
      </c>
      <c r="R243">
        <f t="shared" si="100"/>
        <v>113442</v>
      </c>
      <c r="S243">
        <f t="shared" si="101"/>
        <v>51330.64</v>
      </c>
      <c r="T243" t="str">
        <f t="shared" si="102"/>
        <v>53</v>
      </c>
      <c r="U243">
        <f t="shared" si="103"/>
        <v>1</v>
      </c>
      <c r="V243">
        <f t="shared" si="121"/>
        <v>7</v>
      </c>
      <c r="W243" t="str">
        <f t="shared" si="104"/>
        <v/>
      </c>
      <c r="X243" t="str">
        <f t="shared" si="105"/>
        <v/>
      </c>
      <c r="Y243" t="str">
        <f t="shared" si="106"/>
        <v>sq</v>
      </c>
      <c r="Z243">
        <f t="shared" si="107"/>
        <v>0</v>
      </c>
      <c r="AA243">
        <f t="shared" si="122"/>
        <v>6</v>
      </c>
      <c r="AB243" t="str">
        <f t="shared" si="108"/>
        <v/>
      </c>
      <c r="AC243" t="str">
        <f t="shared" si="109"/>
        <v/>
      </c>
      <c r="AD243" t="str">
        <f t="shared" si="110"/>
        <v/>
      </c>
      <c r="AE243">
        <f t="shared" si="111"/>
        <v>0</v>
      </c>
      <c r="AF243">
        <f t="shared" si="123"/>
        <v>7</v>
      </c>
      <c r="AG243">
        <f t="shared" si="112"/>
        <v>125317</v>
      </c>
      <c r="AH243">
        <f t="shared" si="113"/>
        <v>51579.15</v>
      </c>
      <c r="AI243" t="str">
        <f t="shared" si="114"/>
        <v>68</v>
      </c>
      <c r="AJ243">
        <f t="shared" si="115"/>
        <v>1</v>
      </c>
      <c r="AK243">
        <f t="shared" si="124"/>
        <v>4</v>
      </c>
      <c r="AL243" t="str">
        <f t="shared" si="116"/>
        <v/>
      </c>
      <c r="AM243" t="str">
        <f t="shared" si="117"/>
        <v/>
      </c>
      <c r="AN243" t="str">
        <f t="shared" si="118"/>
        <v/>
      </c>
      <c r="AO243">
        <f t="shared" si="119"/>
        <v>0</v>
      </c>
    </row>
    <row r="244" spans="1:41" x14ac:dyDescent="0.4">
      <c r="A244" t="str">
        <f>IF($CM$6=0,"",IF(INDEX('⑩ 원문 보관'!$A:$E,$CM$6+ROW()-9,COLUMN())="","",INDEX('⑩ 원문 보관'!$A:$E,$CM$6+ROW()-9,COLUMN())))</f>
        <v xml:space="preserve">113447.0  51328.27 53 </v>
      </c>
      <c r="B244" t="str">
        <f>IF($CM$6=0,"",IF(INDEX('⑩ 원문 보관'!$A:$E,$CM$6+ROW()-9,COLUMN())="","",INDEX('⑩ 원문 보관'!$A:$E,$CM$6+ROW()-9,COLUMN())))</f>
        <v xml:space="preserve">120157.0  51056.44 36 </v>
      </c>
      <c r="C244" t="str">
        <f>IF($CM$6=0,"",IF(INDEX('⑩ 원문 보관'!$A:$E,$CM$6+ROW()-9,COLUMN())="","",INDEX('⑩ 원문 보관'!$A:$E,$CM$6+ROW()-9,COLUMN())))</f>
        <v/>
      </c>
      <c r="D244" t="str">
        <f>IF($CM$6=0,"",IF(INDEX('⑩ 원문 보관'!$A:$E,$CM$6+ROW()-9,COLUMN())="","",INDEX('⑩ 원문 보관'!$A:$E,$CM$6+ROW()-9,COLUMN())))</f>
        <v xml:space="preserve">125322.0  51579.14 57 </v>
      </c>
      <c r="E244" t="str">
        <f>IF($CM$6=0,"",IF(INDEX('⑩ 원문 보관'!$A:$E,$CM$6+ROW()-9,COLUMN())="","",INDEX('⑩ 원문 보관'!$A:$E,$CM$6+ROW()-9,COLUMN())))</f>
        <v/>
      </c>
      <c r="Q244">
        <f t="shared" si="120"/>
        <v>6</v>
      </c>
      <c r="R244">
        <f t="shared" si="100"/>
        <v>113447</v>
      </c>
      <c r="S244">
        <f t="shared" si="101"/>
        <v>51328.27</v>
      </c>
      <c r="T244" t="str">
        <f t="shared" si="102"/>
        <v>53</v>
      </c>
      <c r="U244">
        <f t="shared" si="103"/>
        <v>1</v>
      </c>
      <c r="V244">
        <f t="shared" si="121"/>
        <v>7</v>
      </c>
      <c r="W244">
        <f t="shared" si="104"/>
        <v>120157</v>
      </c>
      <c r="X244">
        <f t="shared" si="105"/>
        <v>51056.44</v>
      </c>
      <c r="Y244" t="str">
        <f t="shared" si="106"/>
        <v>36</v>
      </c>
      <c r="Z244">
        <f t="shared" si="107"/>
        <v>1</v>
      </c>
      <c r="AA244">
        <f t="shared" si="122"/>
        <v>6</v>
      </c>
      <c r="AB244" t="str">
        <f t="shared" si="108"/>
        <v/>
      </c>
      <c r="AC244" t="str">
        <f t="shared" si="109"/>
        <v/>
      </c>
      <c r="AD244" t="str">
        <f t="shared" si="110"/>
        <v/>
      </c>
      <c r="AE244">
        <f t="shared" si="111"/>
        <v>0</v>
      </c>
      <c r="AF244">
        <f t="shared" si="123"/>
        <v>7</v>
      </c>
      <c r="AG244">
        <f t="shared" si="112"/>
        <v>125322</v>
      </c>
      <c r="AH244">
        <f t="shared" si="113"/>
        <v>51579.14</v>
      </c>
      <c r="AI244" t="str">
        <f t="shared" si="114"/>
        <v>57</v>
      </c>
      <c r="AJ244">
        <f t="shared" si="115"/>
        <v>1</v>
      </c>
      <c r="AK244">
        <f t="shared" si="124"/>
        <v>4</v>
      </c>
      <c r="AL244" t="str">
        <f t="shared" si="116"/>
        <v/>
      </c>
      <c r="AM244" t="str">
        <f t="shared" si="117"/>
        <v/>
      </c>
      <c r="AN244" t="str">
        <f t="shared" si="118"/>
        <v/>
      </c>
      <c r="AO244">
        <f t="shared" si="119"/>
        <v>0</v>
      </c>
    </row>
    <row r="245" spans="1:41" x14ac:dyDescent="0.4">
      <c r="A245" t="str">
        <f>IF($CM$6=0,"",IF(INDEX('⑩ 원문 보관'!$A:$E,$CM$6+ROW()-9,COLUMN())="","",INDEX('⑩ 원문 보관'!$A:$E,$CM$6+ROW()-9,COLUMN())))</f>
        <v xml:space="preserve">113452.0  51328.85 43 </v>
      </c>
      <c r="B245" t="str">
        <f>IF($CM$6=0,"",IF(INDEX('⑩ 원문 보관'!$A:$E,$CM$6+ROW()-9,COLUMN())="","",INDEX('⑩ 원문 보관'!$A:$E,$CM$6+ROW()-9,COLUMN())))</f>
        <v xml:space="preserve">120202.0  51061.17 27 </v>
      </c>
      <c r="C245" t="str">
        <f>IF($CM$6=0,"",IF(INDEX('⑩ 원문 보관'!$A:$E,$CM$6+ROW()-9,COLUMN())="","",INDEX('⑩ 원문 보관'!$A:$E,$CM$6+ROW()-9,COLUMN())))</f>
        <v/>
      </c>
      <c r="D245" t="str">
        <f>IF($CM$6=0,"",IF(INDEX('⑩ 원문 보관'!$A:$E,$CM$6+ROW()-9,COLUMN())="","",INDEX('⑩ 원문 보관'!$A:$E,$CM$6+ROW()-9,COLUMN())))</f>
        <v xml:space="preserve">125327.0  51578.99 67 </v>
      </c>
      <c r="E245" t="str">
        <f>IF($CM$6=0,"",IF(INDEX('⑩ 원문 보관'!$A:$E,$CM$6+ROW()-9,COLUMN())="","",INDEX('⑩ 원문 보관'!$A:$E,$CM$6+ROW()-9,COLUMN())))</f>
        <v/>
      </c>
      <c r="Q245">
        <f t="shared" si="120"/>
        <v>6</v>
      </c>
      <c r="R245">
        <f t="shared" si="100"/>
        <v>113452</v>
      </c>
      <c r="S245">
        <f t="shared" si="101"/>
        <v>51328.85</v>
      </c>
      <c r="T245" t="str">
        <f t="shared" si="102"/>
        <v>43</v>
      </c>
      <c r="U245">
        <f t="shared" si="103"/>
        <v>1</v>
      </c>
      <c r="V245">
        <f t="shared" si="121"/>
        <v>7</v>
      </c>
      <c r="W245">
        <f t="shared" si="104"/>
        <v>120202</v>
      </c>
      <c r="X245">
        <f t="shared" si="105"/>
        <v>51061.17</v>
      </c>
      <c r="Y245" t="str">
        <f t="shared" si="106"/>
        <v>27</v>
      </c>
      <c r="Z245">
        <f t="shared" si="107"/>
        <v>1</v>
      </c>
      <c r="AA245">
        <f t="shared" si="122"/>
        <v>6</v>
      </c>
      <c r="AB245" t="str">
        <f t="shared" si="108"/>
        <v/>
      </c>
      <c r="AC245" t="str">
        <f t="shared" si="109"/>
        <v/>
      </c>
      <c r="AD245" t="str">
        <f t="shared" si="110"/>
        <v/>
      </c>
      <c r="AE245">
        <f t="shared" si="111"/>
        <v>0</v>
      </c>
      <c r="AF245">
        <f t="shared" si="123"/>
        <v>7</v>
      </c>
      <c r="AG245">
        <f t="shared" si="112"/>
        <v>125327</v>
      </c>
      <c r="AH245">
        <f t="shared" si="113"/>
        <v>51578.99</v>
      </c>
      <c r="AI245" t="str">
        <f t="shared" si="114"/>
        <v>67</v>
      </c>
      <c r="AJ245">
        <f t="shared" si="115"/>
        <v>1</v>
      </c>
      <c r="AK245">
        <f t="shared" si="124"/>
        <v>4</v>
      </c>
      <c r="AL245" t="str">
        <f t="shared" si="116"/>
        <v/>
      </c>
      <c r="AM245" t="str">
        <f t="shared" si="117"/>
        <v/>
      </c>
      <c r="AN245" t="str">
        <f t="shared" si="118"/>
        <v/>
      </c>
      <c r="AO245">
        <f t="shared" si="119"/>
        <v>0</v>
      </c>
    </row>
    <row r="246" spans="1:41" x14ac:dyDescent="0.4">
      <c r="A246" t="str">
        <f>IF($CM$6=0,"",IF(INDEX('⑩ 원문 보관'!$A:$E,$CM$6+ROW()-9,COLUMN())="","",INDEX('⑩ 원문 보관'!$A:$E,$CM$6+ROW()-9,COLUMN())))</f>
        <v xml:space="preserve">113457.0  51330.04 53 </v>
      </c>
      <c r="B246" t="str">
        <f>IF($CM$6=0,"",IF(INDEX('⑩ 원문 보관'!$A:$E,$CM$6+ROW()-9,COLUMN())="","",INDEX('⑩ 원문 보관'!$A:$E,$CM$6+ROW()-9,COLUMN())))</f>
        <v xml:space="preserve">120207.0  51056.31 37 </v>
      </c>
      <c r="C246" t="str">
        <f>IF($CM$6=0,"",IF(INDEX('⑩ 원문 보관'!$A:$E,$CM$6+ROW()-9,COLUMN())="","",INDEX('⑩ 원문 보관'!$A:$E,$CM$6+ROW()-9,COLUMN())))</f>
        <v/>
      </c>
      <c r="D246" t="str">
        <f>IF($CM$6=0,"",IF(INDEX('⑩ 원문 보관'!$A:$E,$CM$6+ROW()-9,COLUMN())="","",INDEX('⑩ 원문 보관'!$A:$E,$CM$6+ROW()-9,COLUMN())))</f>
        <v xml:space="preserve">125332.0  51578.40 57 </v>
      </c>
      <c r="E246" t="str">
        <f>IF($CM$6=0,"",IF(INDEX('⑩ 원문 보관'!$A:$E,$CM$6+ROW()-9,COLUMN())="","",INDEX('⑩ 원문 보관'!$A:$E,$CM$6+ROW()-9,COLUMN())))</f>
        <v/>
      </c>
      <c r="Q246">
        <f t="shared" si="120"/>
        <v>6</v>
      </c>
      <c r="R246">
        <f t="shared" si="100"/>
        <v>113457</v>
      </c>
      <c r="S246">
        <f t="shared" si="101"/>
        <v>51330.04</v>
      </c>
      <c r="T246" t="str">
        <f t="shared" si="102"/>
        <v>53</v>
      </c>
      <c r="U246">
        <f t="shared" si="103"/>
        <v>1</v>
      </c>
      <c r="V246">
        <f t="shared" si="121"/>
        <v>7</v>
      </c>
      <c r="W246">
        <f t="shared" si="104"/>
        <v>120207</v>
      </c>
      <c r="X246">
        <f t="shared" si="105"/>
        <v>51056.31</v>
      </c>
      <c r="Y246" t="str">
        <f t="shared" si="106"/>
        <v>37</v>
      </c>
      <c r="Z246">
        <f t="shared" si="107"/>
        <v>1</v>
      </c>
      <c r="AA246">
        <f t="shared" si="122"/>
        <v>6</v>
      </c>
      <c r="AB246" t="str">
        <f t="shared" si="108"/>
        <v/>
      </c>
      <c r="AC246" t="str">
        <f t="shared" si="109"/>
        <v/>
      </c>
      <c r="AD246" t="str">
        <f t="shared" si="110"/>
        <v/>
      </c>
      <c r="AE246">
        <f t="shared" si="111"/>
        <v>0</v>
      </c>
      <c r="AF246">
        <f t="shared" si="123"/>
        <v>7</v>
      </c>
      <c r="AG246">
        <f t="shared" si="112"/>
        <v>125332</v>
      </c>
      <c r="AH246">
        <f t="shared" si="113"/>
        <v>51578.400000000001</v>
      </c>
      <c r="AI246" t="str">
        <f t="shared" si="114"/>
        <v>57</v>
      </c>
      <c r="AJ246">
        <f t="shared" si="115"/>
        <v>1</v>
      </c>
      <c r="AK246">
        <f t="shared" si="124"/>
        <v>4</v>
      </c>
      <c r="AL246" t="str">
        <f t="shared" si="116"/>
        <v/>
      </c>
      <c r="AM246" t="str">
        <f t="shared" si="117"/>
        <v/>
      </c>
      <c r="AN246" t="str">
        <f t="shared" si="118"/>
        <v/>
      </c>
      <c r="AO246">
        <f t="shared" si="119"/>
        <v>0</v>
      </c>
    </row>
    <row r="247" spans="1:41" x14ac:dyDescent="0.4">
      <c r="A247" t="str">
        <f>IF($CM$6=0,"",IF(INDEX('⑩ 원문 보관'!$A:$E,$CM$6+ROW()-9,COLUMN())="","",INDEX('⑩ 원문 보관'!$A:$E,$CM$6+ROW()-9,COLUMN())))</f>
        <v xml:space="preserve">113502.0  51330.03 53 </v>
      </c>
      <c r="B247" t="str">
        <f>IF($CM$6=0,"",IF(INDEX('⑩ 원문 보관'!$A:$E,$CM$6+ROW()-9,COLUMN())="","",INDEX('⑩ 원문 보관'!$A:$E,$CM$6+ROW()-9,COLUMN())))</f>
        <v xml:space="preserve">120212.0  51059.78 27 </v>
      </c>
      <c r="C247" t="str">
        <f>IF($CM$6=0,"",IF(INDEX('⑩ 원문 보관'!$A:$E,$CM$6+ROW()-9,COLUMN())="","",INDEX('⑩ 원문 보관'!$A:$E,$CM$6+ROW()-9,COLUMN())))</f>
        <v/>
      </c>
      <c r="D247" t="str">
        <f>IF($CM$6=0,"",IF(INDEX('⑩ 원문 보관'!$A:$E,$CM$6+ROW()-9,COLUMN())="","",INDEX('⑩ 원문 보관'!$A:$E,$CM$6+ROW()-9,COLUMN())))</f>
        <v xml:space="preserve">125337.0  51579.31 57 </v>
      </c>
      <c r="E247" t="str">
        <f>IF($CM$6=0,"",IF(INDEX('⑩ 원문 보관'!$A:$E,$CM$6+ROW()-9,COLUMN())="","",INDEX('⑩ 원문 보관'!$A:$E,$CM$6+ROW()-9,COLUMN())))</f>
        <v/>
      </c>
      <c r="Q247">
        <f t="shared" si="120"/>
        <v>6</v>
      </c>
      <c r="R247">
        <f t="shared" si="100"/>
        <v>113502</v>
      </c>
      <c r="S247">
        <f t="shared" si="101"/>
        <v>51330.03</v>
      </c>
      <c r="T247" t="str">
        <f t="shared" si="102"/>
        <v>53</v>
      </c>
      <c r="U247">
        <f t="shared" si="103"/>
        <v>1</v>
      </c>
      <c r="V247">
        <f t="shared" si="121"/>
        <v>7</v>
      </c>
      <c r="W247">
        <f t="shared" si="104"/>
        <v>120212</v>
      </c>
      <c r="X247">
        <f t="shared" si="105"/>
        <v>51059.78</v>
      </c>
      <c r="Y247" t="str">
        <f t="shared" si="106"/>
        <v>27</v>
      </c>
      <c r="Z247">
        <f t="shared" si="107"/>
        <v>1</v>
      </c>
      <c r="AA247">
        <f t="shared" si="122"/>
        <v>6</v>
      </c>
      <c r="AB247" t="str">
        <f t="shared" si="108"/>
        <v/>
      </c>
      <c r="AC247" t="str">
        <f t="shared" si="109"/>
        <v/>
      </c>
      <c r="AD247" t="str">
        <f t="shared" si="110"/>
        <v/>
      </c>
      <c r="AE247">
        <f t="shared" si="111"/>
        <v>0</v>
      </c>
      <c r="AF247">
        <f t="shared" si="123"/>
        <v>7</v>
      </c>
      <c r="AG247">
        <f t="shared" si="112"/>
        <v>125337</v>
      </c>
      <c r="AH247">
        <f t="shared" si="113"/>
        <v>51579.31</v>
      </c>
      <c r="AI247" t="str">
        <f t="shared" si="114"/>
        <v>57</v>
      </c>
      <c r="AJ247">
        <f t="shared" si="115"/>
        <v>1</v>
      </c>
      <c r="AK247">
        <f t="shared" si="124"/>
        <v>4</v>
      </c>
      <c r="AL247" t="str">
        <f t="shared" si="116"/>
        <v/>
      </c>
      <c r="AM247" t="str">
        <f t="shared" si="117"/>
        <v/>
      </c>
      <c r="AN247" t="str">
        <f t="shared" si="118"/>
        <v/>
      </c>
      <c r="AO247">
        <f t="shared" si="119"/>
        <v>0</v>
      </c>
    </row>
    <row r="248" spans="1:41" x14ac:dyDescent="0.4">
      <c r="A248" t="str">
        <f>IF($CM$6=0,"",IF(INDEX('⑩ 원문 보관'!$A:$E,$CM$6+ROW()-9,COLUMN())="","",INDEX('⑩ 원문 보관'!$A:$E,$CM$6+ROW()-9,COLUMN())))</f>
        <v xml:space="preserve">113507.0  51329.66 53 </v>
      </c>
      <c r="B248" t="str">
        <f>IF($CM$6=0,"",IF(INDEX('⑩ 원문 보관'!$A:$E,$CM$6+ROW()-9,COLUMN())="","",INDEX('⑩ 원문 보관'!$A:$E,$CM$6+ROW()-9,COLUMN())))</f>
        <v xml:space="preserve">120217.0  51058.46 38 </v>
      </c>
      <c r="C248" t="str">
        <f>IF($CM$6=0,"",IF(INDEX('⑩ 원문 보관'!$A:$E,$CM$6+ROW()-9,COLUMN())="","",INDEX('⑩ 원문 보관'!$A:$E,$CM$6+ROW()-9,COLUMN())))</f>
        <v/>
      </c>
      <c r="D248" t="str">
        <f>IF($CM$6=0,"",IF(INDEX('⑩ 원문 보관'!$A:$E,$CM$6+ROW()-9,COLUMN())="","",INDEX('⑩ 원문 보관'!$A:$E,$CM$6+ROW()-9,COLUMN())))</f>
        <v xml:space="preserve">125342.0  51579.19 67 </v>
      </c>
      <c r="E248" t="str">
        <f>IF($CM$6=0,"",IF(INDEX('⑩ 원문 보관'!$A:$E,$CM$6+ROW()-9,COLUMN())="","",INDEX('⑩ 원문 보관'!$A:$E,$CM$6+ROW()-9,COLUMN())))</f>
        <v/>
      </c>
      <c r="Q248">
        <f t="shared" si="120"/>
        <v>6</v>
      </c>
      <c r="R248">
        <f t="shared" si="100"/>
        <v>113507</v>
      </c>
      <c r="S248">
        <f t="shared" si="101"/>
        <v>51329.66</v>
      </c>
      <c r="T248" t="str">
        <f t="shared" si="102"/>
        <v>53</v>
      </c>
      <c r="U248">
        <f t="shared" si="103"/>
        <v>1</v>
      </c>
      <c r="V248">
        <f t="shared" si="121"/>
        <v>7</v>
      </c>
      <c r="W248">
        <f t="shared" si="104"/>
        <v>120217</v>
      </c>
      <c r="X248">
        <f t="shared" si="105"/>
        <v>51058.46</v>
      </c>
      <c r="Y248" t="str">
        <f t="shared" si="106"/>
        <v>38</v>
      </c>
      <c r="Z248">
        <f t="shared" si="107"/>
        <v>1</v>
      </c>
      <c r="AA248">
        <f t="shared" si="122"/>
        <v>6</v>
      </c>
      <c r="AB248" t="str">
        <f t="shared" si="108"/>
        <v/>
      </c>
      <c r="AC248" t="str">
        <f t="shared" si="109"/>
        <v/>
      </c>
      <c r="AD248" t="str">
        <f t="shared" si="110"/>
        <v/>
      </c>
      <c r="AE248">
        <f t="shared" si="111"/>
        <v>0</v>
      </c>
      <c r="AF248">
        <f t="shared" si="123"/>
        <v>7</v>
      </c>
      <c r="AG248">
        <f t="shared" si="112"/>
        <v>125342</v>
      </c>
      <c r="AH248">
        <f t="shared" si="113"/>
        <v>51579.19</v>
      </c>
      <c r="AI248" t="str">
        <f t="shared" si="114"/>
        <v>67</v>
      </c>
      <c r="AJ248">
        <f t="shared" si="115"/>
        <v>1</v>
      </c>
      <c r="AK248">
        <f t="shared" si="124"/>
        <v>4</v>
      </c>
      <c r="AL248" t="str">
        <f t="shared" si="116"/>
        <v/>
      </c>
      <c r="AM248" t="str">
        <f t="shared" si="117"/>
        <v/>
      </c>
      <c r="AN248" t="str">
        <f t="shared" si="118"/>
        <v/>
      </c>
      <c r="AO248">
        <f t="shared" si="119"/>
        <v>0</v>
      </c>
    </row>
    <row r="249" spans="1:41" x14ac:dyDescent="0.4">
      <c r="A249" t="str">
        <f>IF($CM$6=0,"",IF(INDEX('⑩ 원문 보관'!$A:$E,$CM$6+ROW()-9,COLUMN())="","",INDEX('⑩ 원문 보관'!$A:$E,$CM$6+ROW()-9,COLUMN())))</f>
        <v xml:space="preserve">113512.0  51330.04 43 </v>
      </c>
      <c r="B249" t="str">
        <f>IF($CM$6=0,"",IF(INDEX('⑩ 원문 보관'!$A:$E,$CM$6+ROW()-9,COLUMN())="","",INDEX('⑩ 원문 보관'!$A:$E,$CM$6+ROW()-9,COLUMN())))</f>
        <v xml:space="preserve">120222.0  51061.33 27 </v>
      </c>
      <c r="C249" t="str">
        <f>IF($CM$6=0,"",IF(INDEX('⑩ 원문 보관'!$A:$E,$CM$6+ROW()-9,COLUMN())="","",INDEX('⑩ 원문 보관'!$A:$E,$CM$6+ROW()-9,COLUMN())))</f>
        <v/>
      </c>
      <c r="D249" t="str">
        <f>IF($CM$6=0,"",IF(INDEX('⑩ 원문 보관'!$A:$E,$CM$6+ROW()-9,COLUMN())="","",INDEX('⑩ 원문 보관'!$A:$E,$CM$6+ROW()-9,COLUMN())))</f>
        <v xml:space="preserve">125347.0  51579.40 67 </v>
      </c>
      <c r="E249" t="str">
        <f>IF($CM$6=0,"",IF(INDEX('⑩ 원문 보관'!$A:$E,$CM$6+ROW()-9,COLUMN())="","",INDEX('⑩ 원문 보관'!$A:$E,$CM$6+ROW()-9,COLUMN())))</f>
        <v/>
      </c>
      <c r="Q249">
        <f t="shared" si="120"/>
        <v>6</v>
      </c>
      <c r="R249">
        <f t="shared" si="100"/>
        <v>113512</v>
      </c>
      <c r="S249">
        <f t="shared" si="101"/>
        <v>51330.04</v>
      </c>
      <c r="T249" t="str">
        <f t="shared" si="102"/>
        <v>43</v>
      </c>
      <c r="U249">
        <f t="shared" si="103"/>
        <v>1</v>
      </c>
      <c r="V249">
        <f t="shared" si="121"/>
        <v>7</v>
      </c>
      <c r="W249">
        <f t="shared" si="104"/>
        <v>120222</v>
      </c>
      <c r="X249">
        <f t="shared" si="105"/>
        <v>51061.33</v>
      </c>
      <c r="Y249" t="str">
        <f t="shared" si="106"/>
        <v>27</v>
      </c>
      <c r="Z249">
        <f t="shared" si="107"/>
        <v>1</v>
      </c>
      <c r="AA249">
        <f t="shared" si="122"/>
        <v>6</v>
      </c>
      <c r="AB249" t="str">
        <f t="shared" si="108"/>
        <v/>
      </c>
      <c r="AC249" t="str">
        <f t="shared" si="109"/>
        <v/>
      </c>
      <c r="AD249" t="str">
        <f t="shared" si="110"/>
        <v/>
      </c>
      <c r="AE249">
        <f t="shared" si="111"/>
        <v>0</v>
      </c>
      <c r="AF249">
        <f t="shared" si="123"/>
        <v>7</v>
      </c>
      <c r="AG249">
        <f t="shared" si="112"/>
        <v>125347</v>
      </c>
      <c r="AH249">
        <f t="shared" si="113"/>
        <v>51579.4</v>
      </c>
      <c r="AI249" t="str">
        <f t="shared" si="114"/>
        <v>67</v>
      </c>
      <c r="AJ249">
        <f t="shared" si="115"/>
        <v>1</v>
      </c>
      <c r="AK249">
        <f t="shared" si="124"/>
        <v>4</v>
      </c>
      <c r="AL249" t="str">
        <f t="shared" si="116"/>
        <v/>
      </c>
      <c r="AM249" t="str">
        <f t="shared" si="117"/>
        <v/>
      </c>
      <c r="AN249" t="str">
        <f t="shared" si="118"/>
        <v/>
      </c>
      <c r="AO249">
        <f t="shared" si="119"/>
        <v>0</v>
      </c>
    </row>
    <row r="250" spans="1:41" x14ac:dyDescent="0.4">
      <c r="A250" t="str">
        <f>IF($CM$6=0,"",IF(INDEX('⑩ 원문 보관'!$A:$E,$CM$6+ROW()-9,COLUMN())="","",INDEX('⑩ 원문 보관'!$A:$E,$CM$6+ROW()-9,COLUMN())))</f>
        <v xml:space="preserve">113517.0  51330.82 43 </v>
      </c>
      <c r="B250" t="str">
        <f>IF($CM$6=0,"",IF(INDEX('⑩ 원문 보관'!$A:$E,$CM$6+ROW()-9,COLUMN())="","",INDEX('⑩ 원문 보관'!$A:$E,$CM$6+ROW()-9,COLUMN())))</f>
        <v xml:space="preserve">120227.0  51062.41 36 </v>
      </c>
      <c r="C250" t="str">
        <f>IF($CM$6=0,"",IF(INDEX('⑩ 원문 보관'!$A:$E,$CM$6+ROW()-9,COLUMN())="","",INDEX('⑩ 원문 보관'!$A:$E,$CM$6+ROW()-9,COLUMN())))</f>
        <v/>
      </c>
      <c r="D250" t="str">
        <f>IF($CM$6=0,"",IF(INDEX('⑩ 원문 보관'!$A:$E,$CM$6+ROW()-9,COLUMN())="","",INDEX('⑩ 원문 보관'!$A:$E,$CM$6+ROW()-9,COLUMN())))</f>
        <v xml:space="preserve">125352.0  51579.19 67 </v>
      </c>
      <c r="E250" t="str">
        <f>IF($CM$6=0,"",IF(INDEX('⑩ 원문 보관'!$A:$E,$CM$6+ROW()-9,COLUMN())="","",INDEX('⑩ 원문 보관'!$A:$E,$CM$6+ROW()-9,COLUMN())))</f>
        <v/>
      </c>
      <c r="Q250">
        <f t="shared" si="120"/>
        <v>6</v>
      </c>
      <c r="R250">
        <f t="shared" si="100"/>
        <v>113517</v>
      </c>
      <c r="S250">
        <f t="shared" si="101"/>
        <v>51330.82</v>
      </c>
      <c r="T250" t="str">
        <f t="shared" si="102"/>
        <v>43</v>
      </c>
      <c r="U250">
        <f t="shared" si="103"/>
        <v>1</v>
      </c>
      <c r="V250">
        <f t="shared" si="121"/>
        <v>7</v>
      </c>
      <c r="W250">
        <f t="shared" si="104"/>
        <v>120227</v>
      </c>
      <c r="X250">
        <f t="shared" si="105"/>
        <v>51062.41</v>
      </c>
      <c r="Y250" t="str">
        <f t="shared" si="106"/>
        <v>36</v>
      </c>
      <c r="Z250">
        <f t="shared" si="107"/>
        <v>1</v>
      </c>
      <c r="AA250">
        <f t="shared" si="122"/>
        <v>6</v>
      </c>
      <c r="AB250" t="str">
        <f t="shared" si="108"/>
        <v/>
      </c>
      <c r="AC250" t="str">
        <f t="shared" si="109"/>
        <v/>
      </c>
      <c r="AD250" t="str">
        <f t="shared" si="110"/>
        <v/>
      </c>
      <c r="AE250">
        <f t="shared" si="111"/>
        <v>0</v>
      </c>
      <c r="AF250">
        <f t="shared" si="123"/>
        <v>7</v>
      </c>
      <c r="AG250">
        <f t="shared" si="112"/>
        <v>125352</v>
      </c>
      <c r="AH250">
        <f t="shared" si="113"/>
        <v>51579.19</v>
      </c>
      <c r="AI250" t="str">
        <f t="shared" si="114"/>
        <v>67</v>
      </c>
      <c r="AJ250">
        <f t="shared" si="115"/>
        <v>1</v>
      </c>
      <c r="AK250">
        <f t="shared" si="124"/>
        <v>4</v>
      </c>
      <c r="AL250" t="str">
        <f t="shared" si="116"/>
        <v/>
      </c>
      <c r="AM250" t="str">
        <f t="shared" si="117"/>
        <v/>
      </c>
      <c r="AN250" t="str">
        <f t="shared" si="118"/>
        <v/>
      </c>
      <c r="AO250">
        <f t="shared" si="119"/>
        <v>0</v>
      </c>
    </row>
    <row r="251" spans="1:41" x14ac:dyDescent="0.4">
      <c r="A251" t="str">
        <f>IF($CM$6=0,"",IF(INDEX('⑩ 원문 보관'!$A:$E,$CM$6+ROW()-9,COLUMN())="","",INDEX('⑩ 원문 보관'!$A:$E,$CM$6+ROW()-9,COLUMN())))</f>
        <v/>
      </c>
      <c r="B251" t="str">
        <f>IF($CM$6=0,"",IF(INDEX('⑩ 원문 보관'!$A:$E,$CM$6+ROW()-9,COLUMN())="","",INDEX('⑩ 원문 보관'!$A:$E,$CM$6+ROW()-9,COLUMN())))</f>
        <v xml:space="preserve">120232.0  51059.54 27 </v>
      </c>
      <c r="C251" t="str">
        <f>IF($CM$6=0,"",IF(INDEX('⑩ 원문 보관'!$A:$E,$CM$6+ROW()-9,COLUMN())="","",INDEX('⑩ 원문 보관'!$A:$E,$CM$6+ROW()-9,COLUMN())))</f>
        <v/>
      </c>
      <c r="D251" t="str">
        <f>IF($CM$6=0,"",IF(INDEX('⑩ 원문 보관'!$A:$E,$CM$6+ROW()-9,COLUMN())="","",INDEX('⑩ 원문 보관'!$A:$E,$CM$6+ROW()-9,COLUMN())))</f>
        <v xml:space="preserve">125357.0  51579.49 67 </v>
      </c>
      <c r="E251" t="str">
        <f>IF($CM$6=0,"",IF(INDEX('⑩ 원문 보관'!$A:$E,$CM$6+ROW()-9,COLUMN())="","",INDEX('⑩ 원문 보관'!$A:$E,$CM$6+ROW()-9,COLUMN())))</f>
        <v/>
      </c>
      <c r="Q251">
        <f t="shared" si="120"/>
        <v>6</v>
      </c>
      <c r="R251" t="str">
        <f t="shared" si="100"/>
        <v/>
      </c>
      <c r="S251" t="str">
        <f t="shared" si="101"/>
        <v/>
      </c>
      <c r="T251" t="str">
        <f t="shared" si="102"/>
        <v/>
      </c>
      <c r="U251">
        <f t="shared" si="103"/>
        <v>0</v>
      </c>
      <c r="V251">
        <f t="shared" si="121"/>
        <v>7</v>
      </c>
      <c r="W251">
        <f t="shared" si="104"/>
        <v>120232</v>
      </c>
      <c r="X251">
        <f t="shared" si="105"/>
        <v>51059.54</v>
      </c>
      <c r="Y251" t="str">
        <f t="shared" si="106"/>
        <v>27</v>
      </c>
      <c r="Z251">
        <f t="shared" si="107"/>
        <v>1</v>
      </c>
      <c r="AA251">
        <f t="shared" si="122"/>
        <v>6</v>
      </c>
      <c r="AB251" t="str">
        <f t="shared" si="108"/>
        <v/>
      </c>
      <c r="AC251" t="str">
        <f t="shared" si="109"/>
        <v/>
      </c>
      <c r="AD251" t="str">
        <f t="shared" si="110"/>
        <v/>
      </c>
      <c r="AE251">
        <f t="shared" si="111"/>
        <v>0</v>
      </c>
      <c r="AF251">
        <f t="shared" si="123"/>
        <v>7</v>
      </c>
      <c r="AG251">
        <f t="shared" si="112"/>
        <v>125357</v>
      </c>
      <c r="AH251">
        <f t="shared" si="113"/>
        <v>51579.49</v>
      </c>
      <c r="AI251" t="str">
        <f t="shared" si="114"/>
        <v>67</v>
      </c>
      <c r="AJ251">
        <f t="shared" si="115"/>
        <v>1</v>
      </c>
      <c r="AK251">
        <f t="shared" si="124"/>
        <v>4</v>
      </c>
      <c r="AL251" t="str">
        <f t="shared" si="116"/>
        <v/>
      </c>
      <c r="AM251" t="str">
        <f t="shared" si="117"/>
        <v/>
      </c>
      <c r="AN251" t="str">
        <f t="shared" si="118"/>
        <v/>
      </c>
      <c r="AO251">
        <f t="shared" si="119"/>
        <v>0</v>
      </c>
    </row>
    <row r="252" spans="1:41" x14ac:dyDescent="0.4">
      <c r="A252" t="str">
        <f>IF($CM$6=0,"",IF(INDEX('⑩ 원문 보관'!$A:$E,$CM$6+ROW()-9,COLUMN())="","",INDEX('⑩ 원문 보관'!$A:$E,$CM$6+ROW()-9,COLUMN())))</f>
        <v/>
      </c>
      <c r="B252" t="str">
        <f>IF($CM$6=0,"",IF(INDEX('⑩ 원문 보관'!$A:$E,$CM$6+ROW()-9,COLUMN())="","",INDEX('⑩ 원문 보관'!$A:$E,$CM$6+ROW()-9,COLUMN())))</f>
        <v xml:space="preserve">120237.0  51058.86 27 </v>
      </c>
      <c r="C252" t="str">
        <f>IF($CM$6=0,"",IF(INDEX('⑩ 원문 보관'!$A:$E,$CM$6+ROW()-9,COLUMN())="","",INDEX('⑩ 원문 보관'!$A:$E,$CM$6+ROW()-9,COLUMN())))</f>
        <v/>
      </c>
      <c r="D252" t="str">
        <f>IF($CM$6=0,"",IF(INDEX('⑩ 원문 보관'!$A:$E,$CM$6+ROW()-9,COLUMN())="","",INDEX('⑩ 원문 보관'!$A:$E,$CM$6+ROW()-9,COLUMN())))</f>
        <v xml:space="preserve">125402.0  51579.61 57 </v>
      </c>
      <c r="E252" t="str">
        <f>IF($CM$6=0,"",IF(INDEX('⑩ 원문 보관'!$A:$E,$CM$6+ROW()-9,COLUMN())="","",INDEX('⑩ 원문 보관'!$A:$E,$CM$6+ROW()-9,COLUMN())))</f>
        <v/>
      </c>
      <c r="Q252">
        <f t="shared" si="120"/>
        <v>6</v>
      </c>
      <c r="R252" t="str">
        <f t="shared" si="100"/>
        <v/>
      </c>
      <c r="S252" t="str">
        <f t="shared" si="101"/>
        <v/>
      </c>
      <c r="T252" t="str">
        <f t="shared" si="102"/>
        <v/>
      </c>
      <c r="U252">
        <f t="shared" si="103"/>
        <v>0</v>
      </c>
      <c r="V252">
        <f t="shared" si="121"/>
        <v>7</v>
      </c>
      <c r="W252">
        <f t="shared" si="104"/>
        <v>120237</v>
      </c>
      <c r="X252">
        <f t="shared" si="105"/>
        <v>51058.86</v>
      </c>
      <c r="Y252" t="str">
        <f t="shared" si="106"/>
        <v>27</v>
      </c>
      <c r="Z252">
        <f t="shared" si="107"/>
        <v>1</v>
      </c>
      <c r="AA252">
        <f t="shared" si="122"/>
        <v>6</v>
      </c>
      <c r="AB252" t="str">
        <f t="shared" si="108"/>
        <v/>
      </c>
      <c r="AC252" t="str">
        <f t="shared" si="109"/>
        <v/>
      </c>
      <c r="AD252" t="str">
        <f t="shared" si="110"/>
        <v/>
      </c>
      <c r="AE252">
        <f t="shared" si="111"/>
        <v>0</v>
      </c>
      <c r="AF252">
        <f t="shared" si="123"/>
        <v>7</v>
      </c>
      <c r="AG252">
        <f t="shared" si="112"/>
        <v>125402</v>
      </c>
      <c r="AH252">
        <f t="shared" si="113"/>
        <v>51579.61</v>
      </c>
      <c r="AI252" t="str">
        <f t="shared" si="114"/>
        <v>57</v>
      </c>
      <c r="AJ252">
        <f t="shared" si="115"/>
        <v>1</v>
      </c>
      <c r="AK252">
        <f t="shared" si="124"/>
        <v>4</v>
      </c>
      <c r="AL252" t="str">
        <f t="shared" si="116"/>
        <v/>
      </c>
      <c r="AM252" t="str">
        <f t="shared" si="117"/>
        <v/>
      </c>
      <c r="AN252" t="str">
        <f t="shared" si="118"/>
        <v/>
      </c>
      <c r="AO252">
        <f t="shared" si="119"/>
        <v>0</v>
      </c>
    </row>
    <row r="253" spans="1:41" x14ac:dyDescent="0.4">
      <c r="A253" t="str">
        <f>IF($CM$6=0,"",IF(INDEX('⑩ 원문 보관'!$A:$E,$CM$6+ROW()-9,COLUMN())="","",INDEX('⑩ 원문 보관'!$A:$E,$CM$6+ROW()-9,COLUMN())))</f>
        <v xml:space="preserve">/Gem Systems GSM-19T 4106808 v7.0 26 IX 2014 M t-e2l..v7o                         </v>
      </c>
      <c r="B253" t="str">
        <f>IF($CM$6=0,"",IF(INDEX('⑩ 원문 보관'!$A:$E,$CM$6+ROW()-9,COLUMN())="","",INDEX('⑩ 원문 보관'!$A:$E,$CM$6+ROW()-9,COLUMN())))</f>
        <v xml:space="preserve">120242.0  51058.83 27 </v>
      </c>
      <c r="C253" t="str">
        <f>IF($CM$6=0,"",IF(INDEX('⑩ 원문 보관'!$A:$E,$CM$6+ROW()-9,COLUMN())="","",INDEX('⑩ 원문 보관'!$A:$E,$CM$6+ROW()-9,COLUMN())))</f>
        <v/>
      </c>
      <c r="D253" t="str">
        <f>IF($CM$6=0,"",IF(INDEX('⑩ 원문 보관'!$A:$E,$CM$6+ROW()-9,COLUMN())="","",INDEX('⑩ 원문 보관'!$A:$E,$CM$6+ROW()-9,COLUMN())))</f>
        <v xml:space="preserve">125407.0  51579.58 57 </v>
      </c>
      <c r="E253" t="str">
        <f>IF($CM$6=0,"",IF(INDEX('⑩ 원문 보관'!$A:$E,$CM$6+ROW()-9,COLUMN())="","",INDEX('⑩ 원문 보관'!$A:$E,$CM$6+ROW()-9,COLUMN())))</f>
        <v/>
      </c>
      <c r="Q253">
        <f t="shared" si="120"/>
        <v>6</v>
      </c>
      <c r="R253" t="str">
        <f t="shared" si="100"/>
        <v/>
      </c>
      <c r="S253" t="str">
        <f t="shared" si="101"/>
        <v/>
      </c>
      <c r="T253" t="str">
        <f t="shared" si="102"/>
        <v>GSM-19T</v>
      </c>
      <c r="U253">
        <f t="shared" si="103"/>
        <v>0</v>
      </c>
      <c r="V253">
        <f t="shared" si="121"/>
        <v>7</v>
      </c>
      <c r="W253">
        <f t="shared" si="104"/>
        <v>120242</v>
      </c>
      <c r="X253">
        <f t="shared" si="105"/>
        <v>51058.83</v>
      </c>
      <c r="Y253" t="str">
        <f t="shared" si="106"/>
        <v>27</v>
      </c>
      <c r="Z253">
        <f t="shared" si="107"/>
        <v>1</v>
      </c>
      <c r="AA253">
        <f t="shared" si="122"/>
        <v>6</v>
      </c>
      <c r="AB253" t="str">
        <f t="shared" si="108"/>
        <v/>
      </c>
      <c r="AC253" t="str">
        <f t="shared" si="109"/>
        <v/>
      </c>
      <c r="AD253" t="str">
        <f t="shared" si="110"/>
        <v/>
      </c>
      <c r="AE253">
        <f t="shared" si="111"/>
        <v>0</v>
      </c>
      <c r="AF253">
        <f t="shared" si="123"/>
        <v>7</v>
      </c>
      <c r="AG253">
        <f t="shared" si="112"/>
        <v>125407</v>
      </c>
      <c r="AH253">
        <f t="shared" si="113"/>
        <v>51579.58</v>
      </c>
      <c r="AI253" t="str">
        <f t="shared" si="114"/>
        <v>57</v>
      </c>
      <c r="AJ253">
        <f t="shared" si="115"/>
        <v>1</v>
      </c>
      <c r="AK253">
        <f t="shared" si="124"/>
        <v>4</v>
      </c>
      <c r="AL253" t="str">
        <f t="shared" si="116"/>
        <v/>
      </c>
      <c r="AM253" t="str">
        <f t="shared" si="117"/>
        <v/>
      </c>
      <c r="AN253" t="str">
        <f t="shared" si="118"/>
        <v/>
      </c>
      <c r="AO253">
        <f t="shared" si="119"/>
        <v>0</v>
      </c>
    </row>
    <row r="254" spans="1:41" x14ac:dyDescent="0.4">
      <c r="A254" t="str">
        <f>IF($CM$6=0,"",IF(INDEX('⑩ 원문 보관'!$A:$E,$CM$6+ROW()-9,COLUMN())="","",INDEX('⑩ 원문 보관'!$A:$E,$CM$6+ROW()-9,COLUMN())))</f>
        <v>/ID 2666 file 07survey.b   21 IX 26</v>
      </c>
      <c r="B254" t="str">
        <f>IF($CM$6=0,"",IF(INDEX('⑩ 원문 보관'!$A:$E,$CM$6+ROW()-9,COLUMN())="","",INDEX('⑩ 원문 보관'!$A:$E,$CM$6+ROW()-9,COLUMN())))</f>
        <v xml:space="preserve">120247.0  51059.88 27 </v>
      </c>
      <c r="C254" t="str">
        <f>IF($CM$6=0,"",IF(INDEX('⑩ 원문 보관'!$A:$E,$CM$6+ROW()-9,COLUMN())="","",INDEX('⑩ 원문 보관'!$A:$E,$CM$6+ROW()-9,COLUMN())))</f>
        <v/>
      </c>
      <c r="D254" t="str">
        <f>IF($CM$6=0,"",IF(INDEX('⑩ 원문 보관'!$A:$E,$CM$6+ROW()-9,COLUMN())="","",INDEX('⑩ 원문 보관'!$A:$E,$CM$6+ROW()-9,COLUMN())))</f>
        <v/>
      </c>
      <c r="E254" t="str">
        <f>IF($CM$6=0,"",IF(INDEX('⑩ 원문 보관'!$A:$E,$CM$6+ROW()-9,COLUMN())="","",INDEX('⑩ 원문 보관'!$A:$E,$CM$6+ROW()-9,COLUMN())))</f>
        <v/>
      </c>
      <c r="Q254">
        <f t="shared" si="120"/>
        <v>6</v>
      </c>
      <c r="R254" t="str">
        <f t="shared" si="100"/>
        <v/>
      </c>
      <c r="S254">
        <f t="shared" si="101"/>
        <v>2666</v>
      </c>
      <c r="T254" t="str">
        <f t="shared" si="102"/>
        <v>file</v>
      </c>
      <c r="U254">
        <f t="shared" si="103"/>
        <v>0</v>
      </c>
      <c r="V254">
        <f t="shared" si="121"/>
        <v>7</v>
      </c>
      <c r="W254">
        <f t="shared" si="104"/>
        <v>120247</v>
      </c>
      <c r="X254">
        <f t="shared" si="105"/>
        <v>51059.88</v>
      </c>
      <c r="Y254" t="str">
        <f t="shared" si="106"/>
        <v>27</v>
      </c>
      <c r="Z254">
        <f t="shared" si="107"/>
        <v>1</v>
      </c>
      <c r="AA254">
        <f t="shared" si="122"/>
        <v>6</v>
      </c>
      <c r="AB254" t="str">
        <f t="shared" si="108"/>
        <v/>
      </c>
      <c r="AC254" t="str">
        <f t="shared" si="109"/>
        <v/>
      </c>
      <c r="AD254" t="str">
        <f t="shared" si="110"/>
        <v/>
      </c>
      <c r="AE254">
        <f t="shared" si="111"/>
        <v>0</v>
      </c>
      <c r="AF254">
        <f t="shared" si="123"/>
        <v>7</v>
      </c>
      <c r="AG254" t="str">
        <f t="shared" si="112"/>
        <v/>
      </c>
      <c r="AH254" t="str">
        <f t="shared" si="113"/>
        <v/>
      </c>
      <c r="AI254" t="str">
        <f t="shared" si="114"/>
        <v/>
      </c>
      <c r="AJ254">
        <f t="shared" si="115"/>
        <v>0</v>
      </c>
      <c r="AK254">
        <f t="shared" si="124"/>
        <v>4</v>
      </c>
      <c r="AL254" t="str">
        <f t="shared" si="116"/>
        <v/>
      </c>
      <c r="AM254" t="str">
        <f t="shared" si="117"/>
        <v/>
      </c>
      <c r="AN254" t="str">
        <f t="shared" si="118"/>
        <v/>
      </c>
      <c r="AO254">
        <f t="shared" si="119"/>
        <v>0</v>
      </c>
    </row>
    <row r="255" spans="1:41" x14ac:dyDescent="0.4">
      <c r="A255" t="str">
        <f>IF($CM$6=0,"",IF(INDEX('⑩ 원문 보관'!$A:$E,$CM$6+ROW()-9,COLUMN())="","",INDEX('⑩ 원문 보관'!$A:$E,$CM$6+ROW()-9,COLUMN())))</f>
        <v>/datum  57000.00</v>
      </c>
      <c r="B255" t="str">
        <f>IF($CM$6=0,"",IF(INDEX('⑩ 원문 보관'!$A:$E,$CM$6+ROW()-9,COLUMN())="","",INDEX('⑩ 원문 보관'!$A:$E,$CM$6+ROW()-9,COLUMN())))</f>
        <v xml:space="preserve">120252.0  51062.17 27 </v>
      </c>
      <c r="C255" t="str">
        <f>IF($CM$6=0,"",IF(INDEX('⑩ 원문 보관'!$A:$E,$CM$6+ROW()-9,COLUMN())="","",INDEX('⑩ 원문 보관'!$A:$E,$CM$6+ROW()-9,COLUMN())))</f>
        <v/>
      </c>
      <c r="D255" t="str">
        <f>IF($CM$6=0,"",IF(INDEX('⑩ 원문 보관'!$A:$E,$CM$6+ROW()-9,COLUMN())="","",INDEX('⑩ 원문 보관'!$A:$E,$CM$6+ROW()-9,COLUMN())))</f>
        <v/>
      </c>
      <c r="E255" t="str">
        <f>IF($CM$6=0,"",IF(INDEX('⑩ 원문 보관'!$A:$E,$CM$6+ROW()-9,COLUMN())="","",INDEX('⑩ 원문 보관'!$A:$E,$CM$6+ROW()-9,COLUMN())))</f>
        <v/>
      </c>
      <c r="Q255">
        <f t="shared" si="120"/>
        <v>6</v>
      </c>
      <c r="R255" t="str">
        <f t="shared" si="100"/>
        <v/>
      </c>
      <c r="S255">
        <f t="shared" si="101"/>
        <v>57000</v>
      </c>
      <c r="T255" t="str">
        <f t="shared" si="102"/>
        <v/>
      </c>
      <c r="U255">
        <f t="shared" si="103"/>
        <v>0</v>
      </c>
      <c r="V255">
        <f t="shared" si="121"/>
        <v>7</v>
      </c>
      <c r="W255">
        <f t="shared" si="104"/>
        <v>120252</v>
      </c>
      <c r="X255">
        <f t="shared" si="105"/>
        <v>51062.17</v>
      </c>
      <c r="Y255" t="str">
        <f t="shared" si="106"/>
        <v>27</v>
      </c>
      <c r="Z255">
        <f t="shared" si="107"/>
        <v>1</v>
      </c>
      <c r="AA255">
        <f t="shared" si="122"/>
        <v>6</v>
      </c>
      <c r="AB255" t="str">
        <f t="shared" si="108"/>
        <v/>
      </c>
      <c r="AC255" t="str">
        <f t="shared" si="109"/>
        <v/>
      </c>
      <c r="AD255" t="str">
        <f t="shared" si="110"/>
        <v/>
      </c>
      <c r="AE255">
        <f t="shared" si="111"/>
        <v>0</v>
      </c>
      <c r="AF255">
        <f t="shared" si="123"/>
        <v>7</v>
      </c>
      <c r="AG255" t="str">
        <f t="shared" si="112"/>
        <v/>
      </c>
      <c r="AH255" t="str">
        <f t="shared" si="113"/>
        <v/>
      </c>
      <c r="AI255" t="str">
        <f t="shared" si="114"/>
        <v/>
      </c>
      <c r="AJ255">
        <f t="shared" si="115"/>
        <v>0</v>
      </c>
      <c r="AK255">
        <f t="shared" si="124"/>
        <v>4</v>
      </c>
      <c r="AL255" t="str">
        <f t="shared" si="116"/>
        <v/>
      </c>
      <c r="AM255" t="str">
        <f t="shared" si="117"/>
        <v/>
      </c>
      <c r="AN255" t="str">
        <f t="shared" si="118"/>
        <v/>
      </c>
      <c r="AO255">
        <f t="shared" si="119"/>
        <v>0</v>
      </c>
    </row>
    <row r="256" spans="1:41" x14ac:dyDescent="0.4">
      <c r="A256" t="str">
        <f>IF($CM$6=0,"",IF(INDEX('⑩ 원문 보관'!$A:$E,$CM$6+ROW()-9,COLUMN())="","",INDEX('⑩ 원문 보관'!$A:$E,$CM$6+ROW()-9,COLUMN())))</f>
        <v>/</v>
      </c>
      <c r="B256" t="str">
        <f>IF($CM$6=0,"",IF(INDEX('⑩ 원문 보관'!$A:$E,$CM$6+ROW()-9,COLUMN())="","",INDEX('⑩ 원문 보관'!$A:$E,$CM$6+ROW()-9,COLUMN())))</f>
        <v xml:space="preserve">120257.0  51061.23 27 </v>
      </c>
      <c r="C256" t="str">
        <f>IF($CM$6=0,"",IF(INDEX('⑩ 원문 보관'!$A:$E,$CM$6+ROW()-9,COLUMN())="","",INDEX('⑩ 원문 보관'!$A:$E,$CM$6+ROW()-9,COLUMN())))</f>
        <v/>
      </c>
      <c r="D256" t="str">
        <f>IF($CM$6=0,"",IF(INDEX('⑩ 원문 보관'!$A:$E,$CM$6+ROW()-9,COLUMN())="","",INDEX('⑩ 원문 보관'!$A:$E,$CM$6+ROW()-9,COLUMN())))</f>
        <v xml:space="preserve">/Gem Systems GSM-19T 4106808 v7.0 26 IX 2014 M t-e2l..v7o                         </v>
      </c>
      <c r="E256" t="str">
        <f>IF($CM$6=0,"",IF(INDEX('⑩ 원문 보관'!$A:$E,$CM$6+ROW()-9,COLUMN())="","",INDEX('⑩ 원문 보관'!$A:$E,$CM$6+ROW()-9,COLUMN())))</f>
        <v/>
      </c>
      <c r="Q256">
        <f t="shared" si="120"/>
        <v>6</v>
      </c>
      <c r="R256" t="str">
        <f t="shared" si="100"/>
        <v/>
      </c>
      <c r="S256" t="str">
        <f t="shared" si="101"/>
        <v/>
      </c>
      <c r="T256" t="str">
        <f t="shared" si="102"/>
        <v/>
      </c>
      <c r="U256">
        <f t="shared" si="103"/>
        <v>0</v>
      </c>
      <c r="V256">
        <f t="shared" si="121"/>
        <v>7</v>
      </c>
      <c r="W256">
        <f t="shared" si="104"/>
        <v>120257</v>
      </c>
      <c r="X256">
        <f t="shared" si="105"/>
        <v>51061.23</v>
      </c>
      <c r="Y256" t="str">
        <f t="shared" si="106"/>
        <v>27</v>
      </c>
      <c r="Z256">
        <f t="shared" si="107"/>
        <v>1</v>
      </c>
      <c r="AA256">
        <f t="shared" si="122"/>
        <v>6</v>
      </c>
      <c r="AB256" t="str">
        <f t="shared" si="108"/>
        <v/>
      </c>
      <c r="AC256" t="str">
        <f t="shared" si="109"/>
        <v/>
      </c>
      <c r="AD256" t="str">
        <f t="shared" si="110"/>
        <v/>
      </c>
      <c r="AE256">
        <f t="shared" si="111"/>
        <v>0</v>
      </c>
      <c r="AF256">
        <f t="shared" si="123"/>
        <v>7</v>
      </c>
      <c r="AG256" t="str">
        <f t="shared" si="112"/>
        <v/>
      </c>
      <c r="AH256" t="str">
        <f t="shared" si="113"/>
        <v/>
      </c>
      <c r="AI256" t="str">
        <f t="shared" si="114"/>
        <v>GSM-19T</v>
      </c>
      <c r="AJ256">
        <f t="shared" si="115"/>
        <v>0</v>
      </c>
      <c r="AK256">
        <f t="shared" si="124"/>
        <v>4</v>
      </c>
      <c r="AL256" t="str">
        <f t="shared" si="116"/>
        <v/>
      </c>
      <c r="AM256" t="str">
        <f t="shared" si="117"/>
        <v/>
      </c>
      <c r="AN256" t="str">
        <f t="shared" si="118"/>
        <v/>
      </c>
      <c r="AO256">
        <f t="shared" si="119"/>
        <v>0</v>
      </c>
    </row>
    <row r="257" spans="1:41" x14ac:dyDescent="0.4">
      <c r="A257" t="str">
        <f>IF($CM$6=0,"",IF(INDEX('⑩ 원문 보관'!$A:$E,$CM$6+ROW()-9,COLUMN())="","",INDEX('⑩ 원문 보관'!$A:$E,$CM$6+ROW()-9,COLUMN())))</f>
        <v/>
      </c>
      <c r="B257" t="str">
        <f>IF($CM$6=0,"",IF(INDEX('⑩ 원문 보관'!$A:$E,$CM$6+ROW()-9,COLUMN())="","",INDEX('⑩ 원문 보관'!$A:$E,$CM$6+ROW()-9,COLUMN())))</f>
        <v xml:space="preserve">120302.0  51061.92 27 </v>
      </c>
      <c r="C257" t="str">
        <f>IF($CM$6=0,"",IF(INDEX('⑩ 원문 보관'!$A:$E,$CM$6+ROW()-9,COLUMN())="","",INDEX('⑩ 원문 보관'!$A:$E,$CM$6+ROW()-9,COLUMN())))</f>
        <v/>
      </c>
      <c r="D257" t="str">
        <f>IF($CM$6=0,"",IF(INDEX('⑩ 원문 보관'!$A:$E,$CM$6+ROW()-9,COLUMN())="","",INDEX('⑩ 원문 보관'!$A:$E,$CM$6+ROW()-9,COLUMN())))</f>
        <v>/ID 2666 file 35survey.b   21 IX 26</v>
      </c>
      <c r="E257" t="str">
        <f>IF($CM$6=0,"",IF(INDEX('⑩ 원문 보관'!$A:$E,$CM$6+ROW()-9,COLUMN())="","",INDEX('⑩ 원문 보관'!$A:$E,$CM$6+ROW()-9,COLUMN())))</f>
        <v/>
      </c>
      <c r="Q257">
        <f t="shared" si="120"/>
        <v>6</v>
      </c>
      <c r="R257" t="str">
        <f t="shared" si="100"/>
        <v/>
      </c>
      <c r="S257" t="str">
        <f t="shared" si="101"/>
        <v/>
      </c>
      <c r="T257" t="str">
        <f t="shared" si="102"/>
        <v/>
      </c>
      <c r="U257">
        <f t="shared" si="103"/>
        <v>0</v>
      </c>
      <c r="V257">
        <f t="shared" si="121"/>
        <v>7</v>
      </c>
      <c r="W257">
        <f t="shared" si="104"/>
        <v>120302</v>
      </c>
      <c r="X257">
        <f t="shared" si="105"/>
        <v>51061.919999999998</v>
      </c>
      <c r="Y257" t="str">
        <f t="shared" si="106"/>
        <v>27</v>
      </c>
      <c r="Z257">
        <f t="shared" si="107"/>
        <v>1</v>
      </c>
      <c r="AA257">
        <f t="shared" si="122"/>
        <v>6</v>
      </c>
      <c r="AB257" t="str">
        <f t="shared" si="108"/>
        <v/>
      </c>
      <c r="AC257" t="str">
        <f t="shared" si="109"/>
        <v/>
      </c>
      <c r="AD257" t="str">
        <f t="shared" si="110"/>
        <v/>
      </c>
      <c r="AE257">
        <f t="shared" si="111"/>
        <v>0</v>
      </c>
      <c r="AF257">
        <f t="shared" si="123"/>
        <v>7</v>
      </c>
      <c r="AG257" t="str">
        <f t="shared" si="112"/>
        <v/>
      </c>
      <c r="AH257">
        <f t="shared" si="113"/>
        <v>2666</v>
      </c>
      <c r="AI257" t="str">
        <f t="shared" si="114"/>
        <v>file</v>
      </c>
      <c r="AJ257">
        <f t="shared" si="115"/>
        <v>0</v>
      </c>
      <c r="AK257">
        <f t="shared" si="124"/>
        <v>4</v>
      </c>
      <c r="AL257" t="str">
        <f t="shared" si="116"/>
        <v/>
      </c>
      <c r="AM257" t="str">
        <f t="shared" si="117"/>
        <v/>
      </c>
      <c r="AN257" t="str">
        <f t="shared" si="118"/>
        <v/>
      </c>
      <c r="AO257">
        <f t="shared" si="119"/>
        <v>0</v>
      </c>
    </row>
    <row r="258" spans="1:41" x14ac:dyDescent="0.4">
      <c r="A258" t="str">
        <f>IF($CM$6=0,"",IF(INDEX('⑩ 원문 보관'!$A:$E,$CM$6+ROW()-9,COLUMN())="","",INDEX('⑩ 원문 보관'!$A:$E,$CM$6+ROW()-9,COLUMN())))</f>
        <v xml:space="preserve">/time nT sq </v>
      </c>
      <c r="B258" t="str">
        <f>IF($CM$6=0,"",IF(INDEX('⑩ 원문 보관'!$A:$E,$CM$6+ROW()-9,COLUMN())="","",INDEX('⑩ 원문 보관'!$A:$E,$CM$6+ROW()-9,COLUMN())))</f>
        <v xml:space="preserve">120307.0  51061.59 27 </v>
      </c>
      <c r="C258" t="str">
        <f>IF($CM$6=0,"",IF(INDEX('⑩ 원문 보관'!$A:$E,$CM$6+ROW()-9,COLUMN())="","",INDEX('⑩ 원문 보관'!$A:$E,$CM$6+ROW()-9,COLUMN())))</f>
        <v/>
      </c>
      <c r="D258" t="str">
        <f>IF($CM$6=0,"",IF(INDEX('⑩ 원문 보관'!$A:$E,$CM$6+ROW()-9,COLUMN())="","",INDEX('⑩ 원문 보관'!$A:$E,$CM$6+ROW()-9,COLUMN())))</f>
        <v>/datum  57000.00</v>
      </c>
      <c r="E258" t="str">
        <f>IF($CM$6=0,"",IF(INDEX('⑩ 원문 보관'!$A:$E,$CM$6+ROW()-9,COLUMN())="","",INDEX('⑩ 원문 보관'!$A:$E,$CM$6+ROW()-9,COLUMN())))</f>
        <v/>
      </c>
      <c r="Q258">
        <f t="shared" si="120"/>
        <v>7</v>
      </c>
      <c r="R258" t="str">
        <f t="shared" si="100"/>
        <v/>
      </c>
      <c r="S258" t="str">
        <f t="shared" si="101"/>
        <v/>
      </c>
      <c r="T258" t="str">
        <f t="shared" si="102"/>
        <v>sq</v>
      </c>
      <c r="U258">
        <f t="shared" si="103"/>
        <v>0</v>
      </c>
      <c r="V258">
        <f t="shared" si="121"/>
        <v>7</v>
      </c>
      <c r="W258">
        <f t="shared" si="104"/>
        <v>120307</v>
      </c>
      <c r="X258">
        <f t="shared" si="105"/>
        <v>51061.59</v>
      </c>
      <c r="Y258" t="str">
        <f t="shared" si="106"/>
        <v>27</v>
      </c>
      <c r="Z258">
        <f t="shared" si="107"/>
        <v>1</v>
      </c>
      <c r="AA258">
        <f t="shared" si="122"/>
        <v>6</v>
      </c>
      <c r="AB258" t="str">
        <f t="shared" si="108"/>
        <v/>
      </c>
      <c r="AC258" t="str">
        <f t="shared" si="109"/>
        <v/>
      </c>
      <c r="AD258" t="str">
        <f t="shared" si="110"/>
        <v/>
      </c>
      <c r="AE258">
        <f t="shared" si="111"/>
        <v>0</v>
      </c>
      <c r="AF258">
        <f t="shared" si="123"/>
        <v>7</v>
      </c>
      <c r="AG258" t="str">
        <f t="shared" si="112"/>
        <v/>
      </c>
      <c r="AH258">
        <f t="shared" si="113"/>
        <v>57000</v>
      </c>
      <c r="AI258" t="str">
        <f t="shared" si="114"/>
        <v/>
      </c>
      <c r="AJ258">
        <f t="shared" si="115"/>
        <v>0</v>
      </c>
      <c r="AK258">
        <f t="shared" si="124"/>
        <v>4</v>
      </c>
      <c r="AL258" t="str">
        <f t="shared" si="116"/>
        <v/>
      </c>
      <c r="AM258" t="str">
        <f t="shared" si="117"/>
        <v/>
      </c>
      <c r="AN258" t="str">
        <f t="shared" si="118"/>
        <v/>
      </c>
      <c r="AO258">
        <f t="shared" si="119"/>
        <v>0</v>
      </c>
    </row>
    <row r="259" spans="1:41" x14ac:dyDescent="0.4">
      <c r="A259" t="str">
        <f>IF($CM$6=0,"",IF(INDEX('⑩ 원문 보관'!$A:$E,$CM$6+ROW()-9,COLUMN())="","",INDEX('⑩ 원문 보관'!$A:$E,$CM$6+ROW()-9,COLUMN())))</f>
        <v xml:space="preserve">113547.0  51334.76 84 </v>
      </c>
      <c r="B259" t="str">
        <f>IF($CM$6=0,"",IF(INDEX('⑩ 원문 보관'!$A:$E,$CM$6+ROW()-9,COLUMN())="","",INDEX('⑩ 원문 보관'!$A:$E,$CM$6+ROW()-9,COLUMN())))</f>
        <v xml:space="preserve">120312.0  51055.74 37 </v>
      </c>
      <c r="C259" t="str">
        <f>IF($CM$6=0,"",IF(INDEX('⑩ 원문 보관'!$A:$E,$CM$6+ROW()-9,COLUMN())="","",INDEX('⑩ 원문 보관'!$A:$E,$CM$6+ROW()-9,COLUMN())))</f>
        <v/>
      </c>
      <c r="D259" t="str">
        <f>IF($CM$6=0,"",IF(INDEX('⑩ 원문 보관'!$A:$E,$CM$6+ROW()-9,COLUMN())="","",INDEX('⑩ 원문 보관'!$A:$E,$CM$6+ROW()-9,COLUMN())))</f>
        <v>/</v>
      </c>
      <c r="E259" t="str">
        <f>IF($CM$6=0,"",IF(INDEX('⑩ 원문 보관'!$A:$E,$CM$6+ROW()-9,COLUMN())="","",INDEX('⑩ 원문 보관'!$A:$E,$CM$6+ROW()-9,COLUMN())))</f>
        <v/>
      </c>
      <c r="Q259">
        <f t="shared" si="120"/>
        <v>7</v>
      </c>
      <c r="R259">
        <f t="shared" si="100"/>
        <v>113547</v>
      </c>
      <c r="S259">
        <f t="shared" si="101"/>
        <v>51334.76</v>
      </c>
      <c r="T259" t="str">
        <f t="shared" si="102"/>
        <v>84</v>
      </c>
      <c r="U259">
        <f t="shared" si="103"/>
        <v>1</v>
      </c>
      <c r="V259">
        <f t="shared" si="121"/>
        <v>7</v>
      </c>
      <c r="W259">
        <f t="shared" si="104"/>
        <v>120312</v>
      </c>
      <c r="X259">
        <f t="shared" si="105"/>
        <v>51055.74</v>
      </c>
      <c r="Y259" t="str">
        <f t="shared" si="106"/>
        <v>37</v>
      </c>
      <c r="Z259">
        <f t="shared" si="107"/>
        <v>1</v>
      </c>
      <c r="AA259">
        <f t="shared" si="122"/>
        <v>6</v>
      </c>
      <c r="AB259" t="str">
        <f t="shared" si="108"/>
        <v/>
      </c>
      <c r="AC259" t="str">
        <f t="shared" si="109"/>
        <v/>
      </c>
      <c r="AD259" t="str">
        <f t="shared" si="110"/>
        <v/>
      </c>
      <c r="AE259">
        <f t="shared" si="111"/>
        <v>0</v>
      </c>
      <c r="AF259">
        <f t="shared" si="123"/>
        <v>7</v>
      </c>
      <c r="AG259" t="str">
        <f t="shared" si="112"/>
        <v/>
      </c>
      <c r="AH259" t="str">
        <f t="shared" si="113"/>
        <v/>
      </c>
      <c r="AI259" t="str">
        <f t="shared" si="114"/>
        <v/>
      </c>
      <c r="AJ259">
        <f t="shared" si="115"/>
        <v>0</v>
      </c>
      <c r="AK259">
        <f t="shared" si="124"/>
        <v>4</v>
      </c>
      <c r="AL259" t="str">
        <f t="shared" si="116"/>
        <v/>
      </c>
      <c r="AM259" t="str">
        <f t="shared" si="117"/>
        <v/>
      </c>
      <c r="AN259" t="str">
        <f t="shared" si="118"/>
        <v/>
      </c>
      <c r="AO259">
        <f t="shared" si="119"/>
        <v>0</v>
      </c>
    </row>
    <row r="260" spans="1:41" x14ac:dyDescent="0.4">
      <c r="A260" t="str">
        <f>IF($CM$6=0,"",IF(INDEX('⑩ 원문 보관'!$A:$E,$CM$6+ROW()-9,COLUMN())="","",INDEX('⑩ 원문 보관'!$A:$E,$CM$6+ROW()-9,COLUMN())))</f>
        <v xml:space="preserve">113552.0  51334.14 63 </v>
      </c>
      <c r="B260" t="str">
        <f>IF($CM$6=0,"",IF(INDEX('⑩ 원문 보관'!$A:$E,$CM$6+ROW()-9,COLUMN())="","",INDEX('⑩ 원문 보관'!$A:$E,$CM$6+ROW()-9,COLUMN())))</f>
        <v xml:space="preserve">120317.0  51060.20 27 </v>
      </c>
      <c r="C260" t="str">
        <f>IF($CM$6=0,"",IF(INDEX('⑩ 원문 보관'!$A:$E,$CM$6+ROW()-9,COLUMN())="","",INDEX('⑩ 원문 보관'!$A:$E,$CM$6+ROW()-9,COLUMN())))</f>
        <v/>
      </c>
      <c r="D260" t="str">
        <f>IF($CM$6=0,"",IF(INDEX('⑩ 원문 보관'!$A:$E,$CM$6+ROW()-9,COLUMN())="","",INDEX('⑩ 원문 보관'!$A:$E,$CM$6+ROW()-9,COLUMN())))</f>
        <v/>
      </c>
      <c r="E260" t="str">
        <f>IF($CM$6=0,"",IF(INDEX('⑩ 원문 보관'!$A:$E,$CM$6+ROW()-9,COLUMN())="","",INDEX('⑩ 원문 보관'!$A:$E,$CM$6+ROW()-9,COLUMN())))</f>
        <v/>
      </c>
      <c r="Q260">
        <f t="shared" si="120"/>
        <v>7</v>
      </c>
      <c r="R260">
        <f t="shared" si="100"/>
        <v>113552</v>
      </c>
      <c r="S260">
        <f t="shared" si="101"/>
        <v>51334.14</v>
      </c>
      <c r="T260" t="str">
        <f t="shared" si="102"/>
        <v>63</v>
      </c>
      <c r="U260">
        <f t="shared" si="103"/>
        <v>1</v>
      </c>
      <c r="V260">
        <f t="shared" si="121"/>
        <v>7</v>
      </c>
      <c r="W260">
        <f t="shared" si="104"/>
        <v>120317</v>
      </c>
      <c r="X260">
        <f t="shared" si="105"/>
        <v>51060.2</v>
      </c>
      <c r="Y260" t="str">
        <f t="shared" si="106"/>
        <v>27</v>
      </c>
      <c r="Z260">
        <f t="shared" si="107"/>
        <v>1</v>
      </c>
      <c r="AA260">
        <f t="shared" si="122"/>
        <v>6</v>
      </c>
      <c r="AB260" t="str">
        <f t="shared" si="108"/>
        <v/>
      </c>
      <c r="AC260" t="str">
        <f t="shared" si="109"/>
        <v/>
      </c>
      <c r="AD260" t="str">
        <f t="shared" si="110"/>
        <v/>
      </c>
      <c r="AE260">
        <f t="shared" si="111"/>
        <v>0</v>
      </c>
      <c r="AF260">
        <f t="shared" si="123"/>
        <v>7</v>
      </c>
      <c r="AG260" t="str">
        <f t="shared" si="112"/>
        <v/>
      </c>
      <c r="AH260" t="str">
        <f t="shared" si="113"/>
        <v/>
      </c>
      <c r="AI260" t="str">
        <f t="shared" si="114"/>
        <v/>
      </c>
      <c r="AJ260">
        <f t="shared" si="115"/>
        <v>0</v>
      </c>
      <c r="AK260">
        <f t="shared" si="124"/>
        <v>4</v>
      </c>
      <c r="AL260" t="str">
        <f t="shared" si="116"/>
        <v/>
      </c>
      <c r="AM260" t="str">
        <f t="shared" si="117"/>
        <v/>
      </c>
      <c r="AN260" t="str">
        <f t="shared" si="118"/>
        <v/>
      </c>
      <c r="AO260">
        <f t="shared" si="119"/>
        <v>0</v>
      </c>
    </row>
    <row r="261" spans="1:41" x14ac:dyDescent="0.4">
      <c r="A261" t="str">
        <f>IF($CM$6=0,"",IF(INDEX('⑩ 원문 보관'!$A:$E,$CM$6+ROW()-9,COLUMN())="","",INDEX('⑩ 원문 보관'!$A:$E,$CM$6+ROW()-9,COLUMN())))</f>
        <v xml:space="preserve">113557.0  51334.80 74 </v>
      </c>
      <c r="B261" t="str">
        <f>IF($CM$6=0,"",IF(INDEX('⑩ 원문 보관'!$A:$E,$CM$6+ROW()-9,COLUMN())="","",INDEX('⑩ 원문 보관'!$A:$E,$CM$6+ROW()-9,COLUMN())))</f>
        <v xml:space="preserve">120322.0  51060.09 27 </v>
      </c>
      <c r="C261" t="str">
        <f>IF($CM$6=0,"",IF(INDEX('⑩ 원문 보관'!$A:$E,$CM$6+ROW()-9,COLUMN())="","",INDEX('⑩ 원문 보관'!$A:$E,$CM$6+ROW()-9,COLUMN())))</f>
        <v/>
      </c>
      <c r="D261" t="str">
        <f>IF($CM$6=0,"",IF(INDEX('⑩ 원문 보관'!$A:$E,$CM$6+ROW()-9,COLUMN())="","",INDEX('⑩ 원문 보관'!$A:$E,$CM$6+ROW()-9,COLUMN())))</f>
        <v xml:space="preserve">/time nT sq </v>
      </c>
      <c r="E261" t="str">
        <f>IF($CM$6=0,"",IF(INDEX('⑩ 원문 보관'!$A:$E,$CM$6+ROW()-9,COLUMN())="","",INDEX('⑩ 원문 보관'!$A:$E,$CM$6+ROW()-9,COLUMN())))</f>
        <v/>
      </c>
      <c r="Q261">
        <f t="shared" si="120"/>
        <v>7</v>
      </c>
      <c r="R261">
        <f t="shared" si="100"/>
        <v>113557</v>
      </c>
      <c r="S261">
        <f t="shared" si="101"/>
        <v>51334.8</v>
      </c>
      <c r="T261" t="str">
        <f t="shared" si="102"/>
        <v>74</v>
      </c>
      <c r="U261">
        <f t="shared" si="103"/>
        <v>1</v>
      </c>
      <c r="V261">
        <f t="shared" si="121"/>
        <v>7</v>
      </c>
      <c r="W261">
        <f t="shared" si="104"/>
        <v>120322</v>
      </c>
      <c r="X261">
        <f t="shared" si="105"/>
        <v>51060.09</v>
      </c>
      <c r="Y261" t="str">
        <f t="shared" si="106"/>
        <v>27</v>
      </c>
      <c r="Z261">
        <f t="shared" si="107"/>
        <v>1</v>
      </c>
      <c r="AA261">
        <f t="shared" si="122"/>
        <v>6</v>
      </c>
      <c r="AB261" t="str">
        <f t="shared" si="108"/>
        <v/>
      </c>
      <c r="AC261" t="str">
        <f t="shared" si="109"/>
        <v/>
      </c>
      <c r="AD261" t="str">
        <f t="shared" si="110"/>
        <v/>
      </c>
      <c r="AE261">
        <f t="shared" si="111"/>
        <v>0</v>
      </c>
      <c r="AF261">
        <f t="shared" si="123"/>
        <v>8</v>
      </c>
      <c r="AG261" t="str">
        <f t="shared" si="112"/>
        <v/>
      </c>
      <c r="AH261" t="str">
        <f t="shared" si="113"/>
        <v/>
      </c>
      <c r="AI261" t="str">
        <f t="shared" si="114"/>
        <v>sq</v>
      </c>
      <c r="AJ261">
        <f t="shared" si="115"/>
        <v>0</v>
      </c>
      <c r="AK261">
        <f t="shared" si="124"/>
        <v>4</v>
      </c>
      <c r="AL261" t="str">
        <f t="shared" si="116"/>
        <v/>
      </c>
      <c r="AM261" t="str">
        <f t="shared" si="117"/>
        <v/>
      </c>
      <c r="AN261" t="str">
        <f t="shared" si="118"/>
        <v/>
      </c>
      <c r="AO261">
        <f t="shared" si="119"/>
        <v>0</v>
      </c>
    </row>
    <row r="262" spans="1:41" x14ac:dyDescent="0.4">
      <c r="A262" t="str">
        <f>IF($CM$6=0,"",IF(INDEX('⑩ 원문 보관'!$A:$E,$CM$6+ROW()-9,COLUMN())="","",INDEX('⑩ 원문 보관'!$A:$E,$CM$6+ROW()-9,COLUMN())))</f>
        <v xml:space="preserve">113602.0  51334.15 64 </v>
      </c>
      <c r="B262" t="str">
        <f>IF($CM$6=0,"",IF(INDEX('⑩ 원문 보관'!$A:$E,$CM$6+ROW()-9,COLUMN())="","",INDEX('⑩ 원문 보관'!$A:$E,$CM$6+ROW()-9,COLUMN())))</f>
        <v xml:space="preserve">120327.0  51061.41 27 </v>
      </c>
      <c r="C262" t="str">
        <f>IF($CM$6=0,"",IF(INDEX('⑩ 원문 보관'!$A:$E,$CM$6+ROW()-9,COLUMN())="","",INDEX('⑩ 원문 보관'!$A:$E,$CM$6+ROW()-9,COLUMN())))</f>
        <v/>
      </c>
      <c r="D262" t="str">
        <f>IF($CM$6=0,"",IF(INDEX('⑩ 원문 보관'!$A:$E,$CM$6+ROW()-9,COLUMN())="","",INDEX('⑩ 원문 보관'!$A:$E,$CM$6+ROW()-9,COLUMN())))</f>
        <v xml:space="preserve">125437.0  51416.32 36 </v>
      </c>
      <c r="E262" t="str">
        <f>IF($CM$6=0,"",IF(INDEX('⑩ 원문 보관'!$A:$E,$CM$6+ROW()-9,COLUMN())="","",INDEX('⑩ 원문 보관'!$A:$E,$CM$6+ROW()-9,COLUMN())))</f>
        <v/>
      </c>
      <c r="Q262">
        <f t="shared" si="120"/>
        <v>7</v>
      </c>
      <c r="R262">
        <f t="shared" si="100"/>
        <v>113602</v>
      </c>
      <c r="S262">
        <f t="shared" si="101"/>
        <v>51334.15</v>
      </c>
      <c r="T262" t="str">
        <f t="shared" si="102"/>
        <v>64</v>
      </c>
      <c r="U262">
        <f t="shared" si="103"/>
        <v>1</v>
      </c>
      <c r="V262">
        <f t="shared" si="121"/>
        <v>7</v>
      </c>
      <c r="W262">
        <f t="shared" si="104"/>
        <v>120327</v>
      </c>
      <c r="X262">
        <f t="shared" si="105"/>
        <v>51061.41</v>
      </c>
      <c r="Y262" t="str">
        <f t="shared" si="106"/>
        <v>27</v>
      </c>
      <c r="Z262">
        <f t="shared" si="107"/>
        <v>1</v>
      </c>
      <c r="AA262">
        <f t="shared" si="122"/>
        <v>6</v>
      </c>
      <c r="AB262" t="str">
        <f t="shared" si="108"/>
        <v/>
      </c>
      <c r="AC262" t="str">
        <f t="shared" si="109"/>
        <v/>
      </c>
      <c r="AD262" t="str">
        <f t="shared" si="110"/>
        <v/>
      </c>
      <c r="AE262">
        <f t="shared" si="111"/>
        <v>0</v>
      </c>
      <c r="AF262">
        <f t="shared" si="123"/>
        <v>8</v>
      </c>
      <c r="AG262">
        <f t="shared" si="112"/>
        <v>125437</v>
      </c>
      <c r="AH262">
        <f t="shared" si="113"/>
        <v>51416.32</v>
      </c>
      <c r="AI262" t="str">
        <f t="shared" si="114"/>
        <v>36</v>
      </c>
      <c r="AJ262">
        <f t="shared" si="115"/>
        <v>1</v>
      </c>
      <c r="AK262">
        <f t="shared" si="124"/>
        <v>4</v>
      </c>
      <c r="AL262" t="str">
        <f t="shared" si="116"/>
        <v/>
      </c>
      <c r="AM262" t="str">
        <f t="shared" si="117"/>
        <v/>
      </c>
      <c r="AN262" t="str">
        <f t="shared" si="118"/>
        <v/>
      </c>
      <c r="AO262">
        <f t="shared" si="119"/>
        <v>0</v>
      </c>
    </row>
    <row r="263" spans="1:41" x14ac:dyDescent="0.4">
      <c r="A263" t="str">
        <f>IF($CM$6=0,"",IF(INDEX('⑩ 원문 보관'!$A:$E,$CM$6+ROW()-9,COLUMN())="","",INDEX('⑩ 원문 보관'!$A:$E,$CM$6+ROW()-9,COLUMN())))</f>
        <v xml:space="preserve">113607.0  51333.73 33 </v>
      </c>
      <c r="B263" t="str">
        <f>IF($CM$6=0,"",IF(INDEX('⑩ 원문 보관'!$A:$E,$CM$6+ROW()-9,COLUMN())="","",INDEX('⑩ 원문 보관'!$A:$E,$CM$6+ROW()-9,COLUMN())))</f>
        <v xml:space="preserve">120332.0  51060.60 37 </v>
      </c>
      <c r="C263" t="str">
        <f>IF($CM$6=0,"",IF(INDEX('⑩ 원문 보관'!$A:$E,$CM$6+ROW()-9,COLUMN())="","",INDEX('⑩ 원문 보관'!$A:$E,$CM$6+ROW()-9,COLUMN())))</f>
        <v/>
      </c>
      <c r="D263" t="str">
        <f>IF($CM$6=0,"",IF(INDEX('⑩ 원문 보관'!$A:$E,$CM$6+ROW()-9,COLUMN())="","",INDEX('⑩ 원문 보관'!$A:$E,$CM$6+ROW()-9,COLUMN())))</f>
        <v xml:space="preserve">125442.0  51414.99 36 </v>
      </c>
      <c r="E263" t="str">
        <f>IF($CM$6=0,"",IF(INDEX('⑩ 원문 보관'!$A:$E,$CM$6+ROW()-9,COLUMN())="","",INDEX('⑩ 원문 보관'!$A:$E,$CM$6+ROW()-9,COLUMN())))</f>
        <v/>
      </c>
      <c r="Q263">
        <f t="shared" si="120"/>
        <v>7</v>
      </c>
      <c r="R263">
        <f t="shared" si="100"/>
        <v>113607</v>
      </c>
      <c r="S263">
        <f t="shared" si="101"/>
        <v>51333.73</v>
      </c>
      <c r="T263" t="str">
        <f t="shared" si="102"/>
        <v>33</v>
      </c>
      <c r="U263">
        <f t="shared" si="103"/>
        <v>1</v>
      </c>
      <c r="V263">
        <f t="shared" si="121"/>
        <v>7</v>
      </c>
      <c r="W263">
        <f t="shared" si="104"/>
        <v>120332</v>
      </c>
      <c r="X263">
        <f t="shared" si="105"/>
        <v>51060.6</v>
      </c>
      <c r="Y263" t="str">
        <f t="shared" si="106"/>
        <v>37</v>
      </c>
      <c r="Z263">
        <f t="shared" si="107"/>
        <v>1</v>
      </c>
      <c r="AA263">
        <f t="shared" si="122"/>
        <v>6</v>
      </c>
      <c r="AB263" t="str">
        <f t="shared" si="108"/>
        <v/>
      </c>
      <c r="AC263" t="str">
        <f t="shared" si="109"/>
        <v/>
      </c>
      <c r="AD263" t="str">
        <f t="shared" si="110"/>
        <v/>
      </c>
      <c r="AE263">
        <f t="shared" si="111"/>
        <v>0</v>
      </c>
      <c r="AF263">
        <f t="shared" si="123"/>
        <v>8</v>
      </c>
      <c r="AG263">
        <f t="shared" si="112"/>
        <v>125442</v>
      </c>
      <c r="AH263">
        <f t="shared" si="113"/>
        <v>51414.99</v>
      </c>
      <c r="AI263" t="str">
        <f t="shared" si="114"/>
        <v>36</v>
      </c>
      <c r="AJ263">
        <f t="shared" si="115"/>
        <v>1</v>
      </c>
      <c r="AK263">
        <f t="shared" si="124"/>
        <v>4</v>
      </c>
      <c r="AL263" t="str">
        <f t="shared" si="116"/>
        <v/>
      </c>
      <c r="AM263" t="str">
        <f t="shared" si="117"/>
        <v/>
      </c>
      <c r="AN263" t="str">
        <f t="shared" si="118"/>
        <v/>
      </c>
      <c r="AO263">
        <f t="shared" si="119"/>
        <v>0</v>
      </c>
    </row>
    <row r="264" spans="1:41" x14ac:dyDescent="0.4">
      <c r="A264" t="str">
        <f>IF($CM$6=0,"",IF(INDEX('⑩ 원문 보관'!$A:$E,$CM$6+ROW()-9,COLUMN())="","",INDEX('⑩ 원문 보관'!$A:$E,$CM$6+ROW()-9,COLUMN())))</f>
        <v xml:space="preserve">113612.0  51335.06 64 </v>
      </c>
      <c r="B264" t="str">
        <f>IF($CM$6=0,"",IF(INDEX('⑩ 원문 보관'!$A:$E,$CM$6+ROW()-9,COLUMN())="","",INDEX('⑩ 원문 보관'!$A:$E,$CM$6+ROW()-9,COLUMN())))</f>
        <v xml:space="preserve">120337.0  51058.66 27 </v>
      </c>
      <c r="C264" t="str">
        <f>IF($CM$6=0,"",IF(INDEX('⑩ 원문 보관'!$A:$E,$CM$6+ROW()-9,COLUMN())="","",INDEX('⑩ 원문 보관'!$A:$E,$CM$6+ROW()-9,COLUMN())))</f>
        <v/>
      </c>
      <c r="D264" t="str">
        <f>IF($CM$6=0,"",IF(INDEX('⑩ 원문 보관'!$A:$E,$CM$6+ROW()-9,COLUMN())="","",INDEX('⑩ 원문 보관'!$A:$E,$CM$6+ROW()-9,COLUMN())))</f>
        <v xml:space="preserve">125447.0  51414.02 36 </v>
      </c>
      <c r="E264" t="str">
        <f>IF($CM$6=0,"",IF(INDEX('⑩ 원문 보관'!$A:$E,$CM$6+ROW()-9,COLUMN())="","",INDEX('⑩ 원문 보관'!$A:$E,$CM$6+ROW()-9,COLUMN())))</f>
        <v/>
      </c>
      <c r="Q264">
        <f t="shared" si="120"/>
        <v>7</v>
      </c>
      <c r="R264">
        <f t="shared" si="100"/>
        <v>113612</v>
      </c>
      <c r="S264">
        <f t="shared" si="101"/>
        <v>51335.06</v>
      </c>
      <c r="T264" t="str">
        <f t="shared" si="102"/>
        <v>64</v>
      </c>
      <c r="U264">
        <f t="shared" si="103"/>
        <v>1</v>
      </c>
      <c r="V264">
        <f t="shared" si="121"/>
        <v>7</v>
      </c>
      <c r="W264">
        <f t="shared" si="104"/>
        <v>120337</v>
      </c>
      <c r="X264">
        <f t="shared" si="105"/>
        <v>51058.66</v>
      </c>
      <c r="Y264" t="str">
        <f t="shared" si="106"/>
        <v>27</v>
      </c>
      <c r="Z264">
        <f t="shared" si="107"/>
        <v>1</v>
      </c>
      <c r="AA264">
        <f t="shared" si="122"/>
        <v>6</v>
      </c>
      <c r="AB264" t="str">
        <f t="shared" si="108"/>
        <v/>
      </c>
      <c r="AC264" t="str">
        <f t="shared" si="109"/>
        <v/>
      </c>
      <c r="AD264" t="str">
        <f t="shared" si="110"/>
        <v/>
      </c>
      <c r="AE264">
        <f t="shared" si="111"/>
        <v>0</v>
      </c>
      <c r="AF264">
        <f t="shared" si="123"/>
        <v>8</v>
      </c>
      <c r="AG264">
        <f t="shared" si="112"/>
        <v>125447</v>
      </c>
      <c r="AH264">
        <f t="shared" si="113"/>
        <v>51414.02</v>
      </c>
      <c r="AI264" t="str">
        <f t="shared" si="114"/>
        <v>36</v>
      </c>
      <c r="AJ264">
        <f t="shared" si="115"/>
        <v>1</v>
      </c>
      <c r="AK264">
        <f t="shared" si="124"/>
        <v>4</v>
      </c>
      <c r="AL264" t="str">
        <f t="shared" si="116"/>
        <v/>
      </c>
      <c r="AM264" t="str">
        <f t="shared" si="117"/>
        <v/>
      </c>
      <c r="AN264" t="str">
        <f t="shared" si="118"/>
        <v/>
      </c>
      <c r="AO264">
        <f t="shared" si="119"/>
        <v>0</v>
      </c>
    </row>
    <row r="265" spans="1:41" x14ac:dyDescent="0.4">
      <c r="A265" t="str">
        <f>IF($CM$6=0,"",IF(INDEX('⑩ 원문 보관'!$A:$E,$CM$6+ROW()-9,COLUMN())="","",INDEX('⑩ 원문 보관'!$A:$E,$CM$6+ROW()-9,COLUMN())))</f>
        <v xml:space="preserve">113617.0  51335.21 54 </v>
      </c>
      <c r="B265" t="str">
        <f>IF($CM$6=0,"",IF(INDEX('⑩ 원문 보관'!$A:$E,$CM$6+ROW()-9,COLUMN())="","",INDEX('⑩ 원문 보관'!$A:$E,$CM$6+ROW()-9,COLUMN())))</f>
        <v xml:space="preserve">120342.0  51059.01 37 </v>
      </c>
      <c r="C265" t="str">
        <f>IF($CM$6=0,"",IF(INDEX('⑩ 원문 보관'!$A:$E,$CM$6+ROW()-9,COLUMN())="","",INDEX('⑩ 원문 보관'!$A:$E,$CM$6+ROW()-9,COLUMN())))</f>
        <v/>
      </c>
      <c r="D265" t="str">
        <f>IF($CM$6=0,"",IF(INDEX('⑩ 원문 보관'!$A:$E,$CM$6+ROW()-9,COLUMN())="","",INDEX('⑩ 원문 보관'!$A:$E,$CM$6+ROW()-9,COLUMN())))</f>
        <v xml:space="preserve">125452.0  51413.89 37 </v>
      </c>
      <c r="E265" t="str">
        <f>IF($CM$6=0,"",IF(INDEX('⑩ 원문 보관'!$A:$E,$CM$6+ROW()-9,COLUMN())="","",INDEX('⑩ 원문 보관'!$A:$E,$CM$6+ROW()-9,COLUMN())))</f>
        <v/>
      </c>
      <c r="Q265">
        <f t="shared" si="120"/>
        <v>7</v>
      </c>
      <c r="R265">
        <f t="shared" ref="R265:R328" si="125">IFERROR(IF(ISNUMBER(--LEFT(TRIM(A265),1)),VALUE(LEFT(TRIM(A265),6)),""),"")</f>
        <v>113617</v>
      </c>
      <c r="S265">
        <f t="shared" ref="S265:S328" si="126">IFERROR(VALUE(TRIM(MID(SUBSTITUTE(TRIM(A265)," ",REPT(" ",30)),31,30))),"")</f>
        <v>51335.21</v>
      </c>
      <c r="T265" t="str">
        <f t="shared" ref="T265:T328" si="127">IFERROR(TRIM(MID(SUBSTITUTE(TRIM(A265)," ",REPT(" ",30)),61,30)),"")</f>
        <v>54</v>
      </c>
      <c r="U265">
        <f t="shared" ref="U265:U328" si="128">IF(OR(R265="",S265="",T265=""),0,IF(AND(S265&gt;1000,RIGHT(T265,1)&lt;&gt;"0"),1,0))</f>
        <v>1</v>
      </c>
      <c r="V265">
        <f t="shared" si="121"/>
        <v>7</v>
      </c>
      <c r="W265">
        <f t="shared" ref="W265:W328" si="129">IFERROR(IF(ISNUMBER(--LEFT(TRIM(B265),1)),VALUE(LEFT(TRIM(B265),6)),""),"")</f>
        <v>120342</v>
      </c>
      <c r="X265">
        <f t="shared" ref="X265:X328" si="130">IFERROR(VALUE(TRIM(MID(SUBSTITUTE(TRIM(B265)," ",REPT(" ",30)),31,30))),"")</f>
        <v>51059.01</v>
      </c>
      <c r="Y265" t="str">
        <f t="shared" ref="Y265:Y328" si="131">IFERROR(TRIM(MID(SUBSTITUTE(TRIM(B265)," ",REPT(" ",30)),61,30)),"")</f>
        <v>37</v>
      </c>
      <c r="Z265">
        <f t="shared" ref="Z265:Z328" si="132">IF(OR(W265="",X265="",Y265=""),0,IF(AND(X265&gt;1000,RIGHT(Y265,1)&lt;&gt;"0"),1,0))</f>
        <v>1</v>
      </c>
      <c r="AA265">
        <f t="shared" si="122"/>
        <v>6</v>
      </c>
      <c r="AB265" t="str">
        <f t="shared" ref="AB265:AB328" si="133">IFERROR(IF(ISNUMBER(--LEFT(TRIM(C265),1)),VALUE(LEFT(TRIM(C265),6)),""),"")</f>
        <v/>
      </c>
      <c r="AC265" t="str">
        <f t="shared" ref="AC265:AC328" si="134">IFERROR(VALUE(TRIM(MID(SUBSTITUTE(TRIM(C265)," ",REPT(" ",30)),31,30))),"")</f>
        <v/>
      </c>
      <c r="AD265" t="str">
        <f t="shared" ref="AD265:AD328" si="135">IFERROR(TRIM(MID(SUBSTITUTE(TRIM(C265)," ",REPT(" ",30)),61,30)),"")</f>
        <v/>
      </c>
      <c r="AE265">
        <f t="shared" ref="AE265:AE328" si="136">IF(OR(AB265="",AC265="",AD265=""),0,IF(AND(AC265&gt;1000,RIGHT(AD265,1)&lt;&gt;"0"),1,0))</f>
        <v>0</v>
      </c>
      <c r="AF265">
        <f t="shared" si="123"/>
        <v>8</v>
      </c>
      <c r="AG265">
        <f t="shared" ref="AG265:AG328" si="137">IFERROR(IF(ISNUMBER(--LEFT(TRIM(D265),1)),VALUE(LEFT(TRIM(D265),6)),""),"")</f>
        <v>125452</v>
      </c>
      <c r="AH265">
        <f t="shared" ref="AH265:AH328" si="138">IFERROR(VALUE(TRIM(MID(SUBSTITUTE(TRIM(D265)," ",REPT(" ",30)),31,30))),"")</f>
        <v>51413.89</v>
      </c>
      <c r="AI265" t="str">
        <f t="shared" ref="AI265:AI328" si="139">IFERROR(TRIM(MID(SUBSTITUTE(TRIM(D265)," ",REPT(" ",30)),61,30)),"")</f>
        <v>37</v>
      </c>
      <c r="AJ265">
        <f t="shared" ref="AJ265:AJ328" si="140">IF(OR(AG265="",AH265="",AI265=""),0,IF(AND(AH265&gt;1000,RIGHT(AI265,1)&lt;&gt;"0"),1,0))</f>
        <v>1</v>
      </c>
      <c r="AK265">
        <f t="shared" si="124"/>
        <v>4</v>
      </c>
      <c r="AL265" t="str">
        <f t="shared" ref="AL265:AL328" si="141">IFERROR(IF(ISNUMBER(--LEFT(TRIM(E265),1)),VALUE(LEFT(TRIM(E265),6)),""),"")</f>
        <v/>
      </c>
      <c r="AM265" t="str">
        <f t="shared" ref="AM265:AM328" si="142">IFERROR(VALUE(TRIM(MID(SUBSTITUTE(TRIM(E265)," ",REPT(" ",30)),31,30))),"")</f>
        <v/>
      </c>
      <c r="AN265" t="str">
        <f t="shared" ref="AN265:AN328" si="143">IFERROR(TRIM(MID(SUBSTITUTE(TRIM(E265)," ",REPT(" ",30)),61,30)),"")</f>
        <v/>
      </c>
      <c r="AO265">
        <f t="shared" ref="AO265:AO328" si="144">IF(OR(AL265="",AM265="",AN265=""),0,IF(AND(AM265&gt;1000,RIGHT(AN265,1)&lt;&gt;"0"),1,0))</f>
        <v>0</v>
      </c>
    </row>
    <row r="266" spans="1:41" x14ac:dyDescent="0.4">
      <c r="A266" t="str">
        <f>IF($CM$6=0,"",IF(INDEX('⑩ 원문 보관'!$A:$E,$CM$6+ROW()-9,COLUMN())="","",INDEX('⑩ 원문 보관'!$A:$E,$CM$6+ROW()-9,COLUMN())))</f>
        <v xml:space="preserve">113622.0  51334.77 64 </v>
      </c>
      <c r="B266" t="str">
        <f>IF($CM$6=0,"",IF(INDEX('⑩ 원문 보관'!$A:$E,$CM$6+ROW()-9,COLUMN())="","",INDEX('⑩ 원문 보관'!$A:$E,$CM$6+ROW()-9,COLUMN())))</f>
        <v xml:space="preserve">120347.0  51060.07 27 </v>
      </c>
      <c r="C266" t="str">
        <f>IF($CM$6=0,"",IF(INDEX('⑩ 원문 보관'!$A:$E,$CM$6+ROW()-9,COLUMN())="","",INDEX('⑩ 원문 보관'!$A:$E,$CM$6+ROW()-9,COLUMN())))</f>
        <v/>
      </c>
      <c r="D266" t="str">
        <f>IF($CM$6=0,"",IF(INDEX('⑩ 원문 보관'!$A:$E,$CM$6+ROW()-9,COLUMN())="","",INDEX('⑩ 원문 보관'!$A:$E,$CM$6+ROW()-9,COLUMN())))</f>
        <v xml:space="preserve">125457.0  51417.22 37 </v>
      </c>
      <c r="E266" t="str">
        <f>IF($CM$6=0,"",IF(INDEX('⑩ 원문 보관'!$A:$E,$CM$6+ROW()-9,COLUMN())="","",INDEX('⑩ 원문 보관'!$A:$E,$CM$6+ROW()-9,COLUMN())))</f>
        <v/>
      </c>
      <c r="Q266">
        <f t="shared" ref="Q266:Q329" si="145">IF(A266="",N(Q265),IF(LEFT(TRIM(A266),5)="/time",N(Q265)+1,N(Q265)))</f>
        <v>7</v>
      </c>
      <c r="R266">
        <f t="shared" si="125"/>
        <v>113622</v>
      </c>
      <c r="S266">
        <f t="shared" si="126"/>
        <v>51334.77</v>
      </c>
      <c r="T266" t="str">
        <f t="shared" si="127"/>
        <v>64</v>
      </c>
      <c r="U266">
        <f t="shared" si="128"/>
        <v>1</v>
      </c>
      <c r="V266">
        <f t="shared" ref="V266:V329" si="146">IF(B266="",N(V265),IF(LEFT(TRIM(B266),5)="/time",N(V265)+1,N(V265)))</f>
        <v>7</v>
      </c>
      <c r="W266">
        <f t="shared" si="129"/>
        <v>120347</v>
      </c>
      <c r="X266">
        <f t="shared" si="130"/>
        <v>51060.07</v>
      </c>
      <c r="Y266" t="str">
        <f t="shared" si="131"/>
        <v>27</v>
      </c>
      <c r="Z266">
        <f t="shared" si="132"/>
        <v>1</v>
      </c>
      <c r="AA266">
        <f t="shared" ref="AA266:AA329" si="147">IF(C266="",N(AA265),IF(LEFT(TRIM(C266),5)="/time",N(AA265)+1,N(AA265)))</f>
        <v>6</v>
      </c>
      <c r="AB266" t="str">
        <f t="shared" si="133"/>
        <v/>
      </c>
      <c r="AC266" t="str">
        <f t="shared" si="134"/>
        <v/>
      </c>
      <c r="AD266" t="str">
        <f t="shared" si="135"/>
        <v/>
      </c>
      <c r="AE266">
        <f t="shared" si="136"/>
        <v>0</v>
      </c>
      <c r="AF266">
        <f t="shared" ref="AF266:AF329" si="148">IF(D266="",N(AF265),IF(LEFT(TRIM(D266),5)="/time",N(AF265)+1,N(AF265)))</f>
        <v>8</v>
      </c>
      <c r="AG266">
        <f t="shared" si="137"/>
        <v>125457</v>
      </c>
      <c r="AH266">
        <f t="shared" si="138"/>
        <v>51417.22</v>
      </c>
      <c r="AI266" t="str">
        <f t="shared" si="139"/>
        <v>37</v>
      </c>
      <c r="AJ266">
        <f t="shared" si="140"/>
        <v>1</v>
      </c>
      <c r="AK266">
        <f t="shared" ref="AK266:AK329" si="149">IF(E266="",N(AK265),IF(LEFT(TRIM(E266),5)="/time",N(AK265)+1,N(AK265)))</f>
        <v>4</v>
      </c>
      <c r="AL266" t="str">
        <f t="shared" si="141"/>
        <v/>
      </c>
      <c r="AM266" t="str">
        <f t="shared" si="142"/>
        <v/>
      </c>
      <c r="AN266" t="str">
        <f t="shared" si="143"/>
        <v/>
      </c>
      <c r="AO266">
        <f t="shared" si="144"/>
        <v>0</v>
      </c>
    </row>
    <row r="267" spans="1:41" x14ac:dyDescent="0.4">
      <c r="A267" t="str">
        <f>IF($CM$6=0,"",IF(INDEX('⑩ 원문 보관'!$A:$E,$CM$6+ROW()-9,COLUMN())="","",INDEX('⑩ 원문 보관'!$A:$E,$CM$6+ROW()-9,COLUMN())))</f>
        <v xml:space="preserve">113627.0  51334.39 94 </v>
      </c>
      <c r="B267" t="str">
        <f>IF($CM$6=0,"",IF(INDEX('⑩ 원문 보관'!$A:$E,$CM$6+ROW()-9,COLUMN())="","",INDEX('⑩ 원문 보관'!$A:$E,$CM$6+ROW()-9,COLUMN())))</f>
        <v xml:space="preserve">120352.0  51058.75 27 </v>
      </c>
      <c r="C267" t="str">
        <f>IF($CM$6=0,"",IF(INDEX('⑩ 원문 보관'!$A:$E,$CM$6+ROW()-9,COLUMN())="","",INDEX('⑩ 원문 보관'!$A:$E,$CM$6+ROW()-9,COLUMN())))</f>
        <v/>
      </c>
      <c r="D267" t="str">
        <f>IF($CM$6=0,"",IF(INDEX('⑩ 원문 보관'!$A:$E,$CM$6+ROW()-9,COLUMN())="","",INDEX('⑩ 원문 보관'!$A:$E,$CM$6+ROW()-9,COLUMN())))</f>
        <v xml:space="preserve">125502.0  51414.87 36 </v>
      </c>
      <c r="E267" t="str">
        <f>IF($CM$6=0,"",IF(INDEX('⑩ 원문 보관'!$A:$E,$CM$6+ROW()-9,COLUMN())="","",INDEX('⑩ 원문 보관'!$A:$E,$CM$6+ROW()-9,COLUMN())))</f>
        <v/>
      </c>
      <c r="Q267">
        <f t="shared" si="145"/>
        <v>7</v>
      </c>
      <c r="R267">
        <f t="shared" si="125"/>
        <v>113627</v>
      </c>
      <c r="S267">
        <f t="shared" si="126"/>
        <v>51334.39</v>
      </c>
      <c r="T267" t="str">
        <f t="shared" si="127"/>
        <v>94</v>
      </c>
      <c r="U267">
        <f t="shared" si="128"/>
        <v>1</v>
      </c>
      <c r="V267">
        <f t="shared" si="146"/>
        <v>7</v>
      </c>
      <c r="W267">
        <f t="shared" si="129"/>
        <v>120352</v>
      </c>
      <c r="X267">
        <f t="shared" si="130"/>
        <v>51058.75</v>
      </c>
      <c r="Y267" t="str">
        <f t="shared" si="131"/>
        <v>27</v>
      </c>
      <c r="Z267">
        <f t="shared" si="132"/>
        <v>1</v>
      </c>
      <c r="AA267">
        <f t="shared" si="147"/>
        <v>6</v>
      </c>
      <c r="AB267" t="str">
        <f t="shared" si="133"/>
        <v/>
      </c>
      <c r="AC267" t="str">
        <f t="shared" si="134"/>
        <v/>
      </c>
      <c r="AD267" t="str">
        <f t="shared" si="135"/>
        <v/>
      </c>
      <c r="AE267">
        <f t="shared" si="136"/>
        <v>0</v>
      </c>
      <c r="AF267">
        <f t="shared" si="148"/>
        <v>8</v>
      </c>
      <c r="AG267">
        <f t="shared" si="137"/>
        <v>125502</v>
      </c>
      <c r="AH267">
        <f t="shared" si="138"/>
        <v>51414.87</v>
      </c>
      <c r="AI267" t="str">
        <f t="shared" si="139"/>
        <v>36</v>
      </c>
      <c r="AJ267">
        <f t="shared" si="140"/>
        <v>1</v>
      </c>
      <c r="AK267">
        <f t="shared" si="149"/>
        <v>4</v>
      </c>
      <c r="AL267" t="str">
        <f t="shared" si="141"/>
        <v/>
      </c>
      <c r="AM267" t="str">
        <f t="shared" si="142"/>
        <v/>
      </c>
      <c r="AN267" t="str">
        <f t="shared" si="143"/>
        <v/>
      </c>
      <c r="AO267">
        <f t="shared" si="144"/>
        <v>0</v>
      </c>
    </row>
    <row r="268" spans="1:41" x14ac:dyDescent="0.4">
      <c r="A268" t="str">
        <f>IF($CM$6=0,"",IF(INDEX('⑩ 원문 보관'!$A:$E,$CM$6+ROW()-9,COLUMN())="","",INDEX('⑩ 원문 보관'!$A:$E,$CM$6+ROW()-9,COLUMN())))</f>
        <v xml:space="preserve">113632.0  51334.99 84 </v>
      </c>
      <c r="B268" t="str">
        <f>IF($CM$6=0,"",IF(INDEX('⑩ 원문 보관'!$A:$E,$CM$6+ROW()-9,COLUMN())="","",INDEX('⑩ 원문 보관'!$A:$E,$CM$6+ROW()-9,COLUMN())))</f>
        <v xml:space="preserve">120357.0  51061.93 28 </v>
      </c>
      <c r="C268" t="str">
        <f>IF($CM$6=0,"",IF(INDEX('⑩ 원문 보관'!$A:$E,$CM$6+ROW()-9,COLUMN())="","",INDEX('⑩ 원문 보관'!$A:$E,$CM$6+ROW()-9,COLUMN())))</f>
        <v/>
      </c>
      <c r="D268" t="str">
        <f>IF($CM$6=0,"",IF(INDEX('⑩ 원문 보관'!$A:$E,$CM$6+ROW()-9,COLUMN())="","",INDEX('⑩ 원문 보관'!$A:$E,$CM$6+ROW()-9,COLUMN())))</f>
        <v xml:space="preserve">125507.0  51415.58 37 </v>
      </c>
      <c r="E268" t="str">
        <f>IF($CM$6=0,"",IF(INDEX('⑩ 원문 보관'!$A:$E,$CM$6+ROW()-9,COLUMN())="","",INDEX('⑩ 원문 보관'!$A:$E,$CM$6+ROW()-9,COLUMN())))</f>
        <v/>
      </c>
      <c r="Q268">
        <f t="shared" si="145"/>
        <v>7</v>
      </c>
      <c r="R268">
        <f t="shared" si="125"/>
        <v>113632</v>
      </c>
      <c r="S268">
        <f t="shared" si="126"/>
        <v>51334.99</v>
      </c>
      <c r="T268" t="str">
        <f t="shared" si="127"/>
        <v>84</v>
      </c>
      <c r="U268">
        <f t="shared" si="128"/>
        <v>1</v>
      </c>
      <c r="V268">
        <f t="shared" si="146"/>
        <v>7</v>
      </c>
      <c r="W268">
        <f t="shared" si="129"/>
        <v>120357</v>
      </c>
      <c r="X268">
        <f t="shared" si="130"/>
        <v>51061.93</v>
      </c>
      <c r="Y268" t="str">
        <f t="shared" si="131"/>
        <v>28</v>
      </c>
      <c r="Z268">
        <f t="shared" si="132"/>
        <v>1</v>
      </c>
      <c r="AA268">
        <f t="shared" si="147"/>
        <v>6</v>
      </c>
      <c r="AB268" t="str">
        <f t="shared" si="133"/>
        <v/>
      </c>
      <c r="AC268" t="str">
        <f t="shared" si="134"/>
        <v/>
      </c>
      <c r="AD268" t="str">
        <f t="shared" si="135"/>
        <v/>
      </c>
      <c r="AE268">
        <f t="shared" si="136"/>
        <v>0</v>
      </c>
      <c r="AF268">
        <f t="shared" si="148"/>
        <v>8</v>
      </c>
      <c r="AG268">
        <f t="shared" si="137"/>
        <v>125507</v>
      </c>
      <c r="AH268">
        <f t="shared" si="138"/>
        <v>51415.58</v>
      </c>
      <c r="AI268" t="str">
        <f t="shared" si="139"/>
        <v>37</v>
      </c>
      <c r="AJ268">
        <f t="shared" si="140"/>
        <v>1</v>
      </c>
      <c r="AK268">
        <f t="shared" si="149"/>
        <v>4</v>
      </c>
      <c r="AL268" t="str">
        <f t="shared" si="141"/>
        <v/>
      </c>
      <c r="AM268" t="str">
        <f t="shared" si="142"/>
        <v/>
      </c>
      <c r="AN268" t="str">
        <f t="shared" si="143"/>
        <v/>
      </c>
      <c r="AO268">
        <f t="shared" si="144"/>
        <v>0</v>
      </c>
    </row>
    <row r="269" spans="1:41" x14ac:dyDescent="0.4">
      <c r="A269" t="str">
        <f>IF($CM$6=0,"",IF(INDEX('⑩ 원문 보관'!$A:$E,$CM$6+ROW()-9,COLUMN())="","",INDEX('⑩ 원문 보관'!$A:$E,$CM$6+ROW()-9,COLUMN())))</f>
        <v xml:space="preserve">113637.0  51334.05 54 </v>
      </c>
      <c r="B269" t="str">
        <f>IF($CM$6=0,"",IF(INDEX('⑩ 원문 보관'!$A:$E,$CM$6+ROW()-9,COLUMN())="","",INDEX('⑩ 원문 보관'!$A:$E,$CM$6+ROW()-9,COLUMN())))</f>
        <v xml:space="preserve">120402.0  51061.09 27 </v>
      </c>
      <c r="C269" t="str">
        <f>IF($CM$6=0,"",IF(INDEX('⑩ 원문 보관'!$A:$E,$CM$6+ROW()-9,COLUMN())="","",INDEX('⑩ 원문 보관'!$A:$E,$CM$6+ROW()-9,COLUMN())))</f>
        <v/>
      </c>
      <c r="D269" t="str">
        <f>IF($CM$6=0,"",IF(INDEX('⑩ 원문 보관'!$A:$E,$CM$6+ROW()-9,COLUMN())="","",INDEX('⑩ 원문 보관'!$A:$E,$CM$6+ROW()-9,COLUMN())))</f>
        <v xml:space="preserve">125512.0  51417.23 37 </v>
      </c>
      <c r="E269" t="str">
        <f>IF($CM$6=0,"",IF(INDEX('⑩ 원문 보관'!$A:$E,$CM$6+ROW()-9,COLUMN())="","",INDEX('⑩ 원문 보관'!$A:$E,$CM$6+ROW()-9,COLUMN())))</f>
        <v/>
      </c>
      <c r="Q269">
        <f t="shared" si="145"/>
        <v>7</v>
      </c>
      <c r="R269">
        <f t="shared" si="125"/>
        <v>113637</v>
      </c>
      <c r="S269">
        <f t="shared" si="126"/>
        <v>51334.05</v>
      </c>
      <c r="T269" t="str">
        <f t="shared" si="127"/>
        <v>54</v>
      </c>
      <c r="U269">
        <f t="shared" si="128"/>
        <v>1</v>
      </c>
      <c r="V269">
        <f t="shared" si="146"/>
        <v>7</v>
      </c>
      <c r="W269">
        <f t="shared" si="129"/>
        <v>120402</v>
      </c>
      <c r="X269">
        <f t="shared" si="130"/>
        <v>51061.09</v>
      </c>
      <c r="Y269" t="str">
        <f t="shared" si="131"/>
        <v>27</v>
      </c>
      <c r="Z269">
        <f t="shared" si="132"/>
        <v>1</v>
      </c>
      <c r="AA269">
        <f t="shared" si="147"/>
        <v>6</v>
      </c>
      <c r="AB269" t="str">
        <f t="shared" si="133"/>
        <v/>
      </c>
      <c r="AC269" t="str">
        <f t="shared" si="134"/>
        <v/>
      </c>
      <c r="AD269" t="str">
        <f t="shared" si="135"/>
        <v/>
      </c>
      <c r="AE269">
        <f t="shared" si="136"/>
        <v>0</v>
      </c>
      <c r="AF269">
        <f t="shared" si="148"/>
        <v>8</v>
      </c>
      <c r="AG269">
        <f t="shared" si="137"/>
        <v>125512</v>
      </c>
      <c r="AH269">
        <f t="shared" si="138"/>
        <v>51417.23</v>
      </c>
      <c r="AI269" t="str">
        <f t="shared" si="139"/>
        <v>37</v>
      </c>
      <c r="AJ269">
        <f t="shared" si="140"/>
        <v>1</v>
      </c>
      <c r="AK269">
        <f t="shared" si="149"/>
        <v>4</v>
      </c>
      <c r="AL269" t="str">
        <f t="shared" si="141"/>
        <v/>
      </c>
      <c r="AM269" t="str">
        <f t="shared" si="142"/>
        <v/>
      </c>
      <c r="AN269" t="str">
        <f t="shared" si="143"/>
        <v/>
      </c>
      <c r="AO269">
        <f t="shared" si="144"/>
        <v>0</v>
      </c>
    </row>
    <row r="270" spans="1:41" x14ac:dyDescent="0.4">
      <c r="A270" t="str">
        <f>IF($CM$6=0,"",IF(INDEX('⑩ 원문 보관'!$A:$E,$CM$6+ROW()-9,COLUMN())="","",INDEX('⑩ 원문 보관'!$A:$E,$CM$6+ROW()-9,COLUMN())))</f>
        <v xml:space="preserve">113642.0  51334.64 63 </v>
      </c>
      <c r="B270" t="str">
        <f>IF($CM$6=0,"",IF(INDEX('⑩ 원문 보관'!$A:$E,$CM$6+ROW()-9,COLUMN())="","",INDEX('⑩ 원문 보관'!$A:$E,$CM$6+ROW()-9,COLUMN())))</f>
        <v xml:space="preserve">120407.0  51061.26 36 </v>
      </c>
      <c r="C270" t="str">
        <f>IF($CM$6=0,"",IF(INDEX('⑩ 원문 보관'!$A:$E,$CM$6+ROW()-9,COLUMN())="","",INDEX('⑩ 원문 보관'!$A:$E,$CM$6+ROW()-9,COLUMN())))</f>
        <v/>
      </c>
      <c r="D270" t="str">
        <f>IF($CM$6=0,"",IF(INDEX('⑩ 원문 보관'!$A:$E,$CM$6+ROW()-9,COLUMN())="","",INDEX('⑩ 원문 보관'!$A:$E,$CM$6+ROW()-9,COLUMN())))</f>
        <v xml:space="preserve">125517.0  51414.54 37 </v>
      </c>
      <c r="E270" t="str">
        <f>IF($CM$6=0,"",IF(INDEX('⑩ 원문 보관'!$A:$E,$CM$6+ROW()-9,COLUMN())="","",INDEX('⑩ 원문 보관'!$A:$E,$CM$6+ROW()-9,COLUMN())))</f>
        <v/>
      </c>
      <c r="Q270">
        <f t="shared" si="145"/>
        <v>7</v>
      </c>
      <c r="R270">
        <f t="shared" si="125"/>
        <v>113642</v>
      </c>
      <c r="S270">
        <f t="shared" si="126"/>
        <v>51334.64</v>
      </c>
      <c r="T270" t="str">
        <f t="shared" si="127"/>
        <v>63</v>
      </c>
      <c r="U270">
        <f t="shared" si="128"/>
        <v>1</v>
      </c>
      <c r="V270">
        <f t="shared" si="146"/>
        <v>7</v>
      </c>
      <c r="W270">
        <f t="shared" si="129"/>
        <v>120407</v>
      </c>
      <c r="X270">
        <f t="shared" si="130"/>
        <v>51061.26</v>
      </c>
      <c r="Y270" t="str">
        <f t="shared" si="131"/>
        <v>36</v>
      </c>
      <c r="Z270">
        <f t="shared" si="132"/>
        <v>1</v>
      </c>
      <c r="AA270">
        <f t="shared" si="147"/>
        <v>6</v>
      </c>
      <c r="AB270" t="str">
        <f t="shared" si="133"/>
        <v/>
      </c>
      <c r="AC270" t="str">
        <f t="shared" si="134"/>
        <v/>
      </c>
      <c r="AD270" t="str">
        <f t="shared" si="135"/>
        <v/>
      </c>
      <c r="AE270">
        <f t="shared" si="136"/>
        <v>0</v>
      </c>
      <c r="AF270">
        <f t="shared" si="148"/>
        <v>8</v>
      </c>
      <c r="AG270">
        <f t="shared" si="137"/>
        <v>125517</v>
      </c>
      <c r="AH270">
        <f t="shared" si="138"/>
        <v>51414.54</v>
      </c>
      <c r="AI270" t="str">
        <f t="shared" si="139"/>
        <v>37</v>
      </c>
      <c r="AJ270">
        <f t="shared" si="140"/>
        <v>1</v>
      </c>
      <c r="AK270">
        <f t="shared" si="149"/>
        <v>4</v>
      </c>
      <c r="AL270" t="str">
        <f t="shared" si="141"/>
        <v/>
      </c>
      <c r="AM270" t="str">
        <f t="shared" si="142"/>
        <v/>
      </c>
      <c r="AN270" t="str">
        <f t="shared" si="143"/>
        <v/>
      </c>
      <c r="AO270">
        <f t="shared" si="144"/>
        <v>0</v>
      </c>
    </row>
    <row r="271" spans="1:41" x14ac:dyDescent="0.4">
      <c r="A271" t="str">
        <f>IF($CM$6=0,"",IF(INDEX('⑩ 원문 보관'!$A:$E,$CM$6+ROW()-9,COLUMN())="","",INDEX('⑩ 원문 보관'!$A:$E,$CM$6+ROW()-9,COLUMN())))</f>
        <v xml:space="preserve">113647.0  51334.77 73 </v>
      </c>
      <c r="B271" t="str">
        <f>IF($CM$6=0,"",IF(INDEX('⑩ 원문 보관'!$A:$E,$CM$6+ROW()-9,COLUMN())="","",INDEX('⑩ 원문 보관'!$A:$E,$CM$6+ROW()-9,COLUMN())))</f>
        <v/>
      </c>
      <c r="C271" t="str">
        <f>IF($CM$6=0,"",IF(INDEX('⑩ 원문 보관'!$A:$E,$CM$6+ROW()-9,COLUMN())="","",INDEX('⑩ 원문 보관'!$A:$E,$CM$6+ROW()-9,COLUMN())))</f>
        <v/>
      </c>
      <c r="D271" t="str">
        <f>IF($CM$6=0,"",IF(INDEX('⑩ 원문 보관'!$A:$E,$CM$6+ROW()-9,COLUMN())="","",INDEX('⑩ 원문 보관'!$A:$E,$CM$6+ROW()-9,COLUMN())))</f>
        <v xml:space="preserve">125522.0  51415.70 37 </v>
      </c>
      <c r="E271" t="str">
        <f>IF($CM$6=0,"",IF(INDEX('⑩ 원문 보관'!$A:$E,$CM$6+ROW()-9,COLUMN())="","",INDEX('⑩ 원문 보관'!$A:$E,$CM$6+ROW()-9,COLUMN())))</f>
        <v/>
      </c>
      <c r="Q271">
        <f t="shared" si="145"/>
        <v>7</v>
      </c>
      <c r="R271">
        <f t="shared" si="125"/>
        <v>113647</v>
      </c>
      <c r="S271">
        <f t="shared" si="126"/>
        <v>51334.77</v>
      </c>
      <c r="T271" t="str">
        <f t="shared" si="127"/>
        <v>73</v>
      </c>
      <c r="U271">
        <f t="shared" si="128"/>
        <v>1</v>
      </c>
      <c r="V271">
        <f t="shared" si="146"/>
        <v>7</v>
      </c>
      <c r="W271" t="str">
        <f t="shared" si="129"/>
        <v/>
      </c>
      <c r="X271" t="str">
        <f t="shared" si="130"/>
        <v/>
      </c>
      <c r="Y271" t="str">
        <f t="shared" si="131"/>
        <v/>
      </c>
      <c r="Z271">
        <f t="shared" si="132"/>
        <v>0</v>
      </c>
      <c r="AA271">
        <f t="shared" si="147"/>
        <v>6</v>
      </c>
      <c r="AB271" t="str">
        <f t="shared" si="133"/>
        <v/>
      </c>
      <c r="AC271" t="str">
        <f t="shared" si="134"/>
        <v/>
      </c>
      <c r="AD271" t="str">
        <f t="shared" si="135"/>
        <v/>
      </c>
      <c r="AE271">
        <f t="shared" si="136"/>
        <v>0</v>
      </c>
      <c r="AF271">
        <f t="shared" si="148"/>
        <v>8</v>
      </c>
      <c r="AG271">
        <f t="shared" si="137"/>
        <v>125522</v>
      </c>
      <c r="AH271">
        <f t="shared" si="138"/>
        <v>51415.7</v>
      </c>
      <c r="AI271" t="str">
        <f t="shared" si="139"/>
        <v>37</v>
      </c>
      <c r="AJ271">
        <f t="shared" si="140"/>
        <v>1</v>
      </c>
      <c r="AK271">
        <f t="shared" si="149"/>
        <v>4</v>
      </c>
      <c r="AL271" t="str">
        <f t="shared" si="141"/>
        <v/>
      </c>
      <c r="AM271" t="str">
        <f t="shared" si="142"/>
        <v/>
      </c>
      <c r="AN271" t="str">
        <f t="shared" si="143"/>
        <v/>
      </c>
      <c r="AO271">
        <f t="shared" si="144"/>
        <v>0</v>
      </c>
    </row>
    <row r="272" spans="1:41" x14ac:dyDescent="0.4">
      <c r="A272" t="str">
        <f>IF($CM$6=0,"",IF(INDEX('⑩ 원문 보관'!$A:$E,$CM$6+ROW()-9,COLUMN())="","",INDEX('⑩ 원문 보관'!$A:$E,$CM$6+ROW()-9,COLUMN())))</f>
        <v xml:space="preserve">113652.0  51334.97 64 </v>
      </c>
      <c r="B272" t="str">
        <f>IF($CM$6=0,"",IF(INDEX('⑩ 원문 보관'!$A:$E,$CM$6+ROW()-9,COLUMN())="","",INDEX('⑩ 원문 보관'!$A:$E,$CM$6+ROW()-9,COLUMN())))</f>
        <v/>
      </c>
      <c r="C272" t="str">
        <f>IF($CM$6=0,"",IF(INDEX('⑩ 원문 보관'!$A:$E,$CM$6+ROW()-9,COLUMN())="","",INDEX('⑩ 원문 보관'!$A:$E,$CM$6+ROW()-9,COLUMN())))</f>
        <v/>
      </c>
      <c r="D272" t="str">
        <f>IF($CM$6=0,"",IF(INDEX('⑩ 원문 보관'!$A:$E,$CM$6+ROW()-9,COLUMN())="","",INDEX('⑩ 원문 보관'!$A:$E,$CM$6+ROW()-9,COLUMN())))</f>
        <v xml:space="preserve">125527.0  51416.24 36 </v>
      </c>
      <c r="E272" t="str">
        <f>IF($CM$6=0,"",IF(INDEX('⑩ 원문 보관'!$A:$E,$CM$6+ROW()-9,COLUMN())="","",INDEX('⑩ 원문 보관'!$A:$E,$CM$6+ROW()-9,COLUMN())))</f>
        <v/>
      </c>
      <c r="Q272">
        <f t="shared" si="145"/>
        <v>7</v>
      </c>
      <c r="R272">
        <f t="shared" si="125"/>
        <v>113652</v>
      </c>
      <c r="S272">
        <f t="shared" si="126"/>
        <v>51334.97</v>
      </c>
      <c r="T272" t="str">
        <f t="shared" si="127"/>
        <v>64</v>
      </c>
      <c r="U272">
        <f t="shared" si="128"/>
        <v>1</v>
      </c>
      <c r="V272">
        <f t="shared" si="146"/>
        <v>7</v>
      </c>
      <c r="W272" t="str">
        <f t="shared" si="129"/>
        <v/>
      </c>
      <c r="X272" t="str">
        <f t="shared" si="130"/>
        <v/>
      </c>
      <c r="Y272" t="str">
        <f t="shared" si="131"/>
        <v/>
      </c>
      <c r="Z272">
        <f t="shared" si="132"/>
        <v>0</v>
      </c>
      <c r="AA272">
        <f t="shared" si="147"/>
        <v>6</v>
      </c>
      <c r="AB272" t="str">
        <f t="shared" si="133"/>
        <v/>
      </c>
      <c r="AC272" t="str">
        <f t="shared" si="134"/>
        <v/>
      </c>
      <c r="AD272" t="str">
        <f t="shared" si="135"/>
        <v/>
      </c>
      <c r="AE272">
        <f t="shared" si="136"/>
        <v>0</v>
      </c>
      <c r="AF272">
        <f t="shared" si="148"/>
        <v>8</v>
      </c>
      <c r="AG272">
        <f t="shared" si="137"/>
        <v>125527</v>
      </c>
      <c r="AH272">
        <f t="shared" si="138"/>
        <v>51416.24</v>
      </c>
      <c r="AI272" t="str">
        <f t="shared" si="139"/>
        <v>36</v>
      </c>
      <c r="AJ272">
        <f t="shared" si="140"/>
        <v>1</v>
      </c>
      <c r="AK272">
        <f t="shared" si="149"/>
        <v>4</v>
      </c>
      <c r="AL272" t="str">
        <f t="shared" si="141"/>
        <v/>
      </c>
      <c r="AM272" t="str">
        <f t="shared" si="142"/>
        <v/>
      </c>
      <c r="AN272" t="str">
        <f t="shared" si="143"/>
        <v/>
      </c>
      <c r="AO272">
        <f t="shared" si="144"/>
        <v>0</v>
      </c>
    </row>
    <row r="273" spans="1:41" x14ac:dyDescent="0.4">
      <c r="A273" t="str">
        <f>IF($CM$6=0,"",IF(INDEX('⑩ 원문 보관'!$A:$E,$CM$6+ROW()-9,COLUMN())="","",INDEX('⑩ 원문 보관'!$A:$E,$CM$6+ROW()-9,COLUMN())))</f>
        <v xml:space="preserve">113657.0  51334.31 64 </v>
      </c>
      <c r="B273" t="str">
        <f>IF($CM$6=0,"",IF(INDEX('⑩ 원문 보관'!$A:$E,$CM$6+ROW()-9,COLUMN())="","",INDEX('⑩ 원문 보관'!$A:$E,$CM$6+ROW()-9,COLUMN())))</f>
        <v xml:space="preserve">/Gem Systems GSM-19T 4106808 v7.0 26 IX 2014 M t-e2l..v7o                         </v>
      </c>
      <c r="C273" t="str">
        <f>IF($CM$6=0,"",IF(INDEX('⑩ 원문 보관'!$A:$E,$CM$6+ROW()-9,COLUMN())="","",INDEX('⑩ 원문 보관'!$A:$E,$CM$6+ROW()-9,COLUMN())))</f>
        <v/>
      </c>
      <c r="D273" t="str">
        <f>IF($CM$6=0,"",IF(INDEX('⑩ 원문 보관'!$A:$E,$CM$6+ROW()-9,COLUMN())="","",INDEX('⑩ 원문 보관'!$A:$E,$CM$6+ROW()-9,COLUMN())))</f>
        <v xml:space="preserve">125532.0  51415.37 37 </v>
      </c>
      <c r="E273" t="str">
        <f>IF($CM$6=0,"",IF(INDEX('⑩ 원문 보관'!$A:$E,$CM$6+ROW()-9,COLUMN())="","",INDEX('⑩ 원문 보관'!$A:$E,$CM$6+ROW()-9,COLUMN())))</f>
        <v/>
      </c>
      <c r="Q273">
        <f t="shared" si="145"/>
        <v>7</v>
      </c>
      <c r="R273">
        <f t="shared" si="125"/>
        <v>113657</v>
      </c>
      <c r="S273">
        <f t="shared" si="126"/>
        <v>51334.31</v>
      </c>
      <c r="T273" t="str">
        <f t="shared" si="127"/>
        <v>64</v>
      </c>
      <c r="U273">
        <f t="shared" si="128"/>
        <v>1</v>
      </c>
      <c r="V273">
        <f t="shared" si="146"/>
        <v>7</v>
      </c>
      <c r="W273" t="str">
        <f t="shared" si="129"/>
        <v/>
      </c>
      <c r="X273" t="str">
        <f t="shared" si="130"/>
        <v/>
      </c>
      <c r="Y273" t="str">
        <f t="shared" si="131"/>
        <v>GSM-19T</v>
      </c>
      <c r="Z273">
        <f t="shared" si="132"/>
        <v>0</v>
      </c>
      <c r="AA273">
        <f t="shared" si="147"/>
        <v>6</v>
      </c>
      <c r="AB273" t="str">
        <f t="shared" si="133"/>
        <v/>
      </c>
      <c r="AC273" t="str">
        <f t="shared" si="134"/>
        <v/>
      </c>
      <c r="AD273" t="str">
        <f t="shared" si="135"/>
        <v/>
      </c>
      <c r="AE273">
        <f t="shared" si="136"/>
        <v>0</v>
      </c>
      <c r="AF273">
        <f t="shared" si="148"/>
        <v>8</v>
      </c>
      <c r="AG273">
        <f t="shared" si="137"/>
        <v>125532</v>
      </c>
      <c r="AH273">
        <f t="shared" si="138"/>
        <v>51415.37</v>
      </c>
      <c r="AI273" t="str">
        <f t="shared" si="139"/>
        <v>37</v>
      </c>
      <c r="AJ273">
        <f t="shared" si="140"/>
        <v>1</v>
      </c>
      <c r="AK273">
        <f t="shared" si="149"/>
        <v>4</v>
      </c>
      <c r="AL273" t="str">
        <f t="shared" si="141"/>
        <v/>
      </c>
      <c r="AM273" t="str">
        <f t="shared" si="142"/>
        <v/>
      </c>
      <c r="AN273" t="str">
        <f t="shared" si="143"/>
        <v/>
      </c>
      <c r="AO273">
        <f t="shared" si="144"/>
        <v>0</v>
      </c>
    </row>
    <row r="274" spans="1:41" x14ac:dyDescent="0.4">
      <c r="A274" t="str">
        <f>IF($CM$6=0,"",IF(INDEX('⑩ 원문 보관'!$A:$E,$CM$6+ROW()-9,COLUMN())="","",INDEX('⑩ 원문 보관'!$A:$E,$CM$6+ROW()-9,COLUMN())))</f>
        <v xml:space="preserve">113702.0  51334.97 83 </v>
      </c>
      <c r="B274" t="str">
        <f>IF($CM$6=0,"",IF(INDEX('⑩ 원문 보관'!$A:$E,$CM$6+ROW()-9,COLUMN())="","",INDEX('⑩ 원문 보관'!$A:$E,$CM$6+ROW()-9,COLUMN())))</f>
        <v>/ID 2666 file 17survey.b   21 IX 26</v>
      </c>
      <c r="C274" t="str">
        <f>IF($CM$6=0,"",IF(INDEX('⑩ 원문 보관'!$A:$E,$CM$6+ROW()-9,COLUMN())="","",INDEX('⑩ 원문 보관'!$A:$E,$CM$6+ROW()-9,COLUMN())))</f>
        <v/>
      </c>
      <c r="D274" t="str">
        <f>IF($CM$6=0,"",IF(INDEX('⑩ 원문 보관'!$A:$E,$CM$6+ROW()-9,COLUMN())="","",INDEX('⑩ 원문 보관'!$A:$E,$CM$6+ROW()-9,COLUMN())))</f>
        <v xml:space="preserve">125537.0  51415.74 37 </v>
      </c>
      <c r="E274" t="str">
        <f>IF($CM$6=0,"",IF(INDEX('⑩ 원문 보관'!$A:$E,$CM$6+ROW()-9,COLUMN())="","",INDEX('⑩ 원문 보관'!$A:$E,$CM$6+ROW()-9,COLUMN())))</f>
        <v/>
      </c>
      <c r="Q274">
        <f t="shared" si="145"/>
        <v>7</v>
      </c>
      <c r="R274">
        <f t="shared" si="125"/>
        <v>113702</v>
      </c>
      <c r="S274">
        <f t="shared" si="126"/>
        <v>51334.97</v>
      </c>
      <c r="T274" t="str">
        <f t="shared" si="127"/>
        <v>83</v>
      </c>
      <c r="U274">
        <f t="shared" si="128"/>
        <v>1</v>
      </c>
      <c r="V274">
        <f t="shared" si="146"/>
        <v>7</v>
      </c>
      <c r="W274" t="str">
        <f t="shared" si="129"/>
        <v/>
      </c>
      <c r="X274">
        <f t="shared" si="130"/>
        <v>2666</v>
      </c>
      <c r="Y274" t="str">
        <f t="shared" si="131"/>
        <v>file</v>
      </c>
      <c r="Z274">
        <f t="shared" si="132"/>
        <v>0</v>
      </c>
      <c r="AA274">
        <f t="shared" si="147"/>
        <v>6</v>
      </c>
      <c r="AB274" t="str">
        <f t="shared" si="133"/>
        <v/>
      </c>
      <c r="AC274" t="str">
        <f t="shared" si="134"/>
        <v/>
      </c>
      <c r="AD274" t="str">
        <f t="shared" si="135"/>
        <v/>
      </c>
      <c r="AE274">
        <f t="shared" si="136"/>
        <v>0</v>
      </c>
      <c r="AF274">
        <f t="shared" si="148"/>
        <v>8</v>
      </c>
      <c r="AG274">
        <f t="shared" si="137"/>
        <v>125537</v>
      </c>
      <c r="AH274">
        <f t="shared" si="138"/>
        <v>51415.74</v>
      </c>
      <c r="AI274" t="str">
        <f t="shared" si="139"/>
        <v>37</v>
      </c>
      <c r="AJ274">
        <f t="shared" si="140"/>
        <v>1</v>
      </c>
      <c r="AK274">
        <f t="shared" si="149"/>
        <v>4</v>
      </c>
      <c r="AL274" t="str">
        <f t="shared" si="141"/>
        <v/>
      </c>
      <c r="AM274" t="str">
        <f t="shared" si="142"/>
        <v/>
      </c>
      <c r="AN274" t="str">
        <f t="shared" si="143"/>
        <v/>
      </c>
      <c r="AO274">
        <f t="shared" si="144"/>
        <v>0</v>
      </c>
    </row>
    <row r="275" spans="1:41" x14ac:dyDescent="0.4">
      <c r="A275" t="str">
        <f>IF($CM$6=0,"",IF(INDEX('⑩ 원문 보관'!$A:$E,$CM$6+ROW()-9,COLUMN())="","",INDEX('⑩ 원문 보관'!$A:$E,$CM$6+ROW()-9,COLUMN())))</f>
        <v xml:space="preserve">113707.0  51334.82 74 </v>
      </c>
      <c r="B275" t="str">
        <f>IF($CM$6=0,"",IF(INDEX('⑩ 원문 보관'!$A:$E,$CM$6+ROW()-9,COLUMN())="","",INDEX('⑩ 원문 보관'!$A:$E,$CM$6+ROW()-9,COLUMN())))</f>
        <v>/datum  57000.00</v>
      </c>
      <c r="C275" t="str">
        <f>IF($CM$6=0,"",IF(INDEX('⑩ 원문 보관'!$A:$E,$CM$6+ROW()-9,COLUMN())="","",INDEX('⑩ 원문 보관'!$A:$E,$CM$6+ROW()-9,COLUMN())))</f>
        <v/>
      </c>
      <c r="D275" t="str">
        <f>IF($CM$6=0,"",IF(INDEX('⑩ 원문 보관'!$A:$E,$CM$6+ROW()-9,COLUMN())="","",INDEX('⑩ 원문 보관'!$A:$E,$CM$6+ROW()-9,COLUMN())))</f>
        <v xml:space="preserve">125542.0  51416.27 37 </v>
      </c>
      <c r="E275" t="str">
        <f>IF($CM$6=0,"",IF(INDEX('⑩ 원문 보관'!$A:$E,$CM$6+ROW()-9,COLUMN())="","",INDEX('⑩ 원문 보관'!$A:$E,$CM$6+ROW()-9,COLUMN())))</f>
        <v/>
      </c>
      <c r="Q275">
        <f t="shared" si="145"/>
        <v>7</v>
      </c>
      <c r="R275">
        <f t="shared" si="125"/>
        <v>113707</v>
      </c>
      <c r="S275">
        <f t="shared" si="126"/>
        <v>51334.82</v>
      </c>
      <c r="T275" t="str">
        <f t="shared" si="127"/>
        <v>74</v>
      </c>
      <c r="U275">
        <f t="shared" si="128"/>
        <v>1</v>
      </c>
      <c r="V275">
        <f t="shared" si="146"/>
        <v>7</v>
      </c>
      <c r="W275" t="str">
        <f t="shared" si="129"/>
        <v/>
      </c>
      <c r="X275">
        <f t="shared" si="130"/>
        <v>57000</v>
      </c>
      <c r="Y275" t="str">
        <f t="shared" si="131"/>
        <v/>
      </c>
      <c r="Z275">
        <f t="shared" si="132"/>
        <v>0</v>
      </c>
      <c r="AA275">
        <f t="shared" si="147"/>
        <v>6</v>
      </c>
      <c r="AB275" t="str">
        <f t="shared" si="133"/>
        <v/>
      </c>
      <c r="AC275" t="str">
        <f t="shared" si="134"/>
        <v/>
      </c>
      <c r="AD275" t="str">
        <f t="shared" si="135"/>
        <v/>
      </c>
      <c r="AE275">
        <f t="shared" si="136"/>
        <v>0</v>
      </c>
      <c r="AF275">
        <f t="shared" si="148"/>
        <v>8</v>
      </c>
      <c r="AG275">
        <f t="shared" si="137"/>
        <v>125542</v>
      </c>
      <c r="AH275">
        <f t="shared" si="138"/>
        <v>51416.27</v>
      </c>
      <c r="AI275" t="str">
        <f t="shared" si="139"/>
        <v>37</v>
      </c>
      <c r="AJ275">
        <f t="shared" si="140"/>
        <v>1</v>
      </c>
      <c r="AK275">
        <f t="shared" si="149"/>
        <v>4</v>
      </c>
      <c r="AL275" t="str">
        <f t="shared" si="141"/>
        <v/>
      </c>
      <c r="AM275" t="str">
        <f t="shared" si="142"/>
        <v/>
      </c>
      <c r="AN275" t="str">
        <f t="shared" si="143"/>
        <v/>
      </c>
      <c r="AO275">
        <f t="shared" si="144"/>
        <v>0</v>
      </c>
    </row>
    <row r="276" spans="1:41" x14ac:dyDescent="0.4">
      <c r="A276" t="str">
        <f>IF($CM$6=0,"",IF(INDEX('⑩ 원문 보관'!$A:$E,$CM$6+ROW()-9,COLUMN())="","",INDEX('⑩ 원문 보관'!$A:$E,$CM$6+ROW()-9,COLUMN())))</f>
        <v xml:space="preserve">113712.0  51334.92 44 </v>
      </c>
      <c r="B276" t="str">
        <f>IF($CM$6=0,"",IF(INDEX('⑩ 원문 보관'!$A:$E,$CM$6+ROW()-9,COLUMN())="","",INDEX('⑩ 원문 보관'!$A:$E,$CM$6+ROW()-9,COLUMN())))</f>
        <v>/</v>
      </c>
      <c r="C276" t="str">
        <f>IF($CM$6=0,"",IF(INDEX('⑩ 원문 보관'!$A:$E,$CM$6+ROW()-9,COLUMN())="","",INDEX('⑩ 원문 보관'!$A:$E,$CM$6+ROW()-9,COLUMN())))</f>
        <v/>
      </c>
      <c r="D276" t="str">
        <f>IF($CM$6=0,"",IF(INDEX('⑩ 원문 보관'!$A:$E,$CM$6+ROW()-9,COLUMN())="","",INDEX('⑩ 원문 보관'!$A:$E,$CM$6+ROW()-9,COLUMN())))</f>
        <v xml:space="preserve">125547.0  51416.67 37 </v>
      </c>
      <c r="E276" t="str">
        <f>IF($CM$6=0,"",IF(INDEX('⑩ 원문 보관'!$A:$E,$CM$6+ROW()-9,COLUMN())="","",INDEX('⑩ 원문 보관'!$A:$E,$CM$6+ROW()-9,COLUMN())))</f>
        <v/>
      </c>
      <c r="Q276">
        <f t="shared" si="145"/>
        <v>7</v>
      </c>
      <c r="R276">
        <f t="shared" si="125"/>
        <v>113712</v>
      </c>
      <c r="S276">
        <f t="shared" si="126"/>
        <v>51334.92</v>
      </c>
      <c r="T276" t="str">
        <f t="shared" si="127"/>
        <v>44</v>
      </c>
      <c r="U276">
        <f t="shared" si="128"/>
        <v>1</v>
      </c>
      <c r="V276">
        <f t="shared" si="146"/>
        <v>7</v>
      </c>
      <c r="W276" t="str">
        <f t="shared" si="129"/>
        <v/>
      </c>
      <c r="X276" t="str">
        <f t="shared" si="130"/>
        <v/>
      </c>
      <c r="Y276" t="str">
        <f t="shared" si="131"/>
        <v/>
      </c>
      <c r="Z276">
        <f t="shared" si="132"/>
        <v>0</v>
      </c>
      <c r="AA276">
        <f t="shared" si="147"/>
        <v>6</v>
      </c>
      <c r="AB276" t="str">
        <f t="shared" si="133"/>
        <v/>
      </c>
      <c r="AC276" t="str">
        <f t="shared" si="134"/>
        <v/>
      </c>
      <c r="AD276" t="str">
        <f t="shared" si="135"/>
        <v/>
      </c>
      <c r="AE276">
        <f t="shared" si="136"/>
        <v>0</v>
      </c>
      <c r="AF276">
        <f t="shared" si="148"/>
        <v>8</v>
      </c>
      <c r="AG276">
        <f t="shared" si="137"/>
        <v>125547</v>
      </c>
      <c r="AH276">
        <f t="shared" si="138"/>
        <v>51416.67</v>
      </c>
      <c r="AI276" t="str">
        <f t="shared" si="139"/>
        <v>37</v>
      </c>
      <c r="AJ276">
        <f t="shared" si="140"/>
        <v>1</v>
      </c>
      <c r="AK276">
        <f t="shared" si="149"/>
        <v>4</v>
      </c>
      <c r="AL276" t="str">
        <f t="shared" si="141"/>
        <v/>
      </c>
      <c r="AM276" t="str">
        <f t="shared" si="142"/>
        <v/>
      </c>
      <c r="AN276" t="str">
        <f t="shared" si="143"/>
        <v/>
      </c>
      <c r="AO276">
        <f t="shared" si="144"/>
        <v>0</v>
      </c>
    </row>
    <row r="277" spans="1:41" x14ac:dyDescent="0.4">
      <c r="A277" t="str">
        <f>IF($CM$6=0,"",IF(INDEX('⑩ 원문 보관'!$A:$E,$CM$6+ROW()-9,COLUMN())="","",INDEX('⑩ 원문 보관'!$A:$E,$CM$6+ROW()-9,COLUMN())))</f>
        <v xml:space="preserve">113717.0  51333.81 34 </v>
      </c>
      <c r="B277" t="str">
        <f>IF($CM$6=0,"",IF(INDEX('⑩ 원문 보관'!$A:$E,$CM$6+ROW()-9,COLUMN())="","",INDEX('⑩ 원문 보관'!$A:$E,$CM$6+ROW()-9,COLUMN())))</f>
        <v/>
      </c>
      <c r="C277" t="str">
        <f>IF($CM$6=0,"",IF(INDEX('⑩ 원문 보관'!$A:$E,$CM$6+ROW()-9,COLUMN())="","",INDEX('⑩ 원문 보관'!$A:$E,$CM$6+ROW()-9,COLUMN())))</f>
        <v/>
      </c>
      <c r="D277" t="str">
        <f>IF($CM$6=0,"",IF(INDEX('⑩ 원문 보관'!$A:$E,$CM$6+ROW()-9,COLUMN())="","",INDEX('⑩ 원문 보관'!$A:$E,$CM$6+ROW()-9,COLUMN())))</f>
        <v xml:space="preserve">125552.0  51415.14 37 </v>
      </c>
      <c r="E277" t="str">
        <f>IF($CM$6=0,"",IF(INDEX('⑩ 원문 보관'!$A:$E,$CM$6+ROW()-9,COLUMN())="","",INDEX('⑩ 원문 보관'!$A:$E,$CM$6+ROW()-9,COLUMN())))</f>
        <v/>
      </c>
      <c r="Q277">
        <f t="shared" si="145"/>
        <v>7</v>
      </c>
      <c r="R277">
        <f t="shared" si="125"/>
        <v>113717</v>
      </c>
      <c r="S277">
        <f t="shared" si="126"/>
        <v>51333.81</v>
      </c>
      <c r="T277" t="str">
        <f t="shared" si="127"/>
        <v>34</v>
      </c>
      <c r="U277">
        <f t="shared" si="128"/>
        <v>1</v>
      </c>
      <c r="V277">
        <f t="shared" si="146"/>
        <v>7</v>
      </c>
      <c r="W277" t="str">
        <f t="shared" si="129"/>
        <v/>
      </c>
      <c r="X277" t="str">
        <f t="shared" si="130"/>
        <v/>
      </c>
      <c r="Y277" t="str">
        <f t="shared" si="131"/>
        <v/>
      </c>
      <c r="Z277">
        <f t="shared" si="132"/>
        <v>0</v>
      </c>
      <c r="AA277">
        <f t="shared" si="147"/>
        <v>6</v>
      </c>
      <c r="AB277" t="str">
        <f t="shared" si="133"/>
        <v/>
      </c>
      <c r="AC277" t="str">
        <f t="shared" si="134"/>
        <v/>
      </c>
      <c r="AD277" t="str">
        <f t="shared" si="135"/>
        <v/>
      </c>
      <c r="AE277">
        <f t="shared" si="136"/>
        <v>0</v>
      </c>
      <c r="AF277">
        <f t="shared" si="148"/>
        <v>8</v>
      </c>
      <c r="AG277">
        <f t="shared" si="137"/>
        <v>125552</v>
      </c>
      <c r="AH277">
        <f t="shared" si="138"/>
        <v>51415.14</v>
      </c>
      <c r="AI277" t="str">
        <f t="shared" si="139"/>
        <v>37</v>
      </c>
      <c r="AJ277">
        <f t="shared" si="140"/>
        <v>1</v>
      </c>
      <c r="AK277">
        <f t="shared" si="149"/>
        <v>4</v>
      </c>
      <c r="AL277" t="str">
        <f t="shared" si="141"/>
        <v/>
      </c>
      <c r="AM277" t="str">
        <f t="shared" si="142"/>
        <v/>
      </c>
      <c r="AN277" t="str">
        <f t="shared" si="143"/>
        <v/>
      </c>
      <c r="AO277">
        <f t="shared" si="144"/>
        <v>0</v>
      </c>
    </row>
    <row r="278" spans="1:41" x14ac:dyDescent="0.4">
      <c r="A278" t="str">
        <f>IF($CM$6=0,"",IF(INDEX('⑩ 원문 보관'!$A:$E,$CM$6+ROW()-9,COLUMN())="","",INDEX('⑩ 원문 보관'!$A:$E,$CM$6+ROW()-9,COLUMN())))</f>
        <v xml:space="preserve">113722.0  51335.20 74 </v>
      </c>
      <c r="B278" t="str">
        <f>IF($CM$6=0,"",IF(INDEX('⑩ 원문 보관'!$A:$E,$CM$6+ROW()-9,COLUMN())="","",INDEX('⑩ 원문 보관'!$A:$E,$CM$6+ROW()-9,COLUMN())))</f>
        <v xml:space="preserve">/time nT sq </v>
      </c>
      <c r="C278" t="str">
        <f>IF($CM$6=0,"",IF(INDEX('⑩ 원문 보관'!$A:$E,$CM$6+ROW()-9,COLUMN())="","",INDEX('⑩ 원문 보관'!$A:$E,$CM$6+ROW()-9,COLUMN())))</f>
        <v/>
      </c>
      <c r="D278" t="str">
        <f>IF($CM$6=0,"",IF(INDEX('⑩ 원문 보관'!$A:$E,$CM$6+ROW()-9,COLUMN())="","",INDEX('⑩ 원문 보관'!$A:$E,$CM$6+ROW()-9,COLUMN())))</f>
        <v xml:space="preserve">125557.0  51416.31 37 </v>
      </c>
      <c r="E278" t="str">
        <f>IF($CM$6=0,"",IF(INDEX('⑩ 원문 보관'!$A:$E,$CM$6+ROW()-9,COLUMN())="","",INDEX('⑩ 원문 보관'!$A:$E,$CM$6+ROW()-9,COLUMN())))</f>
        <v/>
      </c>
      <c r="Q278">
        <f t="shared" si="145"/>
        <v>7</v>
      </c>
      <c r="R278">
        <f t="shared" si="125"/>
        <v>113722</v>
      </c>
      <c r="S278">
        <f t="shared" si="126"/>
        <v>51335.199999999997</v>
      </c>
      <c r="T278" t="str">
        <f t="shared" si="127"/>
        <v>74</v>
      </c>
      <c r="U278">
        <f t="shared" si="128"/>
        <v>1</v>
      </c>
      <c r="V278">
        <f t="shared" si="146"/>
        <v>8</v>
      </c>
      <c r="W278" t="str">
        <f t="shared" si="129"/>
        <v/>
      </c>
      <c r="X278" t="str">
        <f t="shared" si="130"/>
        <v/>
      </c>
      <c r="Y278" t="str">
        <f t="shared" si="131"/>
        <v>sq</v>
      </c>
      <c r="Z278">
        <f t="shared" si="132"/>
        <v>0</v>
      </c>
      <c r="AA278">
        <f t="shared" si="147"/>
        <v>6</v>
      </c>
      <c r="AB278" t="str">
        <f t="shared" si="133"/>
        <v/>
      </c>
      <c r="AC278" t="str">
        <f t="shared" si="134"/>
        <v/>
      </c>
      <c r="AD278" t="str">
        <f t="shared" si="135"/>
        <v/>
      </c>
      <c r="AE278">
        <f t="shared" si="136"/>
        <v>0</v>
      </c>
      <c r="AF278">
        <f t="shared" si="148"/>
        <v>8</v>
      </c>
      <c r="AG278">
        <f t="shared" si="137"/>
        <v>125557</v>
      </c>
      <c r="AH278">
        <f t="shared" si="138"/>
        <v>51416.31</v>
      </c>
      <c r="AI278" t="str">
        <f t="shared" si="139"/>
        <v>37</v>
      </c>
      <c r="AJ278">
        <f t="shared" si="140"/>
        <v>1</v>
      </c>
      <c r="AK278">
        <f t="shared" si="149"/>
        <v>4</v>
      </c>
      <c r="AL278" t="str">
        <f t="shared" si="141"/>
        <v/>
      </c>
      <c r="AM278" t="str">
        <f t="shared" si="142"/>
        <v/>
      </c>
      <c r="AN278" t="str">
        <f t="shared" si="143"/>
        <v/>
      </c>
      <c r="AO278">
        <f t="shared" si="144"/>
        <v>0</v>
      </c>
    </row>
    <row r="279" spans="1:41" x14ac:dyDescent="0.4">
      <c r="A279" t="str">
        <f>IF($CM$6=0,"",IF(INDEX('⑩ 원문 보관'!$A:$E,$CM$6+ROW()-9,COLUMN())="","",INDEX('⑩ 원문 보관'!$A:$E,$CM$6+ROW()-9,COLUMN())))</f>
        <v xml:space="preserve">113727.0  51334.80 64 </v>
      </c>
      <c r="B279" t="str">
        <f>IF($CM$6=0,"",IF(INDEX('⑩ 원문 보관'!$A:$E,$CM$6+ROW()-9,COLUMN())="","",INDEX('⑩ 원문 보관'!$A:$E,$CM$6+ROW()-9,COLUMN())))</f>
        <v xml:space="preserve">120432.0  51078.98 16 </v>
      </c>
      <c r="C279" t="str">
        <f>IF($CM$6=0,"",IF(INDEX('⑩ 원문 보관'!$A:$E,$CM$6+ROW()-9,COLUMN())="","",INDEX('⑩ 원문 보관'!$A:$E,$CM$6+ROW()-9,COLUMN())))</f>
        <v/>
      </c>
      <c r="D279" t="str">
        <f>IF($CM$6=0,"",IF(INDEX('⑩ 원문 보관'!$A:$E,$CM$6+ROW()-9,COLUMN())="","",INDEX('⑩ 원문 보관'!$A:$E,$CM$6+ROW()-9,COLUMN())))</f>
        <v xml:space="preserve">125602.0  51416.98 36 </v>
      </c>
      <c r="E279" t="str">
        <f>IF($CM$6=0,"",IF(INDEX('⑩ 원문 보관'!$A:$E,$CM$6+ROW()-9,COLUMN())="","",INDEX('⑩ 원문 보관'!$A:$E,$CM$6+ROW()-9,COLUMN())))</f>
        <v/>
      </c>
      <c r="Q279">
        <f t="shared" si="145"/>
        <v>7</v>
      </c>
      <c r="R279">
        <f t="shared" si="125"/>
        <v>113727</v>
      </c>
      <c r="S279">
        <f t="shared" si="126"/>
        <v>51334.8</v>
      </c>
      <c r="T279" t="str">
        <f t="shared" si="127"/>
        <v>64</v>
      </c>
      <c r="U279">
        <f t="shared" si="128"/>
        <v>1</v>
      </c>
      <c r="V279">
        <f t="shared" si="146"/>
        <v>8</v>
      </c>
      <c r="W279">
        <f t="shared" si="129"/>
        <v>120432</v>
      </c>
      <c r="X279">
        <f t="shared" si="130"/>
        <v>51078.98</v>
      </c>
      <c r="Y279" t="str">
        <f t="shared" si="131"/>
        <v>16</v>
      </c>
      <c r="Z279">
        <f t="shared" si="132"/>
        <v>1</v>
      </c>
      <c r="AA279">
        <f t="shared" si="147"/>
        <v>6</v>
      </c>
      <c r="AB279" t="str">
        <f t="shared" si="133"/>
        <v/>
      </c>
      <c r="AC279" t="str">
        <f t="shared" si="134"/>
        <v/>
      </c>
      <c r="AD279" t="str">
        <f t="shared" si="135"/>
        <v/>
      </c>
      <c r="AE279">
        <f t="shared" si="136"/>
        <v>0</v>
      </c>
      <c r="AF279">
        <f t="shared" si="148"/>
        <v>8</v>
      </c>
      <c r="AG279">
        <f t="shared" si="137"/>
        <v>125602</v>
      </c>
      <c r="AH279">
        <f t="shared" si="138"/>
        <v>51416.98</v>
      </c>
      <c r="AI279" t="str">
        <f t="shared" si="139"/>
        <v>36</v>
      </c>
      <c r="AJ279">
        <f t="shared" si="140"/>
        <v>1</v>
      </c>
      <c r="AK279">
        <f t="shared" si="149"/>
        <v>4</v>
      </c>
      <c r="AL279" t="str">
        <f t="shared" si="141"/>
        <v/>
      </c>
      <c r="AM279" t="str">
        <f t="shared" si="142"/>
        <v/>
      </c>
      <c r="AN279" t="str">
        <f t="shared" si="143"/>
        <v/>
      </c>
      <c r="AO279">
        <f t="shared" si="144"/>
        <v>0</v>
      </c>
    </row>
    <row r="280" spans="1:41" x14ac:dyDescent="0.4">
      <c r="A280" t="str">
        <f>IF($CM$6=0,"",IF(INDEX('⑩ 원문 보관'!$A:$E,$CM$6+ROW()-9,COLUMN())="","",INDEX('⑩ 원문 보관'!$A:$E,$CM$6+ROW()-9,COLUMN())))</f>
        <v xml:space="preserve">113732.0  51334.48 74 </v>
      </c>
      <c r="B280" t="str">
        <f>IF($CM$6=0,"",IF(INDEX('⑩ 원문 보관'!$A:$E,$CM$6+ROW()-9,COLUMN())="","",INDEX('⑩ 원문 보관'!$A:$E,$CM$6+ROW()-9,COLUMN())))</f>
        <v xml:space="preserve">120437.0  51080.60 26 </v>
      </c>
      <c r="C280" t="str">
        <f>IF($CM$6=0,"",IF(INDEX('⑩ 원문 보관'!$A:$E,$CM$6+ROW()-9,COLUMN())="","",INDEX('⑩ 원문 보관'!$A:$E,$CM$6+ROW()-9,COLUMN())))</f>
        <v/>
      </c>
      <c r="D280" t="str">
        <f>IF($CM$6=0,"",IF(INDEX('⑩ 원문 보관'!$A:$E,$CM$6+ROW()-9,COLUMN())="","",INDEX('⑩ 원문 보관'!$A:$E,$CM$6+ROW()-9,COLUMN())))</f>
        <v xml:space="preserve">125607.0  51414.99 37 </v>
      </c>
      <c r="E280" t="str">
        <f>IF($CM$6=0,"",IF(INDEX('⑩ 원문 보관'!$A:$E,$CM$6+ROW()-9,COLUMN())="","",INDEX('⑩ 원문 보관'!$A:$E,$CM$6+ROW()-9,COLUMN())))</f>
        <v/>
      </c>
      <c r="Q280">
        <f t="shared" si="145"/>
        <v>7</v>
      </c>
      <c r="R280">
        <f t="shared" si="125"/>
        <v>113732</v>
      </c>
      <c r="S280">
        <f t="shared" si="126"/>
        <v>51334.48</v>
      </c>
      <c r="T280" t="str">
        <f t="shared" si="127"/>
        <v>74</v>
      </c>
      <c r="U280">
        <f t="shared" si="128"/>
        <v>1</v>
      </c>
      <c r="V280">
        <f t="shared" si="146"/>
        <v>8</v>
      </c>
      <c r="W280">
        <f t="shared" si="129"/>
        <v>120437</v>
      </c>
      <c r="X280">
        <f t="shared" si="130"/>
        <v>51080.6</v>
      </c>
      <c r="Y280" t="str">
        <f t="shared" si="131"/>
        <v>26</v>
      </c>
      <c r="Z280">
        <f t="shared" si="132"/>
        <v>1</v>
      </c>
      <c r="AA280">
        <f t="shared" si="147"/>
        <v>6</v>
      </c>
      <c r="AB280" t="str">
        <f t="shared" si="133"/>
        <v/>
      </c>
      <c r="AC280" t="str">
        <f t="shared" si="134"/>
        <v/>
      </c>
      <c r="AD280" t="str">
        <f t="shared" si="135"/>
        <v/>
      </c>
      <c r="AE280">
        <f t="shared" si="136"/>
        <v>0</v>
      </c>
      <c r="AF280">
        <f t="shared" si="148"/>
        <v>8</v>
      </c>
      <c r="AG280">
        <f t="shared" si="137"/>
        <v>125607</v>
      </c>
      <c r="AH280">
        <f t="shared" si="138"/>
        <v>51414.99</v>
      </c>
      <c r="AI280" t="str">
        <f t="shared" si="139"/>
        <v>37</v>
      </c>
      <c r="AJ280">
        <f t="shared" si="140"/>
        <v>1</v>
      </c>
      <c r="AK280">
        <f t="shared" si="149"/>
        <v>4</v>
      </c>
      <c r="AL280" t="str">
        <f t="shared" si="141"/>
        <v/>
      </c>
      <c r="AM280" t="str">
        <f t="shared" si="142"/>
        <v/>
      </c>
      <c r="AN280" t="str">
        <f t="shared" si="143"/>
        <v/>
      </c>
      <c r="AO280">
        <f t="shared" si="144"/>
        <v>0</v>
      </c>
    </row>
    <row r="281" spans="1:41" x14ac:dyDescent="0.4">
      <c r="A281" t="str">
        <f>IF($CM$6=0,"",IF(INDEX('⑩ 원문 보관'!$A:$E,$CM$6+ROW()-9,COLUMN())="","",INDEX('⑩ 원문 보관'!$A:$E,$CM$6+ROW()-9,COLUMN())))</f>
        <v xml:space="preserve">113737.0  51335.00 74 </v>
      </c>
      <c r="B281" t="str">
        <f>IF($CM$6=0,"",IF(INDEX('⑩ 원문 보관'!$A:$E,$CM$6+ROW()-9,COLUMN())="","",INDEX('⑩ 원문 보관'!$A:$E,$CM$6+ROW()-9,COLUMN())))</f>
        <v xml:space="preserve">120442.0  51080.06 26 </v>
      </c>
      <c r="C281" t="str">
        <f>IF($CM$6=0,"",IF(INDEX('⑩ 원문 보관'!$A:$E,$CM$6+ROW()-9,COLUMN())="","",INDEX('⑩ 원문 보관'!$A:$E,$CM$6+ROW()-9,COLUMN())))</f>
        <v/>
      </c>
      <c r="D281" t="str">
        <f>IF($CM$6=0,"",IF(INDEX('⑩ 원문 보관'!$A:$E,$CM$6+ROW()-9,COLUMN())="","",INDEX('⑩ 원문 보관'!$A:$E,$CM$6+ROW()-9,COLUMN())))</f>
        <v xml:space="preserve">125612.0  51415.71 37 </v>
      </c>
      <c r="E281" t="str">
        <f>IF($CM$6=0,"",IF(INDEX('⑩ 원문 보관'!$A:$E,$CM$6+ROW()-9,COLUMN())="","",INDEX('⑩ 원문 보관'!$A:$E,$CM$6+ROW()-9,COLUMN())))</f>
        <v/>
      </c>
      <c r="Q281">
        <f t="shared" si="145"/>
        <v>7</v>
      </c>
      <c r="R281">
        <f t="shared" si="125"/>
        <v>113737</v>
      </c>
      <c r="S281">
        <f t="shared" si="126"/>
        <v>51335</v>
      </c>
      <c r="T281" t="str">
        <f t="shared" si="127"/>
        <v>74</v>
      </c>
      <c r="U281">
        <f t="shared" si="128"/>
        <v>1</v>
      </c>
      <c r="V281">
        <f t="shared" si="146"/>
        <v>8</v>
      </c>
      <c r="W281">
        <f t="shared" si="129"/>
        <v>120442</v>
      </c>
      <c r="X281">
        <f t="shared" si="130"/>
        <v>51080.06</v>
      </c>
      <c r="Y281" t="str">
        <f t="shared" si="131"/>
        <v>26</v>
      </c>
      <c r="Z281">
        <f t="shared" si="132"/>
        <v>1</v>
      </c>
      <c r="AA281">
        <f t="shared" si="147"/>
        <v>6</v>
      </c>
      <c r="AB281" t="str">
        <f t="shared" si="133"/>
        <v/>
      </c>
      <c r="AC281" t="str">
        <f t="shared" si="134"/>
        <v/>
      </c>
      <c r="AD281" t="str">
        <f t="shared" si="135"/>
        <v/>
      </c>
      <c r="AE281">
        <f t="shared" si="136"/>
        <v>0</v>
      </c>
      <c r="AF281">
        <f t="shared" si="148"/>
        <v>8</v>
      </c>
      <c r="AG281">
        <f t="shared" si="137"/>
        <v>125612</v>
      </c>
      <c r="AH281">
        <f t="shared" si="138"/>
        <v>51415.71</v>
      </c>
      <c r="AI281" t="str">
        <f t="shared" si="139"/>
        <v>37</v>
      </c>
      <c r="AJ281">
        <f t="shared" si="140"/>
        <v>1</v>
      </c>
      <c r="AK281">
        <f t="shared" si="149"/>
        <v>4</v>
      </c>
      <c r="AL281" t="str">
        <f t="shared" si="141"/>
        <v/>
      </c>
      <c r="AM281" t="str">
        <f t="shared" si="142"/>
        <v/>
      </c>
      <c r="AN281" t="str">
        <f t="shared" si="143"/>
        <v/>
      </c>
      <c r="AO281">
        <f t="shared" si="144"/>
        <v>0</v>
      </c>
    </row>
    <row r="282" spans="1:41" x14ac:dyDescent="0.4">
      <c r="A282" t="str">
        <f>IF($CM$6=0,"",IF(INDEX('⑩ 원문 보관'!$A:$E,$CM$6+ROW()-9,COLUMN())="","",INDEX('⑩ 원문 보관'!$A:$E,$CM$6+ROW()-9,COLUMN())))</f>
        <v xml:space="preserve">113742.0  51335.27 64 </v>
      </c>
      <c r="B282" t="str">
        <f>IF($CM$6=0,"",IF(INDEX('⑩ 원문 보관'!$A:$E,$CM$6+ROW()-9,COLUMN())="","",INDEX('⑩ 원문 보관'!$A:$E,$CM$6+ROW()-9,COLUMN())))</f>
        <v xml:space="preserve">120447.0  51075.26 16 </v>
      </c>
      <c r="C282" t="str">
        <f>IF($CM$6=0,"",IF(INDEX('⑩ 원문 보관'!$A:$E,$CM$6+ROW()-9,COLUMN())="","",INDEX('⑩ 원문 보관'!$A:$E,$CM$6+ROW()-9,COLUMN())))</f>
        <v/>
      </c>
      <c r="D282" t="str">
        <f>IF($CM$6=0,"",IF(INDEX('⑩ 원문 보관'!$A:$E,$CM$6+ROW()-9,COLUMN())="","",INDEX('⑩ 원문 보관'!$A:$E,$CM$6+ROW()-9,COLUMN())))</f>
        <v xml:space="preserve">125617.0  51415.95 36 </v>
      </c>
      <c r="E282" t="str">
        <f>IF($CM$6=0,"",IF(INDEX('⑩ 원문 보관'!$A:$E,$CM$6+ROW()-9,COLUMN())="","",INDEX('⑩ 원문 보관'!$A:$E,$CM$6+ROW()-9,COLUMN())))</f>
        <v/>
      </c>
      <c r="Q282">
        <f t="shared" si="145"/>
        <v>7</v>
      </c>
      <c r="R282">
        <f t="shared" si="125"/>
        <v>113742</v>
      </c>
      <c r="S282">
        <f t="shared" si="126"/>
        <v>51335.27</v>
      </c>
      <c r="T282" t="str">
        <f t="shared" si="127"/>
        <v>64</v>
      </c>
      <c r="U282">
        <f t="shared" si="128"/>
        <v>1</v>
      </c>
      <c r="V282">
        <f t="shared" si="146"/>
        <v>8</v>
      </c>
      <c r="W282">
        <f t="shared" si="129"/>
        <v>120447</v>
      </c>
      <c r="X282">
        <f t="shared" si="130"/>
        <v>51075.26</v>
      </c>
      <c r="Y282" t="str">
        <f t="shared" si="131"/>
        <v>16</v>
      </c>
      <c r="Z282">
        <f t="shared" si="132"/>
        <v>1</v>
      </c>
      <c r="AA282">
        <f t="shared" si="147"/>
        <v>6</v>
      </c>
      <c r="AB282" t="str">
        <f t="shared" si="133"/>
        <v/>
      </c>
      <c r="AC282" t="str">
        <f t="shared" si="134"/>
        <v/>
      </c>
      <c r="AD282" t="str">
        <f t="shared" si="135"/>
        <v/>
      </c>
      <c r="AE282">
        <f t="shared" si="136"/>
        <v>0</v>
      </c>
      <c r="AF282">
        <f t="shared" si="148"/>
        <v>8</v>
      </c>
      <c r="AG282">
        <f t="shared" si="137"/>
        <v>125617</v>
      </c>
      <c r="AH282">
        <f t="shared" si="138"/>
        <v>51415.95</v>
      </c>
      <c r="AI282" t="str">
        <f t="shared" si="139"/>
        <v>36</v>
      </c>
      <c r="AJ282">
        <f t="shared" si="140"/>
        <v>1</v>
      </c>
      <c r="AK282">
        <f t="shared" si="149"/>
        <v>4</v>
      </c>
      <c r="AL282" t="str">
        <f t="shared" si="141"/>
        <v/>
      </c>
      <c r="AM282" t="str">
        <f t="shared" si="142"/>
        <v/>
      </c>
      <c r="AN282" t="str">
        <f t="shared" si="143"/>
        <v/>
      </c>
      <c r="AO282">
        <f t="shared" si="144"/>
        <v>0</v>
      </c>
    </row>
    <row r="283" spans="1:41" x14ac:dyDescent="0.4">
      <c r="A283" t="str">
        <f>IF($CM$6=0,"",IF(INDEX('⑩ 원문 보관'!$A:$E,$CM$6+ROW()-9,COLUMN())="","",INDEX('⑩ 원문 보관'!$A:$E,$CM$6+ROW()-9,COLUMN())))</f>
        <v xml:space="preserve">113747.0  51335.22 64 </v>
      </c>
      <c r="B283" t="str">
        <f>IF($CM$6=0,"",IF(INDEX('⑩ 원문 보관'!$A:$E,$CM$6+ROW()-9,COLUMN())="","",INDEX('⑩ 원문 보관'!$A:$E,$CM$6+ROW()-9,COLUMN())))</f>
        <v xml:space="preserve">120452.0  51075.47 26 </v>
      </c>
      <c r="C283" t="str">
        <f>IF($CM$6=0,"",IF(INDEX('⑩ 원문 보관'!$A:$E,$CM$6+ROW()-9,COLUMN())="","",INDEX('⑩ 원문 보관'!$A:$E,$CM$6+ROW()-9,COLUMN())))</f>
        <v/>
      </c>
      <c r="D283" t="str">
        <f>IF($CM$6=0,"",IF(INDEX('⑩ 원문 보관'!$A:$E,$CM$6+ROW()-9,COLUMN())="","",INDEX('⑩ 원문 보관'!$A:$E,$CM$6+ROW()-9,COLUMN())))</f>
        <v xml:space="preserve">125622.0  51416.43 37 </v>
      </c>
      <c r="E283" t="str">
        <f>IF($CM$6=0,"",IF(INDEX('⑩ 원문 보관'!$A:$E,$CM$6+ROW()-9,COLUMN())="","",INDEX('⑩ 원문 보관'!$A:$E,$CM$6+ROW()-9,COLUMN())))</f>
        <v/>
      </c>
      <c r="Q283">
        <f t="shared" si="145"/>
        <v>7</v>
      </c>
      <c r="R283">
        <f t="shared" si="125"/>
        <v>113747</v>
      </c>
      <c r="S283">
        <f t="shared" si="126"/>
        <v>51335.22</v>
      </c>
      <c r="T283" t="str">
        <f t="shared" si="127"/>
        <v>64</v>
      </c>
      <c r="U283">
        <f t="shared" si="128"/>
        <v>1</v>
      </c>
      <c r="V283">
        <f t="shared" si="146"/>
        <v>8</v>
      </c>
      <c r="W283">
        <f t="shared" si="129"/>
        <v>120452</v>
      </c>
      <c r="X283">
        <f t="shared" si="130"/>
        <v>51075.47</v>
      </c>
      <c r="Y283" t="str">
        <f t="shared" si="131"/>
        <v>26</v>
      </c>
      <c r="Z283">
        <f t="shared" si="132"/>
        <v>1</v>
      </c>
      <c r="AA283">
        <f t="shared" si="147"/>
        <v>6</v>
      </c>
      <c r="AB283" t="str">
        <f t="shared" si="133"/>
        <v/>
      </c>
      <c r="AC283" t="str">
        <f t="shared" si="134"/>
        <v/>
      </c>
      <c r="AD283" t="str">
        <f t="shared" si="135"/>
        <v/>
      </c>
      <c r="AE283">
        <f t="shared" si="136"/>
        <v>0</v>
      </c>
      <c r="AF283">
        <f t="shared" si="148"/>
        <v>8</v>
      </c>
      <c r="AG283">
        <f t="shared" si="137"/>
        <v>125622</v>
      </c>
      <c r="AH283">
        <f t="shared" si="138"/>
        <v>51416.43</v>
      </c>
      <c r="AI283" t="str">
        <f t="shared" si="139"/>
        <v>37</v>
      </c>
      <c r="AJ283">
        <f t="shared" si="140"/>
        <v>1</v>
      </c>
      <c r="AK283">
        <f t="shared" si="149"/>
        <v>4</v>
      </c>
      <c r="AL283" t="str">
        <f t="shared" si="141"/>
        <v/>
      </c>
      <c r="AM283" t="str">
        <f t="shared" si="142"/>
        <v/>
      </c>
      <c r="AN283" t="str">
        <f t="shared" si="143"/>
        <v/>
      </c>
      <c r="AO283">
        <f t="shared" si="144"/>
        <v>0</v>
      </c>
    </row>
    <row r="284" spans="1:41" x14ac:dyDescent="0.4">
      <c r="A284" t="str">
        <f>IF($CM$6=0,"",IF(INDEX('⑩ 원문 보관'!$A:$E,$CM$6+ROW()-9,COLUMN())="","",INDEX('⑩ 원문 보관'!$A:$E,$CM$6+ROW()-9,COLUMN())))</f>
        <v xml:space="preserve">113752.0  51335.10 64 </v>
      </c>
      <c r="B284" t="str">
        <f>IF($CM$6=0,"",IF(INDEX('⑩ 원문 보관'!$A:$E,$CM$6+ROW()-9,COLUMN())="","",INDEX('⑩ 원문 보관'!$A:$E,$CM$6+ROW()-9,COLUMN())))</f>
        <v xml:space="preserve">120457.0  51078.72 26 </v>
      </c>
      <c r="C284" t="str">
        <f>IF($CM$6=0,"",IF(INDEX('⑩ 원문 보관'!$A:$E,$CM$6+ROW()-9,COLUMN())="","",INDEX('⑩ 원문 보관'!$A:$E,$CM$6+ROW()-9,COLUMN())))</f>
        <v/>
      </c>
      <c r="D284" t="str">
        <f>IF($CM$6=0,"",IF(INDEX('⑩ 원문 보관'!$A:$E,$CM$6+ROW()-9,COLUMN())="","",INDEX('⑩ 원문 보관'!$A:$E,$CM$6+ROW()-9,COLUMN())))</f>
        <v xml:space="preserve">125627.0  51416.53 37 </v>
      </c>
      <c r="E284" t="str">
        <f>IF($CM$6=0,"",IF(INDEX('⑩ 원문 보관'!$A:$E,$CM$6+ROW()-9,COLUMN())="","",INDEX('⑩ 원문 보관'!$A:$E,$CM$6+ROW()-9,COLUMN())))</f>
        <v/>
      </c>
      <c r="Q284">
        <f t="shared" si="145"/>
        <v>7</v>
      </c>
      <c r="R284">
        <f t="shared" si="125"/>
        <v>113752</v>
      </c>
      <c r="S284">
        <f t="shared" si="126"/>
        <v>51335.1</v>
      </c>
      <c r="T284" t="str">
        <f t="shared" si="127"/>
        <v>64</v>
      </c>
      <c r="U284">
        <f t="shared" si="128"/>
        <v>1</v>
      </c>
      <c r="V284">
        <f t="shared" si="146"/>
        <v>8</v>
      </c>
      <c r="W284">
        <f t="shared" si="129"/>
        <v>120457</v>
      </c>
      <c r="X284">
        <f t="shared" si="130"/>
        <v>51078.720000000001</v>
      </c>
      <c r="Y284" t="str">
        <f t="shared" si="131"/>
        <v>26</v>
      </c>
      <c r="Z284">
        <f t="shared" si="132"/>
        <v>1</v>
      </c>
      <c r="AA284">
        <f t="shared" si="147"/>
        <v>6</v>
      </c>
      <c r="AB284" t="str">
        <f t="shared" si="133"/>
        <v/>
      </c>
      <c r="AC284" t="str">
        <f t="shared" si="134"/>
        <v/>
      </c>
      <c r="AD284" t="str">
        <f t="shared" si="135"/>
        <v/>
      </c>
      <c r="AE284">
        <f t="shared" si="136"/>
        <v>0</v>
      </c>
      <c r="AF284">
        <f t="shared" si="148"/>
        <v>8</v>
      </c>
      <c r="AG284">
        <f t="shared" si="137"/>
        <v>125627</v>
      </c>
      <c r="AH284">
        <f t="shared" si="138"/>
        <v>51416.53</v>
      </c>
      <c r="AI284" t="str">
        <f t="shared" si="139"/>
        <v>37</v>
      </c>
      <c r="AJ284">
        <f t="shared" si="140"/>
        <v>1</v>
      </c>
      <c r="AK284">
        <f t="shared" si="149"/>
        <v>4</v>
      </c>
      <c r="AL284" t="str">
        <f t="shared" si="141"/>
        <v/>
      </c>
      <c r="AM284" t="str">
        <f t="shared" si="142"/>
        <v/>
      </c>
      <c r="AN284" t="str">
        <f t="shared" si="143"/>
        <v/>
      </c>
      <c r="AO284">
        <f t="shared" si="144"/>
        <v>0</v>
      </c>
    </row>
    <row r="285" spans="1:41" x14ac:dyDescent="0.4">
      <c r="A285" t="str">
        <f>IF($CM$6=0,"",IF(INDEX('⑩ 원문 보관'!$A:$E,$CM$6+ROW()-9,COLUMN())="","",INDEX('⑩ 원문 보관'!$A:$E,$CM$6+ROW()-9,COLUMN())))</f>
        <v xml:space="preserve">113757.0  51335.05 64 </v>
      </c>
      <c r="B285" t="str">
        <f>IF($CM$6=0,"",IF(INDEX('⑩ 원문 보관'!$A:$E,$CM$6+ROW()-9,COLUMN())="","",INDEX('⑩ 원문 보관'!$A:$E,$CM$6+ROW()-9,COLUMN())))</f>
        <v xml:space="preserve">120502.0  51076.73 26 </v>
      </c>
      <c r="C285" t="str">
        <f>IF($CM$6=0,"",IF(INDEX('⑩ 원문 보관'!$A:$E,$CM$6+ROW()-9,COLUMN())="","",INDEX('⑩ 원문 보관'!$A:$E,$CM$6+ROW()-9,COLUMN())))</f>
        <v/>
      </c>
      <c r="D285" t="str">
        <f>IF($CM$6=0,"",IF(INDEX('⑩ 원문 보관'!$A:$E,$CM$6+ROW()-9,COLUMN())="","",INDEX('⑩ 원문 보관'!$A:$E,$CM$6+ROW()-9,COLUMN())))</f>
        <v xml:space="preserve">125632.0  51415.37 37 </v>
      </c>
      <c r="E285" t="str">
        <f>IF($CM$6=0,"",IF(INDEX('⑩ 원문 보관'!$A:$E,$CM$6+ROW()-9,COLUMN())="","",INDEX('⑩ 원문 보관'!$A:$E,$CM$6+ROW()-9,COLUMN())))</f>
        <v/>
      </c>
      <c r="Q285">
        <f t="shared" si="145"/>
        <v>7</v>
      </c>
      <c r="R285">
        <f t="shared" si="125"/>
        <v>113757</v>
      </c>
      <c r="S285">
        <f t="shared" si="126"/>
        <v>51335.05</v>
      </c>
      <c r="T285" t="str">
        <f t="shared" si="127"/>
        <v>64</v>
      </c>
      <c r="U285">
        <f t="shared" si="128"/>
        <v>1</v>
      </c>
      <c r="V285">
        <f t="shared" si="146"/>
        <v>8</v>
      </c>
      <c r="W285">
        <f t="shared" si="129"/>
        <v>120502</v>
      </c>
      <c r="X285">
        <f t="shared" si="130"/>
        <v>51076.73</v>
      </c>
      <c r="Y285" t="str">
        <f t="shared" si="131"/>
        <v>26</v>
      </c>
      <c r="Z285">
        <f t="shared" si="132"/>
        <v>1</v>
      </c>
      <c r="AA285">
        <f t="shared" si="147"/>
        <v>6</v>
      </c>
      <c r="AB285" t="str">
        <f t="shared" si="133"/>
        <v/>
      </c>
      <c r="AC285" t="str">
        <f t="shared" si="134"/>
        <v/>
      </c>
      <c r="AD285" t="str">
        <f t="shared" si="135"/>
        <v/>
      </c>
      <c r="AE285">
        <f t="shared" si="136"/>
        <v>0</v>
      </c>
      <c r="AF285">
        <f t="shared" si="148"/>
        <v>8</v>
      </c>
      <c r="AG285">
        <f t="shared" si="137"/>
        <v>125632</v>
      </c>
      <c r="AH285">
        <f t="shared" si="138"/>
        <v>51415.37</v>
      </c>
      <c r="AI285" t="str">
        <f t="shared" si="139"/>
        <v>37</v>
      </c>
      <c r="AJ285">
        <f t="shared" si="140"/>
        <v>1</v>
      </c>
      <c r="AK285">
        <f t="shared" si="149"/>
        <v>4</v>
      </c>
      <c r="AL285" t="str">
        <f t="shared" si="141"/>
        <v/>
      </c>
      <c r="AM285" t="str">
        <f t="shared" si="142"/>
        <v/>
      </c>
      <c r="AN285" t="str">
        <f t="shared" si="143"/>
        <v/>
      </c>
      <c r="AO285">
        <f t="shared" si="144"/>
        <v>0</v>
      </c>
    </row>
    <row r="286" spans="1:41" x14ac:dyDescent="0.4">
      <c r="A286" t="str">
        <f>IF($CM$6=0,"",IF(INDEX('⑩ 원문 보관'!$A:$E,$CM$6+ROW()-9,COLUMN())="","",INDEX('⑩ 원문 보관'!$A:$E,$CM$6+ROW()-9,COLUMN())))</f>
        <v xml:space="preserve">113802.0  51335.48 43 </v>
      </c>
      <c r="B286" t="str">
        <f>IF($CM$6=0,"",IF(INDEX('⑩ 원문 보관'!$A:$E,$CM$6+ROW()-9,COLUMN())="","",INDEX('⑩ 원문 보관'!$A:$E,$CM$6+ROW()-9,COLUMN())))</f>
        <v xml:space="preserve">120507.0  51071.97 26 </v>
      </c>
      <c r="C286" t="str">
        <f>IF($CM$6=0,"",IF(INDEX('⑩ 원문 보관'!$A:$E,$CM$6+ROW()-9,COLUMN())="","",INDEX('⑩ 원문 보관'!$A:$E,$CM$6+ROW()-9,COLUMN())))</f>
        <v/>
      </c>
      <c r="D286" t="str">
        <f>IF($CM$6=0,"",IF(INDEX('⑩ 원문 보관'!$A:$E,$CM$6+ROW()-9,COLUMN())="","",INDEX('⑩ 원문 보관'!$A:$E,$CM$6+ROW()-9,COLUMN())))</f>
        <v xml:space="preserve">125637.0  51417.50 36 </v>
      </c>
      <c r="E286" t="str">
        <f>IF($CM$6=0,"",IF(INDEX('⑩ 원문 보관'!$A:$E,$CM$6+ROW()-9,COLUMN())="","",INDEX('⑩ 원문 보관'!$A:$E,$CM$6+ROW()-9,COLUMN())))</f>
        <v/>
      </c>
      <c r="Q286">
        <f t="shared" si="145"/>
        <v>7</v>
      </c>
      <c r="R286">
        <f t="shared" si="125"/>
        <v>113802</v>
      </c>
      <c r="S286">
        <f t="shared" si="126"/>
        <v>51335.48</v>
      </c>
      <c r="T286" t="str">
        <f t="shared" si="127"/>
        <v>43</v>
      </c>
      <c r="U286">
        <f t="shared" si="128"/>
        <v>1</v>
      </c>
      <c r="V286">
        <f t="shared" si="146"/>
        <v>8</v>
      </c>
      <c r="W286">
        <f t="shared" si="129"/>
        <v>120507</v>
      </c>
      <c r="X286">
        <f t="shared" si="130"/>
        <v>51071.97</v>
      </c>
      <c r="Y286" t="str">
        <f t="shared" si="131"/>
        <v>26</v>
      </c>
      <c r="Z286">
        <f t="shared" si="132"/>
        <v>1</v>
      </c>
      <c r="AA286">
        <f t="shared" si="147"/>
        <v>6</v>
      </c>
      <c r="AB286" t="str">
        <f t="shared" si="133"/>
        <v/>
      </c>
      <c r="AC286" t="str">
        <f t="shared" si="134"/>
        <v/>
      </c>
      <c r="AD286" t="str">
        <f t="shared" si="135"/>
        <v/>
      </c>
      <c r="AE286">
        <f t="shared" si="136"/>
        <v>0</v>
      </c>
      <c r="AF286">
        <f t="shared" si="148"/>
        <v>8</v>
      </c>
      <c r="AG286">
        <f t="shared" si="137"/>
        <v>125637</v>
      </c>
      <c r="AH286">
        <f t="shared" si="138"/>
        <v>51417.5</v>
      </c>
      <c r="AI286" t="str">
        <f t="shared" si="139"/>
        <v>36</v>
      </c>
      <c r="AJ286">
        <f t="shared" si="140"/>
        <v>1</v>
      </c>
      <c r="AK286">
        <f t="shared" si="149"/>
        <v>4</v>
      </c>
      <c r="AL286" t="str">
        <f t="shared" si="141"/>
        <v/>
      </c>
      <c r="AM286" t="str">
        <f t="shared" si="142"/>
        <v/>
      </c>
      <c r="AN286" t="str">
        <f t="shared" si="143"/>
        <v/>
      </c>
      <c r="AO286">
        <f t="shared" si="144"/>
        <v>0</v>
      </c>
    </row>
    <row r="287" spans="1:41" x14ac:dyDescent="0.4">
      <c r="A287" t="str">
        <f>IF($CM$6=0,"",IF(INDEX('⑩ 원문 보관'!$A:$E,$CM$6+ROW()-9,COLUMN())="","",INDEX('⑩ 원문 보관'!$A:$E,$CM$6+ROW()-9,COLUMN())))</f>
        <v xml:space="preserve">113807.0  51334.83 74 </v>
      </c>
      <c r="B287" t="str">
        <f>IF($CM$6=0,"",IF(INDEX('⑩ 원문 보관'!$A:$E,$CM$6+ROW()-9,COLUMN())="","",INDEX('⑩ 원문 보관'!$A:$E,$CM$6+ROW()-9,COLUMN())))</f>
        <v xml:space="preserve">120512.0  51076.34 26 </v>
      </c>
      <c r="C287" t="str">
        <f>IF($CM$6=0,"",IF(INDEX('⑩ 원문 보관'!$A:$E,$CM$6+ROW()-9,COLUMN())="","",INDEX('⑩ 원문 보관'!$A:$E,$CM$6+ROW()-9,COLUMN())))</f>
        <v/>
      </c>
      <c r="D287" t="str">
        <f>IF($CM$6=0,"",IF(INDEX('⑩ 원문 보관'!$A:$E,$CM$6+ROW()-9,COLUMN())="","",INDEX('⑩ 원문 보관'!$A:$E,$CM$6+ROW()-9,COLUMN())))</f>
        <v xml:space="preserve">125642.0  51417.94 37 </v>
      </c>
      <c r="E287" t="str">
        <f>IF($CM$6=0,"",IF(INDEX('⑩ 원문 보관'!$A:$E,$CM$6+ROW()-9,COLUMN())="","",INDEX('⑩ 원문 보관'!$A:$E,$CM$6+ROW()-9,COLUMN())))</f>
        <v/>
      </c>
      <c r="Q287">
        <f t="shared" si="145"/>
        <v>7</v>
      </c>
      <c r="R287">
        <f t="shared" si="125"/>
        <v>113807</v>
      </c>
      <c r="S287">
        <f t="shared" si="126"/>
        <v>51334.83</v>
      </c>
      <c r="T287" t="str">
        <f t="shared" si="127"/>
        <v>74</v>
      </c>
      <c r="U287">
        <f t="shared" si="128"/>
        <v>1</v>
      </c>
      <c r="V287">
        <f t="shared" si="146"/>
        <v>8</v>
      </c>
      <c r="W287">
        <f t="shared" si="129"/>
        <v>120512</v>
      </c>
      <c r="X287">
        <f t="shared" si="130"/>
        <v>51076.34</v>
      </c>
      <c r="Y287" t="str">
        <f t="shared" si="131"/>
        <v>26</v>
      </c>
      <c r="Z287">
        <f t="shared" si="132"/>
        <v>1</v>
      </c>
      <c r="AA287">
        <f t="shared" si="147"/>
        <v>6</v>
      </c>
      <c r="AB287" t="str">
        <f t="shared" si="133"/>
        <v/>
      </c>
      <c r="AC287" t="str">
        <f t="shared" si="134"/>
        <v/>
      </c>
      <c r="AD287" t="str">
        <f t="shared" si="135"/>
        <v/>
      </c>
      <c r="AE287">
        <f t="shared" si="136"/>
        <v>0</v>
      </c>
      <c r="AF287">
        <f t="shared" si="148"/>
        <v>8</v>
      </c>
      <c r="AG287">
        <f t="shared" si="137"/>
        <v>125642</v>
      </c>
      <c r="AH287">
        <f t="shared" si="138"/>
        <v>51417.94</v>
      </c>
      <c r="AI287" t="str">
        <f t="shared" si="139"/>
        <v>37</v>
      </c>
      <c r="AJ287">
        <f t="shared" si="140"/>
        <v>1</v>
      </c>
      <c r="AK287">
        <f t="shared" si="149"/>
        <v>4</v>
      </c>
      <c r="AL287" t="str">
        <f t="shared" si="141"/>
        <v/>
      </c>
      <c r="AM287" t="str">
        <f t="shared" si="142"/>
        <v/>
      </c>
      <c r="AN287" t="str">
        <f t="shared" si="143"/>
        <v/>
      </c>
      <c r="AO287">
        <f t="shared" si="144"/>
        <v>0</v>
      </c>
    </row>
    <row r="288" spans="1:41" x14ac:dyDescent="0.4">
      <c r="A288" t="str">
        <f>IF($CM$6=0,"",IF(INDEX('⑩ 원문 보관'!$A:$E,$CM$6+ROW()-9,COLUMN())="","",INDEX('⑩ 원문 보관'!$A:$E,$CM$6+ROW()-9,COLUMN())))</f>
        <v xml:space="preserve">113812.0  51335.15 63 </v>
      </c>
      <c r="B288" t="str">
        <f>IF($CM$6=0,"",IF(INDEX('⑩ 원문 보관'!$A:$E,$CM$6+ROW()-9,COLUMN())="","",INDEX('⑩ 원문 보관'!$A:$E,$CM$6+ROW()-9,COLUMN())))</f>
        <v xml:space="preserve">120517.0  51082.52 16 </v>
      </c>
      <c r="C288" t="str">
        <f>IF($CM$6=0,"",IF(INDEX('⑩ 원문 보관'!$A:$E,$CM$6+ROW()-9,COLUMN())="","",INDEX('⑩ 원문 보관'!$A:$E,$CM$6+ROW()-9,COLUMN())))</f>
        <v/>
      </c>
      <c r="D288" t="str">
        <f>IF($CM$6=0,"",IF(INDEX('⑩ 원문 보관'!$A:$E,$CM$6+ROW()-9,COLUMN())="","",INDEX('⑩ 원문 보관'!$A:$E,$CM$6+ROW()-9,COLUMN())))</f>
        <v xml:space="preserve">125647.0  51416.52 37 </v>
      </c>
      <c r="E288" t="str">
        <f>IF($CM$6=0,"",IF(INDEX('⑩ 원문 보관'!$A:$E,$CM$6+ROW()-9,COLUMN())="","",INDEX('⑩ 원문 보관'!$A:$E,$CM$6+ROW()-9,COLUMN())))</f>
        <v/>
      </c>
      <c r="Q288">
        <f t="shared" si="145"/>
        <v>7</v>
      </c>
      <c r="R288">
        <f t="shared" si="125"/>
        <v>113812</v>
      </c>
      <c r="S288">
        <f t="shared" si="126"/>
        <v>51335.15</v>
      </c>
      <c r="T288" t="str">
        <f t="shared" si="127"/>
        <v>63</v>
      </c>
      <c r="U288">
        <f t="shared" si="128"/>
        <v>1</v>
      </c>
      <c r="V288">
        <f t="shared" si="146"/>
        <v>8</v>
      </c>
      <c r="W288">
        <f t="shared" si="129"/>
        <v>120517</v>
      </c>
      <c r="X288">
        <f t="shared" si="130"/>
        <v>51082.52</v>
      </c>
      <c r="Y288" t="str">
        <f t="shared" si="131"/>
        <v>16</v>
      </c>
      <c r="Z288">
        <f t="shared" si="132"/>
        <v>1</v>
      </c>
      <c r="AA288">
        <f t="shared" si="147"/>
        <v>6</v>
      </c>
      <c r="AB288" t="str">
        <f t="shared" si="133"/>
        <v/>
      </c>
      <c r="AC288" t="str">
        <f t="shared" si="134"/>
        <v/>
      </c>
      <c r="AD288" t="str">
        <f t="shared" si="135"/>
        <v/>
      </c>
      <c r="AE288">
        <f t="shared" si="136"/>
        <v>0</v>
      </c>
      <c r="AF288">
        <f t="shared" si="148"/>
        <v>8</v>
      </c>
      <c r="AG288">
        <f t="shared" si="137"/>
        <v>125647</v>
      </c>
      <c r="AH288">
        <f t="shared" si="138"/>
        <v>51416.52</v>
      </c>
      <c r="AI288" t="str">
        <f t="shared" si="139"/>
        <v>37</v>
      </c>
      <c r="AJ288">
        <f t="shared" si="140"/>
        <v>1</v>
      </c>
      <c r="AK288">
        <f t="shared" si="149"/>
        <v>4</v>
      </c>
      <c r="AL288" t="str">
        <f t="shared" si="141"/>
        <v/>
      </c>
      <c r="AM288" t="str">
        <f t="shared" si="142"/>
        <v/>
      </c>
      <c r="AN288" t="str">
        <f t="shared" si="143"/>
        <v/>
      </c>
      <c r="AO288">
        <f t="shared" si="144"/>
        <v>0</v>
      </c>
    </row>
    <row r="289" spans="1:41" x14ac:dyDescent="0.4">
      <c r="A289" t="str">
        <f>IF($CM$6=0,"",IF(INDEX('⑩ 원문 보관'!$A:$E,$CM$6+ROW()-9,COLUMN())="","",INDEX('⑩ 원문 보관'!$A:$E,$CM$6+ROW()-9,COLUMN())))</f>
        <v xml:space="preserve">113817.0  51334.61 64 </v>
      </c>
      <c r="B289" t="str">
        <f>IF($CM$6=0,"",IF(INDEX('⑩ 원문 보관'!$A:$E,$CM$6+ROW()-9,COLUMN())="","",INDEX('⑩ 원문 보관'!$A:$E,$CM$6+ROW()-9,COLUMN())))</f>
        <v xml:space="preserve">120522.0  51072.67 26 </v>
      </c>
      <c r="C289" t="str">
        <f>IF($CM$6=0,"",IF(INDEX('⑩ 원문 보관'!$A:$E,$CM$6+ROW()-9,COLUMN())="","",INDEX('⑩ 원문 보관'!$A:$E,$CM$6+ROW()-9,COLUMN())))</f>
        <v/>
      </c>
      <c r="D289" t="str">
        <f>IF($CM$6=0,"",IF(INDEX('⑩ 원문 보관'!$A:$E,$CM$6+ROW()-9,COLUMN())="","",INDEX('⑩ 원문 보관'!$A:$E,$CM$6+ROW()-9,COLUMN())))</f>
        <v xml:space="preserve">125652.0  51416.08 36 </v>
      </c>
      <c r="E289" t="str">
        <f>IF($CM$6=0,"",IF(INDEX('⑩ 원문 보관'!$A:$E,$CM$6+ROW()-9,COLUMN())="","",INDEX('⑩ 원문 보관'!$A:$E,$CM$6+ROW()-9,COLUMN())))</f>
        <v/>
      </c>
      <c r="Q289">
        <f t="shared" si="145"/>
        <v>7</v>
      </c>
      <c r="R289">
        <f t="shared" si="125"/>
        <v>113817</v>
      </c>
      <c r="S289">
        <f t="shared" si="126"/>
        <v>51334.61</v>
      </c>
      <c r="T289" t="str">
        <f t="shared" si="127"/>
        <v>64</v>
      </c>
      <c r="U289">
        <f t="shared" si="128"/>
        <v>1</v>
      </c>
      <c r="V289">
        <f t="shared" si="146"/>
        <v>8</v>
      </c>
      <c r="W289">
        <f t="shared" si="129"/>
        <v>120522</v>
      </c>
      <c r="X289">
        <f t="shared" si="130"/>
        <v>51072.67</v>
      </c>
      <c r="Y289" t="str">
        <f t="shared" si="131"/>
        <v>26</v>
      </c>
      <c r="Z289">
        <f t="shared" si="132"/>
        <v>1</v>
      </c>
      <c r="AA289">
        <f t="shared" si="147"/>
        <v>6</v>
      </c>
      <c r="AB289" t="str">
        <f t="shared" si="133"/>
        <v/>
      </c>
      <c r="AC289" t="str">
        <f t="shared" si="134"/>
        <v/>
      </c>
      <c r="AD289" t="str">
        <f t="shared" si="135"/>
        <v/>
      </c>
      <c r="AE289">
        <f t="shared" si="136"/>
        <v>0</v>
      </c>
      <c r="AF289">
        <f t="shared" si="148"/>
        <v>8</v>
      </c>
      <c r="AG289">
        <f t="shared" si="137"/>
        <v>125652</v>
      </c>
      <c r="AH289">
        <f t="shared" si="138"/>
        <v>51416.08</v>
      </c>
      <c r="AI289" t="str">
        <f t="shared" si="139"/>
        <v>36</v>
      </c>
      <c r="AJ289">
        <f t="shared" si="140"/>
        <v>1</v>
      </c>
      <c r="AK289">
        <f t="shared" si="149"/>
        <v>4</v>
      </c>
      <c r="AL289" t="str">
        <f t="shared" si="141"/>
        <v/>
      </c>
      <c r="AM289" t="str">
        <f t="shared" si="142"/>
        <v/>
      </c>
      <c r="AN289" t="str">
        <f t="shared" si="143"/>
        <v/>
      </c>
      <c r="AO289">
        <f t="shared" si="144"/>
        <v>0</v>
      </c>
    </row>
    <row r="290" spans="1:41" x14ac:dyDescent="0.4">
      <c r="A290" t="str">
        <f>IF($CM$6=0,"",IF(INDEX('⑩ 원문 보관'!$A:$E,$CM$6+ROW()-9,COLUMN())="","",INDEX('⑩ 원문 보관'!$A:$E,$CM$6+ROW()-9,COLUMN())))</f>
        <v/>
      </c>
      <c r="B290" t="str">
        <f>IF($CM$6=0,"",IF(INDEX('⑩ 원문 보관'!$A:$E,$CM$6+ROW()-9,COLUMN())="","",INDEX('⑩ 원문 보관'!$A:$E,$CM$6+ROW()-9,COLUMN())))</f>
        <v xml:space="preserve">120527.0  51078.60 25 </v>
      </c>
      <c r="C290" t="str">
        <f>IF($CM$6=0,"",IF(INDEX('⑩ 원문 보관'!$A:$E,$CM$6+ROW()-9,COLUMN())="","",INDEX('⑩ 원문 보관'!$A:$E,$CM$6+ROW()-9,COLUMN())))</f>
        <v/>
      </c>
      <c r="D290" t="str">
        <f>IF($CM$6=0,"",IF(INDEX('⑩ 원문 보관'!$A:$E,$CM$6+ROW()-9,COLUMN())="","",INDEX('⑩ 원문 보관'!$A:$E,$CM$6+ROW()-9,COLUMN())))</f>
        <v/>
      </c>
      <c r="E290" t="str">
        <f>IF($CM$6=0,"",IF(INDEX('⑩ 원문 보관'!$A:$E,$CM$6+ROW()-9,COLUMN())="","",INDEX('⑩ 원문 보관'!$A:$E,$CM$6+ROW()-9,COLUMN())))</f>
        <v/>
      </c>
      <c r="Q290">
        <f t="shared" si="145"/>
        <v>7</v>
      </c>
      <c r="R290" t="str">
        <f t="shared" si="125"/>
        <v/>
      </c>
      <c r="S290" t="str">
        <f t="shared" si="126"/>
        <v/>
      </c>
      <c r="T290" t="str">
        <f t="shared" si="127"/>
        <v/>
      </c>
      <c r="U290">
        <f t="shared" si="128"/>
        <v>0</v>
      </c>
      <c r="V290">
        <f t="shared" si="146"/>
        <v>8</v>
      </c>
      <c r="W290">
        <f t="shared" si="129"/>
        <v>120527</v>
      </c>
      <c r="X290">
        <f t="shared" si="130"/>
        <v>51078.6</v>
      </c>
      <c r="Y290" t="str">
        <f t="shared" si="131"/>
        <v>25</v>
      </c>
      <c r="Z290">
        <f t="shared" si="132"/>
        <v>1</v>
      </c>
      <c r="AA290">
        <f t="shared" si="147"/>
        <v>6</v>
      </c>
      <c r="AB290" t="str">
        <f t="shared" si="133"/>
        <v/>
      </c>
      <c r="AC290" t="str">
        <f t="shared" si="134"/>
        <v/>
      </c>
      <c r="AD290" t="str">
        <f t="shared" si="135"/>
        <v/>
      </c>
      <c r="AE290">
        <f t="shared" si="136"/>
        <v>0</v>
      </c>
      <c r="AF290">
        <f t="shared" si="148"/>
        <v>8</v>
      </c>
      <c r="AG290" t="str">
        <f t="shared" si="137"/>
        <v/>
      </c>
      <c r="AH290" t="str">
        <f t="shared" si="138"/>
        <v/>
      </c>
      <c r="AI290" t="str">
        <f t="shared" si="139"/>
        <v/>
      </c>
      <c r="AJ290">
        <f t="shared" si="140"/>
        <v>0</v>
      </c>
      <c r="AK290">
        <f t="shared" si="149"/>
        <v>4</v>
      </c>
      <c r="AL290" t="str">
        <f t="shared" si="141"/>
        <v/>
      </c>
      <c r="AM290" t="str">
        <f t="shared" si="142"/>
        <v/>
      </c>
      <c r="AN290" t="str">
        <f t="shared" si="143"/>
        <v/>
      </c>
      <c r="AO290">
        <f t="shared" si="144"/>
        <v>0</v>
      </c>
    </row>
    <row r="291" spans="1:41" x14ac:dyDescent="0.4">
      <c r="A291" t="str">
        <f>IF($CM$6=0,"",IF(INDEX('⑩ 원문 보관'!$A:$E,$CM$6+ROW()-9,COLUMN())="","",INDEX('⑩ 원문 보관'!$A:$E,$CM$6+ROW()-9,COLUMN())))</f>
        <v/>
      </c>
      <c r="B291" t="str">
        <f>IF($CM$6=0,"",IF(INDEX('⑩ 원문 보관'!$A:$E,$CM$6+ROW()-9,COLUMN())="","",INDEX('⑩ 원문 보관'!$A:$E,$CM$6+ROW()-9,COLUMN())))</f>
        <v xml:space="preserve">120532.0  51079.11 17 </v>
      </c>
      <c r="C291" t="str">
        <f>IF($CM$6=0,"",IF(INDEX('⑩ 원문 보관'!$A:$E,$CM$6+ROW()-9,COLUMN())="","",INDEX('⑩ 원문 보관'!$A:$E,$CM$6+ROW()-9,COLUMN())))</f>
        <v/>
      </c>
      <c r="D291" t="str">
        <f>IF($CM$6=0,"",IF(INDEX('⑩ 원문 보관'!$A:$E,$CM$6+ROW()-9,COLUMN())="","",INDEX('⑩ 원문 보관'!$A:$E,$CM$6+ROW()-9,COLUMN())))</f>
        <v/>
      </c>
      <c r="E291" t="str">
        <f>IF($CM$6=0,"",IF(INDEX('⑩ 원문 보관'!$A:$E,$CM$6+ROW()-9,COLUMN())="","",INDEX('⑩ 원문 보관'!$A:$E,$CM$6+ROW()-9,COLUMN())))</f>
        <v/>
      </c>
      <c r="Q291">
        <f t="shared" si="145"/>
        <v>7</v>
      </c>
      <c r="R291" t="str">
        <f t="shared" si="125"/>
        <v/>
      </c>
      <c r="S291" t="str">
        <f t="shared" si="126"/>
        <v/>
      </c>
      <c r="T291" t="str">
        <f t="shared" si="127"/>
        <v/>
      </c>
      <c r="U291">
        <f t="shared" si="128"/>
        <v>0</v>
      </c>
      <c r="V291">
        <f t="shared" si="146"/>
        <v>8</v>
      </c>
      <c r="W291">
        <f t="shared" si="129"/>
        <v>120532</v>
      </c>
      <c r="X291">
        <f t="shared" si="130"/>
        <v>51079.11</v>
      </c>
      <c r="Y291" t="str">
        <f t="shared" si="131"/>
        <v>17</v>
      </c>
      <c r="Z291">
        <f t="shared" si="132"/>
        <v>1</v>
      </c>
      <c r="AA291">
        <f t="shared" si="147"/>
        <v>6</v>
      </c>
      <c r="AB291" t="str">
        <f t="shared" si="133"/>
        <v/>
      </c>
      <c r="AC291" t="str">
        <f t="shared" si="134"/>
        <v/>
      </c>
      <c r="AD291" t="str">
        <f t="shared" si="135"/>
        <v/>
      </c>
      <c r="AE291">
        <f t="shared" si="136"/>
        <v>0</v>
      </c>
      <c r="AF291">
        <f t="shared" si="148"/>
        <v>8</v>
      </c>
      <c r="AG291" t="str">
        <f t="shared" si="137"/>
        <v/>
      </c>
      <c r="AH291" t="str">
        <f t="shared" si="138"/>
        <v/>
      </c>
      <c r="AI291" t="str">
        <f t="shared" si="139"/>
        <v/>
      </c>
      <c r="AJ291">
        <f t="shared" si="140"/>
        <v>0</v>
      </c>
      <c r="AK291">
        <f t="shared" si="149"/>
        <v>4</v>
      </c>
      <c r="AL291" t="str">
        <f t="shared" si="141"/>
        <v/>
      </c>
      <c r="AM291" t="str">
        <f t="shared" si="142"/>
        <v/>
      </c>
      <c r="AN291" t="str">
        <f t="shared" si="143"/>
        <v/>
      </c>
      <c r="AO291">
        <f t="shared" si="144"/>
        <v>0</v>
      </c>
    </row>
    <row r="292" spans="1:41" x14ac:dyDescent="0.4">
      <c r="A292" t="str">
        <f>IF($CM$6=0,"",IF(INDEX('⑩ 원문 보관'!$A:$E,$CM$6+ROW()-9,COLUMN())="","",INDEX('⑩ 원문 보관'!$A:$E,$CM$6+ROW()-9,COLUMN())))</f>
        <v xml:space="preserve">/Gem Systems GSM-19T 4106808 v7.0 26 IX 2014 M t-e2l..v7o                         </v>
      </c>
      <c r="B292" t="str">
        <f>IF($CM$6=0,"",IF(INDEX('⑩ 원문 보관'!$A:$E,$CM$6+ROW()-9,COLUMN())="","",INDEX('⑩ 원문 보관'!$A:$E,$CM$6+ROW()-9,COLUMN())))</f>
        <v xml:space="preserve">120537.0  51079.35 16 </v>
      </c>
      <c r="C292" t="str">
        <f>IF($CM$6=0,"",IF(INDEX('⑩ 원문 보관'!$A:$E,$CM$6+ROW()-9,COLUMN())="","",INDEX('⑩ 원문 보관'!$A:$E,$CM$6+ROW()-9,COLUMN())))</f>
        <v/>
      </c>
      <c r="D292" t="str">
        <f>IF($CM$6=0,"",IF(INDEX('⑩ 원문 보관'!$A:$E,$CM$6+ROW()-9,COLUMN())="","",INDEX('⑩ 원문 보관'!$A:$E,$CM$6+ROW()-9,COLUMN())))</f>
        <v xml:space="preserve">/Gem Systems GSM-19T 4106808 v7.0 26 IX 2014 M t-e2l..v7o                         </v>
      </c>
      <c r="E292" t="str">
        <f>IF($CM$6=0,"",IF(INDEX('⑩ 원문 보관'!$A:$E,$CM$6+ROW()-9,COLUMN())="","",INDEX('⑩ 원문 보관'!$A:$E,$CM$6+ROW()-9,COLUMN())))</f>
        <v/>
      </c>
      <c r="Q292">
        <f t="shared" si="145"/>
        <v>7</v>
      </c>
      <c r="R292" t="str">
        <f t="shared" si="125"/>
        <v/>
      </c>
      <c r="S292" t="str">
        <f t="shared" si="126"/>
        <v/>
      </c>
      <c r="T292" t="str">
        <f t="shared" si="127"/>
        <v>GSM-19T</v>
      </c>
      <c r="U292">
        <f t="shared" si="128"/>
        <v>0</v>
      </c>
      <c r="V292">
        <f t="shared" si="146"/>
        <v>8</v>
      </c>
      <c r="W292">
        <f t="shared" si="129"/>
        <v>120537</v>
      </c>
      <c r="X292">
        <f t="shared" si="130"/>
        <v>51079.35</v>
      </c>
      <c r="Y292" t="str">
        <f t="shared" si="131"/>
        <v>16</v>
      </c>
      <c r="Z292">
        <f t="shared" si="132"/>
        <v>1</v>
      </c>
      <c r="AA292">
        <f t="shared" si="147"/>
        <v>6</v>
      </c>
      <c r="AB292" t="str">
        <f t="shared" si="133"/>
        <v/>
      </c>
      <c r="AC292" t="str">
        <f t="shared" si="134"/>
        <v/>
      </c>
      <c r="AD292" t="str">
        <f t="shared" si="135"/>
        <v/>
      </c>
      <c r="AE292">
        <f t="shared" si="136"/>
        <v>0</v>
      </c>
      <c r="AF292">
        <f t="shared" si="148"/>
        <v>8</v>
      </c>
      <c r="AG292" t="str">
        <f t="shared" si="137"/>
        <v/>
      </c>
      <c r="AH292" t="str">
        <f t="shared" si="138"/>
        <v/>
      </c>
      <c r="AI292" t="str">
        <f t="shared" si="139"/>
        <v>GSM-19T</v>
      </c>
      <c r="AJ292">
        <f t="shared" si="140"/>
        <v>0</v>
      </c>
      <c r="AK292">
        <f t="shared" si="149"/>
        <v>4</v>
      </c>
      <c r="AL292" t="str">
        <f t="shared" si="141"/>
        <v/>
      </c>
      <c r="AM292" t="str">
        <f t="shared" si="142"/>
        <v/>
      </c>
      <c r="AN292" t="str">
        <f t="shared" si="143"/>
        <v/>
      </c>
      <c r="AO292">
        <f t="shared" si="144"/>
        <v>0</v>
      </c>
    </row>
    <row r="293" spans="1:41" x14ac:dyDescent="0.4">
      <c r="A293" t="str">
        <f>IF($CM$6=0,"",IF(INDEX('⑩ 원문 보관'!$A:$E,$CM$6+ROW()-9,COLUMN())="","",INDEX('⑩ 원문 보관'!$A:$E,$CM$6+ROW()-9,COLUMN())))</f>
        <v>/ID 2666 file 09survey.b   21 IX 26</v>
      </c>
      <c r="B293" t="str">
        <f>IF($CM$6=0,"",IF(INDEX('⑩ 원문 보관'!$A:$E,$CM$6+ROW()-9,COLUMN())="","",INDEX('⑩ 원문 보관'!$A:$E,$CM$6+ROW()-9,COLUMN())))</f>
        <v xml:space="preserve">120542.0  51076.54 26 </v>
      </c>
      <c r="C293" t="str">
        <f>IF($CM$6=0,"",IF(INDEX('⑩ 원문 보관'!$A:$E,$CM$6+ROW()-9,COLUMN())="","",INDEX('⑩ 원문 보관'!$A:$E,$CM$6+ROW()-9,COLUMN())))</f>
        <v/>
      </c>
      <c r="D293" t="str">
        <f>IF($CM$6=0,"",IF(INDEX('⑩ 원문 보관'!$A:$E,$CM$6+ROW()-9,COLUMN())="","",INDEX('⑩ 원문 보관'!$A:$E,$CM$6+ROW()-9,COLUMN())))</f>
        <v>/ID 2666 file 36survey.b   21 IX 26</v>
      </c>
      <c r="E293" t="str">
        <f>IF($CM$6=0,"",IF(INDEX('⑩ 원문 보관'!$A:$E,$CM$6+ROW()-9,COLUMN())="","",INDEX('⑩ 원문 보관'!$A:$E,$CM$6+ROW()-9,COLUMN())))</f>
        <v/>
      </c>
      <c r="Q293">
        <f t="shared" si="145"/>
        <v>7</v>
      </c>
      <c r="R293" t="str">
        <f t="shared" si="125"/>
        <v/>
      </c>
      <c r="S293">
        <f t="shared" si="126"/>
        <v>2666</v>
      </c>
      <c r="T293" t="str">
        <f t="shared" si="127"/>
        <v>file</v>
      </c>
      <c r="U293">
        <f t="shared" si="128"/>
        <v>0</v>
      </c>
      <c r="V293">
        <f t="shared" si="146"/>
        <v>8</v>
      </c>
      <c r="W293">
        <f t="shared" si="129"/>
        <v>120542</v>
      </c>
      <c r="X293">
        <f t="shared" si="130"/>
        <v>51076.54</v>
      </c>
      <c r="Y293" t="str">
        <f t="shared" si="131"/>
        <v>26</v>
      </c>
      <c r="Z293">
        <f t="shared" si="132"/>
        <v>1</v>
      </c>
      <c r="AA293">
        <f t="shared" si="147"/>
        <v>6</v>
      </c>
      <c r="AB293" t="str">
        <f t="shared" si="133"/>
        <v/>
      </c>
      <c r="AC293" t="str">
        <f t="shared" si="134"/>
        <v/>
      </c>
      <c r="AD293" t="str">
        <f t="shared" si="135"/>
        <v/>
      </c>
      <c r="AE293">
        <f t="shared" si="136"/>
        <v>0</v>
      </c>
      <c r="AF293">
        <f t="shared" si="148"/>
        <v>8</v>
      </c>
      <c r="AG293" t="str">
        <f t="shared" si="137"/>
        <v/>
      </c>
      <c r="AH293">
        <f t="shared" si="138"/>
        <v>2666</v>
      </c>
      <c r="AI293" t="str">
        <f t="shared" si="139"/>
        <v>file</v>
      </c>
      <c r="AJ293">
        <f t="shared" si="140"/>
        <v>0</v>
      </c>
      <c r="AK293">
        <f t="shared" si="149"/>
        <v>4</v>
      </c>
      <c r="AL293" t="str">
        <f t="shared" si="141"/>
        <v/>
      </c>
      <c r="AM293" t="str">
        <f t="shared" si="142"/>
        <v/>
      </c>
      <c r="AN293" t="str">
        <f t="shared" si="143"/>
        <v/>
      </c>
      <c r="AO293">
        <f t="shared" si="144"/>
        <v>0</v>
      </c>
    </row>
    <row r="294" spans="1:41" x14ac:dyDescent="0.4">
      <c r="A294" t="str">
        <f>IF($CM$6=0,"",IF(INDEX('⑩ 원문 보관'!$A:$E,$CM$6+ROW()-9,COLUMN())="","",INDEX('⑩ 원문 보관'!$A:$E,$CM$6+ROW()-9,COLUMN())))</f>
        <v>/datum  57000.00</v>
      </c>
      <c r="B294" t="str">
        <f>IF($CM$6=0,"",IF(INDEX('⑩ 원문 보관'!$A:$E,$CM$6+ROW()-9,COLUMN())="","",INDEX('⑩ 원문 보관'!$A:$E,$CM$6+ROW()-9,COLUMN())))</f>
        <v xml:space="preserve">120547.0  51072.19 25 </v>
      </c>
      <c r="C294" t="str">
        <f>IF($CM$6=0,"",IF(INDEX('⑩ 원문 보관'!$A:$E,$CM$6+ROW()-9,COLUMN())="","",INDEX('⑩ 원문 보관'!$A:$E,$CM$6+ROW()-9,COLUMN())))</f>
        <v/>
      </c>
      <c r="D294" t="str">
        <f>IF($CM$6=0,"",IF(INDEX('⑩ 원문 보관'!$A:$E,$CM$6+ROW()-9,COLUMN())="","",INDEX('⑩ 원문 보관'!$A:$E,$CM$6+ROW()-9,COLUMN())))</f>
        <v>/datum  57000.00</v>
      </c>
      <c r="E294" t="str">
        <f>IF($CM$6=0,"",IF(INDEX('⑩ 원문 보관'!$A:$E,$CM$6+ROW()-9,COLUMN())="","",INDEX('⑩ 원문 보관'!$A:$E,$CM$6+ROW()-9,COLUMN())))</f>
        <v/>
      </c>
      <c r="Q294">
        <f t="shared" si="145"/>
        <v>7</v>
      </c>
      <c r="R294" t="str">
        <f t="shared" si="125"/>
        <v/>
      </c>
      <c r="S294">
        <f t="shared" si="126"/>
        <v>57000</v>
      </c>
      <c r="T294" t="str">
        <f t="shared" si="127"/>
        <v/>
      </c>
      <c r="U294">
        <f t="shared" si="128"/>
        <v>0</v>
      </c>
      <c r="V294">
        <f t="shared" si="146"/>
        <v>8</v>
      </c>
      <c r="W294">
        <f t="shared" si="129"/>
        <v>120547</v>
      </c>
      <c r="X294">
        <f t="shared" si="130"/>
        <v>51072.19</v>
      </c>
      <c r="Y294" t="str">
        <f t="shared" si="131"/>
        <v>25</v>
      </c>
      <c r="Z294">
        <f t="shared" si="132"/>
        <v>1</v>
      </c>
      <c r="AA294">
        <f t="shared" si="147"/>
        <v>6</v>
      </c>
      <c r="AB294" t="str">
        <f t="shared" si="133"/>
        <v/>
      </c>
      <c r="AC294" t="str">
        <f t="shared" si="134"/>
        <v/>
      </c>
      <c r="AD294" t="str">
        <f t="shared" si="135"/>
        <v/>
      </c>
      <c r="AE294">
        <f t="shared" si="136"/>
        <v>0</v>
      </c>
      <c r="AF294">
        <f t="shared" si="148"/>
        <v>8</v>
      </c>
      <c r="AG294" t="str">
        <f t="shared" si="137"/>
        <v/>
      </c>
      <c r="AH294">
        <f t="shared" si="138"/>
        <v>57000</v>
      </c>
      <c r="AI294" t="str">
        <f t="shared" si="139"/>
        <v/>
      </c>
      <c r="AJ294">
        <f t="shared" si="140"/>
        <v>0</v>
      </c>
      <c r="AK294">
        <f t="shared" si="149"/>
        <v>4</v>
      </c>
      <c r="AL294" t="str">
        <f t="shared" si="141"/>
        <v/>
      </c>
      <c r="AM294" t="str">
        <f t="shared" si="142"/>
        <v/>
      </c>
      <c r="AN294" t="str">
        <f t="shared" si="143"/>
        <v/>
      </c>
      <c r="AO294">
        <f t="shared" si="144"/>
        <v>0</v>
      </c>
    </row>
    <row r="295" spans="1:41" x14ac:dyDescent="0.4">
      <c r="A295" t="str">
        <f>IF($CM$6=0,"",IF(INDEX('⑩ 원문 보관'!$A:$E,$CM$6+ROW()-9,COLUMN())="","",INDEX('⑩ 원문 보관'!$A:$E,$CM$6+ROW()-9,COLUMN())))</f>
        <v>/</v>
      </c>
      <c r="B295" t="str">
        <f>IF($CM$6=0,"",IF(INDEX('⑩ 원문 보관'!$A:$E,$CM$6+ROW()-9,COLUMN())="","",INDEX('⑩ 원문 보관'!$A:$E,$CM$6+ROW()-9,COLUMN())))</f>
        <v xml:space="preserve">120552.0  51078.98 16 </v>
      </c>
      <c r="C295" t="str">
        <f>IF($CM$6=0,"",IF(INDEX('⑩ 원문 보관'!$A:$E,$CM$6+ROW()-9,COLUMN())="","",INDEX('⑩ 원문 보관'!$A:$E,$CM$6+ROW()-9,COLUMN())))</f>
        <v/>
      </c>
      <c r="D295" t="str">
        <f>IF($CM$6=0,"",IF(INDEX('⑩ 원문 보관'!$A:$E,$CM$6+ROW()-9,COLUMN())="","",INDEX('⑩ 원문 보관'!$A:$E,$CM$6+ROW()-9,COLUMN())))</f>
        <v>/</v>
      </c>
      <c r="E295" t="str">
        <f>IF($CM$6=0,"",IF(INDEX('⑩ 원문 보관'!$A:$E,$CM$6+ROW()-9,COLUMN())="","",INDEX('⑩ 원문 보관'!$A:$E,$CM$6+ROW()-9,COLUMN())))</f>
        <v/>
      </c>
      <c r="Q295">
        <f t="shared" si="145"/>
        <v>7</v>
      </c>
      <c r="R295" t="str">
        <f t="shared" si="125"/>
        <v/>
      </c>
      <c r="S295" t="str">
        <f t="shared" si="126"/>
        <v/>
      </c>
      <c r="T295" t="str">
        <f t="shared" si="127"/>
        <v/>
      </c>
      <c r="U295">
        <f t="shared" si="128"/>
        <v>0</v>
      </c>
      <c r="V295">
        <f t="shared" si="146"/>
        <v>8</v>
      </c>
      <c r="W295">
        <f t="shared" si="129"/>
        <v>120552</v>
      </c>
      <c r="X295">
        <f t="shared" si="130"/>
        <v>51078.98</v>
      </c>
      <c r="Y295" t="str">
        <f t="shared" si="131"/>
        <v>16</v>
      </c>
      <c r="Z295">
        <f t="shared" si="132"/>
        <v>1</v>
      </c>
      <c r="AA295">
        <f t="shared" si="147"/>
        <v>6</v>
      </c>
      <c r="AB295" t="str">
        <f t="shared" si="133"/>
        <v/>
      </c>
      <c r="AC295" t="str">
        <f t="shared" si="134"/>
        <v/>
      </c>
      <c r="AD295" t="str">
        <f t="shared" si="135"/>
        <v/>
      </c>
      <c r="AE295">
        <f t="shared" si="136"/>
        <v>0</v>
      </c>
      <c r="AF295">
        <f t="shared" si="148"/>
        <v>8</v>
      </c>
      <c r="AG295" t="str">
        <f t="shared" si="137"/>
        <v/>
      </c>
      <c r="AH295" t="str">
        <f t="shared" si="138"/>
        <v/>
      </c>
      <c r="AI295" t="str">
        <f t="shared" si="139"/>
        <v/>
      </c>
      <c r="AJ295">
        <f t="shared" si="140"/>
        <v>0</v>
      </c>
      <c r="AK295">
        <f t="shared" si="149"/>
        <v>4</v>
      </c>
      <c r="AL295" t="str">
        <f t="shared" si="141"/>
        <v/>
      </c>
      <c r="AM295" t="str">
        <f t="shared" si="142"/>
        <v/>
      </c>
      <c r="AN295" t="str">
        <f t="shared" si="143"/>
        <v/>
      </c>
      <c r="AO295">
        <f t="shared" si="144"/>
        <v>0</v>
      </c>
    </row>
    <row r="296" spans="1:41" x14ac:dyDescent="0.4">
      <c r="A296" t="str">
        <f>IF($CM$6=0,"",IF(INDEX('⑩ 원문 보관'!$A:$E,$CM$6+ROW()-9,COLUMN())="","",INDEX('⑩ 원문 보관'!$A:$E,$CM$6+ROW()-9,COLUMN())))</f>
        <v/>
      </c>
      <c r="B296" t="str">
        <f>IF($CM$6=0,"",IF(INDEX('⑩ 원문 보관'!$A:$E,$CM$6+ROW()-9,COLUMN())="","",INDEX('⑩ 원문 보관'!$A:$E,$CM$6+ROW()-9,COLUMN())))</f>
        <v xml:space="preserve">120557.0  51078.46 16 </v>
      </c>
      <c r="C296" t="str">
        <f>IF($CM$6=0,"",IF(INDEX('⑩ 원문 보관'!$A:$E,$CM$6+ROW()-9,COLUMN())="","",INDEX('⑩ 원문 보관'!$A:$E,$CM$6+ROW()-9,COLUMN())))</f>
        <v/>
      </c>
      <c r="D296" t="str">
        <f>IF($CM$6=0,"",IF(INDEX('⑩ 원문 보관'!$A:$E,$CM$6+ROW()-9,COLUMN())="","",INDEX('⑩ 원문 보관'!$A:$E,$CM$6+ROW()-9,COLUMN())))</f>
        <v/>
      </c>
      <c r="E296" t="str">
        <f>IF($CM$6=0,"",IF(INDEX('⑩ 원문 보관'!$A:$E,$CM$6+ROW()-9,COLUMN())="","",INDEX('⑩ 원문 보관'!$A:$E,$CM$6+ROW()-9,COLUMN())))</f>
        <v/>
      </c>
      <c r="Q296">
        <f t="shared" si="145"/>
        <v>7</v>
      </c>
      <c r="R296" t="str">
        <f t="shared" si="125"/>
        <v/>
      </c>
      <c r="S296" t="str">
        <f t="shared" si="126"/>
        <v/>
      </c>
      <c r="T296" t="str">
        <f t="shared" si="127"/>
        <v/>
      </c>
      <c r="U296">
        <f t="shared" si="128"/>
        <v>0</v>
      </c>
      <c r="V296">
        <f t="shared" si="146"/>
        <v>8</v>
      </c>
      <c r="W296">
        <f t="shared" si="129"/>
        <v>120557</v>
      </c>
      <c r="X296">
        <f t="shared" si="130"/>
        <v>51078.46</v>
      </c>
      <c r="Y296" t="str">
        <f t="shared" si="131"/>
        <v>16</v>
      </c>
      <c r="Z296">
        <f t="shared" si="132"/>
        <v>1</v>
      </c>
      <c r="AA296">
        <f t="shared" si="147"/>
        <v>6</v>
      </c>
      <c r="AB296" t="str">
        <f t="shared" si="133"/>
        <v/>
      </c>
      <c r="AC296" t="str">
        <f t="shared" si="134"/>
        <v/>
      </c>
      <c r="AD296" t="str">
        <f t="shared" si="135"/>
        <v/>
      </c>
      <c r="AE296">
        <f t="shared" si="136"/>
        <v>0</v>
      </c>
      <c r="AF296">
        <f t="shared" si="148"/>
        <v>8</v>
      </c>
      <c r="AG296" t="str">
        <f t="shared" si="137"/>
        <v/>
      </c>
      <c r="AH296" t="str">
        <f t="shared" si="138"/>
        <v/>
      </c>
      <c r="AI296" t="str">
        <f t="shared" si="139"/>
        <v/>
      </c>
      <c r="AJ296">
        <f t="shared" si="140"/>
        <v>0</v>
      </c>
      <c r="AK296">
        <f t="shared" si="149"/>
        <v>4</v>
      </c>
      <c r="AL296" t="str">
        <f t="shared" si="141"/>
        <v/>
      </c>
      <c r="AM296" t="str">
        <f t="shared" si="142"/>
        <v/>
      </c>
      <c r="AN296" t="str">
        <f t="shared" si="143"/>
        <v/>
      </c>
      <c r="AO296">
        <f t="shared" si="144"/>
        <v>0</v>
      </c>
    </row>
    <row r="297" spans="1:41" x14ac:dyDescent="0.4">
      <c r="A297" t="str">
        <f>IF($CM$6=0,"",IF(INDEX('⑩ 원문 보관'!$A:$E,$CM$6+ROW()-9,COLUMN())="","",INDEX('⑩ 원문 보관'!$A:$E,$CM$6+ROW()-9,COLUMN())))</f>
        <v xml:space="preserve">/time nT sq </v>
      </c>
      <c r="B297" t="str">
        <f>IF($CM$6=0,"",IF(INDEX('⑩ 원문 보관'!$A:$E,$CM$6+ROW()-9,COLUMN())="","",INDEX('⑩ 원문 보관'!$A:$E,$CM$6+ROW()-9,COLUMN())))</f>
        <v xml:space="preserve">120602.0  51081.30 26 </v>
      </c>
      <c r="C297" t="str">
        <f>IF($CM$6=0,"",IF(INDEX('⑩ 원문 보관'!$A:$E,$CM$6+ROW()-9,COLUMN())="","",INDEX('⑩ 원문 보관'!$A:$E,$CM$6+ROW()-9,COLUMN())))</f>
        <v/>
      </c>
      <c r="D297" t="str">
        <f>IF($CM$6=0,"",IF(INDEX('⑩ 원문 보관'!$A:$E,$CM$6+ROW()-9,COLUMN())="","",INDEX('⑩ 원문 보관'!$A:$E,$CM$6+ROW()-9,COLUMN())))</f>
        <v xml:space="preserve">/time nT sq </v>
      </c>
      <c r="E297" t="str">
        <f>IF($CM$6=0,"",IF(INDEX('⑩ 원문 보관'!$A:$E,$CM$6+ROW()-9,COLUMN())="","",INDEX('⑩ 원문 보관'!$A:$E,$CM$6+ROW()-9,COLUMN())))</f>
        <v/>
      </c>
      <c r="Q297">
        <f t="shared" si="145"/>
        <v>8</v>
      </c>
      <c r="R297" t="str">
        <f t="shared" si="125"/>
        <v/>
      </c>
      <c r="S297" t="str">
        <f t="shared" si="126"/>
        <v/>
      </c>
      <c r="T297" t="str">
        <f t="shared" si="127"/>
        <v>sq</v>
      </c>
      <c r="U297">
        <f t="shared" si="128"/>
        <v>0</v>
      </c>
      <c r="V297">
        <f t="shared" si="146"/>
        <v>8</v>
      </c>
      <c r="W297">
        <f t="shared" si="129"/>
        <v>120602</v>
      </c>
      <c r="X297">
        <f t="shared" si="130"/>
        <v>51081.3</v>
      </c>
      <c r="Y297" t="str">
        <f t="shared" si="131"/>
        <v>26</v>
      </c>
      <c r="Z297">
        <f t="shared" si="132"/>
        <v>1</v>
      </c>
      <c r="AA297">
        <f t="shared" si="147"/>
        <v>6</v>
      </c>
      <c r="AB297" t="str">
        <f t="shared" si="133"/>
        <v/>
      </c>
      <c r="AC297" t="str">
        <f t="shared" si="134"/>
        <v/>
      </c>
      <c r="AD297" t="str">
        <f t="shared" si="135"/>
        <v/>
      </c>
      <c r="AE297">
        <f t="shared" si="136"/>
        <v>0</v>
      </c>
      <c r="AF297">
        <f t="shared" si="148"/>
        <v>9</v>
      </c>
      <c r="AG297" t="str">
        <f t="shared" si="137"/>
        <v/>
      </c>
      <c r="AH297" t="str">
        <f t="shared" si="138"/>
        <v/>
      </c>
      <c r="AI297" t="str">
        <f t="shared" si="139"/>
        <v>sq</v>
      </c>
      <c r="AJ297">
        <f t="shared" si="140"/>
        <v>0</v>
      </c>
      <c r="AK297">
        <f t="shared" si="149"/>
        <v>4</v>
      </c>
      <c r="AL297" t="str">
        <f t="shared" si="141"/>
        <v/>
      </c>
      <c r="AM297" t="str">
        <f t="shared" si="142"/>
        <v/>
      </c>
      <c r="AN297" t="str">
        <f t="shared" si="143"/>
        <v/>
      </c>
      <c r="AO297">
        <f t="shared" si="144"/>
        <v>0</v>
      </c>
    </row>
    <row r="298" spans="1:41" x14ac:dyDescent="0.4">
      <c r="A298" t="str">
        <f>IF($CM$6=0,"",IF(INDEX('⑩ 원문 보관'!$A:$E,$CM$6+ROW()-9,COLUMN())="","",INDEX('⑩ 원문 보관'!$A:$E,$CM$6+ROW()-9,COLUMN())))</f>
        <v xml:space="preserve">114047.0  51384.00 97 </v>
      </c>
      <c r="B298" t="str">
        <f>IF($CM$6=0,"",IF(INDEX('⑩ 원문 보관'!$A:$E,$CM$6+ROW()-9,COLUMN())="","",INDEX('⑩ 원문 보관'!$A:$E,$CM$6+ROW()-9,COLUMN())))</f>
        <v xml:space="preserve">120607.0  51067.19 26 </v>
      </c>
      <c r="C298" t="str">
        <f>IF($CM$6=0,"",IF(INDEX('⑩ 원문 보관'!$A:$E,$CM$6+ROW()-9,COLUMN())="","",INDEX('⑩ 원문 보관'!$A:$E,$CM$6+ROW()-9,COLUMN())))</f>
        <v/>
      </c>
      <c r="D298" t="str">
        <f>IF($CM$6=0,"",IF(INDEX('⑩ 원문 보관'!$A:$E,$CM$6+ROW()-9,COLUMN())="","",INDEX('⑩ 원문 보관'!$A:$E,$CM$6+ROW()-9,COLUMN())))</f>
        <v xml:space="preserve">125722.0  50549.34 27 </v>
      </c>
      <c r="E298" t="str">
        <f>IF($CM$6=0,"",IF(INDEX('⑩ 원문 보관'!$A:$E,$CM$6+ROW()-9,COLUMN())="","",INDEX('⑩ 원문 보관'!$A:$E,$CM$6+ROW()-9,COLUMN())))</f>
        <v/>
      </c>
      <c r="Q298">
        <f t="shared" si="145"/>
        <v>8</v>
      </c>
      <c r="R298">
        <f t="shared" si="125"/>
        <v>114047</v>
      </c>
      <c r="S298">
        <f t="shared" si="126"/>
        <v>51384</v>
      </c>
      <c r="T298" t="str">
        <f t="shared" si="127"/>
        <v>97</v>
      </c>
      <c r="U298">
        <f t="shared" si="128"/>
        <v>1</v>
      </c>
      <c r="V298">
        <f t="shared" si="146"/>
        <v>8</v>
      </c>
      <c r="W298">
        <f t="shared" si="129"/>
        <v>120607</v>
      </c>
      <c r="X298">
        <f t="shared" si="130"/>
        <v>51067.19</v>
      </c>
      <c r="Y298" t="str">
        <f t="shared" si="131"/>
        <v>26</v>
      </c>
      <c r="Z298">
        <f t="shared" si="132"/>
        <v>1</v>
      </c>
      <c r="AA298">
        <f t="shared" si="147"/>
        <v>6</v>
      </c>
      <c r="AB298" t="str">
        <f t="shared" si="133"/>
        <v/>
      </c>
      <c r="AC298" t="str">
        <f t="shared" si="134"/>
        <v/>
      </c>
      <c r="AD298" t="str">
        <f t="shared" si="135"/>
        <v/>
      </c>
      <c r="AE298">
        <f t="shared" si="136"/>
        <v>0</v>
      </c>
      <c r="AF298">
        <f t="shared" si="148"/>
        <v>9</v>
      </c>
      <c r="AG298">
        <f t="shared" si="137"/>
        <v>125722</v>
      </c>
      <c r="AH298">
        <f t="shared" si="138"/>
        <v>50549.34</v>
      </c>
      <c r="AI298" t="str">
        <f t="shared" si="139"/>
        <v>27</v>
      </c>
      <c r="AJ298">
        <f t="shared" si="140"/>
        <v>1</v>
      </c>
      <c r="AK298">
        <f t="shared" si="149"/>
        <v>4</v>
      </c>
      <c r="AL298" t="str">
        <f t="shared" si="141"/>
        <v/>
      </c>
      <c r="AM298" t="str">
        <f t="shared" si="142"/>
        <v/>
      </c>
      <c r="AN298" t="str">
        <f t="shared" si="143"/>
        <v/>
      </c>
      <c r="AO298">
        <f t="shared" si="144"/>
        <v>0</v>
      </c>
    </row>
    <row r="299" spans="1:41" x14ac:dyDescent="0.4">
      <c r="A299" t="str">
        <f>IF($CM$6=0,"",IF(INDEX('⑩ 원문 보관'!$A:$E,$CM$6+ROW()-9,COLUMN())="","",INDEX('⑩ 원문 보관'!$A:$E,$CM$6+ROW()-9,COLUMN())))</f>
        <v xml:space="preserve">114052.0  51384.22 97 </v>
      </c>
      <c r="B299" t="str">
        <f>IF($CM$6=0,"",IF(INDEX('⑩ 원문 보관'!$A:$E,$CM$6+ROW()-9,COLUMN())="","",INDEX('⑩ 원문 보관'!$A:$E,$CM$6+ROW()-9,COLUMN())))</f>
        <v xml:space="preserve">120612.0  51079.15 26 </v>
      </c>
      <c r="C299" t="str">
        <f>IF($CM$6=0,"",IF(INDEX('⑩ 원문 보관'!$A:$E,$CM$6+ROW()-9,COLUMN())="","",INDEX('⑩ 원문 보관'!$A:$E,$CM$6+ROW()-9,COLUMN())))</f>
        <v/>
      </c>
      <c r="D299" t="str">
        <f>IF($CM$6=0,"",IF(INDEX('⑩ 원문 보관'!$A:$E,$CM$6+ROW()-9,COLUMN())="","",INDEX('⑩ 원문 보관'!$A:$E,$CM$6+ROW()-9,COLUMN())))</f>
        <v xml:space="preserve">125727.0  50557.55 19 </v>
      </c>
      <c r="E299" t="str">
        <f>IF($CM$6=0,"",IF(INDEX('⑩ 원문 보관'!$A:$E,$CM$6+ROW()-9,COLUMN())="","",INDEX('⑩ 원문 보관'!$A:$E,$CM$6+ROW()-9,COLUMN())))</f>
        <v/>
      </c>
      <c r="Q299">
        <f t="shared" si="145"/>
        <v>8</v>
      </c>
      <c r="R299">
        <f t="shared" si="125"/>
        <v>114052</v>
      </c>
      <c r="S299">
        <f t="shared" si="126"/>
        <v>51384.22</v>
      </c>
      <c r="T299" t="str">
        <f t="shared" si="127"/>
        <v>97</v>
      </c>
      <c r="U299">
        <f t="shared" si="128"/>
        <v>1</v>
      </c>
      <c r="V299">
        <f t="shared" si="146"/>
        <v>8</v>
      </c>
      <c r="W299">
        <f t="shared" si="129"/>
        <v>120612</v>
      </c>
      <c r="X299">
        <f t="shared" si="130"/>
        <v>51079.15</v>
      </c>
      <c r="Y299" t="str">
        <f t="shared" si="131"/>
        <v>26</v>
      </c>
      <c r="Z299">
        <f t="shared" si="132"/>
        <v>1</v>
      </c>
      <c r="AA299">
        <f t="shared" si="147"/>
        <v>6</v>
      </c>
      <c r="AB299" t="str">
        <f t="shared" si="133"/>
        <v/>
      </c>
      <c r="AC299" t="str">
        <f t="shared" si="134"/>
        <v/>
      </c>
      <c r="AD299" t="str">
        <f t="shared" si="135"/>
        <v/>
      </c>
      <c r="AE299">
        <f t="shared" si="136"/>
        <v>0</v>
      </c>
      <c r="AF299">
        <f t="shared" si="148"/>
        <v>9</v>
      </c>
      <c r="AG299">
        <f t="shared" si="137"/>
        <v>125727</v>
      </c>
      <c r="AH299">
        <f t="shared" si="138"/>
        <v>50557.55</v>
      </c>
      <c r="AI299" t="str">
        <f t="shared" si="139"/>
        <v>19</v>
      </c>
      <c r="AJ299">
        <f t="shared" si="140"/>
        <v>1</v>
      </c>
      <c r="AK299">
        <f t="shared" si="149"/>
        <v>4</v>
      </c>
      <c r="AL299" t="str">
        <f t="shared" si="141"/>
        <v/>
      </c>
      <c r="AM299" t="str">
        <f t="shared" si="142"/>
        <v/>
      </c>
      <c r="AN299" t="str">
        <f t="shared" si="143"/>
        <v/>
      </c>
      <c r="AO299">
        <f t="shared" si="144"/>
        <v>0</v>
      </c>
    </row>
    <row r="300" spans="1:41" x14ac:dyDescent="0.4">
      <c r="A300" t="str">
        <f>IF($CM$6=0,"",IF(INDEX('⑩ 원문 보관'!$A:$E,$CM$6+ROW()-9,COLUMN())="","",INDEX('⑩ 원문 보관'!$A:$E,$CM$6+ROW()-9,COLUMN())))</f>
        <v xml:space="preserve">114057.0  51384.13 97 </v>
      </c>
      <c r="B300" t="str">
        <f>IF($CM$6=0,"",IF(INDEX('⑩ 원문 보관'!$A:$E,$CM$6+ROW()-9,COLUMN())="","",INDEX('⑩ 원문 보관'!$A:$E,$CM$6+ROW()-9,COLUMN())))</f>
        <v xml:space="preserve">120617.0  51076.92 16 </v>
      </c>
      <c r="C300" t="str">
        <f>IF($CM$6=0,"",IF(INDEX('⑩ 원문 보관'!$A:$E,$CM$6+ROW()-9,COLUMN())="","",INDEX('⑩ 원문 보관'!$A:$E,$CM$6+ROW()-9,COLUMN())))</f>
        <v/>
      </c>
      <c r="D300" t="str">
        <f>IF($CM$6=0,"",IF(INDEX('⑩ 원문 보관'!$A:$E,$CM$6+ROW()-9,COLUMN())="","",INDEX('⑩ 원문 보관'!$A:$E,$CM$6+ROW()-9,COLUMN())))</f>
        <v xml:space="preserve">125732.0  50554.82 19 </v>
      </c>
      <c r="E300" t="str">
        <f>IF($CM$6=0,"",IF(INDEX('⑩ 원문 보관'!$A:$E,$CM$6+ROW()-9,COLUMN())="","",INDEX('⑩ 원문 보관'!$A:$E,$CM$6+ROW()-9,COLUMN())))</f>
        <v/>
      </c>
      <c r="Q300">
        <f t="shared" si="145"/>
        <v>8</v>
      </c>
      <c r="R300">
        <f t="shared" si="125"/>
        <v>114057</v>
      </c>
      <c r="S300">
        <f t="shared" si="126"/>
        <v>51384.13</v>
      </c>
      <c r="T300" t="str">
        <f t="shared" si="127"/>
        <v>97</v>
      </c>
      <c r="U300">
        <f t="shared" si="128"/>
        <v>1</v>
      </c>
      <c r="V300">
        <f t="shared" si="146"/>
        <v>8</v>
      </c>
      <c r="W300">
        <f t="shared" si="129"/>
        <v>120617</v>
      </c>
      <c r="X300">
        <f t="shared" si="130"/>
        <v>51076.92</v>
      </c>
      <c r="Y300" t="str">
        <f t="shared" si="131"/>
        <v>16</v>
      </c>
      <c r="Z300">
        <f t="shared" si="132"/>
        <v>1</v>
      </c>
      <c r="AA300">
        <f t="shared" si="147"/>
        <v>6</v>
      </c>
      <c r="AB300" t="str">
        <f t="shared" si="133"/>
        <v/>
      </c>
      <c r="AC300" t="str">
        <f t="shared" si="134"/>
        <v/>
      </c>
      <c r="AD300" t="str">
        <f t="shared" si="135"/>
        <v/>
      </c>
      <c r="AE300">
        <f t="shared" si="136"/>
        <v>0</v>
      </c>
      <c r="AF300">
        <f t="shared" si="148"/>
        <v>9</v>
      </c>
      <c r="AG300">
        <f t="shared" si="137"/>
        <v>125732</v>
      </c>
      <c r="AH300">
        <f t="shared" si="138"/>
        <v>50554.82</v>
      </c>
      <c r="AI300" t="str">
        <f t="shared" si="139"/>
        <v>19</v>
      </c>
      <c r="AJ300">
        <f t="shared" si="140"/>
        <v>1</v>
      </c>
      <c r="AK300">
        <f t="shared" si="149"/>
        <v>4</v>
      </c>
      <c r="AL300" t="str">
        <f t="shared" si="141"/>
        <v/>
      </c>
      <c r="AM300" t="str">
        <f t="shared" si="142"/>
        <v/>
      </c>
      <c r="AN300" t="str">
        <f t="shared" si="143"/>
        <v/>
      </c>
      <c r="AO300">
        <f t="shared" si="144"/>
        <v>0</v>
      </c>
    </row>
    <row r="301" spans="1:41" x14ac:dyDescent="0.4">
      <c r="A301" t="str">
        <f>IF($CM$6=0,"",IF(INDEX('⑩ 원문 보관'!$A:$E,$CM$6+ROW()-9,COLUMN())="","",INDEX('⑩ 원문 보관'!$A:$E,$CM$6+ROW()-9,COLUMN())))</f>
        <v xml:space="preserve">114102.0  51384.22 97 </v>
      </c>
      <c r="B301" t="str">
        <f>IF($CM$6=0,"",IF(INDEX('⑩ 원문 보관'!$A:$E,$CM$6+ROW()-9,COLUMN())="","",INDEX('⑩ 원문 보관'!$A:$E,$CM$6+ROW()-9,COLUMN())))</f>
        <v xml:space="preserve">120622.0  51076.65 15 </v>
      </c>
      <c r="C301" t="str">
        <f>IF($CM$6=0,"",IF(INDEX('⑩ 원문 보관'!$A:$E,$CM$6+ROW()-9,COLUMN())="","",INDEX('⑩ 원문 보관'!$A:$E,$CM$6+ROW()-9,COLUMN())))</f>
        <v/>
      </c>
      <c r="D301" t="str">
        <f>IF($CM$6=0,"",IF(INDEX('⑩ 원문 보관'!$A:$E,$CM$6+ROW()-9,COLUMN())="","",INDEX('⑩ 원문 보관'!$A:$E,$CM$6+ROW()-9,COLUMN())))</f>
        <v xml:space="preserve">125737.0  50554.44 29 </v>
      </c>
      <c r="E301" t="str">
        <f>IF($CM$6=0,"",IF(INDEX('⑩ 원문 보관'!$A:$E,$CM$6+ROW()-9,COLUMN())="","",INDEX('⑩ 원문 보관'!$A:$E,$CM$6+ROW()-9,COLUMN())))</f>
        <v/>
      </c>
      <c r="Q301">
        <f t="shared" si="145"/>
        <v>8</v>
      </c>
      <c r="R301">
        <f t="shared" si="125"/>
        <v>114102</v>
      </c>
      <c r="S301">
        <f t="shared" si="126"/>
        <v>51384.22</v>
      </c>
      <c r="T301" t="str">
        <f t="shared" si="127"/>
        <v>97</v>
      </c>
      <c r="U301">
        <f t="shared" si="128"/>
        <v>1</v>
      </c>
      <c r="V301">
        <f t="shared" si="146"/>
        <v>8</v>
      </c>
      <c r="W301">
        <f t="shared" si="129"/>
        <v>120622</v>
      </c>
      <c r="X301">
        <f t="shared" si="130"/>
        <v>51076.65</v>
      </c>
      <c r="Y301" t="str">
        <f t="shared" si="131"/>
        <v>15</v>
      </c>
      <c r="Z301">
        <f t="shared" si="132"/>
        <v>1</v>
      </c>
      <c r="AA301">
        <f t="shared" si="147"/>
        <v>6</v>
      </c>
      <c r="AB301" t="str">
        <f t="shared" si="133"/>
        <v/>
      </c>
      <c r="AC301" t="str">
        <f t="shared" si="134"/>
        <v/>
      </c>
      <c r="AD301" t="str">
        <f t="shared" si="135"/>
        <v/>
      </c>
      <c r="AE301">
        <f t="shared" si="136"/>
        <v>0</v>
      </c>
      <c r="AF301">
        <f t="shared" si="148"/>
        <v>9</v>
      </c>
      <c r="AG301">
        <f t="shared" si="137"/>
        <v>125737</v>
      </c>
      <c r="AH301">
        <f t="shared" si="138"/>
        <v>50554.44</v>
      </c>
      <c r="AI301" t="str">
        <f t="shared" si="139"/>
        <v>29</v>
      </c>
      <c r="AJ301">
        <f t="shared" si="140"/>
        <v>1</v>
      </c>
      <c r="AK301">
        <f t="shared" si="149"/>
        <v>4</v>
      </c>
      <c r="AL301" t="str">
        <f t="shared" si="141"/>
        <v/>
      </c>
      <c r="AM301" t="str">
        <f t="shared" si="142"/>
        <v/>
      </c>
      <c r="AN301" t="str">
        <f t="shared" si="143"/>
        <v/>
      </c>
      <c r="AO301">
        <f t="shared" si="144"/>
        <v>0</v>
      </c>
    </row>
    <row r="302" spans="1:41" x14ac:dyDescent="0.4">
      <c r="A302" t="str">
        <f>IF($CM$6=0,"",IF(INDEX('⑩ 원문 보관'!$A:$E,$CM$6+ROW()-9,COLUMN())="","",INDEX('⑩ 원문 보관'!$A:$E,$CM$6+ROW()-9,COLUMN())))</f>
        <v xml:space="preserve">114107.0  51384.29 97 </v>
      </c>
      <c r="B302" t="str">
        <f>IF($CM$6=0,"",IF(INDEX('⑩ 원문 보관'!$A:$E,$CM$6+ROW()-9,COLUMN())="","",INDEX('⑩ 원문 보관'!$A:$E,$CM$6+ROW()-9,COLUMN())))</f>
        <v xml:space="preserve">120627.0  51076.95 26 </v>
      </c>
      <c r="C302" t="str">
        <f>IF($CM$6=0,"",IF(INDEX('⑩ 원문 보관'!$A:$E,$CM$6+ROW()-9,COLUMN())="","",INDEX('⑩ 원문 보관'!$A:$E,$CM$6+ROW()-9,COLUMN())))</f>
        <v/>
      </c>
      <c r="D302" t="str">
        <f>IF($CM$6=0,"",IF(INDEX('⑩ 원문 보관'!$A:$E,$CM$6+ROW()-9,COLUMN())="","",INDEX('⑩ 원문 보관'!$A:$E,$CM$6+ROW()-9,COLUMN())))</f>
        <v xml:space="preserve">125742.0  50549.27 19 </v>
      </c>
      <c r="E302" t="str">
        <f>IF($CM$6=0,"",IF(INDEX('⑩ 원문 보관'!$A:$E,$CM$6+ROW()-9,COLUMN())="","",INDEX('⑩ 원문 보관'!$A:$E,$CM$6+ROW()-9,COLUMN())))</f>
        <v/>
      </c>
      <c r="Q302">
        <f t="shared" si="145"/>
        <v>8</v>
      </c>
      <c r="R302">
        <f t="shared" si="125"/>
        <v>114107</v>
      </c>
      <c r="S302">
        <f t="shared" si="126"/>
        <v>51384.29</v>
      </c>
      <c r="T302" t="str">
        <f t="shared" si="127"/>
        <v>97</v>
      </c>
      <c r="U302">
        <f t="shared" si="128"/>
        <v>1</v>
      </c>
      <c r="V302">
        <f t="shared" si="146"/>
        <v>8</v>
      </c>
      <c r="W302">
        <f t="shared" si="129"/>
        <v>120627</v>
      </c>
      <c r="X302">
        <f t="shared" si="130"/>
        <v>51076.95</v>
      </c>
      <c r="Y302" t="str">
        <f t="shared" si="131"/>
        <v>26</v>
      </c>
      <c r="Z302">
        <f t="shared" si="132"/>
        <v>1</v>
      </c>
      <c r="AA302">
        <f t="shared" si="147"/>
        <v>6</v>
      </c>
      <c r="AB302" t="str">
        <f t="shared" si="133"/>
        <v/>
      </c>
      <c r="AC302" t="str">
        <f t="shared" si="134"/>
        <v/>
      </c>
      <c r="AD302" t="str">
        <f t="shared" si="135"/>
        <v/>
      </c>
      <c r="AE302">
        <f t="shared" si="136"/>
        <v>0</v>
      </c>
      <c r="AF302">
        <f t="shared" si="148"/>
        <v>9</v>
      </c>
      <c r="AG302">
        <f t="shared" si="137"/>
        <v>125742</v>
      </c>
      <c r="AH302">
        <f t="shared" si="138"/>
        <v>50549.27</v>
      </c>
      <c r="AI302" t="str">
        <f t="shared" si="139"/>
        <v>19</v>
      </c>
      <c r="AJ302">
        <f t="shared" si="140"/>
        <v>1</v>
      </c>
      <c r="AK302">
        <f t="shared" si="149"/>
        <v>4</v>
      </c>
      <c r="AL302" t="str">
        <f t="shared" si="141"/>
        <v/>
      </c>
      <c r="AM302" t="str">
        <f t="shared" si="142"/>
        <v/>
      </c>
      <c r="AN302" t="str">
        <f t="shared" si="143"/>
        <v/>
      </c>
      <c r="AO302">
        <f t="shared" si="144"/>
        <v>0</v>
      </c>
    </row>
    <row r="303" spans="1:41" x14ac:dyDescent="0.4">
      <c r="A303" t="str">
        <f>IF($CM$6=0,"",IF(INDEX('⑩ 원문 보관'!$A:$E,$CM$6+ROW()-9,COLUMN())="","",INDEX('⑩ 원문 보관'!$A:$E,$CM$6+ROW()-9,COLUMN())))</f>
        <v xml:space="preserve">114112.0  51384.36 97 </v>
      </c>
      <c r="B303" t="str">
        <f>IF($CM$6=0,"",IF(INDEX('⑩ 원문 보관'!$A:$E,$CM$6+ROW()-9,COLUMN())="","",INDEX('⑩ 원문 보관'!$A:$E,$CM$6+ROW()-9,COLUMN())))</f>
        <v xml:space="preserve">120632.0  51077.67 16 </v>
      </c>
      <c r="C303" t="str">
        <f>IF($CM$6=0,"",IF(INDEX('⑩ 원문 보관'!$A:$E,$CM$6+ROW()-9,COLUMN())="","",INDEX('⑩ 원문 보관'!$A:$E,$CM$6+ROW()-9,COLUMN())))</f>
        <v/>
      </c>
      <c r="D303" t="str">
        <f>IF($CM$6=0,"",IF(INDEX('⑩ 원문 보관'!$A:$E,$CM$6+ROW()-9,COLUMN())="","",INDEX('⑩ 원문 보관'!$A:$E,$CM$6+ROW()-9,COLUMN())))</f>
        <v xml:space="preserve">125747.0  50558.00 18 </v>
      </c>
      <c r="E303" t="str">
        <f>IF($CM$6=0,"",IF(INDEX('⑩ 원문 보관'!$A:$E,$CM$6+ROW()-9,COLUMN())="","",INDEX('⑩ 원문 보관'!$A:$E,$CM$6+ROW()-9,COLUMN())))</f>
        <v/>
      </c>
      <c r="Q303">
        <f t="shared" si="145"/>
        <v>8</v>
      </c>
      <c r="R303">
        <f t="shared" si="125"/>
        <v>114112</v>
      </c>
      <c r="S303">
        <f t="shared" si="126"/>
        <v>51384.36</v>
      </c>
      <c r="T303" t="str">
        <f t="shared" si="127"/>
        <v>97</v>
      </c>
      <c r="U303">
        <f t="shared" si="128"/>
        <v>1</v>
      </c>
      <c r="V303">
        <f t="shared" si="146"/>
        <v>8</v>
      </c>
      <c r="W303">
        <f t="shared" si="129"/>
        <v>120632</v>
      </c>
      <c r="X303">
        <f t="shared" si="130"/>
        <v>51077.67</v>
      </c>
      <c r="Y303" t="str">
        <f t="shared" si="131"/>
        <v>16</v>
      </c>
      <c r="Z303">
        <f t="shared" si="132"/>
        <v>1</v>
      </c>
      <c r="AA303">
        <f t="shared" si="147"/>
        <v>6</v>
      </c>
      <c r="AB303" t="str">
        <f t="shared" si="133"/>
        <v/>
      </c>
      <c r="AC303" t="str">
        <f t="shared" si="134"/>
        <v/>
      </c>
      <c r="AD303" t="str">
        <f t="shared" si="135"/>
        <v/>
      </c>
      <c r="AE303">
        <f t="shared" si="136"/>
        <v>0</v>
      </c>
      <c r="AF303">
        <f t="shared" si="148"/>
        <v>9</v>
      </c>
      <c r="AG303">
        <f t="shared" si="137"/>
        <v>125747</v>
      </c>
      <c r="AH303">
        <f t="shared" si="138"/>
        <v>50558</v>
      </c>
      <c r="AI303" t="str">
        <f t="shared" si="139"/>
        <v>18</v>
      </c>
      <c r="AJ303">
        <f t="shared" si="140"/>
        <v>1</v>
      </c>
      <c r="AK303">
        <f t="shared" si="149"/>
        <v>4</v>
      </c>
      <c r="AL303" t="str">
        <f t="shared" si="141"/>
        <v/>
      </c>
      <c r="AM303" t="str">
        <f t="shared" si="142"/>
        <v/>
      </c>
      <c r="AN303" t="str">
        <f t="shared" si="143"/>
        <v/>
      </c>
      <c r="AO303">
        <f t="shared" si="144"/>
        <v>0</v>
      </c>
    </row>
    <row r="304" spans="1:41" x14ac:dyDescent="0.4">
      <c r="A304" t="str">
        <f>IF($CM$6=0,"",IF(INDEX('⑩ 원문 보관'!$A:$E,$CM$6+ROW()-9,COLUMN())="","",INDEX('⑩ 원문 보관'!$A:$E,$CM$6+ROW()-9,COLUMN())))</f>
        <v xml:space="preserve">114117.0  51384.40 97 </v>
      </c>
      <c r="B304" t="str">
        <f>IF($CM$6=0,"",IF(INDEX('⑩ 원문 보관'!$A:$E,$CM$6+ROW()-9,COLUMN())="","",INDEX('⑩ 원문 보관'!$A:$E,$CM$6+ROW()-9,COLUMN())))</f>
        <v xml:space="preserve">120637.0  51072.99 16 </v>
      </c>
      <c r="C304" t="str">
        <f>IF($CM$6=0,"",IF(INDEX('⑩ 원문 보관'!$A:$E,$CM$6+ROW()-9,COLUMN())="","",INDEX('⑩ 원문 보관'!$A:$E,$CM$6+ROW()-9,COLUMN())))</f>
        <v/>
      </c>
      <c r="D304" t="str">
        <f>IF($CM$6=0,"",IF(INDEX('⑩ 원문 보관'!$A:$E,$CM$6+ROW()-9,COLUMN())="","",INDEX('⑩ 원문 보관'!$A:$E,$CM$6+ROW()-9,COLUMN())))</f>
        <v xml:space="preserve">125752.0  50558.20 18 </v>
      </c>
      <c r="E304" t="str">
        <f>IF($CM$6=0,"",IF(INDEX('⑩ 원문 보관'!$A:$E,$CM$6+ROW()-9,COLUMN())="","",INDEX('⑩ 원문 보관'!$A:$E,$CM$6+ROW()-9,COLUMN())))</f>
        <v/>
      </c>
      <c r="Q304">
        <f t="shared" si="145"/>
        <v>8</v>
      </c>
      <c r="R304">
        <f t="shared" si="125"/>
        <v>114117</v>
      </c>
      <c r="S304">
        <f t="shared" si="126"/>
        <v>51384.4</v>
      </c>
      <c r="T304" t="str">
        <f t="shared" si="127"/>
        <v>97</v>
      </c>
      <c r="U304">
        <f t="shared" si="128"/>
        <v>1</v>
      </c>
      <c r="V304">
        <f t="shared" si="146"/>
        <v>8</v>
      </c>
      <c r="W304">
        <f t="shared" si="129"/>
        <v>120637</v>
      </c>
      <c r="X304">
        <f t="shared" si="130"/>
        <v>51072.99</v>
      </c>
      <c r="Y304" t="str">
        <f t="shared" si="131"/>
        <v>16</v>
      </c>
      <c r="Z304">
        <f t="shared" si="132"/>
        <v>1</v>
      </c>
      <c r="AA304">
        <f t="shared" si="147"/>
        <v>6</v>
      </c>
      <c r="AB304" t="str">
        <f t="shared" si="133"/>
        <v/>
      </c>
      <c r="AC304" t="str">
        <f t="shared" si="134"/>
        <v/>
      </c>
      <c r="AD304" t="str">
        <f t="shared" si="135"/>
        <v/>
      </c>
      <c r="AE304">
        <f t="shared" si="136"/>
        <v>0</v>
      </c>
      <c r="AF304">
        <f t="shared" si="148"/>
        <v>9</v>
      </c>
      <c r="AG304">
        <f t="shared" si="137"/>
        <v>125752</v>
      </c>
      <c r="AH304">
        <f t="shared" si="138"/>
        <v>50558.2</v>
      </c>
      <c r="AI304" t="str">
        <f t="shared" si="139"/>
        <v>18</v>
      </c>
      <c r="AJ304">
        <f t="shared" si="140"/>
        <v>1</v>
      </c>
      <c r="AK304">
        <f t="shared" si="149"/>
        <v>4</v>
      </c>
      <c r="AL304" t="str">
        <f t="shared" si="141"/>
        <v/>
      </c>
      <c r="AM304" t="str">
        <f t="shared" si="142"/>
        <v/>
      </c>
      <c r="AN304" t="str">
        <f t="shared" si="143"/>
        <v/>
      </c>
      <c r="AO304">
        <f t="shared" si="144"/>
        <v>0</v>
      </c>
    </row>
    <row r="305" spans="1:41" x14ac:dyDescent="0.4">
      <c r="A305" t="str">
        <f>IF($CM$6=0,"",IF(INDEX('⑩ 원문 보관'!$A:$E,$CM$6+ROW()-9,COLUMN())="","",INDEX('⑩ 원문 보관'!$A:$E,$CM$6+ROW()-9,COLUMN())))</f>
        <v xml:space="preserve">114122.0  51384.38 97 </v>
      </c>
      <c r="B305" t="str">
        <f>IF($CM$6=0,"",IF(INDEX('⑩ 원문 보관'!$A:$E,$CM$6+ROW()-9,COLUMN())="","",INDEX('⑩ 원문 보관'!$A:$E,$CM$6+ROW()-9,COLUMN())))</f>
        <v xml:space="preserve">120642.0  51077.72 16 </v>
      </c>
      <c r="C305" t="str">
        <f>IF($CM$6=0,"",IF(INDEX('⑩ 원문 보관'!$A:$E,$CM$6+ROW()-9,COLUMN())="","",INDEX('⑩ 원문 보관'!$A:$E,$CM$6+ROW()-9,COLUMN())))</f>
        <v/>
      </c>
      <c r="D305" t="str">
        <f>IF($CM$6=0,"",IF(INDEX('⑩ 원문 보관'!$A:$E,$CM$6+ROW()-9,COLUMN())="","",INDEX('⑩ 원문 보관'!$A:$E,$CM$6+ROW()-9,COLUMN())))</f>
        <v xml:space="preserve">125757.0  50547.19 29 </v>
      </c>
      <c r="E305" t="str">
        <f>IF($CM$6=0,"",IF(INDEX('⑩ 원문 보관'!$A:$E,$CM$6+ROW()-9,COLUMN())="","",INDEX('⑩ 원문 보관'!$A:$E,$CM$6+ROW()-9,COLUMN())))</f>
        <v/>
      </c>
      <c r="Q305">
        <f t="shared" si="145"/>
        <v>8</v>
      </c>
      <c r="R305">
        <f t="shared" si="125"/>
        <v>114122</v>
      </c>
      <c r="S305">
        <f t="shared" si="126"/>
        <v>51384.38</v>
      </c>
      <c r="T305" t="str">
        <f t="shared" si="127"/>
        <v>97</v>
      </c>
      <c r="U305">
        <f t="shared" si="128"/>
        <v>1</v>
      </c>
      <c r="V305">
        <f t="shared" si="146"/>
        <v>8</v>
      </c>
      <c r="W305">
        <f t="shared" si="129"/>
        <v>120642</v>
      </c>
      <c r="X305">
        <f t="shared" si="130"/>
        <v>51077.72</v>
      </c>
      <c r="Y305" t="str">
        <f t="shared" si="131"/>
        <v>16</v>
      </c>
      <c r="Z305">
        <f t="shared" si="132"/>
        <v>1</v>
      </c>
      <c r="AA305">
        <f t="shared" si="147"/>
        <v>6</v>
      </c>
      <c r="AB305" t="str">
        <f t="shared" si="133"/>
        <v/>
      </c>
      <c r="AC305" t="str">
        <f t="shared" si="134"/>
        <v/>
      </c>
      <c r="AD305" t="str">
        <f t="shared" si="135"/>
        <v/>
      </c>
      <c r="AE305">
        <f t="shared" si="136"/>
        <v>0</v>
      </c>
      <c r="AF305">
        <f t="shared" si="148"/>
        <v>9</v>
      </c>
      <c r="AG305">
        <f t="shared" si="137"/>
        <v>125757</v>
      </c>
      <c r="AH305">
        <f t="shared" si="138"/>
        <v>50547.19</v>
      </c>
      <c r="AI305" t="str">
        <f t="shared" si="139"/>
        <v>29</v>
      </c>
      <c r="AJ305">
        <f t="shared" si="140"/>
        <v>1</v>
      </c>
      <c r="AK305">
        <f t="shared" si="149"/>
        <v>4</v>
      </c>
      <c r="AL305" t="str">
        <f t="shared" si="141"/>
        <v/>
      </c>
      <c r="AM305" t="str">
        <f t="shared" si="142"/>
        <v/>
      </c>
      <c r="AN305" t="str">
        <f t="shared" si="143"/>
        <v/>
      </c>
      <c r="AO305">
        <f t="shared" si="144"/>
        <v>0</v>
      </c>
    </row>
    <row r="306" spans="1:41" x14ac:dyDescent="0.4">
      <c r="A306" t="str">
        <f>IF($CM$6=0,"",IF(INDEX('⑩ 원문 보관'!$A:$E,$CM$6+ROW()-9,COLUMN())="","",INDEX('⑩ 원문 보관'!$A:$E,$CM$6+ROW()-9,COLUMN())))</f>
        <v xml:space="preserve">114127.0  51384.64 97 </v>
      </c>
      <c r="B306" t="str">
        <f>IF($CM$6=0,"",IF(INDEX('⑩ 원문 보관'!$A:$E,$CM$6+ROW()-9,COLUMN())="","",INDEX('⑩ 원문 보관'!$A:$E,$CM$6+ROW()-9,COLUMN())))</f>
        <v/>
      </c>
      <c r="C306" t="str">
        <f>IF($CM$6=0,"",IF(INDEX('⑩ 원문 보관'!$A:$E,$CM$6+ROW()-9,COLUMN())="","",INDEX('⑩ 원문 보관'!$A:$E,$CM$6+ROW()-9,COLUMN())))</f>
        <v/>
      </c>
      <c r="D306" t="str">
        <f>IF($CM$6=0,"",IF(INDEX('⑩ 원문 보관'!$A:$E,$CM$6+ROW()-9,COLUMN())="","",INDEX('⑩ 원문 보관'!$A:$E,$CM$6+ROW()-9,COLUMN())))</f>
        <v xml:space="preserve">125802.0  50547.75 18 </v>
      </c>
      <c r="E306" t="str">
        <f>IF($CM$6=0,"",IF(INDEX('⑩ 원문 보관'!$A:$E,$CM$6+ROW()-9,COLUMN())="","",INDEX('⑩ 원문 보관'!$A:$E,$CM$6+ROW()-9,COLUMN())))</f>
        <v/>
      </c>
      <c r="Q306">
        <f t="shared" si="145"/>
        <v>8</v>
      </c>
      <c r="R306">
        <f t="shared" si="125"/>
        <v>114127</v>
      </c>
      <c r="S306">
        <f t="shared" si="126"/>
        <v>51384.639999999999</v>
      </c>
      <c r="T306" t="str">
        <f t="shared" si="127"/>
        <v>97</v>
      </c>
      <c r="U306">
        <f t="shared" si="128"/>
        <v>1</v>
      </c>
      <c r="V306">
        <f t="shared" si="146"/>
        <v>8</v>
      </c>
      <c r="W306" t="str">
        <f t="shared" si="129"/>
        <v/>
      </c>
      <c r="X306" t="str">
        <f t="shared" si="130"/>
        <v/>
      </c>
      <c r="Y306" t="str">
        <f t="shared" si="131"/>
        <v/>
      </c>
      <c r="Z306">
        <f t="shared" si="132"/>
        <v>0</v>
      </c>
      <c r="AA306">
        <f t="shared" si="147"/>
        <v>6</v>
      </c>
      <c r="AB306" t="str">
        <f t="shared" si="133"/>
        <v/>
      </c>
      <c r="AC306" t="str">
        <f t="shared" si="134"/>
        <v/>
      </c>
      <c r="AD306" t="str">
        <f t="shared" si="135"/>
        <v/>
      </c>
      <c r="AE306">
        <f t="shared" si="136"/>
        <v>0</v>
      </c>
      <c r="AF306">
        <f t="shared" si="148"/>
        <v>9</v>
      </c>
      <c r="AG306">
        <f t="shared" si="137"/>
        <v>125802</v>
      </c>
      <c r="AH306">
        <f t="shared" si="138"/>
        <v>50547.75</v>
      </c>
      <c r="AI306" t="str">
        <f t="shared" si="139"/>
        <v>18</v>
      </c>
      <c r="AJ306">
        <f t="shared" si="140"/>
        <v>1</v>
      </c>
      <c r="AK306">
        <f t="shared" si="149"/>
        <v>4</v>
      </c>
      <c r="AL306" t="str">
        <f t="shared" si="141"/>
        <v/>
      </c>
      <c r="AM306" t="str">
        <f t="shared" si="142"/>
        <v/>
      </c>
      <c r="AN306" t="str">
        <f t="shared" si="143"/>
        <v/>
      </c>
      <c r="AO306">
        <f t="shared" si="144"/>
        <v>0</v>
      </c>
    </row>
    <row r="307" spans="1:41" x14ac:dyDescent="0.4">
      <c r="A307" t="str">
        <f>IF($CM$6=0,"",IF(INDEX('⑩ 원문 보관'!$A:$E,$CM$6+ROW()-9,COLUMN())="","",INDEX('⑩ 원문 보관'!$A:$E,$CM$6+ROW()-9,COLUMN())))</f>
        <v xml:space="preserve">114132.0  51384.45 97 </v>
      </c>
      <c r="B307" t="str">
        <f>IF($CM$6=0,"",IF(INDEX('⑩ 원문 보관'!$A:$E,$CM$6+ROW()-9,COLUMN())="","",INDEX('⑩ 원문 보관'!$A:$E,$CM$6+ROW()-9,COLUMN())))</f>
        <v/>
      </c>
      <c r="C307" t="str">
        <f>IF($CM$6=0,"",IF(INDEX('⑩ 원문 보관'!$A:$E,$CM$6+ROW()-9,COLUMN())="","",INDEX('⑩ 원문 보관'!$A:$E,$CM$6+ROW()-9,COLUMN())))</f>
        <v/>
      </c>
      <c r="D307" t="str">
        <f>IF($CM$6=0,"",IF(INDEX('⑩ 원문 보관'!$A:$E,$CM$6+ROW()-9,COLUMN())="","",INDEX('⑩ 원문 보관'!$A:$E,$CM$6+ROW()-9,COLUMN())))</f>
        <v xml:space="preserve">125807.0  50560.96 19 </v>
      </c>
      <c r="E307" t="str">
        <f>IF($CM$6=0,"",IF(INDEX('⑩ 원문 보관'!$A:$E,$CM$6+ROW()-9,COLUMN())="","",INDEX('⑩ 원문 보관'!$A:$E,$CM$6+ROW()-9,COLUMN())))</f>
        <v/>
      </c>
      <c r="Q307">
        <f t="shared" si="145"/>
        <v>8</v>
      </c>
      <c r="R307">
        <f t="shared" si="125"/>
        <v>114132</v>
      </c>
      <c r="S307">
        <f t="shared" si="126"/>
        <v>51384.45</v>
      </c>
      <c r="T307" t="str">
        <f t="shared" si="127"/>
        <v>97</v>
      </c>
      <c r="U307">
        <f t="shared" si="128"/>
        <v>1</v>
      </c>
      <c r="V307">
        <f t="shared" si="146"/>
        <v>8</v>
      </c>
      <c r="W307" t="str">
        <f t="shared" si="129"/>
        <v/>
      </c>
      <c r="X307" t="str">
        <f t="shared" si="130"/>
        <v/>
      </c>
      <c r="Y307" t="str">
        <f t="shared" si="131"/>
        <v/>
      </c>
      <c r="Z307">
        <f t="shared" si="132"/>
        <v>0</v>
      </c>
      <c r="AA307">
        <f t="shared" si="147"/>
        <v>6</v>
      </c>
      <c r="AB307" t="str">
        <f t="shared" si="133"/>
        <v/>
      </c>
      <c r="AC307" t="str">
        <f t="shared" si="134"/>
        <v/>
      </c>
      <c r="AD307" t="str">
        <f t="shared" si="135"/>
        <v/>
      </c>
      <c r="AE307">
        <f t="shared" si="136"/>
        <v>0</v>
      </c>
      <c r="AF307">
        <f t="shared" si="148"/>
        <v>9</v>
      </c>
      <c r="AG307">
        <f t="shared" si="137"/>
        <v>125807</v>
      </c>
      <c r="AH307">
        <f t="shared" si="138"/>
        <v>50560.959999999999</v>
      </c>
      <c r="AI307" t="str">
        <f t="shared" si="139"/>
        <v>19</v>
      </c>
      <c r="AJ307">
        <f t="shared" si="140"/>
        <v>1</v>
      </c>
      <c r="AK307">
        <f t="shared" si="149"/>
        <v>4</v>
      </c>
      <c r="AL307" t="str">
        <f t="shared" si="141"/>
        <v/>
      </c>
      <c r="AM307" t="str">
        <f t="shared" si="142"/>
        <v/>
      </c>
      <c r="AN307" t="str">
        <f t="shared" si="143"/>
        <v/>
      </c>
      <c r="AO307">
        <f t="shared" si="144"/>
        <v>0</v>
      </c>
    </row>
    <row r="308" spans="1:41" x14ac:dyDescent="0.4">
      <c r="A308" t="str">
        <f>IF($CM$6=0,"",IF(INDEX('⑩ 원문 보관'!$A:$E,$CM$6+ROW()-9,COLUMN())="","",INDEX('⑩ 원문 보관'!$A:$E,$CM$6+ROW()-9,COLUMN())))</f>
        <v xml:space="preserve">114137.0  51384.26 96 </v>
      </c>
      <c r="B308" t="str">
        <f>IF($CM$6=0,"",IF(INDEX('⑩ 원문 보관'!$A:$E,$CM$6+ROW()-9,COLUMN())="","",INDEX('⑩ 원문 보관'!$A:$E,$CM$6+ROW()-9,COLUMN())))</f>
        <v xml:space="preserve">/Gem Systems GSM-19T 4106808 v7.0 26 IX 2014 M t-e2l..v7o                         </v>
      </c>
      <c r="C308" t="str">
        <f>IF($CM$6=0,"",IF(INDEX('⑩ 원문 보관'!$A:$E,$CM$6+ROW()-9,COLUMN())="","",INDEX('⑩ 원문 보관'!$A:$E,$CM$6+ROW()-9,COLUMN())))</f>
        <v/>
      </c>
      <c r="D308" t="str">
        <f>IF($CM$6=0,"",IF(INDEX('⑩ 원문 보관'!$A:$E,$CM$6+ROW()-9,COLUMN())="","",INDEX('⑩ 원문 보관'!$A:$E,$CM$6+ROW()-9,COLUMN())))</f>
        <v xml:space="preserve">125812.0  50532.95 28 </v>
      </c>
      <c r="E308" t="str">
        <f>IF($CM$6=0,"",IF(INDEX('⑩ 원문 보관'!$A:$E,$CM$6+ROW()-9,COLUMN())="","",INDEX('⑩ 원문 보관'!$A:$E,$CM$6+ROW()-9,COLUMN())))</f>
        <v/>
      </c>
      <c r="Q308">
        <f t="shared" si="145"/>
        <v>8</v>
      </c>
      <c r="R308">
        <f t="shared" si="125"/>
        <v>114137</v>
      </c>
      <c r="S308">
        <f t="shared" si="126"/>
        <v>51384.26</v>
      </c>
      <c r="T308" t="str">
        <f t="shared" si="127"/>
        <v>96</v>
      </c>
      <c r="U308">
        <f t="shared" si="128"/>
        <v>1</v>
      </c>
      <c r="V308">
        <f t="shared" si="146"/>
        <v>8</v>
      </c>
      <c r="W308" t="str">
        <f t="shared" si="129"/>
        <v/>
      </c>
      <c r="X308" t="str">
        <f t="shared" si="130"/>
        <v/>
      </c>
      <c r="Y308" t="str">
        <f t="shared" si="131"/>
        <v>GSM-19T</v>
      </c>
      <c r="Z308">
        <f t="shared" si="132"/>
        <v>0</v>
      </c>
      <c r="AA308">
        <f t="shared" si="147"/>
        <v>6</v>
      </c>
      <c r="AB308" t="str">
        <f t="shared" si="133"/>
        <v/>
      </c>
      <c r="AC308" t="str">
        <f t="shared" si="134"/>
        <v/>
      </c>
      <c r="AD308" t="str">
        <f t="shared" si="135"/>
        <v/>
      </c>
      <c r="AE308">
        <f t="shared" si="136"/>
        <v>0</v>
      </c>
      <c r="AF308">
        <f t="shared" si="148"/>
        <v>9</v>
      </c>
      <c r="AG308">
        <f t="shared" si="137"/>
        <v>125812</v>
      </c>
      <c r="AH308">
        <f t="shared" si="138"/>
        <v>50532.95</v>
      </c>
      <c r="AI308" t="str">
        <f t="shared" si="139"/>
        <v>28</v>
      </c>
      <c r="AJ308">
        <f t="shared" si="140"/>
        <v>1</v>
      </c>
      <c r="AK308">
        <f t="shared" si="149"/>
        <v>4</v>
      </c>
      <c r="AL308" t="str">
        <f t="shared" si="141"/>
        <v/>
      </c>
      <c r="AM308" t="str">
        <f t="shared" si="142"/>
        <v/>
      </c>
      <c r="AN308" t="str">
        <f t="shared" si="143"/>
        <v/>
      </c>
      <c r="AO308">
        <f t="shared" si="144"/>
        <v>0</v>
      </c>
    </row>
    <row r="309" spans="1:41" x14ac:dyDescent="0.4">
      <c r="A309" t="str">
        <f>IF($CM$6=0,"",IF(INDEX('⑩ 원문 보관'!$A:$E,$CM$6+ROW()-9,COLUMN())="","",INDEX('⑩ 원문 보관'!$A:$E,$CM$6+ROW()-9,COLUMN())))</f>
        <v xml:space="preserve">114142.0  51384.61 97 </v>
      </c>
      <c r="B309" t="str">
        <f>IF($CM$6=0,"",IF(INDEX('⑩ 원문 보관'!$A:$E,$CM$6+ROW()-9,COLUMN())="","",INDEX('⑩ 원문 보관'!$A:$E,$CM$6+ROW()-9,COLUMN())))</f>
        <v>/ID 2666 file 18survey.b   21 IX 26</v>
      </c>
      <c r="C309" t="str">
        <f>IF($CM$6=0,"",IF(INDEX('⑩ 원문 보관'!$A:$E,$CM$6+ROW()-9,COLUMN())="","",INDEX('⑩ 원문 보관'!$A:$E,$CM$6+ROW()-9,COLUMN())))</f>
        <v/>
      </c>
      <c r="D309" t="str">
        <f>IF($CM$6=0,"",IF(INDEX('⑩ 원문 보관'!$A:$E,$CM$6+ROW()-9,COLUMN())="","",INDEX('⑩ 원문 보관'!$A:$E,$CM$6+ROW()-9,COLUMN())))</f>
        <v xml:space="preserve">125817.0  50559.27 19 </v>
      </c>
      <c r="E309" t="str">
        <f>IF($CM$6=0,"",IF(INDEX('⑩ 원문 보관'!$A:$E,$CM$6+ROW()-9,COLUMN())="","",INDEX('⑩ 원문 보관'!$A:$E,$CM$6+ROW()-9,COLUMN())))</f>
        <v/>
      </c>
      <c r="Q309">
        <f t="shared" si="145"/>
        <v>8</v>
      </c>
      <c r="R309">
        <f t="shared" si="125"/>
        <v>114142</v>
      </c>
      <c r="S309">
        <f t="shared" si="126"/>
        <v>51384.61</v>
      </c>
      <c r="T309" t="str">
        <f t="shared" si="127"/>
        <v>97</v>
      </c>
      <c r="U309">
        <f t="shared" si="128"/>
        <v>1</v>
      </c>
      <c r="V309">
        <f t="shared" si="146"/>
        <v>8</v>
      </c>
      <c r="W309" t="str">
        <f t="shared" si="129"/>
        <v/>
      </c>
      <c r="X309">
        <f t="shared" si="130"/>
        <v>2666</v>
      </c>
      <c r="Y309" t="str">
        <f t="shared" si="131"/>
        <v>file</v>
      </c>
      <c r="Z309">
        <f t="shared" si="132"/>
        <v>0</v>
      </c>
      <c r="AA309">
        <f t="shared" si="147"/>
        <v>6</v>
      </c>
      <c r="AB309" t="str">
        <f t="shared" si="133"/>
        <v/>
      </c>
      <c r="AC309" t="str">
        <f t="shared" si="134"/>
        <v/>
      </c>
      <c r="AD309" t="str">
        <f t="shared" si="135"/>
        <v/>
      </c>
      <c r="AE309">
        <f t="shared" si="136"/>
        <v>0</v>
      </c>
      <c r="AF309">
        <f t="shared" si="148"/>
        <v>9</v>
      </c>
      <c r="AG309">
        <f t="shared" si="137"/>
        <v>125817</v>
      </c>
      <c r="AH309">
        <f t="shared" si="138"/>
        <v>50559.27</v>
      </c>
      <c r="AI309" t="str">
        <f t="shared" si="139"/>
        <v>19</v>
      </c>
      <c r="AJ309">
        <f t="shared" si="140"/>
        <v>1</v>
      </c>
      <c r="AK309">
        <f t="shared" si="149"/>
        <v>4</v>
      </c>
      <c r="AL309" t="str">
        <f t="shared" si="141"/>
        <v/>
      </c>
      <c r="AM309" t="str">
        <f t="shared" si="142"/>
        <v/>
      </c>
      <c r="AN309" t="str">
        <f t="shared" si="143"/>
        <v/>
      </c>
      <c r="AO309">
        <f t="shared" si="144"/>
        <v>0</v>
      </c>
    </row>
    <row r="310" spans="1:41" x14ac:dyDescent="0.4">
      <c r="A310" t="str">
        <f>IF($CM$6=0,"",IF(INDEX('⑩ 원문 보관'!$A:$E,$CM$6+ROW()-9,COLUMN())="","",INDEX('⑩ 원문 보관'!$A:$E,$CM$6+ROW()-9,COLUMN())))</f>
        <v xml:space="preserve">114147.0  51384.45 97 </v>
      </c>
      <c r="B310" t="str">
        <f>IF($CM$6=0,"",IF(INDEX('⑩ 원문 보관'!$A:$E,$CM$6+ROW()-9,COLUMN())="","",INDEX('⑩ 원문 보관'!$A:$E,$CM$6+ROW()-9,COLUMN())))</f>
        <v>/datum  57000.00</v>
      </c>
      <c r="C310" t="str">
        <f>IF($CM$6=0,"",IF(INDEX('⑩ 원문 보관'!$A:$E,$CM$6+ROW()-9,COLUMN())="","",INDEX('⑩ 원문 보관'!$A:$E,$CM$6+ROW()-9,COLUMN())))</f>
        <v/>
      </c>
      <c r="D310" t="str">
        <f>IF($CM$6=0,"",IF(INDEX('⑩ 원문 보관'!$A:$E,$CM$6+ROW()-9,COLUMN())="","",INDEX('⑩ 원문 보관'!$A:$E,$CM$6+ROW()-9,COLUMN())))</f>
        <v xml:space="preserve">125822.0  50563.87 18 </v>
      </c>
      <c r="E310" t="str">
        <f>IF($CM$6=0,"",IF(INDEX('⑩ 원문 보관'!$A:$E,$CM$6+ROW()-9,COLUMN())="","",INDEX('⑩ 원문 보관'!$A:$E,$CM$6+ROW()-9,COLUMN())))</f>
        <v/>
      </c>
      <c r="Q310">
        <f t="shared" si="145"/>
        <v>8</v>
      </c>
      <c r="R310">
        <f t="shared" si="125"/>
        <v>114147</v>
      </c>
      <c r="S310">
        <f t="shared" si="126"/>
        <v>51384.45</v>
      </c>
      <c r="T310" t="str">
        <f t="shared" si="127"/>
        <v>97</v>
      </c>
      <c r="U310">
        <f t="shared" si="128"/>
        <v>1</v>
      </c>
      <c r="V310">
        <f t="shared" si="146"/>
        <v>8</v>
      </c>
      <c r="W310" t="str">
        <f t="shared" si="129"/>
        <v/>
      </c>
      <c r="X310">
        <f t="shared" si="130"/>
        <v>57000</v>
      </c>
      <c r="Y310" t="str">
        <f t="shared" si="131"/>
        <v/>
      </c>
      <c r="Z310">
        <f t="shared" si="132"/>
        <v>0</v>
      </c>
      <c r="AA310">
        <f t="shared" si="147"/>
        <v>6</v>
      </c>
      <c r="AB310" t="str">
        <f t="shared" si="133"/>
        <v/>
      </c>
      <c r="AC310" t="str">
        <f t="shared" si="134"/>
        <v/>
      </c>
      <c r="AD310" t="str">
        <f t="shared" si="135"/>
        <v/>
      </c>
      <c r="AE310">
        <f t="shared" si="136"/>
        <v>0</v>
      </c>
      <c r="AF310">
        <f t="shared" si="148"/>
        <v>9</v>
      </c>
      <c r="AG310">
        <f t="shared" si="137"/>
        <v>125822</v>
      </c>
      <c r="AH310">
        <f t="shared" si="138"/>
        <v>50563.87</v>
      </c>
      <c r="AI310" t="str">
        <f t="shared" si="139"/>
        <v>18</v>
      </c>
      <c r="AJ310">
        <f t="shared" si="140"/>
        <v>1</v>
      </c>
      <c r="AK310">
        <f t="shared" si="149"/>
        <v>4</v>
      </c>
      <c r="AL310" t="str">
        <f t="shared" si="141"/>
        <v/>
      </c>
      <c r="AM310" t="str">
        <f t="shared" si="142"/>
        <v/>
      </c>
      <c r="AN310" t="str">
        <f t="shared" si="143"/>
        <v/>
      </c>
      <c r="AO310">
        <f t="shared" si="144"/>
        <v>0</v>
      </c>
    </row>
    <row r="311" spans="1:41" x14ac:dyDescent="0.4">
      <c r="A311" t="str">
        <f>IF($CM$6=0,"",IF(INDEX('⑩ 원문 보관'!$A:$E,$CM$6+ROW()-9,COLUMN())="","",INDEX('⑩ 원문 보관'!$A:$E,$CM$6+ROW()-9,COLUMN())))</f>
        <v xml:space="preserve">114152.0  51384.69 97 </v>
      </c>
      <c r="B311" t="str">
        <f>IF($CM$6=0,"",IF(INDEX('⑩ 원문 보관'!$A:$E,$CM$6+ROW()-9,COLUMN())="","",INDEX('⑩ 원문 보관'!$A:$E,$CM$6+ROW()-9,COLUMN())))</f>
        <v>/</v>
      </c>
      <c r="C311" t="str">
        <f>IF($CM$6=0,"",IF(INDEX('⑩ 원문 보관'!$A:$E,$CM$6+ROW()-9,COLUMN())="","",INDEX('⑩ 원문 보관'!$A:$E,$CM$6+ROW()-9,COLUMN())))</f>
        <v/>
      </c>
      <c r="D311" t="str">
        <f>IF($CM$6=0,"",IF(INDEX('⑩ 원문 보관'!$A:$E,$CM$6+ROW()-9,COLUMN())="","",INDEX('⑩ 원문 보관'!$A:$E,$CM$6+ROW()-9,COLUMN())))</f>
        <v xml:space="preserve">125827.0  50537.66 28 </v>
      </c>
      <c r="E311" t="str">
        <f>IF($CM$6=0,"",IF(INDEX('⑩ 원문 보관'!$A:$E,$CM$6+ROW()-9,COLUMN())="","",INDEX('⑩ 원문 보관'!$A:$E,$CM$6+ROW()-9,COLUMN())))</f>
        <v/>
      </c>
      <c r="Q311">
        <f t="shared" si="145"/>
        <v>8</v>
      </c>
      <c r="R311">
        <f t="shared" si="125"/>
        <v>114152</v>
      </c>
      <c r="S311">
        <f t="shared" si="126"/>
        <v>51384.69</v>
      </c>
      <c r="T311" t="str">
        <f t="shared" si="127"/>
        <v>97</v>
      </c>
      <c r="U311">
        <f t="shared" si="128"/>
        <v>1</v>
      </c>
      <c r="V311">
        <f t="shared" si="146"/>
        <v>8</v>
      </c>
      <c r="W311" t="str">
        <f t="shared" si="129"/>
        <v/>
      </c>
      <c r="X311" t="str">
        <f t="shared" si="130"/>
        <v/>
      </c>
      <c r="Y311" t="str">
        <f t="shared" si="131"/>
        <v/>
      </c>
      <c r="Z311">
        <f t="shared" si="132"/>
        <v>0</v>
      </c>
      <c r="AA311">
        <f t="shared" si="147"/>
        <v>6</v>
      </c>
      <c r="AB311" t="str">
        <f t="shared" si="133"/>
        <v/>
      </c>
      <c r="AC311" t="str">
        <f t="shared" si="134"/>
        <v/>
      </c>
      <c r="AD311" t="str">
        <f t="shared" si="135"/>
        <v/>
      </c>
      <c r="AE311">
        <f t="shared" si="136"/>
        <v>0</v>
      </c>
      <c r="AF311">
        <f t="shared" si="148"/>
        <v>9</v>
      </c>
      <c r="AG311">
        <f t="shared" si="137"/>
        <v>125827</v>
      </c>
      <c r="AH311">
        <f t="shared" si="138"/>
        <v>50537.66</v>
      </c>
      <c r="AI311" t="str">
        <f t="shared" si="139"/>
        <v>28</v>
      </c>
      <c r="AJ311">
        <f t="shared" si="140"/>
        <v>1</v>
      </c>
      <c r="AK311">
        <f t="shared" si="149"/>
        <v>4</v>
      </c>
      <c r="AL311" t="str">
        <f t="shared" si="141"/>
        <v/>
      </c>
      <c r="AM311" t="str">
        <f t="shared" si="142"/>
        <v/>
      </c>
      <c r="AN311" t="str">
        <f t="shared" si="143"/>
        <v/>
      </c>
      <c r="AO311">
        <f t="shared" si="144"/>
        <v>0</v>
      </c>
    </row>
    <row r="312" spans="1:41" x14ac:dyDescent="0.4">
      <c r="A312" t="str">
        <f>IF($CM$6=0,"",IF(INDEX('⑩ 원문 보관'!$A:$E,$CM$6+ROW()-9,COLUMN())="","",INDEX('⑩ 원문 보관'!$A:$E,$CM$6+ROW()-9,COLUMN())))</f>
        <v xml:space="preserve">114157.0  51384.41 97 </v>
      </c>
      <c r="B312" t="str">
        <f>IF($CM$6=0,"",IF(INDEX('⑩ 원문 보관'!$A:$E,$CM$6+ROW()-9,COLUMN())="","",INDEX('⑩ 원문 보관'!$A:$E,$CM$6+ROW()-9,COLUMN())))</f>
        <v/>
      </c>
      <c r="C312" t="str">
        <f>IF($CM$6=0,"",IF(INDEX('⑩ 원문 보관'!$A:$E,$CM$6+ROW()-9,COLUMN())="","",INDEX('⑩ 원문 보관'!$A:$E,$CM$6+ROW()-9,COLUMN())))</f>
        <v/>
      </c>
      <c r="D312" t="str">
        <f>IF($CM$6=0,"",IF(INDEX('⑩ 원문 보관'!$A:$E,$CM$6+ROW()-9,COLUMN())="","",INDEX('⑩ 원문 보관'!$A:$E,$CM$6+ROW()-9,COLUMN())))</f>
        <v xml:space="preserve">125832.0  50540.82 28 </v>
      </c>
      <c r="E312" t="str">
        <f>IF($CM$6=0,"",IF(INDEX('⑩ 원문 보관'!$A:$E,$CM$6+ROW()-9,COLUMN())="","",INDEX('⑩ 원문 보관'!$A:$E,$CM$6+ROW()-9,COLUMN())))</f>
        <v/>
      </c>
      <c r="Q312">
        <f t="shared" si="145"/>
        <v>8</v>
      </c>
      <c r="R312">
        <f t="shared" si="125"/>
        <v>114157</v>
      </c>
      <c r="S312">
        <f t="shared" si="126"/>
        <v>51384.41</v>
      </c>
      <c r="T312" t="str">
        <f t="shared" si="127"/>
        <v>97</v>
      </c>
      <c r="U312">
        <f t="shared" si="128"/>
        <v>1</v>
      </c>
      <c r="V312">
        <f t="shared" si="146"/>
        <v>8</v>
      </c>
      <c r="W312" t="str">
        <f t="shared" si="129"/>
        <v/>
      </c>
      <c r="X312" t="str">
        <f t="shared" si="130"/>
        <v/>
      </c>
      <c r="Y312" t="str">
        <f t="shared" si="131"/>
        <v/>
      </c>
      <c r="Z312">
        <f t="shared" si="132"/>
        <v>0</v>
      </c>
      <c r="AA312">
        <f t="shared" si="147"/>
        <v>6</v>
      </c>
      <c r="AB312" t="str">
        <f t="shared" si="133"/>
        <v/>
      </c>
      <c r="AC312" t="str">
        <f t="shared" si="134"/>
        <v/>
      </c>
      <c r="AD312" t="str">
        <f t="shared" si="135"/>
        <v/>
      </c>
      <c r="AE312">
        <f t="shared" si="136"/>
        <v>0</v>
      </c>
      <c r="AF312">
        <f t="shared" si="148"/>
        <v>9</v>
      </c>
      <c r="AG312">
        <f t="shared" si="137"/>
        <v>125832</v>
      </c>
      <c r="AH312">
        <f t="shared" si="138"/>
        <v>50540.82</v>
      </c>
      <c r="AI312" t="str">
        <f t="shared" si="139"/>
        <v>28</v>
      </c>
      <c r="AJ312">
        <f t="shared" si="140"/>
        <v>1</v>
      </c>
      <c r="AK312">
        <f t="shared" si="149"/>
        <v>4</v>
      </c>
      <c r="AL312" t="str">
        <f t="shared" si="141"/>
        <v/>
      </c>
      <c r="AM312" t="str">
        <f t="shared" si="142"/>
        <v/>
      </c>
      <c r="AN312" t="str">
        <f t="shared" si="143"/>
        <v/>
      </c>
      <c r="AO312">
        <f t="shared" si="144"/>
        <v>0</v>
      </c>
    </row>
    <row r="313" spans="1:41" x14ac:dyDescent="0.4">
      <c r="A313" t="str">
        <f>IF($CM$6=0,"",IF(INDEX('⑩ 원문 보관'!$A:$E,$CM$6+ROW()-9,COLUMN())="","",INDEX('⑩ 원문 보관'!$A:$E,$CM$6+ROW()-9,COLUMN())))</f>
        <v xml:space="preserve">114202.0  51384.43 96 </v>
      </c>
      <c r="B313" t="str">
        <f>IF($CM$6=0,"",IF(INDEX('⑩ 원문 보관'!$A:$E,$CM$6+ROW()-9,COLUMN())="","",INDEX('⑩ 원문 보관'!$A:$E,$CM$6+ROW()-9,COLUMN())))</f>
        <v xml:space="preserve">/time nT sq </v>
      </c>
      <c r="C313" t="str">
        <f>IF($CM$6=0,"",IF(INDEX('⑩ 원문 보관'!$A:$E,$CM$6+ROW()-9,COLUMN())="","",INDEX('⑩ 원문 보관'!$A:$E,$CM$6+ROW()-9,COLUMN())))</f>
        <v/>
      </c>
      <c r="D313" t="str">
        <f>IF($CM$6=0,"",IF(INDEX('⑩ 원문 보관'!$A:$E,$CM$6+ROW()-9,COLUMN())="","",INDEX('⑩ 원문 보관'!$A:$E,$CM$6+ROW()-9,COLUMN())))</f>
        <v xml:space="preserve">125837.0  50545.81 29 </v>
      </c>
      <c r="E313" t="str">
        <f>IF($CM$6=0,"",IF(INDEX('⑩ 원문 보관'!$A:$E,$CM$6+ROW()-9,COLUMN())="","",INDEX('⑩ 원문 보관'!$A:$E,$CM$6+ROW()-9,COLUMN())))</f>
        <v/>
      </c>
      <c r="Q313">
        <f t="shared" si="145"/>
        <v>8</v>
      </c>
      <c r="R313">
        <f t="shared" si="125"/>
        <v>114202</v>
      </c>
      <c r="S313">
        <f t="shared" si="126"/>
        <v>51384.43</v>
      </c>
      <c r="T313" t="str">
        <f t="shared" si="127"/>
        <v>96</v>
      </c>
      <c r="U313">
        <f t="shared" si="128"/>
        <v>1</v>
      </c>
      <c r="V313">
        <f t="shared" si="146"/>
        <v>9</v>
      </c>
      <c r="W313" t="str">
        <f t="shared" si="129"/>
        <v/>
      </c>
      <c r="X313" t="str">
        <f t="shared" si="130"/>
        <v/>
      </c>
      <c r="Y313" t="str">
        <f t="shared" si="131"/>
        <v>sq</v>
      </c>
      <c r="Z313">
        <f t="shared" si="132"/>
        <v>0</v>
      </c>
      <c r="AA313">
        <f t="shared" si="147"/>
        <v>6</v>
      </c>
      <c r="AB313" t="str">
        <f t="shared" si="133"/>
        <v/>
      </c>
      <c r="AC313" t="str">
        <f t="shared" si="134"/>
        <v/>
      </c>
      <c r="AD313" t="str">
        <f t="shared" si="135"/>
        <v/>
      </c>
      <c r="AE313">
        <f t="shared" si="136"/>
        <v>0</v>
      </c>
      <c r="AF313">
        <f t="shared" si="148"/>
        <v>9</v>
      </c>
      <c r="AG313">
        <f t="shared" si="137"/>
        <v>125837</v>
      </c>
      <c r="AH313">
        <f t="shared" si="138"/>
        <v>50545.81</v>
      </c>
      <c r="AI313" t="str">
        <f t="shared" si="139"/>
        <v>29</v>
      </c>
      <c r="AJ313">
        <f t="shared" si="140"/>
        <v>1</v>
      </c>
      <c r="AK313">
        <f t="shared" si="149"/>
        <v>4</v>
      </c>
      <c r="AL313" t="str">
        <f t="shared" si="141"/>
        <v/>
      </c>
      <c r="AM313" t="str">
        <f t="shared" si="142"/>
        <v/>
      </c>
      <c r="AN313" t="str">
        <f t="shared" si="143"/>
        <v/>
      </c>
      <c r="AO313">
        <f t="shared" si="144"/>
        <v>0</v>
      </c>
    </row>
    <row r="314" spans="1:41" x14ac:dyDescent="0.4">
      <c r="A314" t="str">
        <f>IF($CM$6=0,"",IF(INDEX('⑩ 원문 보관'!$A:$E,$CM$6+ROW()-9,COLUMN())="","",INDEX('⑩ 원문 보관'!$A:$E,$CM$6+ROW()-9,COLUMN())))</f>
        <v xml:space="preserve">114207.0  51384.52 97 </v>
      </c>
      <c r="B314" t="str">
        <f>IF($CM$6=0,"",IF(INDEX('⑩ 원문 보관'!$A:$E,$CM$6+ROW()-9,COLUMN())="","",INDEX('⑩ 원문 보관'!$A:$E,$CM$6+ROW()-9,COLUMN())))</f>
        <v xml:space="preserve">120722.0  51465.08 37 </v>
      </c>
      <c r="C314" t="str">
        <f>IF($CM$6=0,"",IF(INDEX('⑩ 원문 보관'!$A:$E,$CM$6+ROW()-9,COLUMN())="","",INDEX('⑩ 원문 보관'!$A:$E,$CM$6+ROW()-9,COLUMN())))</f>
        <v/>
      </c>
      <c r="D314" t="str">
        <f>IF($CM$6=0,"",IF(INDEX('⑩ 원문 보관'!$A:$E,$CM$6+ROW()-9,COLUMN())="","",INDEX('⑩ 원문 보관'!$A:$E,$CM$6+ROW()-9,COLUMN())))</f>
        <v xml:space="preserve">125842.0  50550.06 28 </v>
      </c>
      <c r="E314" t="str">
        <f>IF($CM$6=0,"",IF(INDEX('⑩ 원문 보관'!$A:$E,$CM$6+ROW()-9,COLUMN())="","",INDEX('⑩ 원문 보관'!$A:$E,$CM$6+ROW()-9,COLUMN())))</f>
        <v/>
      </c>
      <c r="Q314">
        <f t="shared" si="145"/>
        <v>8</v>
      </c>
      <c r="R314">
        <f t="shared" si="125"/>
        <v>114207</v>
      </c>
      <c r="S314">
        <f t="shared" si="126"/>
        <v>51384.52</v>
      </c>
      <c r="T314" t="str">
        <f t="shared" si="127"/>
        <v>97</v>
      </c>
      <c r="U314">
        <f t="shared" si="128"/>
        <v>1</v>
      </c>
      <c r="V314">
        <f t="shared" si="146"/>
        <v>9</v>
      </c>
      <c r="W314">
        <f t="shared" si="129"/>
        <v>120722</v>
      </c>
      <c r="X314">
        <f t="shared" si="130"/>
        <v>51465.08</v>
      </c>
      <c r="Y314" t="str">
        <f t="shared" si="131"/>
        <v>37</v>
      </c>
      <c r="Z314">
        <f t="shared" si="132"/>
        <v>1</v>
      </c>
      <c r="AA314">
        <f t="shared" si="147"/>
        <v>6</v>
      </c>
      <c r="AB314" t="str">
        <f t="shared" si="133"/>
        <v/>
      </c>
      <c r="AC314" t="str">
        <f t="shared" si="134"/>
        <v/>
      </c>
      <c r="AD314" t="str">
        <f t="shared" si="135"/>
        <v/>
      </c>
      <c r="AE314">
        <f t="shared" si="136"/>
        <v>0</v>
      </c>
      <c r="AF314">
        <f t="shared" si="148"/>
        <v>9</v>
      </c>
      <c r="AG314">
        <f t="shared" si="137"/>
        <v>125842</v>
      </c>
      <c r="AH314">
        <f t="shared" si="138"/>
        <v>50550.06</v>
      </c>
      <c r="AI314" t="str">
        <f t="shared" si="139"/>
        <v>28</v>
      </c>
      <c r="AJ314">
        <f t="shared" si="140"/>
        <v>1</v>
      </c>
      <c r="AK314">
        <f t="shared" si="149"/>
        <v>4</v>
      </c>
      <c r="AL314" t="str">
        <f t="shared" si="141"/>
        <v/>
      </c>
      <c r="AM314" t="str">
        <f t="shared" si="142"/>
        <v/>
      </c>
      <c r="AN314" t="str">
        <f t="shared" si="143"/>
        <v/>
      </c>
      <c r="AO314">
        <f t="shared" si="144"/>
        <v>0</v>
      </c>
    </row>
    <row r="315" spans="1:41" x14ac:dyDescent="0.4">
      <c r="A315" t="str">
        <f>IF($CM$6=0,"",IF(INDEX('⑩ 원문 보관'!$A:$E,$CM$6+ROW()-9,COLUMN())="","",INDEX('⑩ 원문 보관'!$A:$E,$CM$6+ROW()-9,COLUMN())))</f>
        <v xml:space="preserve">114212.0  51384.34 97 </v>
      </c>
      <c r="B315" t="str">
        <f>IF($CM$6=0,"",IF(INDEX('⑩ 원문 보관'!$A:$E,$CM$6+ROW()-9,COLUMN())="","",INDEX('⑩ 원문 보관'!$A:$E,$CM$6+ROW()-9,COLUMN())))</f>
        <v xml:space="preserve">120727.0  51466.24 37 </v>
      </c>
      <c r="C315" t="str">
        <f>IF($CM$6=0,"",IF(INDEX('⑩ 원문 보관'!$A:$E,$CM$6+ROW()-9,COLUMN())="","",INDEX('⑩ 원문 보관'!$A:$E,$CM$6+ROW()-9,COLUMN())))</f>
        <v/>
      </c>
      <c r="D315" t="str">
        <f>IF($CM$6=0,"",IF(INDEX('⑩ 원문 보관'!$A:$E,$CM$6+ROW()-9,COLUMN())="","",INDEX('⑩ 원문 보관'!$A:$E,$CM$6+ROW()-9,COLUMN())))</f>
        <v xml:space="preserve">125847.0  50551.69 29 </v>
      </c>
      <c r="E315" t="str">
        <f>IF($CM$6=0,"",IF(INDEX('⑩ 원문 보관'!$A:$E,$CM$6+ROW()-9,COLUMN())="","",INDEX('⑩ 원문 보관'!$A:$E,$CM$6+ROW()-9,COLUMN())))</f>
        <v/>
      </c>
      <c r="Q315">
        <f t="shared" si="145"/>
        <v>8</v>
      </c>
      <c r="R315">
        <f t="shared" si="125"/>
        <v>114212</v>
      </c>
      <c r="S315">
        <f t="shared" si="126"/>
        <v>51384.34</v>
      </c>
      <c r="T315" t="str">
        <f t="shared" si="127"/>
        <v>97</v>
      </c>
      <c r="U315">
        <f t="shared" si="128"/>
        <v>1</v>
      </c>
      <c r="V315">
        <f t="shared" si="146"/>
        <v>9</v>
      </c>
      <c r="W315">
        <f t="shared" si="129"/>
        <v>120727</v>
      </c>
      <c r="X315">
        <f t="shared" si="130"/>
        <v>51466.239999999998</v>
      </c>
      <c r="Y315" t="str">
        <f t="shared" si="131"/>
        <v>37</v>
      </c>
      <c r="Z315">
        <f t="shared" si="132"/>
        <v>1</v>
      </c>
      <c r="AA315">
        <f t="shared" si="147"/>
        <v>6</v>
      </c>
      <c r="AB315" t="str">
        <f t="shared" si="133"/>
        <v/>
      </c>
      <c r="AC315" t="str">
        <f t="shared" si="134"/>
        <v/>
      </c>
      <c r="AD315" t="str">
        <f t="shared" si="135"/>
        <v/>
      </c>
      <c r="AE315">
        <f t="shared" si="136"/>
        <v>0</v>
      </c>
      <c r="AF315">
        <f t="shared" si="148"/>
        <v>9</v>
      </c>
      <c r="AG315">
        <f t="shared" si="137"/>
        <v>125847</v>
      </c>
      <c r="AH315">
        <f t="shared" si="138"/>
        <v>50551.69</v>
      </c>
      <c r="AI315" t="str">
        <f t="shared" si="139"/>
        <v>29</v>
      </c>
      <c r="AJ315">
        <f t="shared" si="140"/>
        <v>1</v>
      </c>
      <c r="AK315">
        <f t="shared" si="149"/>
        <v>4</v>
      </c>
      <c r="AL315" t="str">
        <f t="shared" si="141"/>
        <v/>
      </c>
      <c r="AM315" t="str">
        <f t="shared" si="142"/>
        <v/>
      </c>
      <c r="AN315" t="str">
        <f t="shared" si="143"/>
        <v/>
      </c>
      <c r="AO315">
        <f t="shared" si="144"/>
        <v>0</v>
      </c>
    </row>
    <row r="316" spans="1:41" x14ac:dyDescent="0.4">
      <c r="A316" t="str">
        <f>IF($CM$6=0,"",IF(INDEX('⑩ 원문 보관'!$A:$E,$CM$6+ROW()-9,COLUMN())="","",INDEX('⑩ 원문 보관'!$A:$E,$CM$6+ROW()-9,COLUMN())))</f>
        <v xml:space="preserve">114217.0  51384.22 97 </v>
      </c>
      <c r="B316" t="str">
        <f>IF($CM$6=0,"",IF(INDEX('⑩ 원문 보관'!$A:$E,$CM$6+ROW()-9,COLUMN())="","",INDEX('⑩ 원문 보관'!$A:$E,$CM$6+ROW()-9,COLUMN())))</f>
        <v xml:space="preserve">120732.0  51466.20 37 </v>
      </c>
      <c r="C316" t="str">
        <f>IF($CM$6=0,"",IF(INDEX('⑩ 원문 보관'!$A:$E,$CM$6+ROW()-9,COLUMN())="","",INDEX('⑩ 원문 보관'!$A:$E,$CM$6+ROW()-9,COLUMN())))</f>
        <v/>
      </c>
      <c r="D316" t="str">
        <f>IF($CM$6=0,"",IF(INDEX('⑩ 원문 보관'!$A:$E,$CM$6+ROW()-9,COLUMN())="","",INDEX('⑩ 원문 보관'!$A:$E,$CM$6+ROW()-9,COLUMN())))</f>
        <v xml:space="preserve">125852.0  50547.41 28 </v>
      </c>
      <c r="E316" t="str">
        <f>IF($CM$6=0,"",IF(INDEX('⑩ 원문 보관'!$A:$E,$CM$6+ROW()-9,COLUMN())="","",INDEX('⑩ 원문 보관'!$A:$E,$CM$6+ROW()-9,COLUMN())))</f>
        <v/>
      </c>
      <c r="Q316">
        <f t="shared" si="145"/>
        <v>8</v>
      </c>
      <c r="R316">
        <f t="shared" si="125"/>
        <v>114217</v>
      </c>
      <c r="S316">
        <f t="shared" si="126"/>
        <v>51384.22</v>
      </c>
      <c r="T316" t="str">
        <f t="shared" si="127"/>
        <v>97</v>
      </c>
      <c r="U316">
        <f t="shared" si="128"/>
        <v>1</v>
      </c>
      <c r="V316">
        <f t="shared" si="146"/>
        <v>9</v>
      </c>
      <c r="W316">
        <f t="shared" si="129"/>
        <v>120732</v>
      </c>
      <c r="X316">
        <f t="shared" si="130"/>
        <v>51466.2</v>
      </c>
      <c r="Y316" t="str">
        <f t="shared" si="131"/>
        <v>37</v>
      </c>
      <c r="Z316">
        <f t="shared" si="132"/>
        <v>1</v>
      </c>
      <c r="AA316">
        <f t="shared" si="147"/>
        <v>6</v>
      </c>
      <c r="AB316" t="str">
        <f t="shared" si="133"/>
        <v/>
      </c>
      <c r="AC316" t="str">
        <f t="shared" si="134"/>
        <v/>
      </c>
      <c r="AD316" t="str">
        <f t="shared" si="135"/>
        <v/>
      </c>
      <c r="AE316">
        <f t="shared" si="136"/>
        <v>0</v>
      </c>
      <c r="AF316">
        <f t="shared" si="148"/>
        <v>9</v>
      </c>
      <c r="AG316">
        <f t="shared" si="137"/>
        <v>125852</v>
      </c>
      <c r="AH316">
        <f t="shared" si="138"/>
        <v>50547.41</v>
      </c>
      <c r="AI316" t="str">
        <f t="shared" si="139"/>
        <v>28</v>
      </c>
      <c r="AJ316">
        <f t="shared" si="140"/>
        <v>1</v>
      </c>
      <c r="AK316">
        <f t="shared" si="149"/>
        <v>4</v>
      </c>
      <c r="AL316" t="str">
        <f t="shared" si="141"/>
        <v/>
      </c>
      <c r="AM316" t="str">
        <f t="shared" si="142"/>
        <v/>
      </c>
      <c r="AN316" t="str">
        <f t="shared" si="143"/>
        <v/>
      </c>
      <c r="AO316">
        <f t="shared" si="144"/>
        <v>0</v>
      </c>
    </row>
    <row r="317" spans="1:41" x14ac:dyDescent="0.4">
      <c r="A317" t="str">
        <f>IF($CM$6=0,"",IF(INDEX('⑩ 원문 보관'!$A:$E,$CM$6+ROW()-9,COLUMN())="","",INDEX('⑩ 원문 보관'!$A:$E,$CM$6+ROW()-9,COLUMN())))</f>
        <v xml:space="preserve">114222.0  51384.14 97 </v>
      </c>
      <c r="B317" t="str">
        <f>IF($CM$6=0,"",IF(INDEX('⑩ 원문 보관'!$A:$E,$CM$6+ROW()-9,COLUMN())="","",INDEX('⑩ 원문 보관'!$A:$E,$CM$6+ROW()-9,COLUMN())))</f>
        <v xml:space="preserve">120737.0  51465.24 38 </v>
      </c>
      <c r="C317" t="str">
        <f>IF($CM$6=0,"",IF(INDEX('⑩ 원문 보관'!$A:$E,$CM$6+ROW()-9,COLUMN())="","",INDEX('⑩ 원문 보관'!$A:$E,$CM$6+ROW()-9,COLUMN())))</f>
        <v/>
      </c>
      <c r="D317" t="str">
        <f>IF($CM$6=0,"",IF(INDEX('⑩ 원문 보관'!$A:$E,$CM$6+ROW()-9,COLUMN())="","",INDEX('⑩ 원문 보관'!$A:$E,$CM$6+ROW()-9,COLUMN())))</f>
        <v xml:space="preserve">125857.0  50538.55 28 </v>
      </c>
      <c r="E317" t="str">
        <f>IF($CM$6=0,"",IF(INDEX('⑩ 원문 보관'!$A:$E,$CM$6+ROW()-9,COLUMN())="","",INDEX('⑩ 원문 보관'!$A:$E,$CM$6+ROW()-9,COLUMN())))</f>
        <v/>
      </c>
      <c r="Q317">
        <f t="shared" si="145"/>
        <v>8</v>
      </c>
      <c r="R317">
        <f t="shared" si="125"/>
        <v>114222</v>
      </c>
      <c r="S317">
        <f t="shared" si="126"/>
        <v>51384.14</v>
      </c>
      <c r="T317" t="str">
        <f t="shared" si="127"/>
        <v>97</v>
      </c>
      <c r="U317">
        <f t="shared" si="128"/>
        <v>1</v>
      </c>
      <c r="V317">
        <f t="shared" si="146"/>
        <v>9</v>
      </c>
      <c r="W317">
        <f t="shared" si="129"/>
        <v>120737</v>
      </c>
      <c r="X317">
        <f t="shared" si="130"/>
        <v>51465.24</v>
      </c>
      <c r="Y317" t="str">
        <f t="shared" si="131"/>
        <v>38</v>
      </c>
      <c r="Z317">
        <f t="shared" si="132"/>
        <v>1</v>
      </c>
      <c r="AA317">
        <f t="shared" si="147"/>
        <v>6</v>
      </c>
      <c r="AB317" t="str">
        <f t="shared" si="133"/>
        <v/>
      </c>
      <c r="AC317" t="str">
        <f t="shared" si="134"/>
        <v/>
      </c>
      <c r="AD317" t="str">
        <f t="shared" si="135"/>
        <v/>
      </c>
      <c r="AE317">
        <f t="shared" si="136"/>
        <v>0</v>
      </c>
      <c r="AF317">
        <f t="shared" si="148"/>
        <v>9</v>
      </c>
      <c r="AG317">
        <f t="shared" si="137"/>
        <v>125857</v>
      </c>
      <c r="AH317">
        <f t="shared" si="138"/>
        <v>50538.55</v>
      </c>
      <c r="AI317" t="str">
        <f t="shared" si="139"/>
        <v>28</v>
      </c>
      <c r="AJ317">
        <f t="shared" si="140"/>
        <v>1</v>
      </c>
      <c r="AK317">
        <f t="shared" si="149"/>
        <v>4</v>
      </c>
      <c r="AL317" t="str">
        <f t="shared" si="141"/>
        <v/>
      </c>
      <c r="AM317" t="str">
        <f t="shared" si="142"/>
        <v/>
      </c>
      <c r="AN317" t="str">
        <f t="shared" si="143"/>
        <v/>
      </c>
      <c r="AO317">
        <f t="shared" si="144"/>
        <v>0</v>
      </c>
    </row>
    <row r="318" spans="1:41" x14ac:dyDescent="0.4">
      <c r="A318" t="str">
        <f>IF($CM$6=0,"",IF(INDEX('⑩ 원문 보관'!$A:$E,$CM$6+ROW()-9,COLUMN())="","",INDEX('⑩ 원문 보관'!$A:$E,$CM$6+ROW()-9,COLUMN())))</f>
        <v xml:space="preserve">114227.0  51384.36 96 </v>
      </c>
      <c r="B318" t="str">
        <f>IF($CM$6=0,"",IF(INDEX('⑩ 원문 보관'!$A:$E,$CM$6+ROW()-9,COLUMN())="","",INDEX('⑩ 원문 보관'!$A:$E,$CM$6+ROW()-9,COLUMN())))</f>
        <v xml:space="preserve">120742.0  51465.66 38 </v>
      </c>
      <c r="C318" t="str">
        <f>IF($CM$6=0,"",IF(INDEX('⑩ 원문 보관'!$A:$E,$CM$6+ROW()-9,COLUMN())="","",INDEX('⑩ 원문 보관'!$A:$E,$CM$6+ROW()-9,COLUMN())))</f>
        <v/>
      </c>
      <c r="D318" t="str">
        <f>IF($CM$6=0,"",IF(INDEX('⑩ 원문 보관'!$A:$E,$CM$6+ROW()-9,COLUMN())="","",INDEX('⑩ 원문 보관'!$A:$E,$CM$6+ROW()-9,COLUMN())))</f>
        <v xml:space="preserve">125902.0  50548.26 29 </v>
      </c>
      <c r="E318" t="str">
        <f>IF($CM$6=0,"",IF(INDEX('⑩ 원문 보관'!$A:$E,$CM$6+ROW()-9,COLUMN())="","",INDEX('⑩ 원문 보관'!$A:$E,$CM$6+ROW()-9,COLUMN())))</f>
        <v/>
      </c>
      <c r="Q318">
        <f t="shared" si="145"/>
        <v>8</v>
      </c>
      <c r="R318">
        <f t="shared" si="125"/>
        <v>114227</v>
      </c>
      <c r="S318">
        <f t="shared" si="126"/>
        <v>51384.36</v>
      </c>
      <c r="T318" t="str">
        <f t="shared" si="127"/>
        <v>96</v>
      </c>
      <c r="U318">
        <f t="shared" si="128"/>
        <v>1</v>
      </c>
      <c r="V318">
        <f t="shared" si="146"/>
        <v>9</v>
      </c>
      <c r="W318">
        <f t="shared" si="129"/>
        <v>120742</v>
      </c>
      <c r="X318">
        <f t="shared" si="130"/>
        <v>51465.66</v>
      </c>
      <c r="Y318" t="str">
        <f t="shared" si="131"/>
        <v>38</v>
      </c>
      <c r="Z318">
        <f t="shared" si="132"/>
        <v>1</v>
      </c>
      <c r="AA318">
        <f t="shared" si="147"/>
        <v>6</v>
      </c>
      <c r="AB318" t="str">
        <f t="shared" si="133"/>
        <v/>
      </c>
      <c r="AC318" t="str">
        <f t="shared" si="134"/>
        <v/>
      </c>
      <c r="AD318" t="str">
        <f t="shared" si="135"/>
        <v/>
      </c>
      <c r="AE318">
        <f t="shared" si="136"/>
        <v>0</v>
      </c>
      <c r="AF318">
        <f t="shared" si="148"/>
        <v>9</v>
      </c>
      <c r="AG318">
        <f t="shared" si="137"/>
        <v>125902</v>
      </c>
      <c r="AH318">
        <f t="shared" si="138"/>
        <v>50548.26</v>
      </c>
      <c r="AI318" t="str">
        <f t="shared" si="139"/>
        <v>29</v>
      </c>
      <c r="AJ318">
        <f t="shared" si="140"/>
        <v>1</v>
      </c>
      <c r="AK318">
        <f t="shared" si="149"/>
        <v>4</v>
      </c>
      <c r="AL318" t="str">
        <f t="shared" si="141"/>
        <v/>
      </c>
      <c r="AM318" t="str">
        <f t="shared" si="142"/>
        <v/>
      </c>
      <c r="AN318" t="str">
        <f t="shared" si="143"/>
        <v/>
      </c>
      <c r="AO318">
        <f t="shared" si="144"/>
        <v>0</v>
      </c>
    </row>
    <row r="319" spans="1:41" x14ac:dyDescent="0.4">
      <c r="A319" t="str">
        <f>IF($CM$6=0,"",IF(INDEX('⑩ 원문 보관'!$A:$E,$CM$6+ROW()-9,COLUMN())="","",INDEX('⑩ 원문 보관'!$A:$E,$CM$6+ROW()-9,COLUMN())))</f>
        <v xml:space="preserve">114232.0  51384.33 97 </v>
      </c>
      <c r="B319" t="str">
        <f>IF($CM$6=0,"",IF(INDEX('⑩ 원문 보관'!$A:$E,$CM$6+ROW()-9,COLUMN())="","",INDEX('⑩ 원문 보관'!$A:$E,$CM$6+ROW()-9,COLUMN())))</f>
        <v xml:space="preserve">120747.0  51466.22 38 </v>
      </c>
      <c r="C319" t="str">
        <f>IF($CM$6=0,"",IF(INDEX('⑩ 원문 보관'!$A:$E,$CM$6+ROW()-9,COLUMN())="","",INDEX('⑩ 원문 보관'!$A:$E,$CM$6+ROW()-9,COLUMN())))</f>
        <v/>
      </c>
      <c r="D319" t="str">
        <f>IF($CM$6=0,"",IF(INDEX('⑩ 원문 보관'!$A:$E,$CM$6+ROW()-9,COLUMN())="","",INDEX('⑩ 원문 보관'!$A:$E,$CM$6+ROW()-9,COLUMN())))</f>
        <v xml:space="preserve">125907.0  50550.11 19 </v>
      </c>
      <c r="E319" t="str">
        <f>IF($CM$6=0,"",IF(INDEX('⑩ 원문 보관'!$A:$E,$CM$6+ROW()-9,COLUMN())="","",INDEX('⑩ 원문 보관'!$A:$E,$CM$6+ROW()-9,COLUMN())))</f>
        <v/>
      </c>
      <c r="Q319">
        <f t="shared" si="145"/>
        <v>8</v>
      </c>
      <c r="R319">
        <f t="shared" si="125"/>
        <v>114232</v>
      </c>
      <c r="S319">
        <f t="shared" si="126"/>
        <v>51384.33</v>
      </c>
      <c r="T319" t="str">
        <f t="shared" si="127"/>
        <v>97</v>
      </c>
      <c r="U319">
        <f t="shared" si="128"/>
        <v>1</v>
      </c>
      <c r="V319">
        <f t="shared" si="146"/>
        <v>9</v>
      </c>
      <c r="W319">
        <f t="shared" si="129"/>
        <v>120747</v>
      </c>
      <c r="X319">
        <f t="shared" si="130"/>
        <v>51466.22</v>
      </c>
      <c r="Y319" t="str">
        <f t="shared" si="131"/>
        <v>38</v>
      </c>
      <c r="Z319">
        <f t="shared" si="132"/>
        <v>1</v>
      </c>
      <c r="AA319">
        <f t="shared" si="147"/>
        <v>6</v>
      </c>
      <c r="AB319" t="str">
        <f t="shared" si="133"/>
        <v/>
      </c>
      <c r="AC319" t="str">
        <f t="shared" si="134"/>
        <v/>
      </c>
      <c r="AD319" t="str">
        <f t="shared" si="135"/>
        <v/>
      </c>
      <c r="AE319">
        <f t="shared" si="136"/>
        <v>0</v>
      </c>
      <c r="AF319">
        <f t="shared" si="148"/>
        <v>9</v>
      </c>
      <c r="AG319">
        <f t="shared" si="137"/>
        <v>125907</v>
      </c>
      <c r="AH319">
        <f t="shared" si="138"/>
        <v>50550.11</v>
      </c>
      <c r="AI319" t="str">
        <f t="shared" si="139"/>
        <v>19</v>
      </c>
      <c r="AJ319">
        <f t="shared" si="140"/>
        <v>1</v>
      </c>
      <c r="AK319">
        <f t="shared" si="149"/>
        <v>4</v>
      </c>
      <c r="AL319" t="str">
        <f t="shared" si="141"/>
        <v/>
      </c>
      <c r="AM319" t="str">
        <f t="shared" si="142"/>
        <v/>
      </c>
      <c r="AN319" t="str">
        <f t="shared" si="143"/>
        <v/>
      </c>
      <c r="AO319">
        <f t="shared" si="144"/>
        <v>0</v>
      </c>
    </row>
    <row r="320" spans="1:41" x14ac:dyDescent="0.4">
      <c r="A320" t="str">
        <f>IF($CM$6=0,"",IF(INDEX('⑩ 원문 보관'!$A:$E,$CM$6+ROW()-9,COLUMN())="","",INDEX('⑩ 원문 보관'!$A:$E,$CM$6+ROW()-9,COLUMN())))</f>
        <v xml:space="preserve">114237.0  51384.31 97 </v>
      </c>
      <c r="B320" t="str">
        <f>IF($CM$6=0,"",IF(INDEX('⑩ 원문 보관'!$A:$E,$CM$6+ROW()-9,COLUMN())="","",INDEX('⑩ 원문 보관'!$A:$E,$CM$6+ROW()-9,COLUMN())))</f>
        <v xml:space="preserve">120752.0  51466.11 37 </v>
      </c>
      <c r="C320" t="str">
        <f>IF($CM$6=0,"",IF(INDEX('⑩ 원문 보관'!$A:$E,$CM$6+ROW()-9,COLUMN())="","",INDEX('⑩ 원문 보관'!$A:$E,$CM$6+ROW()-9,COLUMN())))</f>
        <v/>
      </c>
      <c r="D320" t="str">
        <f>IF($CM$6=0,"",IF(INDEX('⑩ 원문 보관'!$A:$E,$CM$6+ROW()-9,COLUMN())="","",INDEX('⑩ 원문 보관'!$A:$E,$CM$6+ROW()-9,COLUMN())))</f>
        <v xml:space="preserve">125912.0  50550.12 28 </v>
      </c>
      <c r="E320" t="str">
        <f>IF($CM$6=0,"",IF(INDEX('⑩ 원문 보관'!$A:$E,$CM$6+ROW()-9,COLUMN())="","",INDEX('⑩ 원문 보관'!$A:$E,$CM$6+ROW()-9,COLUMN())))</f>
        <v/>
      </c>
      <c r="Q320">
        <f t="shared" si="145"/>
        <v>8</v>
      </c>
      <c r="R320">
        <f t="shared" si="125"/>
        <v>114237</v>
      </c>
      <c r="S320">
        <f t="shared" si="126"/>
        <v>51384.31</v>
      </c>
      <c r="T320" t="str">
        <f t="shared" si="127"/>
        <v>97</v>
      </c>
      <c r="U320">
        <f t="shared" si="128"/>
        <v>1</v>
      </c>
      <c r="V320">
        <f t="shared" si="146"/>
        <v>9</v>
      </c>
      <c r="W320">
        <f t="shared" si="129"/>
        <v>120752</v>
      </c>
      <c r="X320">
        <f t="shared" si="130"/>
        <v>51466.11</v>
      </c>
      <c r="Y320" t="str">
        <f t="shared" si="131"/>
        <v>37</v>
      </c>
      <c r="Z320">
        <f t="shared" si="132"/>
        <v>1</v>
      </c>
      <c r="AA320">
        <f t="shared" si="147"/>
        <v>6</v>
      </c>
      <c r="AB320" t="str">
        <f t="shared" si="133"/>
        <v/>
      </c>
      <c r="AC320" t="str">
        <f t="shared" si="134"/>
        <v/>
      </c>
      <c r="AD320" t="str">
        <f t="shared" si="135"/>
        <v/>
      </c>
      <c r="AE320">
        <f t="shared" si="136"/>
        <v>0</v>
      </c>
      <c r="AF320">
        <f t="shared" si="148"/>
        <v>9</v>
      </c>
      <c r="AG320">
        <f t="shared" si="137"/>
        <v>125912</v>
      </c>
      <c r="AH320">
        <f t="shared" si="138"/>
        <v>50550.12</v>
      </c>
      <c r="AI320" t="str">
        <f t="shared" si="139"/>
        <v>28</v>
      </c>
      <c r="AJ320">
        <f t="shared" si="140"/>
        <v>1</v>
      </c>
      <c r="AK320">
        <f t="shared" si="149"/>
        <v>4</v>
      </c>
      <c r="AL320" t="str">
        <f t="shared" si="141"/>
        <v/>
      </c>
      <c r="AM320" t="str">
        <f t="shared" si="142"/>
        <v/>
      </c>
      <c r="AN320" t="str">
        <f t="shared" si="143"/>
        <v/>
      </c>
      <c r="AO320">
        <f t="shared" si="144"/>
        <v>0</v>
      </c>
    </row>
    <row r="321" spans="1:41" x14ac:dyDescent="0.4">
      <c r="A321" t="str">
        <f>IF($CM$6=0,"",IF(INDEX('⑩ 원문 보관'!$A:$E,$CM$6+ROW()-9,COLUMN())="","",INDEX('⑩ 원문 보관'!$A:$E,$CM$6+ROW()-9,COLUMN())))</f>
        <v xml:space="preserve">114242.0  51384.25 97 </v>
      </c>
      <c r="B321" t="str">
        <f>IF($CM$6=0,"",IF(INDEX('⑩ 원문 보관'!$A:$E,$CM$6+ROW()-9,COLUMN())="","",INDEX('⑩ 원문 보관'!$A:$E,$CM$6+ROW()-9,COLUMN())))</f>
        <v xml:space="preserve">120757.0  51465.27 38 </v>
      </c>
      <c r="C321" t="str">
        <f>IF($CM$6=0,"",IF(INDEX('⑩ 원문 보관'!$A:$E,$CM$6+ROW()-9,COLUMN())="","",INDEX('⑩ 원문 보관'!$A:$E,$CM$6+ROW()-9,COLUMN())))</f>
        <v/>
      </c>
      <c r="D321" t="str">
        <f>IF($CM$6=0,"",IF(INDEX('⑩ 원문 보관'!$A:$E,$CM$6+ROW()-9,COLUMN())="","",INDEX('⑩ 원문 보관'!$A:$E,$CM$6+ROW()-9,COLUMN())))</f>
        <v xml:space="preserve">125917.0  50553.34 18 </v>
      </c>
      <c r="E321" t="str">
        <f>IF($CM$6=0,"",IF(INDEX('⑩ 원문 보관'!$A:$E,$CM$6+ROW()-9,COLUMN())="","",INDEX('⑩ 원문 보관'!$A:$E,$CM$6+ROW()-9,COLUMN())))</f>
        <v/>
      </c>
      <c r="Q321">
        <f t="shared" si="145"/>
        <v>8</v>
      </c>
      <c r="R321">
        <f t="shared" si="125"/>
        <v>114242</v>
      </c>
      <c r="S321">
        <f t="shared" si="126"/>
        <v>51384.25</v>
      </c>
      <c r="T321" t="str">
        <f t="shared" si="127"/>
        <v>97</v>
      </c>
      <c r="U321">
        <f t="shared" si="128"/>
        <v>1</v>
      </c>
      <c r="V321">
        <f t="shared" si="146"/>
        <v>9</v>
      </c>
      <c r="W321">
        <f t="shared" si="129"/>
        <v>120757</v>
      </c>
      <c r="X321">
        <f t="shared" si="130"/>
        <v>51465.27</v>
      </c>
      <c r="Y321" t="str">
        <f t="shared" si="131"/>
        <v>38</v>
      </c>
      <c r="Z321">
        <f t="shared" si="132"/>
        <v>1</v>
      </c>
      <c r="AA321">
        <f t="shared" si="147"/>
        <v>6</v>
      </c>
      <c r="AB321" t="str">
        <f t="shared" si="133"/>
        <v/>
      </c>
      <c r="AC321" t="str">
        <f t="shared" si="134"/>
        <v/>
      </c>
      <c r="AD321" t="str">
        <f t="shared" si="135"/>
        <v/>
      </c>
      <c r="AE321">
        <f t="shared" si="136"/>
        <v>0</v>
      </c>
      <c r="AF321">
        <f t="shared" si="148"/>
        <v>9</v>
      </c>
      <c r="AG321">
        <f t="shared" si="137"/>
        <v>125917</v>
      </c>
      <c r="AH321">
        <f t="shared" si="138"/>
        <v>50553.34</v>
      </c>
      <c r="AI321" t="str">
        <f t="shared" si="139"/>
        <v>18</v>
      </c>
      <c r="AJ321">
        <f t="shared" si="140"/>
        <v>1</v>
      </c>
      <c r="AK321">
        <f t="shared" si="149"/>
        <v>4</v>
      </c>
      <c r="AL321" t="str">
        <f t="shared" si="141"/>
        <v/>
      </c>
      <c r="AM321" t="str">
        <f t="shared" si="142"/>
        <v/>
      </c>
      <c r="AN321" t="str">
        <f t="shared" si="143"/>
        <v/>
      </c>
      <c r="AO321">
        <f t="shared" si="144"/>
        <v>0</v>
      </c>
    </row>
    <row r="322" spans="1:41" x14ac:dyDescent="0.4">
      <c r="A322" t="str">
        <f>IF($CM$6=0,"",IF(INDEX('⑩ 원문 보관'!$A:$E,$CM$6+ROW()-9,COLUMN())="","",INDEX('⑩ 원문 보관'!$A:$E,$CM$6+ROW()-9,COLUMN())))</f>
        <v xml:space="preserve">114247.0  51384.05 97 </v>
      </c>
      <c r="B322" t="str">
        <f>IF($CM$6=0,"",IF(INDEX('⑩ 원문 보관'!$A:$E,$CM$6+ROW()-9,COLUMN())="","",INDEX('⑩ 원문 보관'!$A:$E,$CM$6+ROW()-9,COLUMN())))</f>
        <v xml:space="preserve">120802.0  51465.61 38 </v>
      </c>
      <c r="C322" t="str">
        <f>IF($CM$6=0,"",IF(INDEX('⑩ 원문 보관'!$A:$E,$CM$6+ROW()-9,COLUMN())="","",INDEX('⑩ 원문 보관'!$A:$E,$CM$6+ROW()-9,COLUMN())))</f>
        <v/>
      </c>
      <c r="D322" t="str">
        <f>IF($CM$6=0,"",IF(INDEX('⑩ 원문 보관'!$A:$E,$CM$6+ROW()-9,COLUMN())="","",INDEX('⑩ 원문 보관'!$A:$E,$CM$6+ROW()-9,COLUMN())))</f>
        <v xml:space="preserve">125922.0  50548.55 28 </v>
      </c>
      <c r="E322" t="str">
        <f>IF($CM$6=0,"",IF(INDEX('⑩ 원문 보관'!$A:$E,$CM$6+ROW()-9,COLUMN())="","",INDEX('⑩ 원문 보관'!$A:$E,$CM$6+ROW()-9,COLUMN())))</f>
        <v/>
      </c>
      <c r="Q322">
        <f t="shared" si="145"/>
        <v>8</v>
      </c>
      <c r="R322">
        <f t="shared" si="125"/>
        <v>114247</v>
      </c>
      <c r="S322">
        <f t="shared" si="126"/>
        <v>51384.05</v>
      </c>
      <c r="T322" t="str">
        <f t="shared" si="127"/>
        <v>97</v>
      </c>
      <c r="U322">
        <f t="shared" si="128"/>
        <v>1</v>
      </c>
      <c r="V322">
        <f t="shared" si="146"/>
        <v>9</v>
      </c>
      <c r="W322">
        <f t="shared" si="129"/>
        <v>120802</v>
      </c>
      <c r="X322">
        <f t="shared" si="130"/>
        <v>51465.61</v>
      </c>
      <c r="Y322" t="str">
        <f t="shared" si="131"/>
        <v>38</v>
      </c>
      <c r="Z322">
        <f t="shared" si="132"/>
        <v>1</v>
      </c>
      <c r="AA322">
        <f t="shared" si="147"/>
        <v>6</v>
      </c>
      <c r="AB322" t="str">
        <f t="shared" si="133"/>
        <v/>
      </c>
      <c r="AC322" t="str">
        <f t="shared" si="134"/>
        <v/>
      </c>
      <c r="AD322" t="str">
        <f t="shared" si="135"/>
        <v/>
      </c>
      <c r="AE322">
        <f t="shared" si="136"/>
        <v>0</v>
      </c>
      <c r="AF322">
        <f t="shared" si="148"/>
        <v>9</v>
      </c>
      <c r="AG322">
        <f t="shared" si="137"/>
        <v>125922</v>
      </c>
      <c r="AH322">
        <f t="shared" si="138"/>
        <v>50548.55</v>
      </c>
      <c r="AI322" t="str">
        <f t="shared" si="139"/>
        <v>28</v>
      </c>
      <c r="AJ322">
        <f t="shared" si="140"/>
        <v>1</v>
      </c>
      <c r="AK322">
        <f t="shared" si="149"/>
        <v>4</v>
      </c>
      <c r="AL322" t="str">
        <f t="shared" si="141"/>
        <v/>
      </c>
      <c r="AM322" t="str">
        <f t="shared" si="142"/>
        <v/>
      </c>
      <c r="AN322" t="str">
        <f t="shared" si="143"/>
        <v/>
      </c>
      <c r="AO322">
        <f t="shared" si="144"/>
        <v>0</v>
      </c>
    </row>
    <row r="323" spans="1:41" x14ac:dyDescent="0.4">
      <c r="A323" t="str">
        <f>IF($CM$6=0,"",IF(INDEX('⑩ 원문 보관'!$A:$E,$CM$6+ROW()-9,COLUMN())="","",INDEX('⑩ 원문 보관'!$A:$E,$CM$6+ROW()-9,COLUMN())))</f>
        <v xml:space="preserve">114252.0  51384.22 97 </v>
      </c>
      <c r="B323" t="str">
        <f>IF($CM$6=0,"",IF(INDEX('⑩ 원문 보관'!$A:$E,$CM$6+ROW()-9,COLUMN())="","",INDEX('⑩ 원문 보관'!$A:$E,$CM$6+ROW()-9,COLUMN())))</f>
        <v xml:space="preserve">120807.0  51464.71 38 </v>
      </c>
      <c r="C323" t="str">
        <f>IF($CM$6=0,"",IF(INDEX('⑩ 원문 보관'!$A:$E,$CM$6+ROW()-9,COLUMN())="","",INDEX('⑩ 원문 보관'!$A:$E,$CM$6+ROW()-9,COLUMN())))</f>
        <v/>
      </c>
      <c r="D323" t="str">
        <f>IF($CM$6=0,"",IF(INDEX('⑩ 원문 보관'!$A:$E,$CM$6+ROW()-9,COLUMN())="","",INDEX('⑩ 원문 보관'!$A:$E,$CM$6+ROW()-9,COLUMN())))</f>
        <v xml:space="preserve">125927.0  50544.88 29 </v>
      </c>
      <c r="E323" t="str">
        <f>IF($CM$6=0,"",IF(INDEX('⑩ 원문 보관'!$A:$E,$CM$6+ROW()-9,COLUMN())="","",INDEX('⑩ 원문 보관'!$A:$E,$CM$6+ROW()-9,COLUMN())))</f>
        <v/>
      </c>
      <c r="Q323">
        <f t="shared" si="145"/>
        <v>8</v>
      </c>
      <c r="R323">
        <f t="shared" si="125"/>
        <v>114252</v>
      </c>
      <c r="S323">
        <f t="shared" si="126"/>
        <v>51384.22</v>
      </c>
      <c r="T323" t="str">
        <f t="shared" si="127"/>
        <v>97</v>
      </c>
      <c r="U323">
        <f t="shared" si="128"/>
        <v>1</v>
      </c>
      <c r="V323">
        <f t="shared" si="146"/>
        <v>9</v>
      </c>
      <c r="W323">
        <f t="shared" si="129"/>
        <v>120807</v>
      </c>
      <c r="X323">
        <f t="shared" si="130"/>
        <v>51464.71</v>
      </c>
      <c r="Y323" t="str">
        <f t="shared" si="131"/>
        <v>38</v>
      </c>
      <c r="Z323">
        <f t="shared" si="132"/>
        <v>1</v>
      </c>
      <c r="AA323">
        <f t="shared" si="147"/>
        <v>6</v>
      </c>
      <c r="AB323" t="str">
        <f t="shared" si="133"/>
        <v/>
      </c>
      <c r="AC323" t="str">
        <f t="shared" si="134"/>
        <v/>
      </c>
      <c r="AD323" t="str">
        <f t="shared" si="135"/>
        <v/>
      </c>
      <c r="AE323">
        <f t="shared" si="136"/>
        <v>0</v>
      </c>
      <c r="AF323">
        <f t="shared" si="148"/>
        <v>9</v>
      </c>
      <c r="AG323">
        <f t="shared" si="137"/>
        <v>125927</v>
      </c>
      <c r="AH323">
        <f t="shared" si="138"/>
        <v>50544.88</v>
      </c>
      <c r="AI323" t="str">
        <f t="shared" si="139"/>
        <v>29</v>
      </c>
      <c r="AJ323">
        <f t="shared" si="140"/>
        <v>1</v>
      </c>
      <c r="AK323">
        <f t="shared" si="149"/>
        <v>4</v>
      </c>
      <c r="AL323" t="str">
        <f t="shared" si="141"/>
        <v/>
      </c>
      <c r="AM323" t="str">
        <f t="shared" si="142"/>
        <v/>
      </c>
      <c r="AN323" t="str">
        <f t="shared" si="143"/>
        <v/>
      </c>
      <c r="AO323">
        <f t="shared" si="144"/>
        <v>0</v>
      </c>
    </row>
    <row r="324" spans="1:41" x14ac:dyDescent="0.4">
      <c r="A324" t="str">
        <f>IF($CM$6=0,"",IF(INDEX('⑩ 원문 보관'!$A:$E,$CM$6+ROW()-9,COLUMN())="","",INDEX('⑩ 원문 보관'!$A:$E,$CM$6+ROW()-9,COLUMN())))</f>
        <v xml:space="preserve">114257.0  51384.38 97 </v>
      </c>
      <c r="B324" t="str">
        <f>IF($CM$6=0,"",IF(INDEX('⑩ 원문 보관'!$A:$E,$CM$6+ROW()-9,COLUMN())="","",INDEX('⑩ 원문 보관'!$A:$E,$CM$6+ROW()-9,COLUMN())))</f>
        <v xml:space="preserve">120812.0  51464.42 37 </v>
      </c>
      <c r="C324" t="str">
        <f>IF($CM$6=0,"",IF(INDEX('⑩ 원문 보관'!$A:$E,$CM$6+ROW()-9,COLUMN())="","",INDEX('⑩ 원문 보관'!$A:$E,$CM$6+ROW()-9,COLUMN())))</f>
        <v/>
      </c>
      <c r="D324" t="str">
        <f>IF($CM$6=0,"",IF(INDEX('⑩ 원문 보관'!$A:$E,$CM$6+ROW()-9,COLUMN())="","",INDEX('⑩ 원문 보관'!$A:$E,$CM$6+ROW()-9,COLUMN())))</f>
        <v xml:space="preserve">125932.0  50545.48 28 </v>
      </c>
      <c r="E324" t="str">
        <f>IF($CM$6=0,"",IF(INDEX('⑩ 원문 보관'!$A:$E,$CM$6+ROW()-9,COLUMN())="","",INDEX('⑩ 원문 보관'!$A:$E,$CM$6+ROW()-9,COLUMN())))</f>
        <v/>
      </c>
      <c r="Q324">
        <f t="shared" si="145"/>
        <v>8</v>
      </c>
      <c r="R324">
        <f t="shared" si="125"/>
        <v>114257</v>
      </c>
      <c r="S324">
        <f t="shared" si="126"/>
        <v>51384.38</v>
      </c>
      <c r="T324" t="str">
        <f t="shared" si="127"/>
        <v>97</v>
      </c>
      <c r="U324">
        <f t="shared" si="128"/>
        <v>1</v>
      </c>
      <c r="V324">
        <f t="shared" si="146"/>
        <v>9</v>
      </c>
      <c r="W324">
        <f t="shared" si="129"/>
        <v>120812</v>
      </c>
      <c r="X324">
        <f t="shared" si="130"/>
        <v>51464.42</v>
      </c>
      <c r="Y324" t="str">
        <f t="shared" si="131"/>
        <v>37</v>
      </c>
      <c r="Z324">
        <f t="shared" si="132"/>
        <v>1</v>
      </c>
      <c r="AA324">
        <f t="shared" si="147"/>
        <v>6</v>
      </c>
      <c r="AB324" t="str">
        <f t="shared" si="133"/>
        <v/>
      </c>
      <c r="AC324" t="str">
        <f t="shared" si="134"/>
        <v/>
      </c>
      <c r="AD324" t="str">
        <f t="shared" si="135"/>
        <v/>
      </c>
      <c r="AE324">
        <f t="shared" si="136"/>
        <v>0</v>
      </c>
      <c r="AF324">
        <f t="shared" si="148"/>
        <v>9</v>
      </c>
      <c r="AG324">
        <f t="shared" si="137"/>
        <v>125932</v>
      </c>
      <c r="AH324">
        <f t="shared" si="138"/>
        <v>50545.48</v>
      </c>
      <c r="AI324" t="str">
        <f t="shared" si="139"/>
        <v>28</v>
      </c>
      <c r="AJ324">
        <f t="shared" si="140"/>
        <v>1</v>
      </c>
      <c r="AK324">
        <f t="shared" si="149"/>
        <v>4</v>
      </c>
      <c r="AL324" t="str">
        <f t="shared" si="141"/>
        <v/>
      </c>
      <c r="AM324" t="str">
        <f t="shared" si="142"/>
        <v/>
      </c>
      <c r="AN324" t="str">
        <f t="shared" si="143"/>
        <v/>
      </c>
      <c r="AO324">
        <f t="shared" si="144"/>
        <v>0</v>
      </c>
    </row>
    <row r="325" spans="1:41" x14ac:dyDescent="0.4">
      <c r="A325" t="str">
        <f>IF($CM$6=0,"",IF(INDEX('⑩ 원문 보관'!$A:$E,$CM$6+ROW()-9,COLUMN())="","",INDEX('⑩ 원문 보관'!$A:$E,$CM$6+ROW()-9,COLUMN())))</f>
        <v xml:space="preserve">114302.0  51384.23 97 </v>
      </c>
      <c r="B325" t="str">
        <f>IF($CM$6=0,"",IF(INDEX('⑩ 원문 보관'!$A:$E,$CM$6+ROW()-9,COLUMN())="","",INDEX('⑩ 원문 보관'!$A:$E,$CM$6+ROW()-9,COLUMN())))</f>
        <v xml:space="preserve">120817.0  51465.79 37 </v>
      </c>
      <c r="C325" t="str">
        <f>IF($CM$6=0,"",IF(INDEX('⑩ 원문 보관'!$A:$E,$CM$6+ROW()-9,COLUMN())="","",INDEX('⑩ 원문 보관'!$A:$E,$CM$6+ROW()-9,COLUMN())))</f>
        <v/>
      </c>
      <c r="D325" t="str">
        <f>IF($CM$6=0,"",IF(INDEX('⑩ 원문 보관'!$A:$E,$CM$6+ROW()-9,COLUMN())="","",INDEX('⑩ 원문 보관'!$A:$E,$CM$6+ROW()-9,COLUMN())))</f>
        <v/>
      </c>
      <c r="E325" t="str">
        <f>IF($CM$6=0,"",IF(INDEX('⑩ 원문 보관'!$A:$E,$CM$6+ROW()-9,COLUMN())="","",INDEX('⑩ 원문 보관'!$A:$E,$CM$6+ROW()-9,COLUMN())))</f>
        <v/>
      </c>
      <c r="Q325">
        <f t="shared" si="145"/>
        <v>8</v>
      </c>
      <c r="R325">
        <f t="shared" si="125"/>
        <v>114302</v>
      </c>
      <c r="S325">
        <f t="shared" si="126"/>
        <v>51384.23</v>
      </c>
      <c r="T325" t="str">
        <f t="shared" si="127"/>
        <v>97</v>
      </c>
      <c r="U325">
        <f t="shared" si="128"/>
        <v>1</v>
      </c>
      <c r="V325">
        <f t="shared" si="146"/>
        <v>9</v>
      </c>
      <c r="W325">
        <f t="shared" si="129"/>
        <v>120817</v>
      </c>
      <c r="X325">
        <f t="shared" si="130"/>
        <v>51465.79</v>
      </c>
      <c r="Y325" t="str">
        <f t="shared" si="131"/>
        <v>37</v>
      </c>
      <c r="Z325">
        <f t="shared" si="132"/>
        <v>1</v>
      </c>
      <c r="AA325">
        <f t="shared" si="147"/>
        <v>6</v>
      </c>
      <c r="AB325" t="str">
        <f t="shared" si="133"/>
        <v/>
      </c>
      <c r="AC325" t="str">
        <f t="shared" si="134"/>
        <v/>
      </c>
      <c r="AD325" t="str">
        <f t="shared" si="135"/>
        <v/>
      </c>
      <c r="AE325">
        <f t="shared" si="136"/>
        <v>0</v>
      </c>
      <c r="AF325">
        <f t="shared" si="148"/>
        <v>9</v>
      </c>
      <c r="AG325" t="str">
        <f t="shared" si="137"/>
        <v/>
      </c>
      <c r="AH325" t="str">
        <f t="shared" si="138"/>
        <v/>
      </c>
      <c r="AI325" t="str">
        <f t="shared" si="139"/>
        <v/>
      </c>
      <c r="AJ325">
        <f t="shared" si="140"/>
        <v>0</v>
      </c>
      <c r="AK325">
        <f t="shared" si="149"/>
        <v>4</v>
      </c>
      <c r="AL325" t="str">
        <f t="shared" si="141"/>
        <v/>
      </c>
      <c r="AM325" t="str">
        <f t="shared" si="142"/>
        <v/>
      </c>
      <c r="AN325" t="str">
        <f t="shared" si="143"/>
        <v/>
      </c>
      <c r="AO325">
        <f t="shared" si="144"/>
        <v>0</v>
      </c>
    </row>
    <row r="326" spans="1:41" x14ac:dyDescent="0.4">
      <c r="A326" t="str">
        <f>IF($CM$6=0,"",IF(INDEX('⑩ 원문 보관'!$A:$E,$CM$6+ROW()-9,COLUMN())="","",INDEX('⑩ 원문 보관'!$A:$E,$CM$6+ROW()-9,COLUMN())))</f>
        <v xml:space="preserve">114307.0  51384.28 97 </v>
      </c>
      <c r="B326" t="str">
        <f>IF($CM$6=0,"",IF(INDEX('⑩ 원문 보관'!$A:$E,$CM$6+ROW()-9,COLUMN())="","",INDEX('⑩ 원문 보관'!$A:$E,$CM$6+ROW()-9,COLUMN())))</f>
        <v xml:space="preserve">120822.0  51465.60 37 </v>
      </c>
      <c r="C326" t="str">
        <f>IF($CM$6=0,"",IF(INDEX('⑩ 원문 보관'!$A:$E,$CM$6+ROW()-9,COLUMN())="","",INDEX('⑩ 원문 보관'!$A:$E,$CM$6+ROW()-9,COLUMN())))</f>
        <v/>
      </c>
      <c r="D326" t="str">
        <f>IF($CM$6=0,"",IF(INDEX('⑩ 원문 보관'!$A:$E,$CM$6+ROW()-9,COLUMN())="","",INDEX('⑩ 원문 보관'!$A:$E,$CM$6+ROW()-9,COLUMN())))</f>
        <v/>
      </c>
      <c r="E326" t="str">
        <f>IF($CM$6=0,"",IF(INDEX('⑩ 원문 보관'!$A:$E,$CM$6+ROW()-9,COLUMN())="","",INDEX('⑩ 원문 보관'!$A:$E,$CM$6+ROW()-9,COLUMN())))</f>
        <v/>
      </c>
      <c r="Q326">
        <f t="shared" si="145"/>
        <v>8</v>
      </c>
      <c r="R326">
        <f t="shared" si="125"/>
        <v>114307</v>
      </c>
      <c r="S326">
        <f t="shared" si="126"/>
        <v>51384.28</v>
      </c>
      <c r="T326" t="str">
        <f t="shared" si="127"/>
        <v>97</v>
      </c>
      <c r="U326">
        <f t="shared" si="128"/>
        <v>1</v>
      </c>
      <c r="V326">
        <f t="shared" si="146"/>
        <v>9</v>
      </c>
      <c r="W326">
        <f t="shared" si="129"/>
        <v>120822</v>
      </c>
      <c r="X326">
        <f t="shared" si="130"/>
        <v>51465.599999999999</v>
      </c>
      <c r="Y326" t="str">
        <f t="shared" si="131"/>
        <v>37</v>
      </c>
      <c r="Z326">
        <f t="shared" si="132"/>
        <v>1</v>
      </c>
      <c r="AA326">
        <f t="shared" si="147"/>
        <v>6</v>
      </c>
      <c r="AB326" t="str">
        <f t="shared" si="133"/>
        <v/>
      </c>
      <c r="AC326" t="str">
        <f t="shared" si="134"/>
        <v/>
      </c>
      <c r="AD326" t="str">
        <f t="shared" si="135"/>
        <v/>
      </c>
      <c r="AE326">
        <f t="shared" si="136"/>
        <v>0</v>
      </c>
      <c r="AF326">
        <f t="shared" si="148"/>
        <v>9</v>
      </c>
      <c r="AG326" t="str">
        <f t="shared" si="137"/>
        <v/>
      </c>
      <c r="AH326" t="str">
        <f t="shared" si="138"/>
        <v/>
      </c>
      <c r="AI326" t="str">
        <f t="shared" si="139"/>
        <v/>
      </c>
      <c r="AJ326">
        <f t="shared" si="140"/>
        <v>0</v>
      </c>
      <c r="AK326">
        <f t="shared" si="149"/>
        <v>4</v>
      </c>
      <c r="AL326" t="str">
        <f t="shared" si="141"/>
        <v/>
      </c>
      <c r="AM326" t="str">
        <f t="shared" si="142"/>
        <v/>
      </c>
      <c r="AN326" t="str">
        <f t="shared" si="143"/>
        <v/>
      </c>
      <c r="AO326">
        <f t="shared" si="144"/>
        <v>0</v>
      </c>
    </row>
    <row r="327" spans="1:41" x14ac:dyDescent="0.4">
      <c r="A327" t="str">
        <f>IF($CM$6=0,"",IF(INDEX('⑩ 원문 보관'!$A:$E,$CM$6+ROW()-9,COLUMN())="","",INDEX('⑩ 원문 보관'!$A:$E,$CM$6+ROW()-9,COLUMN())))</f>
        <v xml:space="preserve">114312.0  51384.51 97 </v>
      </c>
      <c r="B327" t="str">
        <f>IF($CM$6=0,"",IF(INDEX('⑩ 원문 보관'!$A:$E,$CM$6+ROW()-9,COLUMN())="","",INDEX('⑩ 원문 보관'!$A:$E,$CM$6+ROW()-9,COLUMN())))</f>
        <v xml:space="preserve">120827.0  51461.20 48 </v>
      </c>
      <c r="C327" t="str">
        <f>IF($CM$6=0,"",IF(INDEX('⑩ 원문 보관'!$A:$E,$CM$6+ROW()-9,COLUMN())="","",INDEX('⑩ 원문 보관'!$A:$E,$CM$6+ROW()-9,COLUMN())))</f>
        <v/>
      </c>
      <c r="D327" t="str">
        <f>IF($CM$6=0,"",IF(INDEX('⑩ 원문 보관'!$A:$E,$CM$6+ROW()-9,COLUMN())="","",INDEX('⑩ 원문 보관'!$A:$E,$CM$6+ROW()-9,COLUMN())))</f>
        <v xml:space="preserve">/Gem Systems GSM-19T 4106808 v7.0 26 IX 2014 M t-e2l..v7o                         </v>
      </c>
      <c r="E327" t="str">
        <f>IF($CM$6=0,"",IF(INDEX('⑩ 원문 보관'!$A:$E,$CM$6+ROW()-9,COLUMN())="","",INDEX('⑩ 원문 보관'!$A:$E,$CM$6+ROW()-9,COLUMN())))</f>
        <v/>
      </c>
      <c r="Q327">
        <f t="shared" si="145"/>
        <v>8</v>
      </c>
      <c r="R327">
        <f t="shared" si="125"/>
        <v>114312</v>
      </c>
      <c r="S327">
        <f t="shared" si="126"/>
        <v>51384.51</v>
      </c>
      <c r="T327" t="str">
        <f t="shared" si="127"/>
        <v>97</v>
      </c>
      <c r="U327">
        <f t="shared" si="128"/>
        <v>1</v>
      </c>
      <c r="V327">
        <f t="shared" si="146"/>
        <v>9</v>
      </c>
      <c r="W327">
        <f t="shared" si="129"/>
        <v>120827</v>
      </c>
      <c r="X327">
        <f t="shared" si="130"/>
        <v>51461.2</v>
      </c>
      <c r="Y327" t="str">
        <f t="shared" si="131"/>
        <v>48</v>
      </c>
      <c r="Z327">
        <f t="shared" si="132"/>
        <v>1</v>
      </c>
      <c r="AA327">
        <f t="shared" si="147"/>
        <v>6</v>
      </c>
      <c r="AB327" t="str">
        <f t="shared" si="133"/>
        <v/>
      </c>
      <c r="AC327" t="str">
        <f t="shared" si="134"/>
        <v/>
      </c>
      <c r="AD327" t="str">
        <f t="shared" si="135"/>
        <v/>
      </c>
      <c r="AE327">
        <f t="shared" si="136"/>
        <v>0</v>
      </c>
      <c r="AF327">
        <f t="shared" si="148"/>
        <v>9</v>
      </c>
      <c r="AG327" t="str">
        <f t="shared" si="137"/>
        <v/>
      </c>
      <c r="AH327" t="str">
        <f t="shared" si="138"/>
        <v/>
      </c>
      <c r="AI327" t="str">
        <f t="shared" si="139"/>
        <v>GSM-19T</v>
      </c>
      <c r="AJ327">
        <f t="shared" si="140"/>
        <v>0</v>
      </c>
      <c r="AK327">
        <f t="shared" si="149"/>
        <v>4</v>
      </c>
      <c r="AL327" t="str">
        <f t="shared" si="141"/>
        <v/>
      </c>
      <c r="AM327" t="str">
        <f t="shared" si="142"/>
        <v/>
      </c>
      <c r="AN327" t="str">
        <f t="shared" si="143"/>
        <v/>
      </c>
      <c r="AO327">
        <f t="shared" si="144"/>
        <v>0</v>
      </c>
    </row>
    <row r="328" spans="1:41" x14ac:dyDescent="0.4">
      <c r="A328" t="str">
        <f>IF($CM$6=0,"",IF(INDEX('⑩ 원문 보관'!$A:$E,$CM$6+ROW()-9,COLUMN())="","",INDEX('⑩ 원문 보관'!$A:$E,$CM$6+ROW()-9,COLUMN())))</f>
        <v xml:space="preserve">114317.0  51384.38 97 </v>
      </c>
      <c r="B328" t="str">
        <f>IF($CM$6=0,"",IF(INDEX('⑩ 원문 보관'!$A:$E,$CM$6+ROW()-9,COLUMN())="","",INDEX('⑩ 원문 보관'!$A:$E,$CM$6+ROW()-9,COLUMN())))</f>
        <v xml:space="preserve">120832.0  51465.76 38 </v>
      </c>
      <c r="C328" t="str">
        <f>IF($CM$6=0,"",IF(INDEX('⑩ 원문 보관'!$A:$E,$CM$6+ROW()-9,COLUMN())="","",INDEX('⑩ 원문 보관'!$A:$E,$CM$6+ROW()-9,COLUMN())))</f>
        <v/>
      </c>
      <c r="D328" t="str">
        <f>IF($CM$6=0,"",IF(INDEX('⑩ 원문 보관'!$A:$E,$CM$6+ROW()-9,COLUMN())="","",INDEX('⑩ 원문 보관'!$A:$E,$CM$6+ROW()-9,COLUMN())))</f>
        <v>/ID 2666 file 37survey.b   21 IX 26</v>
      </c>
      <c r="E328" t="str">
        <f>IF($CM$6=0,"",IF(INDEX('⑩ 원문 보관'!$A:$E,$CM$6+ROW()-9,COLUMN())="","",INDEX('⑩ 원문 보관'!$A:$E,$CM$6+ROW()-9,COLUMN())))</f>
        <v/>
      </c>
      <c r="Q328">
        <f t="shared" si="145"/>
        <v>8</v>
      </c>
      <c r="R328">
        <f t="shared" si="125"/>
        <v>114317</v>
      </c>
      <c r="S328">
        <f t="shared" si="126"/>
        <v>51384.38</v>
      </c>
      <c r="T328" t="str">
        <f t="shared" si="127"/>
        <v>97</v>
      </c>
      <c r="U328">
        <f t="shared" si="128"/>
        <v>1</v>
      </c>
      <c r="V328">
        <f t="shared" si="146"/>
        <v>9</v>
      </c>
      <c r="W328">
        <f t="shared" si="129"/>
        <v>120832</v>
      </c>
      <c r="X328">
        <f t="shared" si="130"/>
        <v>51465.760000000002</v>
      </c>
      <c r="Y328" t="str">
        <f t="shared" si="131"/>
        <v>38</v>
      </c>
      <c r="Z328">
        <f t="shared" si="132"/>
        <v>1</v>
      </c>
      <c r="AA328">
        <f t="shared" si="147"/>
        <v>6</v>
      </c>
      <c r="AB328" t="str">
        <f t="shared" si="133"/>
        <v/>
      </c>
      <c r="AC328" t="str">
        <f t="shared" si="134"/>
        <v/>
      </c>
      <c r="AD328" t="str">
        <f t="shared" si="135"/>
        <v/>
      </c>
      <c r="AE328">
        <f t="shared" si="136"/>
        <v>0</v>
      </c>
      <c r="AF328">
        <f t="shared" si="148"/>
        <v>9</v>
      </c>
      <c r="AG328" t="str">
        <f t="shared" si="137"/>
        <v/>
      </c>
      <c r="AH328">
        <f t="shared" si="138"/>
        <v>2666</v>
      </c>
      <c r="AI328" t="str">
        <f t="shared" si="139"/>
        <v>file</v>
      </c>
      <c r="AJ328">
        <f t="shared" si="140"/>
        <v>0</v>
      </c>
      <c r="AK328">
        <f t="shared" si="149"/>
        <v>4</v>
      </c>
      <c r="AL328" t="str">
        <f t="shared" si="141"/>
        <v/>
      </c>
      <c r="AM328" t="str">
        <f t="shared" si="142"/>
        <v/>
      </c>
      <c r="AN328" t="str">
        <f t="shared" si="143"/>
        <v/>
      </c>
      <c r="AO328">
        <f t="shared" si="144"/>
        <v>0</v>
      </c>
    </row>
    <row r="329" spans="1:41" x14ac:dyDescent="0.4">
      <c r="A329" t="str">
        <f>IF($CM$6=0,"",IF(INDEX('⑩ 원문 보관'!$A:$E,$CM$6+ROW()-9,COLUMN())="","",INDEX('⑩ 원문 보관'!$A:$E,$CM$6+ROW()-9,COLUMN())))</f>
        <v/>
      </c>
      <c r="B329" t="str">
        <f>IF($CM$6=0,"",IF(INDEX('⑩ 원문 보관'!$A:$E,$CM$6+ROW()-9,COLUMN())="","",INDEX('⑩ 원문 보관'!$A:$E,$CM$6+ROW()-9,COLUMN())))</f>
        <v xml:space="preserve">120837.0  51467.28 38 </v>
      </c>
      <c r="C329" t="str">
        <f>IF($CM$6=0,"",IF(INDEX('⑩ 원문 보관'!$A:$E,$CM$6+ROW()-9,COLUMN())="","",INDEX('⑩ 원문 보관'!$A:$E,$CM$6+ROW()-9,COLUMN())))</f>
        <v/>
      </c>
      <c r="D329" t="str">
        <f>IF($CM$6=0,"",IF(INDEX('⑩ 원문 보관'!$A:$E,$CM$6+ROW()-9,COLUMN())="","",INDEX('⑩ 원문 보관'!$A:$E,$CM$6+ROW()-9,COLUMN())))</f>
        <v>/datum  57000.00</v>
      </c>
      <c r="E329" t="str">
        <f>IF($CM$6=0,"",IF(INDEX('⑩ 원문 보관'!$A:$E,$CM$6+ROW()-9,COLUMN())="","",INDEX('⑩ 원문 보관'!$A:$E,$CM$6+ROW()-9,COLUMN())))</f>
        <v/>
      </c>
      <c r="Q329">
        <f t="shared" si="145"/>
        <v>8</v>
      </c>
      <c r="R329" t="str">
        <f t="shared" ref="R329:R392" si="150">IFERROR(IF(ISNUMBER(--LEFT(TRIM(A329),1)),VALUE(LEFT(TRIM(A329),6)),""),"")</f>
        <v/>
      </c>
      <c r="S329" t="str">
        <f t="shared" ref="S329:S392" si="151">IFERROR(VALUE(TRIM(MID(SUBSTITUTE(TRIM(A329)," ",REPT(" ",30)),31,30))),"")</f>
        <v/>
      </c>
      <c r="T329" t="str">
        <f t="shared" ref="T329:T392" si="152">IFERROR(TRIM(MID(SUBSTITUTE(TRIM(A329)," ",REPT(" ",30)),61,30)),"")</f>
        <v/>
      </c>
      <c r="U329">
        <f t="shared" ref="U329:U392" si="153">IF(OR(R329="",S329="",T329=""),0,IF(AND(S329&gt;1000,RIGHT(T329,1)&lt;&gt;"0"),1,0))</f>
        <v>0</v>
      </c>
      <c r="V329">
        <f t="shared" si="146"/>
        <v>9</v>
      </c>
      <c r="W329">
        <f t="shared" ref="W329:W392" si="154">IFERROR(IF(ISNUMBER(--LEFT(TRIM(B329),1)),VALUE(LEFT(TRIM(B329),6)),""),"")</f>
        <v>120837</v>
      </c>
      <c r="X329">
        <f t="shared" ref="X329:X392" si="155">IFERROR(VALUE(TRIM(MID(SUBSTITUTE(TRIM(B329)," ",REPT(" ",30)),31,30))),"")</f>
        <v>51467.28</v>
      </c>
      <c r="Y329" t="str">
        <f t="shared" ref="Y329:Y392" si="156">IFERROR(TRIM(MID(SUBSTITUTE(TRIM(B329)," ",REPT(" ",30)),61,30)),"")</f>
        <v>38</v>
      </c>
      <c r="Z329">
        <f t="shared" ref="Z329:Z392" si="157">IF(OR(W329="",X329="",Y329=""),0,IF(AND(X329&gt;1000,RIGHT(Y329,1)&lt;&gt;"0"),1,0))</f>
        <v>1</v>
      </c>
      <c r="AA329">
        <f t="shared" si="147"/>
        <v>6</v>
      </c>
      <c r="AB329" t="str">
        <f t="shared" ref="AB329:AB392" si="158">IFERROR(IF(ISNUMBER(--LEFT(TRIM(C329),1)),VALUE(LEFT(TRIM(C329),6)),""),"")</f>
        <v/>
      </c>
      <c r="AC329" t="str">
        <f t="shared" ref="AC329:AC392" si="159">IFERROR(VALUE(TRIM(MID(SUBSTITUTE(TRIM(C329)," ",REPT(" ",30)),31,30))),"")</f>
        <v/>
      </c>
      <c r="AD329" t="str">
        <f t="shared" ref="AD329:AD392" si="160">IFERROR(TRIM(MID(SUBSTITUTE(TRIM(C329)," ",REPT(" ",30)),61,30)),"")</f>
        <v/>
      </c>
      <c r="AE329">
        <f t="shared" ref="AE329:AE392" si="161">IF(OR(AB329="",AC329="",AD329=""),0,IF(AND(AC329&gt;1000,RIGHT(AD329,1)&lt;&gt;"0"),1,0))</f>
        <v>0</v>
      </c>
      <c r="AF329">
        <f t="shared" si="148"/>
        <v>9</v>
      </c>
      <c r="AG329" t="str">
        <f t="shared" ref="AG329:AG392" si="162">IFERROR(IF(ISNUMBER(--LEFT(TRIM(D329),1)),VALUE(LEFT(TRIM(D329),6)),""),"")</f>
        <v/>
      </c>
      <c r="AH329">
        <f t="shared" ref="AH329:AH392" si="163">IFERROR(VALUE(TRIM(MID(SUBSTITUTE(TRIM(D329)," ",REPT(" ",30)),31,30))),"")</f>
        <v>57000</v>
      </c>
      <c r="AI329" t="str">
        <f t="shared" ref="AI329:AI392" si="164">IFERROR(TRIM(MID(SUBSTITUTE(TRIM(D329)," ",REPT(" ",30)),61,30)),"")</f>
        <v/>
      </c>
      <c r="AJ329">
        <f t="shared" ref="AJ329:AJ392" si="165">IF(OR(AG329="",AH329="",AI329=""),0,IF(AND(AH329&gt;1000,RIGHT(AI329,1)&lt;&gt;"0"),1,0))</f>
        <v>0</v>
      </c>
      <c r="AK329">
        <f t="shared" si="149"/>
        <v>4</v>
      </c>
      <c r="AL329" t="str">
        <f t="shared" ref="AL329:AL392" si="166">IFERROR(IF(ISNUMBER(--LEFT(TRIM(E329),1)),VALUE(LEFT(TRIM(E329),6)),""),"")</f>
        <v/>
      </c>
      <c r="AM329" t="str">
        <f t="shared" ref="AM329:AM392" si="167">IFERROR(VALUE(TRIM(MID(SUBSTITUTE(TRIM(E329)," ",REPT(" ",30)),31,30))),"")</f>
        <v/>
      </c>
      <c r="AN329" t="str">
        <f t="shared" ref="AN329:AN392" si="168">IFERROR(TRIM(MID(SUBSTITUTE(TRIM(E329)," ",REPT(" ",30)),61,30)),"")</f>
        <v/>
      </c>
      <c r="AO329">
        <f t="shared" ref="AO329:AO392" si="169">IF(OR(AL329="",AM329="",AN329=""),0,IF(AND(AM329&gt;1000,RIGHT(AN329,1)&lt;&gt;"0"),1,0))</f>
        <v>0</v>
      </c>
    </row>
    <row r="330" spans="1:41" x14ac:dyDescent="0.4">
      <c r="A330" t="str">
        <f>IF($CM$6=0,"",IF(INDEX('⑩ 원문 보관'!$A:$E,$CM$6+ROW()-9,COLUMN())="","",INDEX('⑩ 원문 보관'!$A:$E,$CM$6+ROW()-9,COLUMN())))</f>
        <v/>
      </c>
      <c r="B330" t="str">
        <f>IF($CM$6=0,"",IF(INDEX('⑩ 원문 보관'!$A:$E,$CM$6+ROW()-9,COLUMN())="","",INDEX('⑩ 원문 보관'!$A:$E,$CM$6+ROW()-9,COLUMN())))</f>
        <v xml:space="preserve">120842.0  51465.32 37 </v>
      </c>
      <c r="C330" t="str">
        <f>IF($CM$6=0,"",IF(INDEX('⑩ 원문 보관'!$A:$E,$CM$6+ROW()-9,COLUMN())="","",INDEX('⑩ 원문 보관'!$A:$E,$CM$6+ROW()-9,COLUMN())))</f>
        <v/>
      </c>
      <c r="D330" t="str">
        <f>IF($CM$6=0,"",IF(INDEX('⑩ 원문 보관'!$A:$E,$CM$6+ROW()-9,COLUMN())="","",INDEX('⑩ 원문 보관'!$A:$E,$CM$6+ROW()-9,COLUMN())))</f>
        <v>/</v>
      </c>
      <c r="E330" t="str">
        <f>IF($CM$6=0,"",IF(INDEX('⑩ 원문 보관'!$A:$E,$CM$6+ROW()-9,COLUMN())="","",INDEX('⑩ 원문 보관'!$A:$E,$CM$6+ROW()-9,COLUMN())))</f>
        <v/>
      </c>
      <c r="Q330">
        <f t="shared" ref="Q330:Q393" si="170">IF(A330="",N(Q329),IF(LEFT(TRIM(A330),5)="/time",N(Q329)+1,N(Q329)))</f>
        <v>8</v>
      </c>
      <c r="R330" t="str">
        <f t="shared" si="150"/>
        <v/>
      </c>
      <c r="S330" t="str">
        <f t="shared" si="151"/>
        <v/>
      </c>
      <c r="T330" t="str">
        <f t="shared" si="152"/>
        <v/>
      </c>
      <c r="U330">
        <f t="shared" si="153"/>
        <v>0</v>
      </c>
      <c r="V330">
        <f t="shared" ref="V330:V393" si="171">IF(B330="",N(V329),IF(LEFT(TRIM(B330),5)="/time",N(V329)+1,N(V329)))</f>
        <v>9</v>
      </c>
      <c r="W330">
        <f t="shared" si="154"/>
        <v>120842</v>
      </c>
      <c r="X330">
        <f t="shared" si="155"/>
        <v>51465.32</v>
      </c>
      <c r="Y330" t="str">
        <f t="shared" si="156"/>
        <v>37</v>
      </c>
      <c r="Z330">
        <f t="shared" si="157"/>
        <v>1</v>
      </c>
      <c r="AA330">
        <f t="shared" ref="AA330:AA393" si="172">IF(C330="",N(AA329),IF(LEFT(TRIM(C330),5)="/time",N(AA329)+1,N(AA329)))</f>
        <v>6</v>
      </c>
      <c r="AB330" t="str">
        <f t="shared" si="158"/>
        <v/>
      </c>
      <c r="AC330" t="str">
        <f t="shared" si="159"/>
        <v/>
      </c>
      <c r="AD330" t="str">
        <f t="shared" si="160"/>
        <v/>
      </c>
      <c r="AE330">
        <f t="shared" si="161"/>
        <v>0</v>
      </c>
      <c r="AF330">
        <f t="shared" ref="AF330:AF393" si="173">IF(D330="",N(AF329),IF(LEFT(TRIM(D330),5)="/time",N(AF329)+1,N(AF329)))</f>
        <v>9</v>
      </c>
      <c r="AG330" t="str">
        <f t="shared" si="162"/>
        <v/>
      </c>
      <c r="AH330" t="str">
        <f t="shared" si="163"/>
        <v/>
      </c>
      <c r="AI330" t="str">
        <f t="shared" si="164"/>
        <v/>
      </c>
      <c r="AJ330">
        <f t="shared" si="165"/>
        <v>0</v>
      </c>
      <c r="AK330">
        <f t="shared" ref="AK330:AK393" si="174">IF(E330="",N(AK329),IF(LEFT(TRIM(E330),5)="/time",N(AK329)+1,N(AK329)))</f>
        <v>4</v>
      </c>
      <c r="AL330" t="str">
        <f t="shared" si="166"/>
        <v/>
      </c>
      <c r="AM330" t="str">
        <f t="shared" si="167"/>
        <v/>
      </c>
      <c r="AN330" t="str">
        <f t="shared" si="168"/>
        <v/>
      </c>
      <c r="AO330">
        <f t="shared" si="169"/>
        <v>0</v>
      </c>
    </row>
    <row r="331" spans="1:41" x14ac:dyDescent="0.4">
      <c r="A331" t="str">
        <f>IF($CM$6=0,"",IF(INDEX('⑩ 원문 보관'!$A:$E,$CM$6+ROW()-9,COLUMN())="","",INDEX('⑩ 원문 보관'!$A:$E,$CM$6+ROW()-9,COLUMN())))</f>
        <v/>
      </c>
      <c r="B331" t="str">
        <f>IF($CM$6=0,"",IF(INDEX('⑩ 원문 보관'!$A:$E,$CM$6+ROW()-9,COLUMN())="","",INDEX('⑩ 원문 보관'!$A:$E,$CM$6+ROW()-9,COLUMN())))</f>
        <v xml:space="preserve">120847.0  51465.10 38 </v>
      </c>
      <c r="C331" t="str">
        <f>IF($CM$6=0,"",IF(INDEX('⑩ 원문 보관'!$A:$E,$CM$6+ROW()-9,COLUMN())="","",INDEX('⑩ 원문 보관'!$A:$E,$CM$6+ROW()-9,COLUMN())))</f>
        <v/>
      </c>
      <c r="D331" t="str">
        <f>IF($CM$6=0,"",IF(INDEX('⑩ 원문 보관'!$A:$E,$CM$6+ROW()-9,COLUMN())="","",INDEX('⑩ 원문 보관'!$A:$E,$CM$6+ROW()-9,COLUMN())))</f>
        <v/>
      </c>
      <c r="E331" t="str">
        <f>IF($CM$6=0,"",IF(INDEX('⑩ 원문 보관'!$A:$E,$CM$6+ROW()-9,COLUMN())="","",INDEX('⑩ 원문 보관'!$A:$E,$CM$6+ROW()-9,COLUMN())))</f>
        <v/>
      </c>
      <c r="Q331">
        <f t="shared" si="170"/>
        <v>8</v>
      </c>
      <c r="R331" t="str">
        <f t="shared" si="150"/>
        <v/>
      </c>
      <c r="S331" t="str">
        <f t="shared" si="151"/>
        <v/>
      </c>
      <c r="T331" t="str">
        <f t="shared" si="152"/>
        <v/>
      </c>
      <c r="U331">
        <f t="shared" si="153"/>
        <v>0</v>
      </c>
      <c r="V331">
        <f t="shared" si="171"/>
        <v>9</v>
      </c>
      <c r="W331">
        <f t="shared" si="154"/>
        <v>120847</v>
      </c>
      <c r="X331">
        <f t="shared" si="155"/>
        <v>51465.1</v>
      </c>
      <c r="Y331" t="str">
        <f t="shared" si="156"/>
        <v>38</v>
      </c>
      <c r="Z331">
        <f t="shared" si="157"/>
        <v>1</v>
      </c>
      <c r="AA331">
        <f t="shared" si="172"/>
        <v>6</v>
      </c>
      <c r="AB331" t="str">
        <f t="shared" si="158"/>
        <v/>
      </c>
      <c r="AC331" t="str">
        <f t="shared" si="159"/>
        <v/>
      </c>
      <c r="AD331" t="str">
        <f t="shared" si="160"/>
        <v/>
      </c>
      <c r="AE331">
        <f t="shared" si="161"/>
        <v>0</v>
      </c>
      <c r="AF331">
        <f t="shared" si="173"/>
        <v>9</v>
      </c>
      <c r="AG331" t="str">
        <f t="shared" si="162"/>
        <v/>
      </c>
      <c r="AH331" t="str">
        <f t="shared" si="163"/>
        <v/>
      </c>
      <c r="AI331" t="str">
        <f t="shared" si="164"/>
        <v/>
      </c>
      <c r="AJ331">
        <f t="shared" si="165"/>
        <v>0</v>
      </c>
      <c r="AK331">
        <f t="shared" si="174"/>
        <v>4</v>
      </c>
      <c r="AL331" t="str">
        <f t="shared" si="166"/>
        <v/>
      </c>
      <c r="AM331" t="str">
        <f t="shared" si="167"/>
        <v/>
      </c>
      <c r="AN331" t="str">
        <f t="shared" si="168"/>
        <v/>
      </c>
      <c r="AO331">
        <f t="shared" si="169"/>
        <v>0</v>
      </c>
    </row>
    <row r="332" spans="1:41" x14ac:dyDescent="0.4">
      <c r="A332" t="str">
        <f>IF($CM$6=0,"",IF(INDEX('⑩ 원문 보관'!$A:$E,$CM$6+ROW()-9,COLUMN())="","",INDEX('⑩ 원문 보관'!$A:$E,$CM$6+ROW()-9,COLUMN())))</f>
        <v/>
      </c>
      <c r="B332" t="str">
        <f>IF($CM$6=0,"",IF(INDEX('⑩ 원문 보관'!$A:$E,$CM$6+ROW()-9,COLUMN())="","",INDEX('⑩ 원문 보관'!$A:$E,$CM$6+ROW()-9,COLUMN())))</f>
        <v xml:space="preserve">120852.0  51465.23 37 </v>
      </c>
      <c r="C332" t="str">
        <f>IF($CM$6=0,"",IF(INDEX('⑩ 원문 보관'!$A:$E,$CM$6+ROW()-9,COLUMN())="","",INDEX('⑩ 원문 보관'!$A:$E,$CM$6+ROW()-9,COLUMN())))</f>
        <v/>
      </c>
      <c r="D332" t="str">
        <f>IF($CM$6=0,"",IF(INDEX('⑩ 원문 보관'!$A:$E,$CM$6+ROW()-9,COLUMN())="","",INDEX('⑩ 원문 보관'!$A:$E,$CM$6+ROW()-9,COLUMN())))</f>
        <v xml:space="preserve">/time nT sq </v>
      </c>
      <c r="E332" t="str">
        <f>IF($CM$6=0,"",IF(INDEX('⑩ 원문 보관'!$A:$E,$CM$6+ROW()-9,COLUMN())="","",INDEX('⑩ 원문 보관'!$A:$E,$CM$6+ROW()-9,COLUMN())))</f>
        <v/>
      </c>
      <c r="Q332">
        <f t="shared" si="170"/>
        <v>8</v>
      </c>
      <c r="R332" t="str">
        <f t="shared" si="150"/>
        <v/>
      </c>
      <c r="S332" t="str">
        <f t="shared" si="151"/>
        <v/>
      </c>
      <c r="T332" t="str">
        <f t="shared" si="152"/>
        <v/>
      </c>
      <c r="U332">
        <f t="shared" si="153"/>
        <v>0</v>
      </c>
      <c r="V332">
        <f t="shared" si="171"/>
        <v>9</v>
      </c>
      <c r="W332">
        <f t="shared" si="154"/>
        <v>120852</v>
      </c>
      <c r="X332">
        <f t="shared" si="155"/>
        <v>51465.23</v>
      </c>
      <c r="Y332" t="str">
        <f t="shared" si="156"/>
        <v>37</v>
      </c>
      <c r="Z332">
        <f t="shared" si="157"/>
        <v>1</v>
      </c>
      <c r="AA332">
        <f t="shared" si="172"/>
        <v>6</v>
      </c>
      <c r="AB332" t="str">
        <f t="shared" si="158"/>
        <v/>
      </c>
      <c r="AC332" t="str">
        <f t="shared" si="159"/>
        <v/>
      </c>
      <c r="AD332" t="str">
        <f t="shared" si="160"/>
        <v/>
      </c>
      <c r="AE332">
        <f t="shared" si="161"/>
        <v>0</v>
      </c>
      <c r="AF332">
        <f t="shared" si="173"/>
        <v>10</v>
      </c>
      <c r="AG332" t="str">
        <f t="shared" si="162"/>
        <v/>
      </c>
      <c r="AH332" t="str">
        <f t="shared" si="163"/>
        <v/>
      </c>
      <c r="AI332" t="str">
        <f t="shared" si="164"/>
        <v>sq</v>
      </c>
      <c r="AJ332">
        <f t="shared" si="165"/>
        <v>0</v>
      </c>
      <c r="AK332">
        <f t="shared" si="174"/>
        <v>4</v>
      </c>
      <c r="AL332" t="str">
        <f t="shared" si="166"/>
        <v/>
      </c>
      <c r="AM332" t="str">
        <f t="shared" si="167"/>
        <v/>
      </c>
      <c r="AN332" t="str">
        <f t="shared" si="168"/>
        <v/>
      </c>
      <c r="AO332">
        <f t="shared" si="169"/>
        <v>0</v>
      </c>
    </row>
    <row r="333" spans="1:41" x14ac:dyDescent="0.4">
      <c r="A333" t="str">
        <f>IF($CM$6=0,"",IF(INDEX('⑩ 원문 보관'!$A:$E,$CM$6+ROW()-9,COLUMN())="","",INDEX('⑩ 원문 보관'!$A:$E,$CM$6+ROW()-9,COLUMN())))</f>
        <v/>
      </c>
      <c r="B333" t="str">
        <f>IF($CM$6=0,"",IF(INDEX('⑩ 원문 보관'!$A:$E,$CM$6+ROW()-9,COLUMN())="","",INDEX('⑩ 원문 보관'!$A:$E,$CM$6+ROW()-9,COLUMN())))</f>
        <v xml:space="preserve">120857.0  51465.17 37 </v>
      </c>
      <c r="C333" t="str">
        <f>IF($CM$6=0,"",IF(INDEX('⑩ 원문 보관'!$A:$E,$CM$6+ROW()-9,COLUMN())="","",INDEX('⑩ 원문 보관'!$A:$E,$CM$6+ROW()-9,COLUMN())))</f>
        <v/>
      </c>
      <c r="D333" t="str">
        <f>IF($CM$6=0,"",IF(INDEX('⑩ 원문 보관'!$A:$E,$CM$6+ROW()-9,COLUMN())="","",INDEX('⑩ 원문 보관'!$A:$E,$CM$6+ROW()-9,COLUMN())))</f>
        <v xml:space="preserve">130012.0  51398.05 98 </v>
      </c>
      <c r="E333" t="str">
        <f>IF($CM$6=0,"",IF(INDEX('⑩ 원문 보관'!$A:$E,$CM$6+ROW()-9,COLUMN())="","",INDEX('⑩ 원문 보관'!$A:$E,$CM$6+ROW()-9,COLUMN())))</f>
        <v/>
      </c>
      <c r="Q333">
        <f t="shared" si="170"/>
        <v>8</v>
      </c>
      <c r="R333" t="str">
        <f t="shared" si="150"/>
        <v/>
      </c>
      <c r="S333" t="str">
        <f t="shared" si="151"/>
        <v/>
      </c>
      <c r="T333" t="str">
        <f t="shared" si="152"/>
        <v/>
      </c>
      <c r="U333">
        <f t="shared" si="153"/>
        <v>0</v>
      </c>
      <c r="V333">
        <f t="shared" si="171"/>
        <v>9</v>
      </c>
      <c r="W333">
        <f t="shared" si="154"/>
        <v>120857</v>
      </c>
      <c r="X333">
        <f t="shared" si="155"/>
        <v>51465.17</v>
      </c>
      <c r="Y333" t="str">
        <f t="shared" si="156"/>
        <v>37</v>
      </c>
      <c r="Z333">
        <f t="shared" si="157"/>
        <v>1</v>
      </c>
      <c r="AA333">
        <f t="shared" si="172"/>
        <v>6</v>
      </c>
      <c r="AB333" t="str">
        <f t="shared" si="158"/>
        <v/>
      </c>
      <c r="AC333" t="str">
        <f t="shared" si="159"/>
        <v/>
      </c>
      <c r="AD333" t="str">
        <f t="shared" si="160"/>
        <v/>
      </c>
      <c r="AE333">
        <f t="shared" si="161"/>
        <v>0</v>
      </c>
      <c r="AF333">
        <f t="shared" si="173"/>
        <v>10</v>
      </c>
      <c r="AG333">
        <f t="shared" si="162"/>
        <v>130012</v>
      </c>
      <c r="AH333">
        <f t="shared" si="163"/>
        <v>51398.05</v>
      </c>
      <c r="AI333" t="str">
        <f t="shared" si="164"/>
        <v>98</v>
      </c>
      <c r="AJ333">
        <f t="shared" si="165"/>
        <v>1</v>
      </c>
      <c r="AK333">
        <f t="shared" si="174"/>
        <v>4</v>
      </c>
      <c r="AL333" t="str">
        <f t="shared" si="166"/>
        <v/>
      </c>
      <c r="AM333" t="str">
        <f t="shared" si="167"/>
        <v/>
      </c>
      <c r="AN333" t="str">
        <f t="shared" si="168"/>
        <v/>
      </c>
      <c r="AO333">
        <f t="shared" si="169"/>
        <v>0</v>
      </c>
    </row>
    <row r="334" spans="1:41" x14ac:dyDescent="0.4">
      <c r="A334" t="str">
        <f>IF($CM$6=0,"",IF(INDEX('⑩ 원문 보관'!$A:$E,$CM$6+ROW()-9,COLUMN())="","",INDEX('⑩ 원문 보관'!$A:$E,$CM$6+ROW()-9,COLUMN())))</f>
        <v/>
      </c>
      <c r="B334" t="str">
        <f>IF($CM$6=0,"",IF(INDEX('⑩ 원문 보관'!$A:$E,$CM$6+ROW()-9,COLUMN())="","",INDEX('⑩ 원문 보관'!$A:$E,$CM$6+ROW()-9,COLUMN())))</f>
        <v xml:space="preserve">120902.0  51465.60 37 </v>
      </c>
      <c r="C334" t="str">
        <f>IF($CM$6=0,"",IF(INDEX('⑩ 원문 보관'!$A:$E,$CM$6+ROW()-9,COLUMN())="","",INDEX('⑩ 원문 보관'!$A:$E,$CM$6+ROW()-9,COLUMN())))</f>
        <v/>
      </c>
      <c r="D334" t="str">
        <f>IF($CM$6=0,"",IF(INDEX('⑩ 원문 보관'!$A:$E,$CM$6+ROW()-9,COLUMN())="","",INDEX('⑩ 원문 보관'!$A:$E,$CM$6+ROW()-9,COLUMN())))</f>
        <v xml:space="preserve">130017.0  51397.68 98 </v>
      </c>
      <c r="E334" t="str">
        <f>IF($CM$6=0,"",IF(INDEX('⑩ 원문 보관'!$A:$E,$CM$6+ROW()-9,COLUMN())="","",INDEX('⑩ 원문 보관'!$A:$E,$CM$6+ROW()-9,COLUMN())))</f>
        <v/>
      </c>
      <c r="Q334">
        <f t="shared" si="170"/>
        <v>8</v>
      </c>
      <c r="R334" t="str">
        <f t="shared" si="150"/>
        <v/>
      </c>
      <c r="S334" t="str">
        <f t="shared" si="151"/>
        <v/>
      </c>
      <c r="T334" t="str">
        <f t="shared" si="152"/>
        <v/>
      </c>
      <c r="U334">
        <f t="shared" si="153"/>
        <v>0</v>
      </c>
      <c r="V334">
        <f t="shared" si="171"/>
        <v>9</v>
      </c>
      <c r="W334">
        <f t="shared" si="154"/>
        <v>120902</v>
      </c>
      <c r="X334">
        <f t="shared" si="155"/>
        <v>51465.599999999999</v>
      </c>
      <c r="Y334" t="str">
        <f t="shared" si="156"/>
        <v>37</v>
      </c>
      <c r="Z334">
        <f t="shared" si="157"/>
        <v>1</v>
      </c>
      <c r="AA334">
        <f t="shared" si="172"/>
        <v>6</v>
      </c>
      <c r="AB334" t="str">
        <f t="shared" si="158"/>
        <v/>
      </c>
      <c r="AC334" t="str">
        <f t="shared" si="159"/>
        <v/>
      </c>
      <c r="AD334" t="str">
        <f t="shared" si="160"/>
        <v/>
      </c>
      <c r="AE334">
        <f t="shared" si="161"/>
        <v>0</v>
      </c>
      <c r="AF334">
        <f t="shared" si="173"/>
        <v>10</v>
      </c>
      <c r="AG334">
        <f t="shared" si="162"/>
        <v>130017</v>
      </c>
      <c r="AH334">
        <f t="shared" si="163"/>
        <v>51397.68</v>
      </c>
      <c r="AI334" t="str">
        <f t="shared" si="164"/>
        <v>98</v>
      </c>
      <c r="AJ334">
        <f t="shared" si="165"/>
        <v>1</v>
      </c>
      <c r="AK334">
        <f t="shared" si="174"/>
        <v>4</v>
      </c>
      <c r="AL334" t="str">
        <f t="shared" si="166"/>
        <v/>
      </c>
      <c r="AM334" t="str">
        <f t="shared" si="167"/>
        <v/>
      </c>
      <c r="AN334" t="str">
        <f t="shared" si="168"/>
        <v/>
      </c>
      <c r="AO334">
        <f t="shared" si="169"/>
        <v>0</v>
      </c>
    </row>
    <row r="335" spans="1:41" x14ac:dyDescent="0.4">
      <c r="A335" t="str">
        <f>IF($CM$6=0,"",IF(INDEX('⑩ 원문 보관'!$A:$E,$CM$6+ROW()-9,COLUMN())="","",INDEX('⑩ 원문 보관'!$A:$E,$CM$6+ROW()-9,COLUMN())))</f>
        <v/>
      </c>
      <c r="B335" t="str">
        <f>IF($CM$6=0,"",IF(INDEX('⑩ 원문 보관'!$A:$E,$CM$6+ROW()-9,COLUMN())="","",INDEX('⑩ 원문 보관'!$A:$E,$CM$6+ROW()-9,COLUMN())))</f>
        <v xml:space="preserve">120907.0  51466.51 37 </v>
      </c>
      <c r="C335" t="str">
        <f>IF($CM$6=0,"",IF(INDEX('⑩ 원문 보관'!$A:$E,$CM$6+ROW()-9,COLUMN())="","",INDEX('⑩ 원문 보관'!$A:$E,$CM$6+ROW()-9,COLUMN())))</f>
        <v/>
      </c>
      <c r="D335" t="str">
        <f>IF($CM$6=0,"",IF(INDEX('⑩ 원문 보관'!$A:$E,$CM$6+ROW()-9,COLUMN())="","",INDEX('⑩ 원문 보관'!$A:$E,$CM$6+ROW()-9,COLUMN())))</f>
        <v xml:space="preserve">130022.0  51398.10 98 </v>
      </c>
      <c r="E335" t="str">
        <f>IF($CM$6=0,"",IF(INDEX('⑩ 원문 보관'!$A:$E,$CM$6+ROW()-9,COLUMN())="","",INDEX('⑩ 원문 보관'!$A:$E,$CM$6+ROW()-9,COLUMN())))</f>
        <v/>
      </c>
      <c r="Q335">
        <f t="shared" si="170"/>
        <v>8</v>
      </c>
      <c r="R335" t="str">
        <f t="shared" si="150"/>
        <v/>
      </c>
      <c r="S335" t="str">
        <f t="shared" si="151"/>
        <v/>
      </c>
      <c r="T335" t="str">
        <f t="shared" si="152"/>
        <v/>
      </c>
      <c r="U335">
        <f t="shared" si="153"/>
        <v>0</v>
      </c>
      <c r="V335">
        <f t="shared" si="171"/>
        <v>9</v>
      </c>
      <c r="W335">
        <f t="shared" si="154"/>
        <v>120907</v>
      </c>
      <c r="X335">
        <f t="shared" si="155"/>
        <v>51466.51</v>
      </c>
      <c r="Y335" t="str">
        <f t="shared" si="156"/>
        <v>37</v>
      </c>
      <c r="Z335">
        <f t="shared" si="157"/>
        <v>1</v>
      </c>
      <c r="AA335">
        <f t="shared" si="172"/>
        <v>6</v>
      </c>
      <c r="AB335" t="str">
        <f t="shared" si="158"/>
        <v/>
      </c>
      <c r="AC335" t="str">
        <f t="shared" si="159"/>
        <v/>
      </c>
      <c r="AD335" t="str">
        <f t="shared" si="160"/>
        <v/>
      </c>
      <c r="AE335">
        <f t="shared" si="161"/>
        <v>0</v>
      </c>
      <c r="AF335">
        <f t="shared" si="173"/>
        <v>10</v>
      </c>
      <c r="AG335">
        <f t="shared" si="162"/>
        <v>130022</v>
      </c>
      <c r="AH335">
        <f t="shared" si="163"/>
        <v>51398.1</v>
      </c>
      <c r="AI335" t="str">
        <f t="shared" si="164"/>
        <v>98</v>
      </c>
      <c r="AJ335">
        <f t="shared" si="165"/>
        <v>1</v>
      </c>
      <c r="AK335">
        <f t="shared" si="174"/>
        <v>4</v>
      </c>
      <c r="AL335" t="str">
        <f t="shared" si="166"/>
        <v/>
      </c>
      <c r="AM335" t="str">
        <f t="shared" si="167"/>
        <v/>
      </c>
      <c r="AN335" t="str">
        <f t="shared" si="168"/>
        <v/>
      </c>
      <c r="AO335">
        <f t="shared" si="169"/>
        <v>0</v>
      </c>
    </row>
    <row r="336" spans="1:41" x14ac:dyDescent="0.4">
      <c r="A336" t="str">
        <f>IF($CM$6=0,"",IF(INDEX('⑩ 원문 보관'!$A:$E,$CM$6+ROW()-9,COLUMN())="","",INDEX('⑩ 원문 보관'!$A:$E,$CM$6+ROW()-9,COLUMN())))</f>
        <v/>
      </c>
      <c r="B336" t="str">
        <f>IF($CM$6=0,"",IF(INDEX('⑩ 원문 보관'!$A:$E,$CM$6+ROW()-9,COLUMN())="","",INDEX('⑩ 원문 보관'!$A:$E,$CM$6+ROW()-9,COLUMN())))</f>
        <v xml:space="preserve">120912.0  51466.11 37 </v>
      </c>
      <c r="C336" t="str">
        <f>IF($CM$6=0,"",IF(INDEX('⑩ 원문 보관'!$A:$E,$CM$6+ROW()-9,COLUMN())="","",INDEX('⑩ 원문 보관'!$A:$E,$CM$6+ROW()-9,COLUMN())))</f>
        <v/>
      </c>
      <c r="D336" t="str">
        <f>IF($CM$6=0,"",IF(INDEX('⑩ 원문 보관'!$A:$E,$CM$6+ROW()-9,COLUMN())="","",INDEX('⑩ 원문 보관'!$A:$E,$CM$6+ROW()-9,COLUMN())))</f>
        <v xml:space="preserve">130027.0  51397.57 98 </v>
      </c>
      <c r="E336" t="str">
        <f>IF($CM$6=0,"",IF(INDEX('⑩ 원문 보관'!$A:$E,$CM$6+ROW()-9,COLUMN())="","",INDEX('⑩ 원문 보관'!$A:$E,$CM$6+ROW()-9,COLUMN())))</f>
        <v/>
      </c>
      <c r="Q336">
        <f t="shared" si="170"/>
        <v>8</v>
      </c>
      <c r="R336" t="str">
        <f t="shared" si="150"/>
        <v/>
      </c>
      <c r="S336" t="str">
        <f t="shared" si="151"/>
        <v/>
      </c>
      <c r="T336" t="str">
        <f t="shared" si="152"/>
        <v/>
      </c>
      <c r="U336">
        <f t="shared" si="153"/>
        <v>0</v>
      </c>
      <c r="V336">
        <f t="shared" si="171"/>
        <v>9</v>
      </c>
      <c r="W336">
        <f t="shared" si="154"/>
        <v>120912</v>
      </c>
      <c r="X336">
        <f t="shared" si="155"/>
        <v>51466.11</v>
      </c>
      <c r="Y336" t="str">
        <f t="shared" si="156"/>
        <v>37</v>
      </c>
      <c r="Z336">
        <f t="shared" si="157"/>
        <v>1</v>
      </c>
      <c r="AA336">
        <f t="shared" si="172"/>
        <v>6</v>
      </c>
      <c r="AB336" t="str">
        <f t="shared" si="158"/>
        <v/>
      </c>
      <c r="AC336" t="str">
        <f t="shared" si="159"/>
        <v/>
      </c>
      <c r="AD336" t="str">
        <f t="shared" si="160"/>
        <v/>
      </c>
      <c r="AE336">
        <f t="shared" si="161"/>
        <v>0</v>
      </c>
      <c r="AF336">
        <f t="shared" si="173"/>
        <v>10</v>
      </c>
      <c r="AG336">
        <f t="shared" si="162"/>
        <v>130027</v>
      </c>
      <c r="AH336">
        <f t="shared" si="163"/>
        <v>51397.57</v>
      </c>
      <c r="AI336" t="str">
        <f t="shared" si="164"/>
        <v>98</v>
      </c>
      <c r="AJ336">
        <f t="shared" si="165"/>
        <v>1</v>
      </c>
      <c r="AK336">
        <f t="shared" si="174"/>
        <v>4</v>
      </c>
      <c r="AL336" t="str">
        <f t="shared" si="166"/>
        <v/>
      </c>
      <c r="AM336" t="str">
        <f t="shared" si="167"/>
        <v/>
      </c>
      <c r="AN336" t="str">
        <f t="shared" si="168"/>
        <v/>
      </c>
      <c r="AO336">
        <f t="shared" si="169"/>
        <v>0</v>
      </c>
    </row>
    <row r="337" spans="1:41" x14ac:dyDescent="0.4">
      <c r="A337" t="str">
        <f>IF($CM$6=0,"",IF(INDEX('⑩ 원문 보관'!$A:$E,$CM$6+ROW()-9,COLUMN())="","",INDEX('⑩ 원문 보관'!$A:$E,$CM$6+ROW()-9,COLUMN())))</f>
        <v/>
      </c>
      <c r="B337" t="str">
        <f>IF($CM$6=0,"",IF(INDEX('⑩ 원문 보관'!$A:$E,$CM$6+ROW()-9,COLUMN())="","",INDEX('⑩ 원문 보관'!$A:$E,$CM$6+ROW()-9,COLUMN())))</f>
        <v xml:space="preserve">120917.0  51466.64 38 </v>
      </c>
      <c r="C337" t="str">
        <f>IF($CM$6=0,"",IF(INDEX('⑩ 원문 보관'!$A:$E,$CM$6+ROW()-9,COLUMN())="","",INDEX('⑩ 원문 보관'!$A:$E,$CM$6+ROW()-9,COLUMN())))</f>
        <v/>
      </c>
      <c r="D337" t="str">
        <f>IF($CM$6=0,"",IF(INDEX('⑩ 원문 보관'!$A:$E,$CM$6+ROW()-9,COLUMN())="","",INDEX('⑩ 원문 보관'!$A:$E,$CM$6+ROW()-9,COLUMN())))</f>
        <v xml:space="preserve">130032.0  51397.69 98 </v>
      </c>
      <c r="E337" t="str">
        <f>IF($CM$6=0,"",IF(INDEX('⑩ 원문 보관'!$A:$E,$CM$6+ROW()-9,COLUMN())="","",INDEX('⑩ 원문 보관'!$A:$E,$CM$6+ROW()-9,COLUMN())))</f>
        <v/>
      </c>
      <c r="Q337">
        <f t="shared" si="170"/>
        <v>8</v>
      </c>
      <c r="R337" t="str">
        <f t="shared" si="150"/>
        <v/>
      </c>
      <c r="S337" t="str">
        <f t="shared" si="151"/>
        <v/>
      </c>
      <c r="T337" t="str">
        <f t="shared" si="152"/>
        <v/>
      </c>
      <c r="U337">
        <f t="shared" si="153"/>
        <v>0</v>
      </c>
      <c r="V337">
        <f t="shared" si="171"/>
        <v>9</v>
      </c>
      <c r="W337">
        <f t="shared" si="154"/>
        <v>120917</v>
      </c>
      <c r="X337">
        <f t="shared" si="155"/>
        <v>51466.64</v>
      </c>
      <c r="Y337" t="str">
        <f t="shared" si="156"/>
        <v>38</v>
      </c>
      <c r="Z337">
        <f t="shared" si="157"/>
        <v>1</v>
      </c>
      <c r="AA337">
        <f t="shared" si="172"/>
        <v>6</v>
      </c>
      <c r="AB337" t="str">
        <f t="shared" si="158"/>
        <v/>
      </c>
      <c r="AC337" t="str">
        <f t="shared" si="159"/>
        <v/>
      </c>
      <c r="AD337" t="str">
        <f t="shared" si="160"/>
        <v/>
      </c>
      <c r="AE337">
        <f t="shared" si="161"/>
        <v>0</v>
      </c>
      <c r="AF337">
        <f t="shared" si="173"/>
        <v>10</v>
      </c>
      <c r="AG337">
        <f t="shared" si="162"/>
        <v>130032</v>
      </c>
      <c r="AH337">
        <f t="shared" si="163"/>
        <v>51397.69</v>
      </c>
      <c r="AI337" t="str">
        <f t="shared" si="164"/>
        <v>98</v>
      </c>
      <c r="AJ337">
        <f t="shared" si="165"/>
        <v>1</v>
      </c>
      <c r="AK337">
        <f t="shared" si="174"/>
        <v>4</v>
      </c>
      <c r="AL337" t="str">
        <f t="shared" si="166"/>
        <v/>
      </c>
      <c r="AM337" t="str">
        <f t="shared" si="167"/>
        <v/>
      </c>
      <c r="AN337" t="str">
        <f t="shared" si="168"/>
        <v/>
      </c>
      <c r="AO337">
        <f t="shared" si="169"/>
        <v>0</v>
      </c>
    </row>
    <row r="338" spans="1:41" x14ac:dyDescent="0.4">
      <c r="A338" t="str">
        <f>IF($CM$6=0,"",IF(INDEX('⑩ 원문 보관'!$A:$E,$CM$6+ROW()-9,COLUMN())="","",INDEX('⑩ 원문 보관'!$A:$E,$CM$6+ROW()-9,COLUMN())))</f>
        <v/>
      </c>
      <c r="B338" t="str">
        <f>IF($CM$6=0,"",IF(INDEX('⑩ 원문 보관'!$A:$E,$CM$6+ROW()-9,COLUMN())="","",INDEX('⑩ 원문 보관'!$A:$E,$CM$6+ROW()-9,COLUMN())))</f>
        <v xml:space="preserve">120922.0  51467.20 37 </v>
      </c>
      <c r="C338" t="str">
        <f>IF($CM$6=0,"",IF(INDEX('⑩ 원문 보관'!$A:$E,$CM$6+ROW()-9,COLUMN())="","",INDEX('⑩ 원문 보관'!$A:$E,$CM$6+ROW()-9,COLUMN())))</f>
        <v/>
      </c>
      <c r="D338" t="str">
        <f>IF($CM$6=0,"",IF(INDEX('⑩ 원문 보관'!$A:$E,$CM$6+ROW()-9,COLUMN())="","",INDEX('⑩ 원문 보관'!$A:$E,$CM$6+ROW()-9,COLUMN())))</f>
        <v xml:space="preserve">130037.0  51397.82 98 </v>
      </c>
      <c r="E338" t="str">
        <f>IF($CM$6=0,"",IF(INDEX('⑩ 원문 보관'!$A:$E,$CM$6+ROW()-9,COLUMN())="","",INDEX('⑩ 원문 보관'!$A:$E,$CM$6+ROW()-9,COLUMN())))</f>
        <v/>
      </c>
      <c r="Q338">
        <f t="shared" si="170"/>
        <v>8</v>
      </c>
      <c r="R338" t="str">
        <f t="shared" si="150"/>
        <v/>
      </c>
      <c r="S338" t="str">
        <f t="shared" si="151"/>
        <v/>
      </c>
      <c r="T338" t="str">
        <f t="shared" si="152"/>
        <v/>
      </c>
      <c r="U338">
        <f t="shared" si="153"/>
        <v>0</v>
      </c>
      <c r="V338">
        <f t="shared" si="171"/>
        <v>9</v>
      </c>
      <c r="W338">
        <f t="shared" si="154"/>
        <v>120922</v>
      </c>
      <c r="X338">
        <f t="shared" si="155"/>
        <v>51467.199999999997</v>
      </c>
      <c r="Y338" t="str">
        <f t="shared" si="156"/>
        <v>37</v>
      </c>
      <c r="Z338">
        <f t="shared" si="157"/>
        <v>1</v>
      </c>
      <c r="AA338">
        <f t="shared" si="172"/>
        <v>6</v>
      </c>
      <c r="AB338" t="str">
        <f t="shared" si="158"/>
        <v/>
      </c>
      <c r="AC338" t="str">
        <f t="shared" si="159"/>
        <v/>
      </c>
      <c r="AD338" t="str">
        <f t="shared" si="160"/>
        <v/>
      </c>
      <c r="AE338">
        <f t="shared" si="161"/>
        <v>0</v>
      </c>
      <c r="AF338">
        <f t="shared" si="173"/>
        <v>10</v>
      </c>
      <c r="AG338">
        <f t="shared" si="162"/>
        <v>130037</v>
      </c>
      <c r="AH338">
        <f t="shared" si="163"/>
        <v>51397.82</v>
      </c>
      <c r="AI338" t="str">
        <f t="shared" si="164"/>
        <v>98</v>
      </c>
      <c r="AJ338">
        <f t="shared" si="165"/>
        <v>1</v>
      </c>
      <c r="AK338">
        <f t="shared" si="174"/>
        <v>4</v>
      </c>
      <c r="AL338" t="str">
        <f t="shared" si="166"/>
        <v/>
      </c>
      <c r="AM338" t="str">
        <f t="shared" si="167"/>
        <v/>
      </c>
      <c r="AN338" t="str">
        <f t="shared" si="168"/>
        <v/>
      </c>
      <c r="AO338">
        <f t="shared" si="169"/>
        <v>0</v>
      </c>
    </row>
    <row r="339" spans="1:41" x14ac:dyDescent="0.4">
      <c r="A339" t="str">
        <f>IF($CM$6=0,"",IF(INDEX('⑩ 원문 보관'!$A:$E,$CM$6+ROW()-9,COLUMN())="","",INDEX('⑩ 원문 보관'!$A:$E,$CM$6+ROW()-9,COLUMN())))</f>
        <v/>
      </c>
      <c r="B339" t="str">
        <f>IF($CM$6=0,"",IF(INDEX('⑩ 원문 보관'!$A:$E,$CM$6+ROW()-9,COLUMN())="","",INDEX('⑩ 원문 보관'!$A:$E,$CM$6+ROW()-9,COLUMN())))</f>
        <v xml:space="preserve">120927.0  51465.76 37 </v>
      </c>
      <c r="C339" t="str">
        <f>IF($CM$6=0,"",IF(INDEX('⑩ 원문 보관'!$A:$E,$CM$6+ROW()-9,COLUMN())="","",INDEX('⑩ 원문 보관'!$A:$E,$CM$6+ROW()-9,COLUMN())))</f>
        <v/>
      </c>
      <c r="D339" t="str">
        <f>IF($CM$6=0,"",IF(INDEX('⑩ 원문 보관'!$A:$E,$CM$6+ROW()-9,COLUMN())="","",INDEX('⑩ 원문 보관'!$A:$E,$CM$6+ROW()-9,COLUMN())))</f>
        <v xml:space="preserve">130042.0  51397.75 98 </v>
      </c>
      <c r="E339" t="str">
        <f>IF($CM$6=0,"",IF(INDEX('⑩ 원문 보관'!$A:$E,$CM$6+ROW()-9,COLUMN())="","",INDEX('⑩ 원문 보관'!$A:$E,$CM$6+ROW()-9,COLUMN())))</f>
        <v/>
      </c>
      <c r="Q339">
        <f t="shared" si="170"/>
        <v>8</v>
      </c>
      <c r="R339" t="str">
        <f t="shared" si="150"/>
        <v/>
      </c>
      <c r="S339" t="str">
        <f t="shared" si="151"/>
        <v/>
      </c>
      <c r="T339" t="str">
        <f t="shared" si="152"/>
        <v/>
      </c>
      <c r="U339">
        <f t="shared" si="153"/>
        <v>0</v>
      </c>
      <c r="V339">
        <f t="shared" si="171"/>
        <v>9</v>
      </c>
      <c r="W339">
        <f t="shared" si="154"/>
        <v>120927</v>
      </c>
      <c r="X339">
        <f t="shared" si="155"/>
        <v>51465.760000000002</v>
      </c>
      <c r="Y339" t="str">
        <f t="shared" si="156"/>
        <v>37</v>
      </c>
      <c r="Z339">
        <f t="shared" si="157"/>
        <v>1</v>
      </c>
      <c r="AA339">
        <f t="shared" si="172"/>
        <v>6</v>
      </c>
      <c r="AB339" t="str">
        <f t="shared" si="158"/>
        <v/>
      </c>
      <c r="AC339" t="str">
        <f t="shared" si="159"/>
        <v/>
      </c>
      <c r="AD339" t="str">
        <f t="shared" si="160"/>
        <v/>
      </c>
      <c r="AE339">
        <f t="shared" si="161"/>
        <v>0</v>
      </c>
      <c r="AF339">
        <f t="shared" si="173"/>
        <v>10</v>
      </c>
      <c r="AG339">
        <f t="shared" si="162"/>
        <v>130042</v>
      </c>
      <c r="AH339">
        <f t="shared" si="163"/>
        <v>51397.75</v>
      </c>
      <c r="AI339" t="str">
        <f t="shared" si="164"/>
        <v>98</v>
      </c>
      <c r="AJ339">
        <f t="shared" si="165"/>
        <v>1</v>
      </c>
      <c r="AK339">
        <f t="shared" si="174"/>
        <v>4</v>
      </c>
      <c r="AL339" t="str">
        <f t="shared" si="166"/>
        <v/>
      </c>
      <c r="AM339" t="str">
        <f t="shared" si="167"/>
        <v/>
      </c>
      <c r="AN339" t="str">
        <f t="shared" si="168"/>
        <v/>
      </c>
      <c r="AO339">
        <f t="shared" si="169"/>
        <v>0</v>
      </c>
    </row>
    <row r="340" spans="1:41" x14ac:dyDescent="0.4">
      <c r="A340" t="str">
        <f>IF($CM$6=0,"",IF(INDEX('⑩ 원문 보관'!$A:$E,$CM$6+ROW()-9,COLUMN())="","",INDEX('⑩ 원문 보관'!$A:$E,$CM$6+ROW()-9,COLUMN())))</f>
        <v/>
      </c>
      <c r="B340" t="str">
        <f>IF($CM$6=0,"",IF(INDEX('⑩ 원문 보관'!$A:$E,$CM$6+ROW()-9,COLUMN())="","",INDEX('⑩ 원문 보관'!$A:$E,$CM$6+ROW()-9,COLUMN())))</f>
        <v xml:space="preserve">120932.0  51465.56 37 </v>
      </c>
      <c r="C340" t="str">
        <f>IF($CM$6=0,"",IF(INDEX('⑩ 원문 보관'!$A:$E,$CM$6+ROW()-9,COLUMN())="","",INDEX('⑩ 원문 보관'!$A:$E,$CM$6+ROW()-9,COLUMN())))</f>
        <v/>
      </c>
      <c r="D340" t="str">
        <f>IF($CM$6=0,"",IF(INDEX('⑩ 원문 보관'!$A:$E,$CM$6+ROW()-9,COLUMN())="","",INDEX('⑩ 원문 보관'!$A:$E,$CM$6+ROW()-9,COLUMN())))</f>
        <v xml:space="preserve">130047.0  51397.98 98 </v>
      </c>
      <c r="E340" t="str">
        <f>IF($CM$6=0,"",IF(INDEX('⑩ 원문 보관'!$A:$E,$CM$6+ROW()-9,COLUMN())="","",INDEX('⑩ 원문 보관'!$A:$E,$CM$6+ROW()-9,COLUMN())))</f>
        <v/>
      </c>
      <c r="Q340">
        <f t="shared" si="170"/>
        <v>8</v>
      </c>
      <c r="R340" t="str">
        <f t="shared" si="150"/>
        <v/>
      </c>
      <c r="S340" t="str">
        <f t="shared" si="151"/>
        <v/>
      </c>
      <c r="T340" t="str">
        <f t="shared" si="152"/>
        <v/>
      </c>
      <c r="U340">
        <f t="shared" si="153"/>
        <v>0</v>
      </c>
      <c r="V340">
        <f t="shared" si="171"/>
        <v>9</v>
      </c>
      <c r="W340">
        <f t="shared" si="154"/>
        <v>120932</v>
      </c>
      <c r="X340">
        <f t="shared" si="155"/>
        <v>51465.56</v>
      </c>
      <c r="Y340" t="str">
        <f t="shared" si="156"/>
        <v>37</v>
      </c>
      <c r="Z340">
        <f t="shared" si="157"/>
        <v>1</v>
      </c>
      <c r="AA340">
        <f t="shared" si="172"/>
        <v>6</v>
      </c>
      <c r="AB340" t="str">
        <f t="shared" si="158"/>
        <v/>
      </c>
      <c r="AC340" t="str">
        <f t="shared" si="159"/>
        <v/>
      </c>
      <c r="AD340" t="str">
        <f t="shared" si="160"/>
        <v/>
      </c>
      <c r="AE340">
        <f t="shared" si="161"/>
        <v>0</v>
      </c>
      <c r="AF340">
        <f t="shared" si="173"/>
        <v>10</v>
      </c>
      <c r="AG340">
        <f t="shared" si="162"/>
        <v>130047</v>
      </c>
      <c r="AH340">
        <f t="shared" si="163"/>
        <v>51397.98</v>
      </c>
      <c r="AI340" t="str">
        <f t="shared" si="164"/>
        <v>98</v>
      </c>
      <c r="AJ340">
        <f t="shared" si="165"/>
        <v>1</v>
      </c>
      <c r="AK340">
        <f t="shared" si="174"/>
        <v>4</v>
      </c>
      <c r="AL340" t="str">
        <f t="shared" si="166"/>
        <v/>
      </c>
      <c r="AM340" t="str">
        <f t="shared" si="167"/>
        <v/>
      </c>
      <c r="AN340" t="str">
        <f t="shared" si="168"/>
        <v/>
      </c>
      <c r="AO340">
        <f t="shared" si="169"/>
        <v>0</v>
      </c>
    </row>
    <row r="341" spans="1:41" x14ac:dyDescent="0.4">
      <c r="A341" t="str">
        <f>IF($CM$6=0,"",IF(INDEX('⑩ 원문 보관'!$A:$E,$CM$6+ROW()-9,COLUMN())="","",INDEX('⑩ 원문 보관'!$A:$E,$CM$6+ROW()-9,COLUMN())))</f>
        <v/>
      </c>
      <c r="B341" t="str">
        <f>IF($CM$6=0,"",IF(INDEX('⑩ 원문 보관'!$A:$E,$CM$6+ROW()-9,COLUMN())="","",INDEX('⑩ 원문 보관'!$A:$E,$CM$6+ROW()-9,COLUMN())))</f>
        <v/>
      </c>
      <c r="C341" t="str">
        <f>IF($CM$6=0,"",IF(INDEX('⑩ 원문 보관'!$A:$E,$CM$6+ROW()-9,COLUMN())="","",INDEX('⑩ 원문 보관'!$A:$E,$CM$6+ROW()-9,COLUMN())))</f>
        <v/>
      </c>
      <c r="D341" t="str">
        <f>IF($CM$6=0,"",IF(INDEX('⑩ 원문 보관'!$A:$E,$CM$6+ROW()-9,COLUMN())="","",INDEX('⑩ 원문 보관'!$A:$E,$CM$6+ROW()-9,COLUMN())))</f>
        <v xml:space="preserve">130052.0  51397.86 98 </v>
      </c>
      <c r="E341" t="str">
        <f>IF($CM$6=0,"",IF(INDEX('⑩ 원문 보관'!$A:$E,$CM$6+ROW()-9,COLUMN())="","",INDEX('⑩ 원문 보관'!$A:$E,$CM$6+ROW()-9,COLUMN())))</f>
        <v/>
      </c>
      <c r="Q341">
        <f t="shared" si="170"/>
        <v>8</v>
      </c>
      <c r="R341" t="str">
        <f t="shared" si="150"/>
        <v/>
      </c>
      <c r="S341" t="str">
        <f t="shared" si="151"/>
        <v/>
      </c>
      <c r="T341" t="str">
        <f t="shared" si="152"/>
        <v/>
      </c>
      <c r="U341">
        <f t="shared" si="153"/>
        <v>0</v>
      </c>
      <c r="V341">
        <f t="shared" si="171"/>
        <v>9</v>
      </c>
      <c r="W341" t="str">
        <f t="shared" si="154"/>
        <v/>
      </c>
      <c r="X341" t="str">
        <f t="shared" si="155"/>
        <v/>
      </c>
      <c r="Y341" t="str">
        <f t="shared" si="156"/>
        <v/>
      </c>
      <c r="Z341">
        <f t="shared" si="157"/>
        <v>0</v>
      </c>
      <c r="AA341">
        <f t="shared" si="172"/>
        <v>6</v>
      </c>
      <c r="AB341" t="str">
        <f t="shared" si="158"/>
        <v/>
      </c>
      <c r="AC341" t="str">
        <f t="shared" si="159"/>
        <v/>
      </c>
      <c r="AD341" t="str">
        <f t="shared" si="160"/>
        <v/>
      </c>
      <c r="AE341">
        <f t="shared" si="161"/>
        <v>0</v>
      </c>
      <c r="AF341">
        <f t="shared" si="173"/>
        <v>10</v>
      </c>
      <c r="AG341">
        <f t="shared" si="162"/>
        <v>130052</v>
      </c>
      <c r="AH341">
        <f t="shared" si="163"/>
        <v>51397.86</v>
      </c>
      <c r="AI341" t="str">
        <f t="shared" si="164"/>
        <v>98</v>
      </c>
      <c r="AJ341">
        <f t="shared" si="165"/>
        <v>1</v>
      </c>
      <c r="AK341">
        <f t="shared" si="174"/>
        <v>4</v>
      </c>
      <c r="AL341" t="str">
        <f t="shared" si="166"/>
        <v/>
      </c>
      <c r="AM341" t="str">
        <f t="shared" si="167"/>
        <v/>
      </c>
      <c r="AN341" t="str">
        <f t="shared" si="168"/>
        <v/>
      </c>
      <c r="AO341">
        <f t="shared" si="169"/>
        <v>0</v>
      </c>
    </row>
    <row r="342" spans="1:41" x14ac:dyDescent="0.4">
      <c r="A342" t="str">
        <f>IF($CM$6=0,"",IF(INDEX('⑩ 원문 보관'!$A:$E,$CM$6+ROW()-9,COLUMN())="","",INDEX('⑩ 원문 보관'!$A:$E,$CM$6+ROW()-9,COLUMN())))</f>
        <v/>
      </c>
      <c r="B342" t="str">
        <f>IF($CM$6=0,"",IF(INDEX('⑩ 원문 보관'!$A:$E,$CM$6+ROW()-9,COLUMN())="","",INDEX('⑩ 원문 보관'!$A:$E,$CM$6+ROW()-9,COLUMN())))</f>
        <v/>
      </c>
      <c r="C342" t="str">
        <f>IF($CM$6=0,"",IF(INDEX('⑩ 원문 보관'!$A:$E,$CM$6+ROW()-9,COLUMN())="","",INDEX('⑩ 원문 보관'!$A:$E,$CM$6+ROW()-9,COLUMN())))</f>
        <v/>
      </c>
      <c r="D342" t="str">
        <f>IF($CM$6=0,"",IF(INDEX('⑩ 원문 보관'!$A:$E,$CM$6+ROW()-9,COLUMN())="","",INDEX('⑩ 원문 보관'!$A:$E,$CM$6+ROW()-9,COLUMN())))</f>
        <v xml:space="preserve">130057.0  51397.92 97 </v>
      </c>
      <c r="E342" t="str">
        <f>IF($CM$6=0,"",IF(INDEX('⑩ 원문 보관'!$A:$E,$CM$6+ROW()-9,COLUMN())="","",INDEX('⑩ 원문 보관'!$A:$E,$CM$6+ROW()-9,COLUMN())))</f>
        <v/>
      </c>
      <c r="Q342">
        <f t="shared" si="170"/>
        <v>8</v>
      </c>
      <c r="R342" t="str">
        <f t="shared" si="150"/>
        <v/>
      </c>
      <c r="S342" t="str">
        <f t="shared" si="151"/>
        <v/>
      </c>
      <c r="T342" t="str">
        <f t="shared" si="152"/>
        <v/>
      </c>
      <c r="U342">
        <f t="shared" si="153"/>
        <v>0</v>
      </c>
      <c r="V342">
        <f t="shared" si="171"/>
        <v>9</v>
      </c>
      <c r="W342" t="str">
        <f t="shared" si="154"/>
        <v/>
      </c>
      <c r="X342" t="str">
        <f t="shared" si="155"/>
        <v/>
      </c>
      <c r="Y342" t="str">
        <f t="shared" si="156"/>
        <v/>
      </c>
      <c r="Z342">
        <f t="shared" si="157"/>
        <v>0</v>
      </c>
      <c r="AA342">
        <f t="shared" si="172"/>
        <v>6</v>
      </c>
      <c r="AB342" t="str">
        <f t="shared" si="158"/>
        <v/>
      </c>
      <c r="AC342" t="str">
        <f t="shared" si="159"/>
        <v/>
      </c>
      <c r="AD342" t="str">
        <f t="shared" si="160"/>
        <v/>
      </c>
      <c r="AE342">
        <f t="shared" si="161"/>
        <v>0</v>
      </c>
      <c r="AF342">
        <f t="shared" si="173"/>
        <v>10</v>
      </c>
      <c r="AG342">
        <f t="shared" si="162"/>
        <v>130057</v>
      </c>
      <c r="AH342">
        <f t="shared" si="163"/>
        <v>51397.919999999998</v>
      </c>
      <c r="AI342" t="str">
        <f t="shared" si="164"/>
        <v>97</v>
      </c>
      <c r="AJ342">
        <f t="shared" si="165"/>
        <v>1</v>
      </c>
      <c r="AK342">
        <f t="shared" si="174"/>
        <v>4</v>
      </c>
      <c r="AL342" t="str">
        <f t="shared" si="166"/>
        <v/>
      </c>
      <c r="AM342" t="str">
        <f t="shared" si="167"/>
        <v/>
      </c>
      <c r="AN342" t="str">
        <f t="shared" si="168"/>
        <v/>
      </c>
      <c r="AO342">
        <f t="shared" si="169"/>
        <v>0</v>
      </c>
    </row>
    <row r="343" spans="1:41" x14ac:dyDescent="0.4">
      <c r="A343" t="str">
        <f>IF($CM$6=0,"",IF(INDEX('⑩ 원문 보관'!$A:$E,$CM$6+ROW()-9,COLUMN())="","",INDEX('⑩ 원문 보관'!$A:$E,$CM$6+ROW()-9,COLUMN())))</f>
        <v/>
      </c>
      <c r="B343" t="str">
        <f>IF($CM$6=0,"",IF(INDEX('⑩ 원문 보관'!$A:$E,$CM$6+ROW()-9,COLUMN())="","",INDEX('⑩ 원문 보관'!$A:$E,$CM$6+ROW()-9,COLUMN())))</f>
        <v xml:space="preserve">/Gem Systems GSM-19T 4106808 v7.0 26 IX 2014 M t-e2l..v7o                         </v>
      </c>
      <c r="C343" t="str">
        <f>IF($CM$6=0,"",IF(INDEX('⑩ 원문 보관'!$A:$E,$CM$6+ROW()-9,COLUMN())="","",INDEX('⑩ 원문 보관'!$A:$E,$CM$6+ROW()-9,COLUMN())))</f>
        <v/>
      </c>
      <c r="D343" t="str">
        <f>IF($CM$6=0,"",IF(INDEX('⑩ 원문 보관'!$A:$E,$CM$6+ROW()-9,COLUMN())="","",INDEX('⑩ 원문 보관'!$A:$E,$CM$6+ROW()-9,COLUMN())))</f>
        <v xml:space="preserve">130102.0  51398.00 98 </v>
      </c>
      <c r="E343" t="str">
        <f>IF($CM$6=0,"",IF(INDEX('⑩ 원문 보관'!$A:$E,$CM$6+ROW()-9,COLUMN())="","",INDEX('⑩ 원문 보관'!$A:$E,$CM$6+ROW()-9,COLUMN())))</f>
        <v/>
      </c>
      <c r="Q343">
        <f t="shared" si="170"/>
        <v>8</v>
      </c>
      <c r="R343" t="str">
        <f t="shared" si="150"/>
        <v/>
      </c>
      <c r="S343" t="str">
        <f t="shared" si="151"/>
        <v/>
      </c>
      <c r="T343" t="str">
        <f t="shared" si="152"/>
        <v/>
      </c>
      <c r="U343">
        <f t="shared" si="153"/>
        <v>0</v>
      </c>
      <c r="V343">
        <f t="shared" si="171"/>
        <v>9</v>
      </c>
      <c r="W343" t="str">
        <f t="shared" si="154"/>
        <v/>
      </c>
      <c r="X343" t="str">
        <f t="shared" si="155"/>
        <v/>
      </c>
      <c r="Y343" t="str">
        <f t="shared" si="156"/>
        <v>GSM-19T</v>
      </c>
      <c r="Z343">
        <f t="shared" si="157"/>
        <v>0</v>
      </c>
      <c r="AA343">
        <f t="shared" si="172"/>
        <v>6</v>
      </c>
      <c r="AB343" t="str">
        <f t="shared" si="158"/>
        <v/>
      </c>
      <c r="AC343" t="str">
        <f t="shared" si="159"/>
        <v/>
      </c>
      <c r="AD343" t="str">
        <f t="shared" si="160"/>
        <v/>
      </c>
      <c r="AE343">
        <f t="shared" si="161"/>
        <v>0</v>
      </c>
      <c r="AF343">
        <f t="shared" si="173"/>
        <v>10</v>
      </c>
      <c r="AG343">
        <f t="shared" si="162"/>
        <v>130102</v>
      </c>
      <c r="AH343">
        <f t="shared" si="163"/>
        <v>51398</v>
      </c>
      <c r="AI343" t="str">
        <f t="shared" si="164"/>
        <v>98</v>
      </c>
      <c r="AJ343">
        <f t="shared" si="165"/>
        <v>1</v>
      </c>
      <c r="AK343">
        <f t="shared" si="174"/>
        <v>4</v>
      </c>
      <c r="AL343" t="str">
        <f t="shared" si="166"/>
        <v/>
      </c>
      <c r="AM343" t="str">
        <f t="shared" si="167"/>
        <v/>
      </c>
      <c r="AN343" t="str">
        <f t="shared" si="168"/>
        <v/>
      </c>
      <c r="AO343">
        <f t="shared" si="169"/>
        <v>0</v>
      </c>
    </row>
    <row r="344" spans="1:41" x14ac:dyDescent="0.4">
      <c r="A344" t="str">
        <f>IF($CM$6=0,"",IF(INDEX('⑩ 원문 보관'!$A:$E,$CM$6+ROW()-9,COLUMN())="","",INDEX('⑩ 원문 보관'!$A:$E,$CM$6+ROW()-9,COLUMN())))</f>
        <v/>
      </c>
      <c r="B344" t="str">
        <f>IF($CM$6=0,"",IF(INDEX('⑩ 원문 보관'!$A:$E,$CM$6+ROW()-9,COLUMN())="","",INDEX('⑩ 원문 보관'!$A:$E,$CM$6+ROW()-9,COLUMN())))</f>
        <v>/ID 2666 file 19survey.b   21 IX 26</v>
      </c>
      <c r="C344" t="str">
        <f>IF($CM$6=0,"",IF(INDEX('⑩ 원문 보관'!$A:$E,$CM$6+ROW()-9,COLUMN())="","",INDEX('⑩ 원문 보관'!$A:$E,$CM$6+ROW()-9,COLUMN())))</f>
        <v/>
      </c>
      <c r="D344" t="str">
        <f>IF($CM$6=0,"",IF(INDEX('⑩ 원문 보관'!$A:$E,$CM$6+ROW()-9,COLUMN())="","",INDEX('⑩ 원문 보관'!$A:$E,$CM$6+ROW()-9,COLUMN())))</f>
        <v xml:space="preserve">130107.0  51398.02 98 </v>
      </c>
      <c r="E344" t="str">
        <f>IF($CM$6=0,"",IF(INDEX('⑩ 원문 보관'!$A:$E,$CM$6+ROW()-9,COLUMN())="","",INDEX('⑩ 원문 보관'!$A:$E,$CM$6+ROW()-9,COLUMN())))</f>
        <v/>
      </c>
      <c r="Q344">
        <f t="shared" si="170"/>
        <v>8</v>
      </c>
      <c r="R344" t="str">
        <f t="shared" si="150"/>
        <v/>
      </c>
      <c r="S344" t="str">
        <f t="shared" si="151"/>
        <v/>
      </c>
      <c r="T344" t="str">
        <f t="shared" si="152"/>
        <v/>
      </c>
      <c r="U344">
        <f t="shared" si="153"/>
        <v>0</v>
      </c>
      <c r="V344">
        <f t="shared" si="171"/>
        <v>9</v>
      </c>
      <c r="W344" t="str">
        <f t="shared" si="154"/>
        <v/>
      </c>
      <c r="X344">
        <f t="shared" si="155"/>
        <v>2666</v>
      </c>
      <c r="Y344" t="str">
        <f t="shared" si="156"/>
        <v>file</v>
      </c>
      <c r="Z344">
        <f t="shared" si="157"/>
        <v>0</v>
      </c>
      <c r="AA344">
        <f t="shared" si="172"/>
        <v>6</v>
      </c>
      <c r="AB344" t="str">
        <f t="shared" si="158"/>
        <v/>
      </c>
      <c r="AC344" t="str">
        <f t="shared" si="159"/>
        <v/>
      </c>
      <c r="AD344" t="str">
        <f t="shared" si="160"/>
        <v/>
      </c>
      <c r="AE344">
        <f t="shared" si="161"/>
        <v>0</v>
      </c>
      <c r="AF344">
        <f t="shared" si="173"/>
        <v>10</v>
      </c>
      <c r="AG344">
        <f t="shared" si="162"/>
        <v>130107</v>
      </c>
      <c r="AH344">
        <f t="shared" si="163"/>
        <v>51398.02</v>
      </c>
      <c r="AI344" t="str">
        <f t="shared" si="164"/>
        <v>98</v>
      </c>
      <c r="AJ344">
        <f t="shared" si="165"/>
        <v>1</v>
      </c>
      <c r="AK344">
        <f t="shared" si="174"/>
        <v>4</v>
      </c>
      <c r="AL344" t="str">
        <f t="shared" si="166"/>
        <v/>
      </c>
      <c r="AM344" t="str">
        <f t="shared" si="167"/>
        <v/>
      </c>
      <c r="AN344" t="str">
        <f t="shared" si="168"/>
        <v/>
      </c>
      <c r="AO344">
        <f t="shared" si="169"/>
        <v>0</v>
      </c>
    </row>
    <row r="345" spans="1:41" x14ac:dyDescent="0.4">
      <c r="A345" t="str">
        <f>IF($CM$6=0,"",IF(INDEX('⑩ 원문 보관'!$A:$E,$CM$6+ROW()-9,COLUMN())="","",INDEX('⑩ 원문 보관'!$A:$E,$CM$6+ROW()-9,COLUMN())))</f>
        <v/>
      </c>
      <c r="B345" t="str">
        <f>IF($CM$6=0,"",IF(INDEX('⑩ 원문 보관'!$A:$E,$CM$6+ROW()-9,COLUMN())="","",INDEX('⑩ 원문 보관'!$A:$E,$CM$6+ROW()-9,COLUMN())))</f>
        <v>/datum  57000.00</v>
      </c>
      <c r="C345" t="str">
        <f>IF($CM$6=0,"",IF(INDEX('⑩ 원문 보관'!$A:$E,$CM$6+ROW()-9,COLUMN())="","",INDEX('⑩ 원문 보관'!$A:$E,$CM$6+ROW()-9,COLUMN())))</f>
        <v/>
      </c>
      <c r="D345" t="str">
        <f>IF($CM$6=0,"",IF(INDEX('⑩ 원문 보관'!$A:$E,$CM$6+ROW()-9,COLUMN())="","",INDEX('⑩ 원문 보관'!$A:$E,$CM$6+ROW()-9,COLUMN())))</f>
        <v xml:space="preserve">130112.0  51397.83 98 </v>
      </c>
      <c r="E345" t="str">
        <f>IF($CM$6=0,"",IF(INDEX('⑩ 원문 보관'!$A:$E,$CM$6+ROW()-9,COLUMN())="","",INDEX('⑩ 원문 보관'!$A:$E,$CM$6+ROW()-9,COLUMN())))</f>
        <v/>
      </c>
      <c r="Q345">
        <f t="shared" si="170"/>
        <v>8</v>
      </c>
      <c r="R345" t="str">
        <f t="shared" si="150"/>
        <v/>
      </c>
      <c r="S345" t="str">
        <f t="shared" si="151"/>
        <v/>
      </c>
      <c r="T345" t="str">
        <f t="shared" si="152"/>
        <v/>
      </c>
      <c r="U345">
        <f t="shared" si="153"/>
        <v>0</v>
      </c>
      <c r="V345">
        <f t="shared" si="171"/>
        <v>9</v>
      </c>
      <c r="W345" t="str">
        <f t="shared" si="154"/>
        <v/>
      </c>
      <c r="X345">
        <f t="shared" si="155"/>
        <v>57000</v>
      </c>
      <c r="Y345" t="str">
        <f t="shared" si="156"/>
        <v/>
      </c>
      <c r="Z345">
        <f t="shared" si="157"/>
        <v>0</v>
      </c>
      <c r="AA345">
        <f t="shared" si="172"/>
        <v>6</v>
      </c>
      <c r="AB345" t="str">
        <f t="shared" si="158"/>
        <v/>
      </c>
      <c r="AC345" t="str">
        <f t="shared" si="159"/>
        <v/>
      </c>
      <c r="AD345" t="str">
        <f t="shared" si="160"/>
        <v/>
      </c>
      <c r="AE345">
        <f t="shared" si="161"/>
        <v>0</v>
      </c>
      <c r="AF345">
        <f t="shared" si="173"/>
        <v>10</v>
      </c>
      <c r="AG345">
        <f t="shared" si="162"/>
        <v>130112</v>
      </c>
      <c r="AH345">
        <f t="shared" si="163"/>
        <v>51397.83</v>
      </c>
      <c r="AI345" t="str">
        <f t="shared" si="164"/>
        <v>98</v>
      </c>
      <c r="AJ345">
        <f t="shared" si="165"/>
        <v>1</v>
      </c>
      <c r="AK345">
        <f t="shared" si="174"/>
        <v>4</v>
      </c>
      <c r="AL345" t="str">
        <f t="shared" si="166"/>
        <v/>
      </c>
      <c r="AM345" t="str">
        <f t="shared" si="167"/>
        <v/>
      </c>
      <c r="AN345" t="str">
        <f t="shared" si="168"/>
        <v/>
      </c>
      <c r="AO345">
        <f t="shared" si="169"/>
        <v>0</v>
      </c>
    </row>
    <row r="346" spans="1:41" x14ac:dyDescent="0.4">
      <c r="A346" t="str">
        <f>IF($CM$6=0,"",IF(INDEX('⑩ 원문 보관'!$A:$E,$CM$6+ROW()-9,COLUMN())="","",INDEX('⑩ 원문 보관'!$A:$E,$CM$6+ROW()-9,COLUMN())))</f>
        <v/>
      </c>
      <c r="B346" t="str">
        <f>IF($CM$6=0,"",IF(INDEX('⑩ 원문 보관'!$A:$E,$CM$6+ROW()-9,COLUMN())="","",INDEX('⑩ 원문 보관'!$A:$E,$CM$6+ROW()-9,COLUMN())))</f>
        <v>/</v>
      </c>
      <c r="C346" t="str">
        <f>IF($CM$6=0,"",IF(INDEX('⑩ 원문 보관'!$A:$E,$CM$6+ROW()-9,COLUMN())="","",INDEX('⑩ 원문 보관'!$A:$E,$CM$6+ROW()-9,COLUMN())))</f>
        <v/>
      </c>
      <c r="D346" t="str">
        <f>IF($CM$6=0,"",IF(INDEX('⑩ 원문 보관'!$A:$E,$CM$6+ROW()-9,COLUMN())="","",INDEX('⑩ 원문 보관'!$A:$E,$CM$6+ROW()-9,COLUMN())))</f>
        <v xml:space="preserve">130117.0  51398.03 98 </v>
      </c>
      <c r="E346" t="str">
        <f>IF($CM$6=0,"",IF(INDEX('⑩ 원문 보관'!$A:$E,$CM$6+ROW()-9,COLUMN())="","",INDEX('⑩ 원문 보관'!$A:$E,$CM$6+ROW()-9,COLUMN())))</f>
        <v/>
      </c>
      <c r="Q346">
        <f t="shared" si="170"/>
        <v>8</v>
      </c>
      <c r="R346" t="str">
        <f t="shared" si="150"/>
        <v/>
      </c>
      <c r="S346" t="str">
        <f t="shared" si="151"/>
        <v/>
      </c>
      <c r="T346" t="str">
        <f t="shared" si="152"/>
        <v/>
      </c>
      <c r="U346">
        <f t="shared" si="153"/>
        <v>0</v>
      </c>
      <c r="V346">
        <f t="shared" si="171"/>
        <v>9</v>
      </c>
      <c r="W346" t="str">
        <f t="shared" si="154"/>
        <v/>
      </c>
      <c r="X346" t="str">
        <f t="shared" si="155"/>
        <v/>
      </c>
      <c r="Y346" t="str">
        <f t="shared" si="156"/>
        <v/>
      </c>
      <c r="Z346">
        <f t="shared" si="157"/>
        <v>0</v>
      </c>
      <c r="AA346">
        <f t="shared" si="172"/>
        <v>6</v>
      </c>
      <c r="AB346" t="str">
        <f t="shared" si="158"/>
        <v/>
      </c>
      <c r="AC346" t="str">
        <f t="shared" si="159"/>
        <v/>
      </c>
      <c r="AD346" t="str">
        <f t="shared" si="160"/>
        <v/>
      </c>
      <c r="AE346">
        <f t="shared" si="161"/>
        <v>0</v>
      </c>
      <c r="AF346">
        <f t="shared" si="173"/>
        <v>10</v>
      </c>
      <c r="AG346">
        <f t="shared" si="162"/>
        <v>130117</v>
      </c>
      <c r="AH346">
        <f t="shared" si="163"/>
        <v>51398.03</v>
      </c>
      <c r="AI346" t="str">
        <f t="shared" si="164"/>
        <v>98</v>
      </c>
      <c r="AJ346">
        <f t="shared" si="165"/>
        <v>1</v>
      </c>
      <c r="AK346">
        <f t="shared" si="174"/>
        <v>4</v>
      </c>
      <c r="AL346" t="str">
        <f t="shared" si="166"/>
        <v/>
      </c>
      <c r="AM346" t="str">
        <f t="shared" si="167"/>
        <v/>
      </c>
      <c r="AN346" t="str">
        <f t="shared" si="168"/>
        <v/>
      </c>
      <c r="AO346">
        <f t="shared" si="169"/>
        <v>0</v>
      </c>
    </row>
    <row r="347" spans="1:41" x14ac:dyDescent="0.4">
      <c r="A347" t="str">
        <f>IF($CM$6=0,"",IF(INDEX('⑩ 원문 보관'!$A:$E,$CM$6+ROW()-9,COLUMN())="","",INDEX('⑩ 원문 보관'!$A:$E,$CM$6+ROW()-9,COLUMN())))</f>
        <v/>
      </c>
      <c r="B347" t="str">
        <f>IF($CM$6=0,"",IF(INDEX('⑩ 원문 보관'!$A:$E,$CM$6+ROW()-9,COLUMN())="","",INDEX('⑩ 원문 보관'!$A:$E,$CM$6+ROW()-9,COLUMN())))</f>
        <v/>
      </c>
      <c r="C347" t="str">
        <f>IF($CM$6=0,"",IF(INDEX('⑩ 원문 보관'!$A:$E,$CM$6+ROW()-9,COLUMN())="","",INDEX('⑩ 원문 보관'!$A:$E,$CM$6+ROW()-9,COLUMN())))</f>
        <v/>
      </c>
      <c r="D347" t="str">
        <f>IF($CM$6=0,"",IF(INDEX('⑩ 원문 보관'!$A:$E,$CM$6+ROW()-9,COLUMN())="","",INDEX('⑩ 원문 보관'!$A:$E,$CM$6+ROW()-9,COLUMN())))</f>
        <v xml:space="preserve">130122.0  51397.94 98 </v>
      </c>
      <c r="E347" t="str">
        <f>IF($CM$6=0,"",IF(INDEX('⑩ 원문 보관'!$A:$E,$CM$6+ROW()-9,COLUMN())="","",INDEX('⑩ 원문 보관'!$A:$E,$CM$6+ROW()-9,COLUMN())))</f>
        <v/>
      </c>
      <c r="Q347">
        <f t="shared" si="170"/>
        <v>8</v>
      </c>
      <c r="R347" t="str">
        <f t="shared" si="150"/>
        <v/>
      </c>
      <c r="S347" t="str">
        <f t="shared" si="151"/>
        <v/>
      </c>
      <c r="T347" t="str">
        <f t="shared" si="152"/>
        <v/>
      </c>
      <c r="U347">
        <f t="shared" si="153"/>
        <v>0</v>
      </c>
      <c r="V347">
        <f t="shared" si="171"/>
        <v>9</v>
      </c>
      <c r="W347" t="str">
        <f t="shared" si="154"/>
        <v/>
      </c>
      <c r="X347" t="str">
        <f t="shared" si="155"/>
        <v/>
      </c>
      <c r="Y347" t="str">
        <f t="shared" si="156"/>
        <v/>
      </c>
      <c r="Z347">
        <f t="shared" si="157"/>
        <v>0</v>
      </c>
      <c r="AA347">
        <f t="shared" si="172"/>
        <v>6</v>
      </c>
      <c r="AB347" t="str">
        <f t="shared" si="158"/>
        <v/>
      </c>
      <c r="AC347" t="str">
        <f t="shared" si="159"/>
        <v/>
      </c>
      <c r="AD347" t="str">
        <f t="shared" si="160"/>
        <v/>
      </c>
      <c r="AE347">
        <f t="shared" si="161"/>
        <v>0</v>
      </c>
      <c r="AF347">
        <f t="shared" si="173"/>
        <v>10</v>
      </c>
      <c r="AG347">
        <f t="shared" si="162"/>
        <v>130122</v>
      </c>
      <c r="AH347">
        <f t="shared" si="163"/>
        <v>51397.94</v>
      </c>
      <c r="AI347" t="str">
        <f t="shared" si="164"/>
        <v>98</v>
      </c>
      <c r="AJ347">
        <f t="shared" si="165"/>
        <v>1</v>
      </c>
      <c r="AK347">
        <f t="shared" si="174"/>
        <v>4</v>
      </c>
      <c r="AL347" t="str">
        <f t="shared" si="166"/>
        <v/>
      </c>
      <c r="AM347" t="str">
        <f t="shared" si="167"/>
        <v/>
      </c>
      <c r="AN347" t="str">
        <f t="shared" si="168"/>
        <v/>
      </c>
      <c r="AO347">
        <f t="shared" si="169"/>
        <v>0</v>
      </c>
    </row>
    <row r="348" spans="1:41" x14ac:dyDescent="0.4">
      <c r="A348" t="str">
        <f>IF($CM$6=0,"",IF(INDEX('⑩ 원문 보관'!$A:$E,$CM$6+ROW()-9,COLUMN())="","",INDEX('⑩ 원문 보관'!$A:$E,$CM$6+ROW()-9,COLUMN())))</f>
        <v/>
      </c>
      <c r="B348" t="str">
        <f>IF($CM$6=0,"",IF(INDEX('⑩ 원문 보관'!$A:$E,$CM$6+ROW()-9,COLUMN())="","",INDEX('⑩ 원문 보관'!$A:$E,$CM$6+ROW()-9,COLUMN())))</f>
        <v xml:space="preserve">/time nT sq </v>
      </c>
      <c r="C348" t="str">
        <f>IF($CM$6=0,"",IF(INDEX('⑩ 원문 보관'!$A:$E,$CM$6+ROW()-9,COLUMN())="","",INDEX('⑩ 원문 보관'!$A:$E,$CM$6+ROW()-9,COLUMN())))</f>
        <v/>
      </c>
      <c r="D348" t="str">
        <f>IF($CM$6=0,"",IF(INDEX('⑩ 원문 보관'!$A:$E,$CM$6+ROW()-9,COLUMN())="","",INDEX('⑩ 원문 보관'!$A:$E,$CM$6+ROW()-9,COLUMN())))</f>
        <v xml:space="preserve">130127.0  51397.98 97 </v>
      </c>
      <c r="E348" t="str">
        <f>IF($CM$6=0,"",IF(INDEX('⑩ 원문 보관'!$A:$E,$CM$6+ROW()-9,COLUMN())="","",INDEX('⑩ 원문 보관'!$A:$E,$CM$6+ROW()-9,COLUMN())))</f>
        <v/>
      </c>
      <c r="Q348">
        <f t="shared" si="170"/>
        <v>8</v>
      </c>
      <c r="R348" t="str">
        <f t="shared" si="150"/>
        <v/>
      </c>
      <c r="S348" t="str">
        <f t="shared" si="151"/>
        <v/>
      </c>
      <c r="T348" t="str">
        <f t="shared" si="152"/>
        <v/>
      </c>
      <c r="U348">
        <f t="shared" si="153"/>
        <v>0</v>
      </c>
      <c r="V348">
        <f t="shared" si="171"/>
        <v>10</v>
      </c>
      <c r="W348" t="str">
        <f t="shared" si="154"/>
        <v/>
      </c>
      <c r="X348" t="str">
        <f t="shared" si="155"/>
        <v/>
      </c>
      <c r="Y348" t="str">
        <f t="shared" si="156"/>
        <v>sq</v>
      </c>
      <c r="Z348">
        <f t="shared" si="157"/>
        <v>0</v>
      </c>
      <c r="AA348">
        <f t="shared" si="172"/>
        <v>6</v>
      </c>
      <c r="AB348" t="str">
        <f t="shared" si="158"/>
        <v/>
      </c>
      <c r="AC348" t="str">
        <f t="shared" si="159"/>
        <v/>
      </c>
      <c r="AD348" t="str">
        <f t="shared" si="160"/>
        <v/>
      </c>
      <c r="AE348">
        <f t="shared" si="161"/>
        <v>0</v>
      </c>
      <c r="AF348">
        <f t="shared" si="173"/>
        <v>10</v>
      </c>
      <c r="AG348">
        <f t="shared" si="162"/>
        <v>130127</v>
      </c>
      <c r="AH348">
        <f t="shared" si="163"/>
        <v>51397.98</v>
      </c>
      <c r="AI348" t="str">
        <f t="shared" si="164"/>
        <v>97</v>
      </c>
      <c r="AJ348">
        <f t="shared" si="165"/>
        <v>1</v>
      </c>
      <c r="AK348">
        <f t="shared" si="174"/>
        <v>4</v>
      </c>
      <c r="AL348" t="str">
        <f t="shared" si="166"/>
        <v/>
      </c>
      <c r="AM348" t="str">
        <f t="shared" si="167"/>
        <v/>
      </c>
      <c r="AN348" t="str">
        <f t="shared" si="168"/>
        <v/>
      </c>
      <c r="AO348">
        <f t="shared" si="169"/>
        <v>0</v>
      </c>
    </row>
    <row r="349" spans="1:41" x14ac:dyDescent="0.4">
      <c r="A349" t="str">
        <f>IF($CM$6=0,"",IF(INDEX('⑩ 원문 보관'!$A:$E,$CM$6+ROW()-9,COLUMN())="","",INDEX('⑩ 원문 보관'!$A:$E,$CM$6+ROW()-9,COLUMN())))</f>
        <v/>
      </c>
      <c r="B349" t="str">
        <f>IF($CM$6=0,"",IF(INDEX('⑩ 원문 보관'!$A:$E,$CM$6+ROW()-9,COLUMN())="","",INDEX('⑩ 원문 보관'!$A:$E,$CM$6+ROW()-9,COLUMN())))</f>
        <v xml:space="preserve">121007.0  51714.83 47 </v>
      </c>
      <c r="C349" t="str">
        <f>IF($CM$6=0,"",IF(INDEX('⑩ 원문 보관'!$A:$E,$CM$6+ROW()-9,COLUMN())="","",INDEX('⑩ 원문 보관'!$A:$E,$CM$6+ROW()-9,COLUMN())))</f>
        <v/>
      </c>
      <c r="D349" t="str">
        <f>IF($CM$6=0,"",IF(INDEX('⑩ 원문 보관'!$A:$E,$CM$6+ROW()-9,COLUMN())="","",INDEX('⑩ 원문 보관'!$A:$E,$CM$6+ROW()-9,COLUMN())))</f>
        <v xml:space="preserve">130132.0  51397.93 98 </v>
      </c>
      <c r="E349" t="str">
        <f>IF($CM$6=0,"",IF(INDEX('⑩ 원문 보관'!$A:$E,$CM$6+ROW()-9,COLUMN())="","",INDEX('⑩ 원문 보관'!$A:$E,$CM$6+ROW()-9,COLUMN())))</f>
        <v/>
      </c>
      <c r="Q349">
        <f t="shared" si="170"/>
        <v>8</v>
      </c>
      <c r="R349" t="str">
        <f t="shared" si="150"/>
        <v/>
      </c>
      <c r="S349" t="str">
        <f t="shared" si="151"/>
        <v/>
      </c>
      <c r="T349" t="str">
        <f t="shared" si="152"/>
        <v/>
      </c>
      <c r="U349">
        <f t="shared" si="153"/>
        <v>0</v>
      </c>
      <c r="V349">
        <f t="shared" si="171"/>
        <v>10</v>
      </c>
      <c r="W349">
        <f t="shared" si="154"/>
        <v>121007</v>
      </c>
      <c r="X349">
        <f t="shared" si="155"/>
        <v>51714.83</v>
      </c>
      <c r="Y349" t="str">
        <f t="shared" si="156"/>
        <v>47</v>
      </c>
      <c r="Z349">
        <f t="shared" si="157"/>
        <v>1</v>
      </c>
      <c r="AA349">
        <f t="shared" si="172"/>
        <v>6</v>
      </c>
      <c r="AB349" t="str">
        <f t="shared" si="158"/>
        <v/>
      </c>
      <c r="AC349" t="str">
        <f t="shared" si="159"/>
        <v/>
      </c>
      <c r="AD349" t="str">
        <f t="shared" si="160"/>
        <v/>
      </c>
      <c r="AE349">
        <f t="shared" si="161"/>
        <v>0</v>
      </c>
      <c r="AF349">
        <f t="shared" si="173"/>
        <v>10</v>
      </c>
      <c r="AG349">
        <f t="shared" si="162"/>
        <v>130132</v>
      </c>
      <c r="AH349">
        <f t="shared" si="163"/>
        <v>51397.93</v>
      </c>
      <c r="AI349" t="str">
        <f t="shared" si="164"/>
        <v>98</v>
      </c>
      <c r="AJ349">
        <f t="shared" si="165"/>
        <v>1</v>
      </c>
      <c r="AK349">
        <f t="shared" si="174"/>
        <v>4</v>
      </c>
      <c r="AL349" t="str">
        <f t="shared" si="166"/>
        <v/>
      </c>
      <c r="AM349" t="str">
        <f t="shared" si="167"/>
        <v/>
      </c>
      <c r="AN349" t="str">
        <f t="shared" si="168"/>
        <v/>
      </c>
      <c r="AO349">
        <f t="shared" si="169"/>
        <v>0</v>
      </c>
    </row>
    <row r="350" spans="1:41" x14ac:dyDescent="0.4">
      <c r="A350" t="str">
        <f>IF($CM$6=0,"",IF(INDEX('⑩ 원문 보관'!$A:$E,$CM$6+ROW()-9,COLUMN())="","",INDEX('⑩ 원문 보관'!$A:$E,$CM$6+ROW()-9,COLUMN())))</f>
        <v/>
      </c>
      <c r="B350" t="str">
        <f>IF($CM$6=0,"",IF(INDEX('⑩ 원문 보관'!$A:$E,$CM$6+ROW()-9,COLUMN())="","",INDEX('⑩ 원문 보관'!$A:$E,$CM$6+ROW()-9,COLUMN())))</f>
        <v xml:space="preserve">121012.0  51714.43 48 </v>
      </c>
      <c r="C350" t="str">
        <f>IF($CM$6=0,"",IF(INDEX('⑩ 원문 보관'!$A:$E,$CM$6+ROW()-9,COLUMN())="","",INDEX('⑩ 원문 보관'!$A:$E,$CM$6+ROW()-9,COLUMN())))</f>
        <v/>
      </c>
      <c r="D350" t="str">
        <f>IF($CM$6=0,"",IF(INDEX('⑩ 원문 보관'!$A:$E,$CM$6+ROW()-9,COLUMN())="","",INDEX('⑩ 원문 보관'!$A:$E,$CM$6+ROW()-9,COLUMN())))</f>
        <v xml:space="preserve">130137.0  51398.05 98 </v>
      </c>
      <c r="E350" t="str">
        <f>IF($CM$6=0,"",IF(INDEX('⑩ 원문 보관'!$A:$E,$CM$6+ROW()-9,COLUMN())="","",INDEX('⑩ 원문 보관'!$A:$E,$CM$6+ROW()-9,COLUMN())))</f>
        <v/>
      </c>
      <c r="Q350">
        <f t="shared" si="170"/>
        <v>8</v>
      </c>
      <c r="R350" t="str">
        <f t="shared" si="150"/>
        <v/>
      </c>
      <c r="S350" t="str">
        <f t="shared" si="151"/>
        <v/>
      </c>
      <c r="T350" t="str">
        <f t="shared" si="152"/>
        <v/>
      </c>
      <c r="U350">
        <f t="shared" si="153"/>
        <v>0</v>
      </c>
      <c r="V350">
        <f t="shared" si="171"/>
        <v>10</v>
      </c>
      <c r="W350">
        <f t="shared" si="154"/>
        <v>121012</v>
      </c>
      <c r="X350">
        <f t="shared" si="155"/>
        <v>51714.43</v>
      </c>
      <c r="Y350" t="str">
        <f t="shared" si="156"/>
        <v>48</v>
      </c>
      <c r="Z350">
        <f t="shared" si="157"/>
        <v>1</v>
      </c>
      <c r="AA350">
        <f t="shared" si="172"/>
        <v>6</v>
      </c>
      <c r="AB350" t="str">
        <f t="shared" si="158"/>
        <v/>
      </c>
      <c r="AC350" t="str">
        <f t="shared" si="159"/>
        <v/>
      </c>
      <c r="AD350" t="str">
        <f t="shared" si="160"/>
        <v/>
      </c>
      <c r="AE350">
        <f t="shared" si="161"/>
        <v>0</v>
      </c>
      <c r="AF350">
        <f t="shared" si="173"/>
        <v>10</v>
      </c>
      <c r="AG350">
        <f t="shared" si="162"/>
        <v>130137</v>
      </c>
      <c r="AH350">
        <f t="shared" si="163"/>
        <v>51398.05</v>
      </c>
      <c r="AI350" t="str">
        <f t="shared" si="164"/>
        <v>98</v>
      </c>
      <c r="AJ350">
        <f t="shared" si="165"/>
        <v>1</v>
      </c>
      <c r="AK350">
        <f t="shared" si="174"/>
        <v>4</v>
      </c>
      <c r="AL350" t="str">
        <f t="shared" si="166"/>
        <v/>
      </c>
      <c r="AM350" t="str">
        <f t="shared" si="167"/>
        <v/>
      </c>
      <c r="AN350" t="str">
        <f t="shared" si="168"/>
        <v/>
      </c>
      <c r="AO350">
        <f t="shared" si="169"/>
        <v>0</v>
      </c>
    </row>
    <row r="351" spans="1:41" x14ac:dyDescent="0.4">
      <c r="A351" t="str">
        <f>IF($CM$6=0,"",IF(INDEX('⑩ 원문 보관'!$A:$E,$CM$6+ROW()-9,COLUMN())="","",INDEX('⑩ 원문 보관'!$A:$E,$CM$6+ROW()-9,COLUMN())))</f>
        <v/>
      </c>
      <c r="B351" t="str">
        <f>IF($CM$6=0,"",IF(INDEX('⑩ 원문 보관'!$A:$E,$CM$6+ROW()-9,COLUMN())="","",INDEX('⑩ 원문 보관'!$A:$E,$CM$6+ROW()-9,COLUMN())))</f>
        <v xml:space="preserve">121017.0  51714.72 47 </v>
      </c>
      <c r="C351" t="str">
        <f>IF($CM$6=0,"",IF(INDEX('⑩ 원문 보관'!$A:$E,$CM$6+ROW()-9,COLUMN())="","",INDEX('⑩ 원문 보관'!$A:$E,$CM$6+ROW()-9,COLUMN())))</f>
        <v/>
      </c>
      <c r="D351" t="str">
        <f>IF($CM$6=0,"",IF(INDEX('⑩ 원문 보관'!$A:$E,$CM$6+ROW()-9,COLUMN())="","",INDEX('⑩ 원문 보관'!$A:$E,$CM$6+ROW()-9,COLUMN())))</f>
        <v xml:space="preserve">130142.0  51398.04 97 </v>
      </c>
      <c r="E351" t="str">
        <f>IF($CM$6=0,"",IF(INDEX('⑩ 원문 보관'!$A:$E,$CM$6+ROW()-9,COLUMN())="","",INDEX('⑩ 원문 보관'!$A:$E,$CM$6+ROW()-9,COLUMN())))</f>
        <v/>
      </c>
      <c r="Q351">
        <f t="shared" si="170"/>
        <v>8</v>
      </c>
      <c r="R351" t="str">
        <f t="shared" si="150"/>
        <v/>
      </c>
      <c r="S351" t="str">
        <f t="shared" si="151"/>
        <v/>
      </c>
      <c r="T351" t="str">
        <f t="shared" si="152"/>
        <v/>
      </c>
      <c r="U351">
        <f t="shared" si="153"/>
        <v>0</v>
      </c>
      <c r="V351">
        <f t="shared" si="171"/>
        <v>10</v>
      </c>
      <c r="W351">
        <f t="shared" si="154"/>
        <v>121017</v>
      </c>
      <c r="X351">
        <f t="shared" si="155"/>
        <v>51714.720000000001</v>
      </c>
      <c r="Y351" t="str">
        <f t="shared" si="156"/>
        <v>47</v>
      </c>
      <c r="Z351">
        <f t="shared" si="157"/>
        <v>1</v>
      </c>
      <c r="AA351">
        <f t="shared" si="172"/>
        <v>6</v>
      </c>
      <c r="AB351" t="str">
        <f t="shared" si="158"/>
        <v/>
      </c>
      <c r="AC351" t="str">
        <f t="shared" si="159"/>
        <v/>
      </c>
      <c r="AD351" t="str">
        <f t="shared" si="160"/>
        <v/>
      </c>
      <c r="AE351">
        <f t="shared" si="161"/>
        <v>0</v>
      </c>
      <c r="AF351">
        <f t="shared" si="173"/>
        <v>10</v>
      </c>
      <c r="AG351">
        <f t="shared" si="162"/>
        <v>130142</v>
      </c>
      <c r="AH351">
        <f t="shared" si="163"/>
        <v>51398.04</v>
      </c>
      <c r="AI351" t="str">
        <f t="shared" si="164"/>
        <v>97</v>
      </c>
      <c r="AJ351">
        <f t="shared" si="165"/>
        <v>1</v>
      </c>
      <c r="AK351">
        <f t="shared" si="174"/>
        <v>4</v>
      </c>
      <c r="AL351" t="str">
        <f t="shared" si="166"/>
        <v/>
      </c>
      <c r="AM351" t="str">
        <f t="shared" si="167"/>
        <v/>
      </c>
      <c r="AN351" t="str">
        <f t="shared" si="168"/>
        <v/>
      </c>
      <c r="AO351">
        <f t="shared" si="169"/>
        <v>0</v>
      </c>
    </row>
    <row r="352" spans="1:41" x14ac:dyDescent="0.4">
      <c r="A352" t="str">
        <f>IF($CM$6=0,"",IF(INDEX('⑩ 원문 보관'!$A:$E,$CM$6+ROW()-9,COLUMN())="","",INDEX('⑩ 원문 보관'!$A:$E,$CM$6+ROW()-9,COLUMN())))</f>
        <v/>
      </c>
      <c r="B352" t="str">
        <f>IF($CM$6=0,"",IF(INDEX('⑩ 원문 보관'!$A:$E,$CM$6+ROW()-9,COLUMN())="","",INDEX('⑩ 원문 보관'!$A:$E,$CM$6+ROW()-9,COLUMN())))</f>
        <v xml:space="preserve">121022.0  51714.89 57 </v>
      </c>
      <c r="C352" t="str">
        <f>IF($CM$6=0,"",IF(INDEX('⑩ 원문 보관'!$A:$E,$CM$6+ROW()-9,COLUMN())="","",INDEX('⑩ 원문 보관'!$A:$E,$CM$6+ROW()-9,COLUMN())))</f>
        <v/>
      </c>
      <c r="D352" t="str">
        <f>IF($CM$6=0,"",IF(INDEX('⑩ 원문 보관'!$A:$E,$CM$6+ROW()-9,COLUMN())="","",INDEX('⑩ 원문 보관'!$A:$E,$CM$6+ROW()-9,COLUMN())))</f>
        <v xml:space="preserve">130147.0  51398.04 97 </v>
      </c>
      <c r="E352" t="str">
        <f>IF($CM$6=0,"",IF(INDEX('⑩ 원문 보관'!$A:$E,$CM$6+ROW()-9,COLUMN())="","",INDEX('⑩ 원문 보관'!$A:$E,$CM$6+ROW()-9,COLUMN())))</f>
        <v/>
      </c>
      <c r="Q352">
        <f t="shared" si="170"/>
        <v>8</v>
      </c>
      <c r="R352" t="str">
        <f t="shared" si="150"/>
        <v/>
      </c>
      <c r="S352" t="str">
        <f t="shared" si="151"/>
        <v/>
      </c>
      <c r="T352" t="str">
        <f t="shared" si="152"/>
        <v/>
      </c>
      <c r="U352">
        <f t="shared" si="153"/>
        <v>0</v>
      </c>
      <c r="V352">
        <f t="shared" si="171"/>
        <v>10</v>
      </c>
      <c r="W352">
        <f t="shared" si="154"/>
        <v>121022</v>
      </c>
      <c r="X352">
        <f t="shared" si="155"/>
        <v>51714.89</v>
      </c>
      <c r="Y352" t="str">
        <f t="shared" si="156"/>
        <v>57</v>
      </c>
      <c r="Z352">
        <f t="shared" si="157"/>
        <v>1</v>
      </c>
      <c r="AA352">
        <f t="shared" si="172"/>
        <v>6</v>
      </c>
      <c r="AB352" t="str">
        <f t="shared" si="158"/>
        <v/>
      </c>
      <c r="AC352" t="str">
        <f t="shared" si="159"/>
        <v/>
      </c>
      <c r="AD352" t="str">
        <f t="shared" si="160"/>
        <v/>
      </c>
      <c r="AE352">
        <f t="shared" si="161"/>
        <v>0</v>
      </c>
      <c r="AF352">
        <f t="shared" si="173"/>
        <v>10</v>
      </c>
      <c r="AG352">
        <f t="shared" si="162"/>
        <v>130147</v>
      </c>
      <c r="AH352">
        <f t="shared" si="163"/>
        <v>51398.04</v>
      </c>
      <c r="AI352" t="str">
        <f t="shared" si="164"/>
        <v>97</v>
      </c>
      <c r="AJ352">
        <f t="shared" si="165"/>
        <v>1</v>
      </c>
      <c r="AK352">
        <f t="shared" si="174"/>
        <v>4</v>
      </c>
      <c r="AL352" t="str">
        <f t="shared" si="166"/>
        <v/>
      </c>
      <c r="AM352" t="str">
        <f t="shared" si="167"/>
        <v/>
      </c>
      <c r="AN352" t="str">
        <f t="shared" si="168"/>
        <v/>
      </c>
      <c r="AO352">
        <f t="shared" si="169"/>
        <v>0</v>
      </c>
    </row>
    <row r="353" spans="1:41" x14ac:dyDescent="0.4">
      <c r="A353" t="str">
        <f>IF($CM$6=0,"",IF(INDEX('⑩ 원문 보관'!$A:$E,$CM$6+ROW()-9,COLUMN())="","",INDEX('⑩ 원문 보관'!$A:$E,$CM$6+ROW()-9,COLUMN())))</f>
        <v/>
      </c>
      <c r="B353" t="str">
        <f>IF($CM$6=0,"",IF(INDEX('⑩ 원문 보관'!$A:$E,$CM$6+ROW()-9,COLUMN())="","",INDEX('⑩ 원문 보관'!$A:$E,$CM$6+ROW()-9,COLUMN())))</f>
        <v xml:space="preserve">121027.0  51714.79 48 </v>
      </c>
      <c r="C353" t="str">
        <f>IF($CM$6=0,"",IF(INDEX('⑩ 원문 보관'!$A:$E,$CM$6+ROW()-9,COLUMN())="","",INDEX('⑩ 원문 보관'!$A:$E,$CM$6+ROW()-9,COLUMN())))</f>
        <v/>
      </c>
      <c r="D353" t="str">
        <f>IF($CM$6=0,"",IF(INDEX('⑩ 원문 보관'!$A:$E,$CM$6+ROW()-9,COLUMN())="","",INDEX('⑩ 원문 보관'!$A:$E,$CM$6+ROW()-9,COLUMN())))</f>
        <v xml:space="preserve">130152.0  51398.03 97 </v>
      </c>
      <c r="E353" t="str">
        <f>IF($CM$6=0,"",IF(INDEX('⑩ 원문 보관'!$A:$E,$CM$6+ROW()-9,COLUMN())="","",INDEX('⑩ 원문 보관'!$A:$E,$CM$6+ROW()-9,COLUMN())))</f>
        <v/>
      </c>
      <c r="Q353">
        <f t="shared" si="170"/>
        <v>8</v>
      </c>
      <c r="R353" t="str">
        <f t="shared" si="150"/>
        <v/>
      </c>
      <c r="S353" t="str">
        <f t="shared" si="151"/>
        <v/>
      </c>
      <c r="T353" t="str">
        <f t="shared" si="152"/>
        <v/>
      </c>
      <c r="U353">
        <f t="shared" si="153"/>
        <v>0</v>
      </c>
      <c r="V353">
        <f t="shared" si="171"/>
        <v>10</v>
      </c>
      <c r="W353">
        <f t="shared" si="154"/>
        <v>121027</v>
      </c>
      <c r="X353">
        <f t="shared" si="155"/>
        <v>51714.79</v>
      </c>
      <c r="Y353" t="str">
        <f t="shared" si="156"/>
        <v>48</v>
      </c>
      <c r="Z353">
        <f t="shared" si="157"/>
        <v>1</v>
      </c>
      <c r="AA353">
        <f t="shared" si="172"/>
        <v>6</v>
      </c>
      <c r="AB353" t="str">
        <f t="shared" si="158"/>
        <v/>
      </c>
      <c r="AC353" t="str">
        <f t="shared" si="159"/>
        <v/>
      </c>
      <c r="AD353" t="str">
        <f t="shared" si="160"/>
        <v/>
      </c>
      <c r="AE353">
        <f t="shared" si="161"/>
        <v>0</v>
      </c>
      <c r="AF353">
        <f t="shared" si="173"/>
        <v>10</v>
      </c>
      <c r="AG353">
        <f t="shared" si="162"/>
        <v>130152</v>
      </c>
      <c r="AH353">
        <f t="shared" si="163"/>
        <v>51398.03</v>
      </c>
      <c r="AI353" t="str">
        <f t="shared" si="164"/>
        <v>97</v>
      </c>
      <c r="AJ353">
        <f t="shared" si="165"/>
        <v>1</v>
      </c>
      <c r="AK353">
        <f t="shared" si="174"/>
        <v>4</v>
      </c>
      <c r="AL353" t="str">
        <f t="shared" si="166"/>
        <v/>
      </c>
      <c r="AM353" t="str">
        <f t="shared" si="167"/>
        <v/>
      </c>
      <c r="AN353" t="str">
        <f t="shared" si="168"/>
        <v/>
      </c>
      <c r="AO353">
        <f t="shared" si="169"/>
        <v>0</v>
      </c>
    </row>
    <row r="354" spans="1:41" x14ac:dyDescent="0.4">
      <c r="A354" t="str">
        <f>IF($CM$6=0,"",IF(INDEX('⑩ 원문 보관'!$A:$E,$CM$6+ROW()-9,COLUMN())="","",INDEX('⑩ 원문 보관'!$A:$E,$CM$6+ROW()-9,COLUMN())))</f>
        <v/>
      </c>
      <c r="B354" t="str">
        <f>IF($CM$6=0,"",IF(INDEX('⑩ 원문 보관'!$A:$E,$CM$6+ROW()-9,COLUMN())="","",INDEX('⑩ 원문 보관'!$A:$E,$CM$6+ROW()-9,COLUMN())))</f>
        <v xml:space="preserve">121032.0  51714.16 58 </v>
      </c>
      <c r="C354" t="str">
        <f>IF($CM$6=0,"",IF(INDEX('⑩ 원문 보관'!$A:$E,$CM$6+ROW()-9,COLUMN())="","",INDEX('⑩ 원문 보관'!$A:$E,$CM$6+ROW()-9,COLUMN())))</f>
        <v/>
      </c>
      <c r="D354" t="str">
        <f>IF($CM$6=0,"",IF(INDEX('⑩ 원문 보관'!$A:$E,$CM$6+ROW()-9,COLUMN())="","",INDEX('⑩ 원문 보관'!$A:$E,$CM$6+ROW()-9,COLUMN())))</f>
        <v xml:space="preserve">130157.0  51398.06 97 </v>
      </c>
      <c r="E354" t="str">
        <f>IF($CM$6=0,"",IF(INDEX('⑩ 원문 보관'!$A:$E,$CM$6+ROW()-9,COLUMN())="","",INDEX('⑩ 원문 보관'!$A:$E,$CM$6+ROW()-9,COLUMN())))</f>
        <v/>
      </c>
      <c r="Q354">
        <f t="shared" si="170"/>
        <v>8</v>
      </c>
      <c r="R354" t="str">
        <f t="shared" si="150"/>
        <v/>
      </c>
      <c r="S354" t="str">
        <f t="shared" si="151"/>
        <v/>
      </c>
      <c r="T354" t="str">
        <f t="shared" si="152"/>
        <v/>
      </c>
      <c r="U354">
        <f t="shared" si="153"/>
        <v>0</v>
      </c>
      <c r="V354">
        <f t="shared" si="171"/>
        <v>10</v>
      </c>
      <c r="W354">
        <f t="shared" si="154"/>
        <v>121032</v>
      </c>
      <c r="X354">
        <f t="shared" si="155"/>
        <v>51714.16</v>
      </c>
      <c r="Y354" t="str">
        <f t="shared" si="156"/>
        <v>58</v>
      </c>
      <c r="Z354">
        <f t="shared" si="157"/>
        <v>1</v>
      </c>
      <c r="AA354">
        <f t="shared" si="172"/>
        <v>6</v>
      </c>
      <c r="AB354" t="str">
        <f t="shared" si="158"/>
        <v/>
      </c>
      <c r="AC354" t="str">
        <f t="shared" si="159"/>
        <v/>
      </c>
      <c r="AD354" t="str">
        <f t="shared" si="160"/>
        <v/>
      </c>
      <c r="AE354">
        <f t="shared" si="161"/>
        <v>0</v>
      </c>
      <c r="AF354">
        <f t="shared" si="173"/>
        <v>10</v>
      </c>
      <c r="AG354">
        <f t="shared" si="162"/>
        <v>130157</v>
      </c>
      <c r="AH354">
        <f t="shared" si="163"/>
        <v>51398.06</v>
      </c>
      <c r="AI354" t="str">
        <f t="shared" si="164"/>
        <v>97</v>
      </c>
      <c r="AJ354">
        <f t="shared" si="165"/>
        <v>1</v>
      </c>
      <c r="AK354">
        <f t="shared" si="174"/>
        <v>4</v>
      </c>
      <c r="AL354" t="str">
        <f t="shared" si="166"/>
        <v/>
      </c>
      <c r="AM354" t="str">
        <f t="shared" si="167"/>
        <v/>
      </c>
      <c r="AN354" t="str">
        <f t="shared" si="168"/>
        <v/>
      </c>
      <c r="AO354">
        <f t="shared" si="169"/>
        <v>0</v>
      </c>
    </row>
    <row r="355" spans="1:41" x14ac:dyDescent="0.4">
      <c r="A355" t="str">
        <f>IF($CM$6=0,"",IF(INDEX('⑩ 원문 보관'!$A:$E,$CM$6+ROW()-9,COLUMN())="","",INDEX('⑩ 원문 보관'!$A:$E,$CM$6+ROW()-9,COLUMN())))</f>
        <v/>
      </c>
      <c r="B355" t="str">
        <f>IF($CM$6=0,"",IF(INDEX('⑩ 원문 보관'!$A:$E,$CM$6+ROW()-9,COLUMN())="","",INDEX('⑩ 원문 보관'!$A:$E,$CM$6+ROW()-9,COLUMN())))</f>
        <v xml:space="preserve">121037.0  51714.37 48 </v>
      </c>
      <c r="C355" t="str">
        <f>IF($CM$6=0,"",IF(INDEX('⑩ 원문 보관'!$A:$E,$CM$6+ROW()-9,COLUMN())="","",INDEX('⑩ 원문 보관'!$A:$E,$CM$6+ROW()-9,COLUMN())))</f>
        <v/>
      </c>
      <c r="D355" t="str">
        <f>IF($CM$6=0,"",IF(INDEX('⑩ 원문 보관'!$A:$E,$CM$6+ROW()-9,COLUMN())="","",INDEX('⑩ 원문 보관'!$A:$E,$CM$6+ROW()-9,COLUMN())))</f>
        <v xml:space="preserve">130202.0  51398.09 97 </v>
      </c>
      <c r="E355" t="str">
        <f>IF($CM$6=0,"",IF(INDEX('⑩ 원문 보관'!$A:$E,$CM$6+ROW()-9,COLUMN())="","",INDEX('⑩ 원문 보관'!$A:$E,$CM$6+ROW()-9,COLUMN())))</f>
        <v/>
      </c>
      <c r="Q355">
        <f t="shared" si="170"/>
        <v>8</v>
      </c>
      <c r="R355" t="str">
        <f t="shared" si="150"/>
        <v/>
      </c>
      <c r="S355" t="str">
        <f t="shared" si="151"/>
        <v/>
      </c>
      <c r="T355" t="str">
        <f t="shared" si="152"/>
        <v/>
      </c>
      <c r="U355">
        <f t="shared" si="153"/>
        <v>0</v>
      </c>
      <c r="V355">
        <f t="shared" si="171"/>
        <v>10</v>
      </c>
      <c r="W355">
        <f t="shared" si="154"/>
        <v>121037</v>
      </c>
      <c r="X355">
        <f t="shared" si="155"/>
        <v>51714.37</v>
      </c>
      <c r="Y355" t="str">
        <f t="shared" si="156"/>
        <v>48</v>
      </c>
      <c r="Z355">
        <f t="shared" si="157"/>
        <v>1</v>
      </c>
      <c r="AA355">
        <f t="shared" si="172"/>
        <v>6</v>
      </c>
      <c r="AB355" t="str">
        <f t="shared" si="158"/>
        <v/>
      </c>
      <c r="AC355" t="str">
        <f t="shared" si="159"/>
        <v/>
      </c>
      <c r="AD355" t="str">
        <f t="shared" si="160"/>
        <v/>
      </c>
      <c r="AE355">
        <f t="shared" si="161"/>
        <v>0</v>
      </c>
      <c r="AF355">
        <f t="shared" si="173"/>
        <v>10</v>
      </c>
      <c r="AG355">
        <f t="shared" si="162"/>
        <v>130202</v>
      </c>
      <c r="AH355">
        <f t="shared" si="163"/>
        <v>51398.09</v>
      </c>
      <c r="AI355" t="str">
        <f t="shared" si="164"/>
        <v>97</v>
      </c>
      <c r="AJ355">
        <f t="shared" si="165"/>
        <v>1</v>
      </c>
      <c r="AK355">
        <f t="shared" si="174"/>
        <v>4</v>
      </c>
      <c r="AL355" t="str">
        <f t="shared" si="166"/>
        <v/>
      </c>
      <c r="AM355" t="str">
        <f t="shared" si="167"/>
        <v/>
      </c>
      <c r="AN355" t="str">
        <f t="shared" si="168"/>
        <v/>
      </c>
      <c r="AO355">
        <f t="shared" si="169"/>
        <v>0</v>
      </c>
    </row>
    <row r="356" spans="1:41" x14ac:dyDescent="0.4">
      <c r="A356" t="str">
        <f>IF($CM$6=0,"",IF(INDEX('⑩ 원문 보관'!$A:$E,$CM$6+ROW()-9,COLUMN())="","",INDEX('⑩ 원문 보관'!$A:$E,$CM$6+ROW()-9,COLUMN())))</f>
        <v/>
      </c>
      <c r="B356" t="str">
        <f>IF($CM$6=0,"",IF(INDEX('⑩ 원문 보관'!$A:$E,$CM$6+ROW()-9,COLUMN())="","",INDEX('⑩ 원문 보관'!$A:$E,$CM$6+ROW()-9,COLUMN())))</f>
        <v xml:space="preserve">121042.0  51714.07 58 </v>
      </c>
      <c r="C356" t="str">
        <f>IF($CM$6=0,"",IF(INDEX('⑩ 원문 보관'!$A:$E,$CM$6+ROW()-9,COLUMN())="","",INDEX('⑩ 원문 보관'!$A:$E,$CM$6+ROW()-9,COLUMN())))</f>
        <v/>
      </c>
      <c r="D356" t="str">
        <f>IF($CM$6=0,"",IF(INDEX('⑩ 원문 보관'!$A:$E,$CM$6+ROW()-9,COLUMN())="","",INDEX('⑩ 원문 보관'!$A:$E,$CM$6+ROW()-9,COLUMN())))</f>
        <v xml:space="preserve">130207.0  51398.09 98 </v>
      </c>
      <c r="E356" t="str">
        <f>IF($CM$6=0,"",IF(INDEX('⑩ 원문 보관'!$A:$E,$CM$6+ROW()-9,COLUMN())="","",INDEX('⑩ 원문 보관'!$A:$E,$CM$6+ROW()-9,COLUMN())))</f>
        <v/>
      </c>
      <c r="Q356">
        <f t="shared" si="170"/>
        <v>8</v>
      </c>
      <c r="R356" t="str">
        <f t="shared" si="150"/>
        <v/>
      </c>
      <c r="S356" t="str">
        <f t="shared" si="151"/>
        <v/>
      </c>
      <c r="T356" t="str">
        <f t="shared" si="152"/>
        <v/>
      </c>
      <c r="U356">
        <f t="shared" si="153"/>
        <v>0</v>
      </c>
      <c r="V356">
        <f t="shared" si="171"/>
        <v>10</v>
      </c>
      <c r="W356">
        <f t="shared" si="154"/>
        <v>121042</v>
      </c>
      <c r="X356">
        <f t="shared" si="155"/>
        <v>51714.07</v>
      </c>
      <c r="Y356" t="str">
        <f t="shared" si="156"/>
        <v>58</v>
      </c>
      <c r="Z356">
        <f t="shared" si="157"/>
        <v>1</v>
      </c>
      <c r="AA356">
        <f t="shared" si="172"/>
        <v>6</v>
      </c>
      <c r="AB356" t="str">
        <f t="shared" si="158"/>
        <v/>
      </c>
      <c r="AC356" t="str">
        <f t="shared" si="159"/>
        <v/>
      </c>
      <c r="AD356" t="str">
        <f t="shared" si="160"/>
        <v/>
      </c>
      <c r="AE356">
        <f t="shared" si="161"/>
        <v>0</v>
      </c>
      <c r="AF356">
        <f t="shared" si="173"/>
        <v>10</v>
      </c>
      <c r="AG356">
        <f t="shared" si="162"/>
        <v>130207</v>
      </c>
      <c r="AH356">
        <f t="shared" si="163"/>
        <v>51398.09</v>
      </c>
      <c r="AI356" t="str">
        <f t="shared" si="164"/>
        <v>98</v>
      </c>
      <c r="AJ356">
        <f t="shared" si="165"/>
        <v>1</v>
      </c>
      <c r="AK356">
        <f t="shared" si="174"/>
        <v>4</v>
      </c>
      <c r="AL356" t="str">
        <f t="shared" si="166"/>
        <v/>
      </c>
      <c r="AM356" t="str">
        <f t="shared" si="167"/>
        <v/>
      </c>
      <c r="AN356" t="str">
        <f t="shared" si="168"/>
        <v/>
      </c>
      <c r="AO356">
        <f t="shared" si="169"/>
        <v>0</v>
      </c>
    </row>
    <row r="357" spans="1:41" x14ac:dyDescent="0.4">
      <c r="A357" t="str">
        <f>IF($CM$6=0,"",IF(INDEX('⑩ 원문 보관'!$A:$E,$CM$6+ROW()-9,COLUMN())="","",INDEX('⑩ 원문 보관'!$A:$E,$CM$6+ROW()-9,COLUMN())))</f>
        <v/>
      </c>
      <c r="B357" t="str">
        <f>IF($CM$6=0,"",IF(INDEX('⑩ 원문 보관'!$A:$E,$CM$6+ROW()-9,COLUMN())="","",INDEX('⑩ 원문 보관'!$A:$E,$CM$6+ROW()-9,COLUMN())))</f>
        <v xml:space="preserve">121047.0  51714.54 48 </v>
      </c>
      <c r="C357" t="str">
        <f>IF($CM$6=0,"",IF(INDEX('⑩ 원문 보관'!$A:$E,$CM$6+ROW()-9,COLUMN())="","",INDEX('⑩ 원문 보관'!$A:$E,$CM$6+ROW()-9,COLUMN())))</f>
        <v/>
      </c>
      <c r="D357" t="str">
        <f>IF($CM$6=0,"",IF(INDEX('⑩ 원문 보관'!$A:$E,$CM$6+ROW()-9,COLUMN())="","",INDEX('⑩ 원문 보관'!$A:$E,$CM$6+ROW()-9,COLUMN())))</f>
        <v xml:space="preserve">130212.0  51398.04 98 </v>
      </c>
      <c r="E357" t="str">
        <f>IF($CM$6=0,"",IF(INDEX('⑩ 원문 보관'!$A:$E,$CM$6+ROW()-9,COLUMN())="","",INDEX('⑩ 원문 보관'!$A:$E,$CM$6+ROW()-9,COLUMN())))</f>
        <v/>
      </c>
      <c r="Q357">
        <f t="shared" si="170"/>
        <v>8</v>
      </c>
      <c r="R357" t="str">
        <f t="shared" si="150"/>
        <v/>
      </c>
      <c r="S357" t="str">
        <f t="shared" si="151"/>
        <v/>
      </c>
      <c r="T357" t="str">
        <f t="shared" si="152"/>
        <v/>
      </c>
      <c r="U357">
        <f t="shared" si="153"/>
        <v>0</v>
      </c>
      <c r="V357">
        <f t="shared" si="171"/>
        <v>10</v>
      </c>
      <c r="W357">
        <f t="shared" si="154"/>
        <v>121047</v>
      </c>
      <c r="X357">
        <f t="shared" si="155"/>
        <v>51714.54</v>
      </c>
      <c r="Y357" t="str">
        <f t="shared" si="156"/>
        <v>48</v>
      </c>
      <c r="Z357">
        <f t="shared" si="157"/>
        <v>1</v>
      </c>
      <c r="AA357">
        <f t="shared" si="172"/>
        <v>6</v>
      </c>
      <c r="AB357" t="str">
        <f t="shared" si="158"/>
        <v/>
      </c>
      <c r="AC357" t="str">
        <f t="shared" si="159"/>
        <v/>
      </c>
      <c r="AD357" t="str">
        <f t="shared" si="160"/>
        <v/>
      </c>
      <c r="AE357">
        <f t="shared" si="161"/>
        <v>0</v>
      </c>
      <c r="AF357">
        <f t="shared" si="173"/>
        <v>10</v>
      </c>
      <c r="AG357">
        <f t="shared" si="162"/>
        <v>130212</v>
      </c>
      <c r="AH357">
        <f t="shared" si="163"/>
        <v>51398.04</v>
      </c>
      <c r="AI357" t="str">
        <f t="shared" si="164"/>
        <v>98</v>
      </c>
      <c r="AJ357">
        <f t="shared" si="165"/>
        <v>1</v>
      </c>
      <c r="AK357">
        <f t="shared" si="174"/>
        <v>4</v>
      </c>
      <c r="AL357" t="str">
        <f t="shared" si="166"/>
        <v/>
      </c>
      <c r="AM357" t="str">
        <f t="shared" si="167"/>
        <v/>
      </c>
      <c r="AN357" t="str">
        <f t="shared" si="168"/>
        <v/>
      </c>
      <c r="AO357">
        <f t="shared" si="169"/>
        <v>0</v>
      </c>
    </row>
    <row r="358" spans="1:41" x14ac:dyDescent="0.4">
      <c r="A358" t="str">
        <f>IF($CM$6=0,"",IF(INDEX('⑩ 원문 보관'!$A:$E,$CM$6+ROW()-9,COLUMN())="","",INDEX('⑩ 원문 보관'!$A:$E,$CM$6+ROW()-9,COLUMN())))</f>
        <v/>
      </c>
      <c r="B358" t="str">
        <f>IF($CM$6=0,"",IF(INDEX('⑩ 원문 보관'!$A:$E,$CM$6+ROW()-9,COLUMN())="","",INDEX('⑩ 원문 보관'!$A:$E,$CM$6+ROW()-9,COLUMN())))</f>
        <v xml:space="preserve">121052.0  51714.86 57 </v>
      </c>
      <c r="C358" t="str">
        <f>IF($CM$6=0,"",IF(INDEX('⑩ 원문 보관'!$A:$E,$CM$6+ROW()-9,COLUMN())="","",INDEX('⑩ 원문 보관'!$A:$E,$CM$6+ROW()-9,COLUMN())))</f>
        <v/>
      </c>
      <c r="D358" t="str">
        <f>IF($CM$6=0,"",IF(INDEX('⑩ 원문 보관'!$A:$E,$CM$6+ROW()-9,COLUMN())="","",INDEX('⑩ 원문 보관'!$A:$E,$CM$6+ROW()-9,COLUMN())))</f>
        <v xml:space="preserve">130217.0  51398.05 98 </v>
      </c>
      <c r="E358" t="str">
        <f>IF($CM$6=0,"",IF(INDEX('⑩ 원문 보관'!$A:$E,$CM$6+ROW()-9,COLUMN())="","",INDEX('⑩ 원문 보관'!$A:$E,$CM$6+ROW()-9,COLUMN())))</f>
        <v/>
      </c>
      <c r="Q358">
        <f t="shared" si="170"/>
        <v>8</v>
      </c>
      <c r="R358" t="str">
        <f t="shared" si="150"/>
        <v/>
      </c>
      <c r="S358" t="str">
        <f t="shared" si="151"/>
        <v/>
      </c>
      <c r="T358" t="str">
        <f t="shared" si="152"/>
        <v/>
      </c>
      <c r="U358">
        <f t="shared" si="153"/>
        <v>0</v>
      </c>
      <c r="V358">
        <f t="shared" si="171"/>
        <v>10</v>
      </c>
      <c r="W358">
        <f t="shared" si="154"/>
        <v>121052</v>
      </c>
      <c r="X358">
        <f t="shared" si="155"/>
        <v>51714.86</v>
      </c>
      <c r="Y358" t="str">
        <f t="shared" si="156"/>
        <v>57</v>
      </c>
      <c r="Z358">
        <f t="shared" si="157"/>
        <v>1</v>
      </c>
      <c r="AA358">
        <f t="shared" si="172"/>
        <v>6</v>
      </c>
      <c r="AB358" t="str">
        <f t="shared" si="158"/>
        <v/>
      </c>
      <c r="AC358" t="str">
        <f t="shared" si="159"/>
        <v/>
      </c>
      <c r="AD358" t="str">
        <f t="shared" si="160"/>
        <v/>
      </c>
      <c r="AE358">
        <f t="shared" si="161"/>
        <v>0</v>
      </c>
      <c r="AF358">
        <f t="shared" si="173"/>
        <v>10</v>
      </c>
      <c r="AG358">
        <f t="shared" si="162"/>
        <v>130217</v>
      </c>
      <c r="AH358">
        <f t="shared" si="163"/>
        <v>51398.05</v>
      </c>
      <c r="AI358" t="str">
        <f t="shared" si="164"/>
        <v>98</v>
      </c>
      <c r="AJ358">
        <f t="shared" si="165"/>
        <v>1</v>
      </c>
      <c r="AK358">
        <f t="shared" si="174"/>
        <v>4</v>
      </c>
      <c r="AL358" t="str">
        <f t="shared" si="166"/>
        <v/>
      </c>
      <c r="AM358" t="str">
        <f t="shared" si="167"/>
        <v/>
      </c>
      <c r="AN358" t="str">
        <f t="shared" si="168"/>
        <v/>
      </c>
      <c r="AO358">
        <f t="shared" si="169"/>
        <v>0</v>
      </c>
    </row>
    <row r="359" spans="1:41" x14ac:dyDescent="0.4">
      <c r="A359" t="str">
        <f>IF($CM$6=0,"",IF(INDEX('⑩ 원문 보관'!$A:$E,$CM$6+ROW()-9,COLUMN())="","",INDEX('⑩ 원문 보관'!$A:$E,$CM$6+ROW()-9,COLUMN())))</f>
        <v/>
      </c>
      <c r="B359" t="str">
        <f>IF($CM$6=0,"",IF(INDEX('⑩ 원문 보관'!$A:$E,$CM$6+ROW()-9,COLUMN())="","",INDEX('⑩ 원문 보관'!$A:$E,$CM$6+ROW()-9,COLUMN())))</f>
        <v xml:space="preserve">121057.0  51713.56 47 </v>
      </c>
      <c r="C359" t="str">
        <f>IF($CM$6=0,"",IF(INDEX('⑩ 원문 보관'!$A:$E,$CM$6+ROW()-9,COLUMN())="","",INDEX('⑩ 원문 보관'!$A:$E,$CM$6+ROW()-9,COLUMN())))</f>
        <v/>
      </c>
      <c r="D359" t="str">
        <f>IF($CM$6=0,"",IF(INDEX('⑩ 원문 보관'!$A:$E,$CM$6+ROW()-9,COLUMN())="","",INDEX('⑩ 원문 보관'!$A:$E,$CM$6+ROW()-9,COLUMN())))</f>
        <v xml:space="preserve">130222.0  51398.67 97 </v>
      </c>
      <c r="E359" t="str">
        <f>IF($CM$6=0,"",IF(INDEX('⑩ 원문 보관'!$A:$E,$CM$6+ROW()-9,COLUMN())="","",INDEX('⑩ 원문 보관'!$A:$E,$CM$6+ROW()-9,COLUMN())))</f>
        <v/>
      </c>
      <c r="Q359">
        <f t="shared" si="170"/>
        <v>8</v>
      </c>
      <c r="R359" t="str">
        <f t="shared" si="150"/>
        <v/>
      </c>
      <c r="S359" t="str">
        <f t="shared" si="151"/>
        <v/>
      </c>
      <c r="T359" t="str">
        <f t="shared" si="152"/>
        <v/>
      </c>
      <c r="U359">
        <f t="shared" si="153"/>
        <v>0</v>
      </c>
      <c r="V359">
        <f t="shared" si="171"/>
        <v>10</v>
      </c>
      <c r="W359">
        <f t="shared" si="154"/>
        <v>121057</v>
      </c>
      <c r="X359">
        <f t="shared" si="155"/>
        <v>51713.56</v>
      </c>
      <c r="Y359" t="str">
        <f t="shared" si="156"/>
        <v>47</v>
      </c>
      <c r="Z359">
        <f t="shared" si="157"/>
        <v>1</v>
      </c>
      <c r="AA359">
        <f t="shared" si="172"/>
        <v>6</v>
      </c>
      <c r="AB359" t="str">
        <f t="shared" si="158"/>
        <v/>
      </c>
      <c r="AC359" t="str">
        <f t="shared" si="159"/>
        <v/>
      </c>
      <c r="AD359" t="str">
        <f t="shared" si="160"/>
        <v/>
      </c>
      <c r="AE359">
        <f t="shared" si="161"/>
        <v>0</v>
      </c>
      <c r="AF359">
        <f t="shared" si="173"/>
        <v>10</v>
      </c>
      <c r="AG359">
        <f t="shared" si="162"/>
        <v>130222</v>
      </c>
      <c r="AH359">
        <f t="shared" si="163"/>
        <v>51398.67</v>
      </c>
      <c r="AI359" t="str">
        <f t="shared" si="164"/>
        <v>97</v>
      </c>
      <c r="AJ359">
        <f t="shared" si="165"/>
        <v>1</v>
      </c>
      <c r="AK359">
        <f t="shared" si="174"/>
        <v>4</v>
      </c>
      <c r="AL359" t="str">
        <f t="shared" si="166"/>
        <v/>
      </c>
      <c r="AM359" t="str">
        <f t="shared" si="167"/>
        <v/>
      </c>
      <c r="AN359" t="str">
        <f t="shared" si="168"/>
        <v/>
      </c>
      <c r="AO359">
        <f t="shared" si="169"/>
        <v>0</v>
      </c>
    </row>
    <row r="360" spans="1:41" x14ac:dyDescent="0.4">
      <c r="A360" t="str">
        <f>IF($CM$6=0,"",IF(INDEX('⑩ 원문 보관'!$A:$E,$CM$6+ROW()-9,COLUMN())="","",INDEX('⑩ 원문 보관'!$A:$E,$CM$6+ROW()-9,COLUMN())))</f>
        <v/>
      </c>
      <c r="B360" t="str">
        <f>IF($CM$6=0,"",IF(INDEX('⑩ 원문 보관'!$A:$E,$CM$6+ROW()-9,COLUMN())="","",INDEX('⑩ 원문 보관'!$A:$E,$CM$6+ROW()-9,COLUMN())))</f>
        <v xml:space="preserve">121102.0  51714.34 57 </v>
      </c>
      <c r="C360" t="str">
        <f>IF($CM$6=0,"",IF(INDEX('⑩ 원문 보관'!$A:$E,$CM$6+ROW()-9,COLUMN())="","",INDEX('⑩ 원문 보관'!$A:$E,$CM$6+ROW()-9,COLUMN())))</f>
        <v/>
      </c>
      <c r="D360" t="str">
        <f>IF($CM$6=0,"",IF(INDEX('⑩ 원문 보관'!$A:$E,$CM$6+ROW()-9,COLUMN())="","",INDEX('⑩ 원문 보관'!$A:$E,$CM$6+ROW()-9,COLUMN())))</f>
        <v/>
      </c>
      <c r="E360" t="str">
        <f>IF($CM$6=0,"",IF(INDEX('⑩ 원문 보관'!$A:$E,$CM$6+ROW()-9,COLUMN())="","",INDEX('⑩ 원문 보관'!$A:$E,$CM$6+ROW()-9,COLUMN())))</f>
        <v/>
      </c>
      <c r="Q360">
        <f t="shared" si="170"/>
        <v>8</v>
      </c>
      <c r="R360" t="str">
        <f t="shared" si="150"/>
        <v/>
      </c>
      <c r="S360" t="str">
        <f t="shared" si="151"/>
        <v/>
      </c>
      <c r="T360" t="str">
        <f t="shared" si="152"/>
        <v/>
      </c>
      <c r="U360">
        <f t="shared" si="153"/>
        <v>0</v>
      </c>
      <c r="V360">
        <f t="shared" si="171"/>
        <v>10</v>
      </c>
      <c r="W360">
        <f t="shared" si="154"/>
        <v>121102</v>
      </c>
      <c r="X360">
        <f t="shared" si="155"/>
        <v>51714.34</v>
      </c>
      <c r="Y360" t="str">
        <f t="shared" si="156"/>
        <v>57</v>
      </c>
      <c r="Z360">
        <f t="shared" si="157"/>
        <v>1</v>
      </c>
      <c r="AA360">
        <f t="shared" si="172"/>
        <v>6</v>
      </c>
      <c r="AB360" t="str">
        <f t="shared" si="158"/>
        <v/>
      </c>
      <c r="AC360" t="str">
        <f t="shared" si="159"/>
        <v/>
      </c>
      <c r="AD360" t="str">
        <f t="shared" si="160"/>
        <v/>
      </c>
      <c r="AE360">
        <f t="shared" si="161"/>
        <v>0</v>
      </c>
      <c r="AF360">
        <f t="shared" si="173"/>
        <v>10</v>
      </c>
      <c r="AG360" t="str">
        <f t="shared" si="162"/>
        <v/>
      </c>
      <c r="AH360" t="str">
        <f t="shared" si="163"/>
        <v/>
      </c>
      <c r="AI360" t="str">
        <f t="shared" si="164"/>
        <v/>
      </c>
      <c r="AJ360">
        <f t="shared" si="165"/>
        <v>0</v>
      </c>
      <c r="AK360">
        <f t="shared" si="174"/>
        <v>4</v>
      </c>
      <c r="AL360" t="str">
        <f t="shared" si="166"/>
        <v/>
      </c>
      <c r="AM360" t="str">
        <f t="shared" si="167"/>
        <v/>
      </c>
      <c r="AN360" t="str">
        <f t="shared" si="168"/>
        <v/>
      </c>
      <c r="AO360">
        <f t="shared" si="169"/>
        <v>0</v>
      </c>
    </row>
    <row r="361" spans="1:41" x14ac:dyDescent="0.4">
      <c r="A361" t="str">
        <f>IF($CM$6=0,"",IF(INDEX('⑩ 원문 보관'!$A:$E,$CM$6+ROW()-9,COLUMN())="","",INDEX('⑩ 원문 보관'!$A:$E,$CM$6+ROW()-9,COLUMN())))</f>
        <v/>
      </c>
      <c r="B361" t="str">
        <f>IF($CM$6=0,"",IF(INDEX('⑩ 원문 보관'!$A:$E,$CM$6+ROW()-9,COLUMN())="","",INDEX('⑩ 원문 보관'!$A:$E,$CM$6+ROW()-9,COLUMN())))</f>
        <v xml:space="preserve">121107.0  51714.49 58 </v>
      </c>
      <c r="C361" t="str">
        <f>IF($CM$6=0,"",IF(INDEX('⑩ 원문 보관'!$A:$E,$CM$6+ROW()-9,COLUMN())="","",INDEX('⑩ 원문 보관'!$A:$E,$CM$6+ROW()-9,COLUMN())))</f>
        <v/>
      </c>
      <c r="D361" t="str">
        <f>IF($CM$6=0,"",IF(INDEX('⑩ 원문 보관'!$A:$E,$CM$6+ROW()-9,COLUMN())="","",INDEX('⑩ 원문 보관'!$A:$E,$CM$6+ROW()-9,COLUMN())))</f>
        <v/>
      </c>
      <c r="E361" t="str">
        <f>IF($CM$6=0,"",IF(INDEX('⑩ 원문 보관'!$A:$E,$CM$6+ROW()-9,COLUMN())="","",INDEX('⑩ 원문 보관'!$A:$E,$CM$6+ROW()-9,COLUMN())))</f>
        <v/>
      </c>
      <c r="Q361">
        <f t="shared" si="170"/>
        <v>8</v>
      </c>
      <c r="R361" t="str">
        <f t="shared" si="150"/>
        <v/>
      </c>
      <c r="S361" t="str">
        <f t="shared" si="151"/>
        <v/>
      </c>
      <c r="T361" t="str">
        <f t="shared" si="152"/>
        <v/>
      </c>
      <c r="U361">
        <f t="shared" si="153"/>
        <v>0</v>
      </c>
      <c r="V361">
        <f t="shared" si="171"/>
        <v>10</v>
      </c>
      <c r="W361">
        <f t="shared" si="154"/>
        <v>121107</v>
      </c>
      <c r="X361">
        <f t="shared" si="155"/>
        <v>51714.49</v>
      </c>
      <c r="Y361" t="str">
        <f t="shared" si="156"/>
        <v>58</v>
      </c>
      <c r="Z361">
        <f t="shared" si="157"/>
        <v>1</v>
      </c>
      <c r="AA361">
        <f t="shared" si="172"/>
        <v>6</v>
      </c>
      <c r="AB361" t="str">
        <f t="shared" si="158"/>
        <v/>
      </c>
      <c r="AC361" t="str">
        <f t="shared" si="159"/>
        <v/>
      </c>
      <c r="AD361" t="str">
        <f t="shared" si="160"/>
        <v/>
      </c>
      <c r="AE361">
        <f t="shared" si="161"/>
        <v>0</v>
      </c>
      <c r="AF361">
        <f t="shared" si="173"/>
        <v>10</v>
      </c>
      <c r="AG361" t="str">
        <f t="shared" si="162"/>
        <v/>
      </c>
      <c r="AH361" t="str">
        <f t="shared" si="163"/>
        <v/>
      </c>
      <c r="AI361" t="str">
        <f t="shared" si="164"/>
        <v/>
      </c>
      <c r="AJ361">
        <f t="shared" si="165"/>
        <v>0</v>
      </c>
      <c r="AK361">
        <f t="shared" si="174"/>
        <v>4</v>
      </c>
      <c r="AL361" t="str">
        <f t="shared" si="166"/>
        <v/>
      </c>
      <c r="AM361" t="str">
        <f t="shared" si="167"/>
        <v/>
      </c>
      <c r="AN361" t="str">
        <f t="shared" si="168"/>
        <v/>
      </c>
      <c r="AO361">
        <f t="shared" si="169"/>
        <v>0</v>
      </c>
    </row>
    <row r="362" spans="1:41" x14ac:dyDescent="0.4">
      <c r="A362" t="str">
        <f>IF($CM$6=0,"",IF(INDEX('⑩ 원문 보관'!$A:$E,$CM$6+ROW()-9,COLUMN())="","",INDEX('⑩ 원문 보관'!$A:$E,$CM$6+ROW()-9,COLUMN())))</f>
        <v/>
      </c>
      <c r="B362" t="str">
        <f>IF($CM$6=0,"",IF(INDEX('⑩ 원문 보관'!$A:$E,$CM$6+ROW()-9,COLUMN())="","",INDEX('⑩ 원문 보관'!$A:$E,$CM$6+ROW()-9,COLUMN())))</f>
        <v xml:space="preserve">121112.0  51715.09 58 </v>
      </c>
      <c r="C362" t="str">
        <f>IF($CM$6=0,"",IF(INDEX('⑩ 원문 보관'!$A:$E,$CM$6+ROW()-9,COLUMN())="","",INDEX('⑩ 원문 보관'!$A:$E,$CM$6+ROW()-9,COLUMN())))</f>
        <v/>
      </c>
      <c r="D362" t="str">
        <f>IF($CM$6=0,"",IF(INDEX('⑩ 원문 보관'!$A:$E,$CM$6+ROW()-9,COLUMN())="","",INDEX('⑩ 원문 보관'!$A:$E,$CM$6+ROW()-9,COLUMN())))</f>
        <v/>
      </c>
      <c r="E362" t="str">
        <f>IF($CM$6=0,"",IF(INDEX('⑩ 원문 보관'!$A:$E,$CM$6+ROW()-9,COLUMN())="","",INDEX('⑩ 원문 보관'!$A:$E,$CM$6+ROW()-9,COLUMN())))</f>
        <v/>
      </c>
      <c r="Q362">
        <f t="shared" si="170"/>
        <v>8</v>
      </c>
      <c r="R362" t="str">
        <f t="shared" si="150"/>
        <v/>
      </c>
      <c r="S362" t="str">
        <f t="shared" si="151"/>
        <v/>
      </c>
      <c r="T362" t="str">
        <f t="shared" si="152"/>
        <v/>
      </c>
      <c r="U362">
        <f t="shared" si="153"/>
        <v>0</v>
      </c>
      <c r="V362">
        <f t="shared" si="171"/>
        <v>10</v>
      </c>
      <c r="W362">
        <f t="shared" si="154"/>
        <v>121112</v>
      </c>
      <c r="X362">
        <f t="shared" si="155"/>
        <v>51715.09</v>
      </c>
      <c r="Y362" t="str">
        <f t="shared" si="156"/>
        <v>58</v>
      </c>
      <c r="Z362">
        <f t="shared" si="157"/>
        <v>1</v>
      </c>
      <c r="AA362">
        <f t="shared" si="172"/>
        <v>6</v>
      </c>
      <c r="AB362" t="str">
        <f t="shared" si="158"/>
        <v/>
      </c>
      <c r="AC362" t="str">
        <f t="shared" si="159"/>
        <v/>
      </c>
      <c r="AD362" t="str">
        <f t="shared" si="160"/>
        <v/>
      </c>
      <c r="AE362">
        <f t="shared" si="161"/>
        <v>0</v>
      </c>
      <c r="AF362">
        <f t="shared" si="173"/>
        <v>10</v>
      </c>
      <c r="AG362" t="str">
        <f t="shared" si="162"/>
        <v/>
      </c>
      <c r="AH362" t="str">
        <f t="shared" si="163"/>
        <v/>
      </c>
      <c r="AI362" t="str">
        <f t="shared" si="164"/>
        <v/>
      </c>
      <c r="AJ362">
        <f t="shared" si="165"/>
        <v>0</v>
      </c>
      <c r="AK362">
        <f t="shared" si="174"/>
        <v>4</v>
      </c>
      <c r="AL362" t="str">
        <f t="shared" si="166"/>
        <v/>
      </c>
      <c r="AM362" t="str">
        <f t="shared" si="167"/>
        <v/>
      </c>
      <c r="AN362" t="str">
        <f t="shared" si="168"/>
        <v/>
      </c>
      <c r="AO362">
        <f t="shared" si="169"/>
        <v>0</v>
      </c>
    </row>
    <row r="363" spans="1:41" x14ac:dyDescent="0.4">
      <c r="A363" t="str">
        <f>IF($CM$6=0,"",IF(INDEX('⑩ 원문 보관'!$A:$E,$CM$6+ROW()-9,COLUMN())="","",INDEX('⑩ 원문 보관'!$A:$E,$CM$6+ROW()-9,COLUMN())))</f>
        <v/>
      </c>
      <c r="B363" t="str">
        <f>IF($CM$6=0,"",IF(INDEX('⑩ 원문 보관'!$A:$E,$CM$6+ROW()-9,COLUMN())="","",INDEX('⑩ 원문 보관'!$A:$E,$CM$6+ROW()-9,COLUMN())))</f>
        <v xml:space="preserve">121117.0  51715.28 58 </v>
      </c>
      <c r="C363" t="str">
        <f>IF($CM$6=0,"",IF(INDEX('⑩ 원문 보관'!$A:$E,$CM$6+ROW()-9,COLUMN())="","",INDEX('⑩ 원문 보관'!$A:$E,$CM$6+ROW()-9,COLUMN())))</f>
        <v/>
      </c>
      <c r="D363" t="str">
        <f>IF($CM$6=0,"",IF(INDEX('⑩ 원문 보관'!$A:$E,$CM$6+ROW()-9,COLUMN())="","",INDEX('⑩ 원문 보관'!$A:$E,$CM$6+ROW()-9,COLUMN())))</f>
        <v/>
      </c>
      <c r="E363" t="str">
        <f>IF($CM$6=0,"",IF(INDEX('⑩ 원문 보관'!$A:$E,$CM$6+ROW()-9,COLUMN())="","",INDEX('⑩ 원문 보관'!$A:$E,$CM$6+ROW()-9,COLUMN())))</f>
        <v/>
      </c>
      <c r="Q363">
        <f t="shared" si="170"/>
        <v>8</v>
      </c>
      <c r="R363" t="str">
        <f t="shared" si="150"/>
        <v/>
      </c>
      <c r="S363" t="str">
        <f t="shared" si="151"/>
        <v/>
      </c>
      <c r="T363" t="str">
        <f t="shared" si="152"/>
        <v/>
      </c>
      <c r="U363">
        <f t="shared" si="153"/>
        <v>0</v>
      </c>
      <c r="V363">
        <f t="shared" si="171"/>
        <v>10</v>
      </c>
      <c r="W363">
        <f t="shared" si="154"/>
        <v>121117</v>
      </c>
      <c r="X363">
        <f t="shared" si="155"/>
        <v>51715.28</v>
      </c>
      <c r="Y363" t="str">
        <f t="shared" si="156"/>
        <v>58</v>
      </c>
      <c r="Z363">
        <f t="shared" si="157"/>
        <v>1</v>
      </c>
      <c r="AA363">
        <f t="shared" si="172"/>
        <v>6</v>
      </c>
      <c r="AB363" t="str">
        <f t="shared" si="158"/>
        <v/>
      </c>
      <c r="AC363" t="str">
        <f t="shared" si="159"/>
        <v/>
      </c>
      <c r="AD363" t="str">
        <f t="shared" si="160"/>
        <v/>
      </c>
      <c r="AE363">
        <f t="shared" si="161"/>
        <v>0</v>
      </c>
      <c r="AF363">
        <f t="shared" si="173"/>
        <v>10</v>
      </c>
      <c r="AG363" t="str">
        <f t="shared" si="162"/>
        <v/>
      </c>
      <c r="AH363" t="str">
        <f t="shared" si="163"/>
        <v/>
      </c>
      <c r="AI363" t="str">
        <f t="shared" si="164"/>
        <v/>
      </c>
      <c r="AJ363">
        <f t="shared" si="165"/>
        <v>0</v>
      </c>
      <c r="AK363">
        <f t="shared" si="174"/>
        <v>4</v>
      </c>
      <c r="AL363" t="str">
        <f t="shared" si="166"/>
        <v/>
      </c>
      <c r="AM363" t="str">
        <f t="shared" si="167"/>
        <v/>
      </c>
      <c r="AN363" t="str">
        <f t="shared" si="168"/>
        <v/>
      </c>
      <c r="AO363">
        <f t="shared" si="169"/>
        <v>0</v>
      </c>
    </row>
    <row r="364" spans="1:41" x14ac:dyDescent="0.4">
      <c r="A364" t="str">
        <f>IF($CM$6=0,"",IF(INDEX('⑩ 원문 보관'!$A:$E,$CM$6+ROW()-9,COLUMN())="","",INDEX('⑩ 원문 보관'!$A:$E,$CM$6+ROW()-9,COLUMN())))</f>
        <v/>
      </c>
      <c r="B364" t="str">
        <f>IF($CM$6=0,"",IF(INDEX('⑩ 원문 보관'!$A:$E,$CM$6+ROW()-9,COLUMN())="","",INDEX('⑩ 원문 보관'!$A:$E,$CM$6+ROW()-9,COLUMN())))</f>
        <v xml:space="preserve">121122.0  51714.49 47 </v>
      </c>
      <c r="C364" t="str">
        <f>IF($CM$6=0,"",IF(INDEX('⑩ 원문 보관'!$A:$E,$CM$6+ROW()-9,COLUMN())="","",INDEX('⑩ 원문 보관'!$A:$E,$CM$6+ROW()-9,COLUMN())))</f>
        <v/>
      </c>
      <c r="D364" t="str">
        <f>IF($CM$6=0,"",IF(INDEX('⑩ 원문 보관'!$A:$E,$CM$6+ROW()-9,COLUMN())="","",INDEX('⑩ 원문 보관'!$A:$E,$CM$6+ROW()-9,COLUMN())))</f>
        <v/>
      </c>
      <c r="E364" t="str">
        <f>IF($CM$6=0,"",IF(INDEX('⑩ 원문 보관'!$A:$E,$CM$6+ROW()-9,COLUMN())="","",INDEX('⑩ 원문 보관'!$A:$E,$CM$6+ROW()-9,COLUMN())))</f>
        <v/>
      </c>
      <c r="Q364">
        <f t="shared" si="170"/>
        <v>8</v>
      </c>
      <c r="R364" t="str">
        <f t="shared" si="150"/>
        <v/>
      </c>
      <c r="S364" t="str">
        <f t="shared" si="151"/>
        <v/>
      </c>
      <c r="T364" t="str">
        <f t="shared" si="152"/>
        <v/>
      </c>
      <c r="U364">
        <f t="shared" si="153"/>
        <v>0</v>
      </c>
      <c r="V364">
        <f t="shared" si="171"/>
        <v>10</v>
      </c>
      <c r="W364">
        <f t="shared" si="154"/>
        <v>121122</v>
      </c>
      <c r="X364">
        <f t="shared" si="155"/>
        <v>51714.49</v>
      </c>
      <c r="Y364" t="str">
        <f t="shared" si="156"/>
        <v>47</v>
      </c>
      <c r="Z364">
        <f t="shared" si="157"/>
        <v>1</v>
      </c>
      <c r="AA364">
        <f t="shared" si="172"/>
        <v>6</v>
      </c>
      <c r="AB364" t="str">
        <f t="shared" si="158"/>
        <v/>
      </c>
      <c r="AC364" t="str">
        <f t="shared" si="159"/>
        <v/>
      </c>
      <c r="AD364" t="str">
        <f t="shared" si="160"/>
        <v/>
      </c>
      <c r="AE364">
        <f t="shared" si="161"/>
        <v>0</v>
      </c>
      <c r="AF364">
        <f t="shared" si="173"/>
        <v>10</v>
      </c>
      <c r="AG364" t="str">
        <f t="shared" si="162"/>
        <v/>
      </c>
      <c r="AH364" t="str">
        <f t="shared" si="163"/>
        <v/>
      </c>
      <c r="AI364" t="str">
        <f t="shared" si="164"/>
        <v/>
      </c>
      <c r="AJ364">
        <f t="shared" si="165"/>
        <v>0</v>
      </c>
      <c r="AK364">
        <f t="shared" si="174"/>
        <v>4</v>
      </c>
      <c r="AL364" t="str">
        <f t="shared" si="166"/>
        <v/>
      </c>
      <c r="AM364" t="str">
        <f t="shared" si="167"/>
        <v/>
      </c>
      <c r="AN364" t="str">
        <f t="shared" si="168"/>
        <v/>
      </c>
      <c r="AO364">
        <f t="shared" si="169"/>
        <v>0</v>
      </c>
    </row>
    <row r="365" spans="1:41" x14ac:dyDescent="0.4">
      <c r="A365" t="str">
        <f>IF($CM$6=0,"",IF(INDEX('⑩ 원문 보관'!$A:$E,$CM$6+ROW()-9,COLUMN())="","",INDEX('⑩ 원문 보관'!$A:$E,$CM$6+ROW()-9,COLUMN())))</f>
        <v/>
      </c>
      <c r="B365" t="str">
        <f>IF($CM$6=0,"",IF(INDEX('⑩ 원문 보관'!$A:$E,$CM$6+ROW()-9,COLUMN())="","",INDEX('⑩ 원문 보관'!$A:$E,$CM$6+ROW()-9,COLUMN())))</f>
        <v xml:space="preserve">121127.0  51715.20 58 </v>
      </c>
      <c r="C365" t="str">
        <f>IF($CM$6=0,"",IF(INDEX('⑩ 원문 보관'!$A:$E,$CM$6+ROW()-9,COLUMN())="","",INDEX('⑩ 원문 보관'!$A:$E,$CM$6+ROW()-9,COLUMN())))</f>
        <v/>
      </c>
      <c r="D365" t="str">
        <f>IF($CM$6=0,"",IF(INDEX('⑩ 원문 보관'!$A:$E,$CM$6+ROW()-9,COLUMN())="","",INDEX('⑩ 원문 보관'!$A:$E,$CM$6+ROW()-9,COLUMN())))</f>
        <v/>
      </c>
      <c r="E365" t="str">
        <f>IF($CM$6=0,"",IF(INDEX('⑩ 원문 보관'!$A:$E,$CM$6+ROW()-9,COLUMN())="","",INDEX('⑩ 원문 보관'!$A:$E,$CM$6+ROW()-9,COLUMN())))</f>
        <v/>
      </c>
      <c r="Q365">
        <f t="shared" si="170"/>
        <v>8</v>
      </c>
      <c r="R365" t="str">
        <f t="shared" si="150"/>
        <v/>
      </c>
      <c r="S365" t="str">
        <f t="shared" si="151"/>
        <v/>
      </c>
      <c r="T365" t="str">
        <f t="shared" si="152"/>
        <v/>
      </c>
      <c r="U365">
        <f t="shared" si="153"/>
        <v>0</v>
      </c>
      <c r="V365">
        <f t="shared" si="171"/>
        <v>10</v>
      </c>
      <c r="W365">
        <f t="shared" si="154"/>
        <v>121127</v>
      </c>
      <c r="X365">
        <f t="shared" si="155"/>
        <v>51715.199999999997</v>
      </c>
      <c r="Y365" t="str">
        <f t="shared" si="156"/>
        <v>58</v>
      </c>
      <c r="Z365">
        <f t="shared" si="157"/>
        <v>1</v>
      </c>
      <c r="AA365">
        <f t="shared" si="172"/>
        <v>6</v>
      </c>
      <c r="AB365" t="str">
        <f t="shared" si="158"/>
        <v/>
      </c>
      <c r="AC365" t="str">
        <f t="shared" si="159"/>
        <v/>
      </c>
      <c r="AD365" t="str">
        <f t="shared" si="160"/>
        <v/>
      </c>
      <c r="AE365">
        <f t="shared" si="161"/>
        <v>0</v>
      </c>
      <c r="AF365">
        <f t="shared" si="173"/>
        <v>10</v>
      </c>
      <c r="AG365" t="str">
        <f t="shared" si="162"/>
        <v/>
      </c>
      <c r="AH365" t="str">
        <f t="shared" si="163"/>
        <v/>
      </c>
      <c r="AI365" t="str">
        <f t="shared" si="164"/>
        <v/>
      </c>
      <c r="AJ365">
        <f t="shared" si="165"/>
        <v>0</v>
      </c>
      <c r="AK365">
        <f t="shared" si="174"/>
        <v>4</v>
      </c>
      <c r="AL365" t="str">
        <f t="shared" si="166"/>
        <v/>
      </c>
      <c r="AM365" t="str">
        <f t="shared" si="167"/>
        <v/>
      </c>
      <c r="AN365" t="str">
        <f t="shared" si="168"/>
        <v/>
      </c>
      <c r="AO365">
        <f t="shared" si="169"/>
        <v>0</v>
      </c>
    </row>
    <row r="366" spans="1:41" x14ac:dyDescent="0.4">
      <c r="A366" t="str">
        <f>IF($CM$6=0,"",IF(INDEX('⑩ 원문 보관'!$A:$E,$CM$6+ROW()-9,COLUMN())="","",INDEX('⑩ 원문 보관'!$A:$E,$CM$6+ROW()-9,COLUMN())))</f>
        <v/>
      </c>
      <c r="B366" t="str">
        <f>IF($CM$6=0,"",IF(INDEX('⑩ 원문 보관'!$A:$E,$CM$6+ROW()-9,COLUMN())="","",INDEX('⑩ 원문 보관'!$A:$E,$CM$6+ROW()-9,COLUMN())))</f>
        <v xml:space="preserve">121132.0  51715.08 58 </v>
      </c>
      <c r="C366" t="str">
        <f>IF($CM$6=0,"",IF(INDEX('⑩ 원문 보관'!$A:$E,$CM$6+ROW()-9,COLUMN())="","",INDEX('⑩ 원문 보관'!$A:$E,$CM$6+ROW()-9,COLUMN())))</f>
        <v/>
      </c>
      <c r="D366" t="str">
        <f>IF($CM$6=0,"",IF(INDEX('⑩ 원문 보관'!$A:$E,$CM$6+ROW()-9,COLUMN())="","",INDEX('⑩ 원문 보관'!$A:$E,$CM$6+ROW()-9,COLUMN())))</f>
        <v/>
      </c>
      <c r="E366" t="str">
        <f>IF($CM$6=0,"",IF(INDEX('⑩ 원문 보관'!$A:$E,$CM$6+ROW()-9,COLUMN())="","",INDEX('⑩ 원문 보관'!$A:$E,$CM$6+ROW()-9,COLUMN())))</f>
        <v/>
      </c>
      <c r="Q366">
        <f t="shared" si="170"/>
        <v>8</v>
      </c>
      <c r="R366" t="str">
        <f t="shared" si="150"/>
        <v/>
      </c>
      <c r="S366" t="str">
        <f t="shared" si="151"/>
        <v/>
      </c>
      <c r="T366" t="str">
        <f t="shared" si="152"/>
        <v/>
      </c>
      <c r="U366">
        <f t="shared" si="153"/>
        <v>0</v>
      </c>
      <c r="V366">
        <f t="shared" si="171"/>
        <v>10</v>
      </c>
      <c r="W366">
        <f t="shared" si="154"/>
        <v>121132</v>
      </c>
      <c r="X366">
        <f t="shared" si="155"/>
        <v>51715.08</v>
      </c>
      <c r="Y366" t="str">
        <f t="shared" si="156"/>
        <v>58</v>
      </c>
      <c r="Z366">
        <f t="shared" si="157"/>
        <v>1</v>
      </c>
      <c r="AA366">
        <f t="shared" si="172"/>
        <v>6</v>
      </c>
      <c r="AB366" t="str">
        <f t="shared" si="158"/>
        <v/>
      </c>
      <c r="AC366" t="str">
        <f t="shared" si="159"/>
        <v/>
      </c>
      <c r="AD366" t="str">
        <f t="shared" si="160"/>
        <v/>
      </c>
      <c r="AE366">
        <f t="shared" si="161"/>
        <v>0</v>
      </c>
      <c r="AF366">
        <f t="shared" si="173"/>
        <v>10</v>
      </c>
      <c r="AG366" t="str">
        <f t="shared" si="162"/>
        <v/>
      </c>
      <c r="AH366" t="str">
        <f t="shared" si="163"/>
        <v/>
      </c>
      <c r="AI366" t="str">
        <f t="shared" si="164"/>
        <v/>
      </c>
      <c r="AJ366">
        <f t="shared" si="165"/>
        <v>0</v>
      </c>
      <c r="AK366">
        <f t="shared" si="174"/>
        <v>4</v>
      </c>
      <c r="AL366" t="str">
        <f t="shared" si="166"/>
        <v/>
      </c>
      <c r="AM366" t="str">
        <f t="shared" si="167"/>
        <v/>
      </c>
      <c r="AN366" t="str">
        <f t="shared" si="168"/>
        <v/>
      </c>
      <c r="AO366">
        <f t="shared" si="169"/>
        <v>0</v>
      </c>
    </row>
    <row r="367" spans="1:41" x14ac:dyDescent="0.4">
      <c r="A367" t="str">
        <f>IF($CM$6=0,"",IF(INDEX('⑩ 원문 보관'!$A:$E,$CM$6+ROW()-9,COLUMN())="","",INDEX('⑩ 원문 보관'!$A:$E,$CM$6+ROW()-9,COLUMN())))</f>
        <v/>
      </c>
      <c r="B367" t="str">
        <f>IF($CM$6=0,"",IF(INDEX('⑩ 원문 보관'!$A:$E,$CM$6+ROW()-9,COLUMN())="","",INDEX('⑩ 원문 보관'!$A:$E,$CM$6+ROW()-9,COLUMN())))</f>
        <v xml:space="preserve">121137.0  51714.29 57 </v>
      </c>
      <c r="C367" t="str">
        <f>IF($CM$6=0,"",IF(INDEX('⑩ 원문 보관'!$A:$E,$CM$6+ROW()-9,COLUMN())="","",INDEX('⑩ 원문 보관'!$A:$E,$CM$6+ROW()-9,COLUMN())))</f>
        <v/>
      </c>
      <c r="D367" t="str">
        <f>IF($CM$6=0,"",IF(INDEX('⑩ 원문 보관'!$A:$E,$CM$6+ROW()-9,COLUMN())="","",INDEX('⑩ 원문 보관'!$A:$E,$CM$6+ROW()-9,COLUMN())))</f>
        <v/>
      </c>
      <c r="E367" t="str">
        <f>IF($CM$6=0,"",IF(INDEX('⑩ 원문 보관'!$A:$E,$CM$6+ROW()-9,COLUMN())="","",INDEX('⑩ 원문 보관'!$A:$E,$CM$6+ROW()-9,COLUMN())))</f>
        <v/>
      </c>
      <c r="Q367">
        <f t="shared" si="170"/>
        <v>8</v>
      </c>
      <c r="R367" t="str">
        <f t="shared" si="150"/>
        <v/>
      </c>
      <c r="S367" t="str">
        <f t="shared" si="151"/>
        <v/>
      </c>
      <c r="T367" t="str">
        <f t="shared" si="152"/>
        <v/>
      </c>
      <c r="U367">
        <f t="shared" si="153"/>
        <v>0</v>
      </c>
      <c r="V367">
        <f t="shared" si="171"/>
        <v>10</v>
      </c>
      <c r="W367">
        <f t="shared" si="154"/>
        <v>121137</v>
      </c>
      <c r="X367">
        <f t="shared" si="155"/>
        <v>51714.29</v>
      </c>
      <c r="Y367" t="str">
        <f t="shared" si="156"/>
        <v>57</v>
      </c>
      <c r="Z367">
        <f t="shared" si="157"/>
        <v>1</v>
      </c>
      <c r="AA367">
        <f t="shared" si="172"/>
        <v>6</v>
      </c>
      <c r="AB367" t="str">
        <f t="shared" si="158"/>
        <v/>
      </c>
      <c r="AC367" t="str">
        <f t="shared" si="159"/>
        <v/>
      </c>
      <c r="AD367" t="str">
        <f t="shared" si="160"/>
        <v/>
      </c>
      <c r="AE367">
        <f t="shared" si="161"/>
        <v>0</v>
      </c>
      <c r="AF367">
        <f t="shared" si="173"/>
        <v>10</v>
      </c>
      <c r="AG367" t="str">
        <f t="shared" si="162"/>
        <v/>
      </c>
      <c r="AH367" t="str">
        <f t="shared" si="163"/>
        <v/>
      </c>
      <c r="AI367" t="str">
        <f t="shared" si="164"/>
        <v/>
      </c>
      <c r="AJ367">
        <f t="shared" si="165"/>
        <v>0</v>
      </c>
      <c r="AK367">
        <f t="shared" si="174"/>
        <v>4</v>
      </c>
      <c r="AL367" t="str">
        <f t="shared" si="166"/>
        <v/>
      </c>
      <c r="AM367" t="str">
        <f t="shared" si="167"/>
        <v/>
      </c>
      <c r="AN367" t="str">
        <f t="shared" si="168"/>
        <v/>
      </c>
      <c r="AO367">
        <f t="shared" si="169"/>
        <v>0</v>
      </c>
    </row>
    <row r="368" spans="1:41" x14ac:dyDescent="0.4">
      <c r="A368" t="str">
        <f>IF($CM$6=0,"",IF(INDEX('⑩ 원문 보관'!$A:$E,$CM$6+ROW()-9,COLUMN())="","",INDEX('⑩ 원문 보관'!$A:$E,$CM$6+ROW()-9,COLUMN())))</f>
        <v/>
      </c>
      <c r="B368" t="str">
        <f>IF($CM$6=0,"",IF(INDEX('⑩ 원문 보관'!$A:$E,$CM$6+ROW()-9,COLUMN())="","",INDEX('⑩ 원문 보관'!$A:$E,$CM$6+ROW()-9,COLUMN())))</f>
        <v xml:space="preserve">121142.0  51714.85 58 </v>
      </c>
      <c r="C368" t="str">
        <f>IF($CM$6=0,"",IF(INDEX('⑩ 원문 보관'!$A:$E,$CM$6+ROW()-9,COLUMN())="","",INDEX('⑩ 원문 보관'!$A:$E,$CM$6+ROW()-9,COLUMN())))</f>
        <v/>
      </c>
      <c r="D368" t="str">
        <f>IF($CM$6=0,"",IF(INDEX('⑩ 원문 보관'!$A:$E,$CM$6+ROW()-9,COLUMN())="","",INDEX('⑩ 원문 보관'!$A:$E,$CM$6+ROW()-9,COLUMN())))</f>
        <v/>
      </c>
      <c r="E368" t="str">
        <f>IF($CM$6=0,"",IF(INDEX('⑩ 원문 보관'!$A:$E,$CM$6+ROW()-9,COLUMN())="","",INDEX('⑩ 원문 보관'!$A:$E,$CM$6+ROW()-9,COLUMN())))</f>
        <v/>
      </c>
      <c r="Q368">
        <f t="shared" si="170"/>
        <v>8</v>
      </c>
      <c r="R368" t="str">
        <f t="shared" si="150"/>
        <v/>
      </c>
      <c r="S368" t="str">
        <f t="shared" si="151"/>
        <v/>
      </c>
      <c r="T368" t="str">
        <f t="shared" si="152"/>
        <v/>
      </c>
      <c r="U368">
        <f t="shared" si="153"/>
        <v>0</v>
      </c>
      <c r="V368">
        <f t="shared" si="171"/>
        <v>10</v>
      </c>
      <c r="W368">
        <f t="shared" si="154"/>
        <v>121142</v>
      </c>
      <c r="X368">
        <f t="shared" si="155"/>
        <v>51714.85</v>
      </c>
      <c r="Y368" t="str">
        <f t="shared" si="156"/>
        <v>58</v>
      </c>
      <c r="Z368">
        <f t="shared" si="157"/>
        <v>1</v>
      </c>
      <c r="AA368">
        <f t="shared" si="172"/>
        <v>6</v>
      </c>
      <c r="AB368" t="str">
        <f t="shared" si="158"/>
        <v/>
      </c>
      <c r="AC368" t="str">
        <f t="shared" si="159"/>
        <v/>
      </c>
      <c r="AD368" t="str">
        <f t="shared" si="160"/>
        <v/>
      </c>
      <c r="AE368">
        <f t="shared" si="161"/>
        <v>0</v>
      </c>
      <c r="AF368">
        <f t="shared" si="173"/>
        <v>10</v>
      </c>
      <c r="AG368" t="str">
        <f t="shared" si="162"/>
        <v/>
      </c>
      <c r="AH368" t="str">
        <f t="shared" si="163"/>
        <v/>
      </c>
      <c r="AI368" t="str">
        <f t="shared" si="164"/>
        <v/>
      </c>
      <c r="AJ368">
        <f t="shared" si="165"/>
        <v>0</v>
      </c>
      <c r="AK368">
        <f t="shared" si="174"/>
        <v>4</v>
      </c>
      <c r="AL368" t="str">
        <f t="shared" si="166"/>
        <v/>
      </c>
      <c r="AM368" t="str">
        <f t="shared" si="167"/>
        <v/>
      </c>
      <c r="AN368" t="str">
        <f t="shared" si="168"/>
        <v/>
      </c>
      <c r="AO368">
        <f t="shared" si="169"/>
        <v>0</v>
      </c>
    </row>
    <row r="369" spans="1:41" x14ac:dyDescent="0.4">
      <c r="A369" t="str">
        <f>IF($CM$6=0,"",IF(INDEX('⑩ 원문 보관'!$A:$E,$CM$6+ROW()-9,COLUMN())="","",INDEX('⑩ 원문 보관'!$A:$E,$CM$6+ROW()-9,COLUMN())))</f>
        <v/>
      </c>
      <c r="B369" t="str">
        <f>IF($CM$6=0,"",IF(INDEX('⑩ 원문 보관'!$A:$E,$CM$6+ROW()-9,COLUMN())="","",INDEX('⑩ 원문 보관'!$A:$E,$CM$6+ROW()-9,COLUMN())))</f>
        <v xml:space="preserve">121147.0  51714.40 58 </v>
      </c>
      <c r="C369" t="str">
        <f>IF($CM$6=0,"",IF(INDEX('⑩ 원문 보관'!$A:$E,$CM$6+ROW()-9,COLUMN())="","",INDEX('⑩ 원문 보관'!$A:$E,$CM$6+ROW()-9,COLUMN())))</f>
        <v/>
      </c>
      <c r="D369" t="str">
        <f>IF($CM$6=0,"",IF(INDEX('⑩ 원문 보관'!$A:$E,$CM$6+ROW()-9,COLUMN())="","",INDEX('⑩ 원문 보관'!$A:$E,$CM$6+ROW()-9,COLUMN())))</f>
        <v/>
      </c>
      <c r="E369" t="str">
        <f>IF($CM$6=0,"",IF(INDEX('⑩ 원문 보관'!$A:$E,$CM$6+ROW()-9,COLUMN())="","",INDEX('⑩ 원문 보관'!$A:$E,$CM$6+ROW()-9,COLUMN())))</f>
        <v/>
      </c>
      <c r="Q369">
        <f t="shared" si="170"/>
        <v>8</v>
      </c>
      <c r="R369" t="str">
        <f t="shared" si="150"/>
        <v/>
      </c>
      <c r="S369" t="str">
        <f t="shared" si="151"/>
        <v/>
      </c>
      <c r="T369" t="str">
        <f t="shared" si="152"/>
        <v/>
      </c>
      <c r="U369">
        <f t="shared" si="153"/>
        <v>0</v>
      </c>
      <c r="V369">
        <f t="shared" si="171"/>
        <v>10</v>
      </c>
      <c r="W369">
        <f t="shared" si="154"/>
        <v>121147</v>
      </c>
      <c r="X369">
        <f t="shared" si="155"/>
        <v>51714.400000000001</v>
      </c>
      <c r="Y369" t="str">
        <f t="shared" si="156"/>
        <v>58</v>
      </c>
      <c r="Z369">
        <f t="shared" si="157"/>
        <v>1</v>
      </c>
      <c r="AA369">
        <f t="shared" si="172"/>
        <v>6</v>
      </c>
      <c r="AB369" t="str">
        <f t="shared" si="158"/>
        <v/>
      </c>
      <c r="AC369" t="str">
        <f t="shared" si="159"/>
        <v/>
      </c>
      <c r="AD369" t="str">
        <f t="shared" si="160"/>
        <v/>
      </c>
      <c r="AE369">
        <f t="shared" si="161"/>
        <v>0</v>
      </c>
      <c r="AF369">
        <f t="shared" si="173"/>
        <v>10</v>
      </c>
      <c r="AG369" t="str">
        <f t="shared" si="162"/>
        <v/>
      </c>
      <c r="AH369" t="str">
        <f t="shared" si="163"/>
        <v/>
      </c>
      <c r="AI369" t="str">
        <f t="shared" si="164"/>
        <v/>
      </c>
      <c r="AJ369">
        <f t="shared" si="165"/>
        <v>0</v>
      </c>
      <c r="AK369">
        <f t="shared" si="174"/>
        <v>4</v>
      </c>
      <c r="AL369" t="str">
        <f t="shared" si="166"/>
        <v/>
      </c>
      <c r="AM369" t="str">
        <f t="shared" si="167"/>
        <v/>
      </c>
      <c r="AN369" t="str">
        <f t="shared" si="168"/>
        <v/>
      </c>
      <c r="AO369">
        <f t="shared" si="169"/>
        <v>0</v>
      </c>
    </row>
    <row r="370" spans="1:41" x14ac:dyDescent="0.4">
      <c r="A370" t="str">
        <f>IF($CM$6=0,"",IF(INDEX('⑩ 원문 보관'!$A:$E,$CM$6+ROW()-9,COLUMN())="","",INDEX('⑩ 원문 보관'!$A:$E,$CM$6+ROW()-9,COLUMN())))</f>
        <v/>
      </c>
      <c r="B370" t="str">
        <f>IF($CM$6=0,"",IF(INDEX('⑩ 원문 보관'!$A:$E,$CM$6+ROW()-9,COLUMN())="","",INDEX('⑩ 원문 보관'!$A:$E,$CM$6+ROW()-9,COLUMN())))</f>
        <v xml:space="preserve">121152.0  51714.11 47 </v>
      </c>
      <c r="C370" t="str">
        <f>IF($CM$6=0,"",IF(INDEX('⑩ 원문 보관'!$A:$E,$CM$6+ROW()-9,COLUMN())="","",INDEX('⑩ 원문 보관'!$A:$E,$CM$6+ROW()-9,COLUMN())))</f>
        <v/>
      </c>
      <c r="D370" t="str">
        <f>IF($CM$6=0,"",IF(INDEX('⑩ 원문 보관'!$A:$E,$CM$6+ROW()-9,COLUMN())="","",INDEX('⑩ 원문 보관'!$A:$E,$CM$6+ROW()-9,COLUMN())))</f>
        <v/>
      </c>
      <c r="E370" t="str">
        <f>IF($CM$6=0,"",IF(INDEX('⑩ 원문 보관'!$A:$E,$CM$6+ROW()-9,COLUMN())="","",INDEX('⑩ 원문 보관'!$A:$E,$CM$6+ROW()-9,COLUMN())))</f>
        <v/>
      </c>
      <c r="Q370">
        <f t="shared" si="170"/>
        <v>8</v>
      </c>
      <c r="R370" t="str">
        <f t="shared" si="150"/>
        <v/>
      </c>
      <c r="S370" t="str">
        <f t="shared" si="151"/>
        <v/>
      </c>
      <c r="T370" t="str">
        <f t="shared" si="152"/>
        <v/>
      </c>
      <c r="U370">
        <f t="shared" si="153"/>
        <v>0</v>
      </c>
      <c r="V370">
        <f t="shared" si="171"/>
        <v>10</v>
      </c>
      <c r="W370">
        <f t="shared" si="154"/>
        <v>121152</v>
      </c>
      <c r="X370">
        <f t="shared" si="155"/>
        <v>51714.11</v>
      </c>
      <c r="Y370" t="str">
        <f t="shared" si="156"/>
        <v>47</v>
      </c>
      <c r="Z370">
        <f t="shared" si="157"/>
        <v>1</v>
      </c>
      <c r="AA370">
        <f t="shared" si="172"/>
        <v>6</v>
      </c>
      <c r="AB370" t="str">
        <f t="shared" si="158"/>
        <v/>
      </c>
      <c r="AC370" t="str">
        <f t="shared" si="159"/>
        <v/>
      </c>
      <c r="AD370" t="str">
        <f t="shared" si="160"/>
        <v/>
      </c>
      <c r="AE370">
        <f t="shared" si="161"/>
        <v>0</v>
      </c>
      <c r="AF370">
        <f t="shared" si="173"/>
        <v>10</v>
      </c>
      <c r="AG370" t="str">
        <f t="shared" si="162"/>
        <v/>
      </c>
      <c r="AH370" t="str">
        <f t="shared" si="163"/>
        <v/>
      </c>
      <c r="AI370" t="str">
        <f t="shared" si="164"/>
        <v/>
      </c>
      <c r="AJ370">
        <f t="shared" si="165"/>
        <v>0</v>
      </c>
      <c r="AK370">
        <f t="shared" si="174"/>
        <v>4</v>
      </c>
      <c r="AL370" t="str">
        <f t="shared" si="166"/>
        <v/>
      </c>
      <c r="AM370" t="str">
        <f t="shared" si="167"/>
        <v/>
      </c>
      <c r="AN370" t="str">
        <f t="shared" si="168"/>
        <v/>
      </c>
      <c r="AO370">
        <f t="shared" si="169"/>
        <v>0</v>
      </c>
    </row>
    <row r="371" spans="1:41" x14ac:dyDescent="0.4">
      <c r="A371" t="str">
        <f>IF($CM$6=0,"",IF(INDEX('⑩ 원문 보관'!$A:$E,$CM$6+ROW()-9,COLUMN())="","",INDEX('⑩ 원문 보관'!$A:$E,$CM$6+ROW()-9,COLUMN())))</f>
        <v/>
      </c>
      <c r="B371" t="str">
        <f>IF($CM$6=0,"",IF(INDEX('⑩ 원문 보관'!$A:$E,$CM$6+ROW()-9,COLUMN())="","",INDEX('⑩ 원문 보관'!$A:$E,$CM$6+ROW()-9,COLUMN())))</f>
        <v xml:space="preserve">121157.0  51714.83 58 </v>
      </c>
      <c r="C371" t="str">
        <f>IF($CM$6=0,"",IF(INDEX('⑩ 원문 보관'!$A:$E,$CM$6+ROW()-9,COLUMN())="","",INDEX('⑩ 원문 보관'!$A:$E,$CM$6+ROW()-9,COLUMN())))</f>
        <v/>
      </c>
      <c r="D371" t="str">
        <f>IF($CM$6=0,"",IF(INDEX('⑩ 원문 보관'!$A:$E,$CM$6+ROW()-9,COLUMN())="","",INDEX('⑩ 원문 보관'!$A:$E,$CM$6+ROW()-9,COLUMN())))</f>
        <v/>
      </c>
      <c r="E371" t="str">
        <f>IF($CM$6=0,"",IF(INDEX('⑩ 원문 보관'!$A:$E,$CM$6+ROW()-9,COLUMN())="","",INDEX('⑩ 원문 보관'!$A:$E,$CM$6+ROW()-9,COLUMN())))</f>
        <v/>
      </c>
      <c r="Q371">
        <f t="shared" si="170"/>
        <v>8</v>
      </c>
      <c r="R371" t="str">
        <f t="shared" si="150"/>
        <v/>
      </c>
      <c r="S371" t="str">
        <f t="shared" si="151"/>
        <v/>
      </c>
      <c r="T371" t="str">
        <f t="shared" si="152"/>
        <v/>
      </c>
      <c r="U371">
        <f t="shared" si="153"/>
        <v>0</v>
      </c>
      <c r="V371">
        <f t="shared" si="171"/>
        <v>10</v>
      </c>
      <c r="W371">
        <f t="shared" si="154"/>
        <v>121157</v>
      </c>
      <c r="X371">
        <f t="shared" si="155"/>
        <v>51714.83</v>
      </c>
      <c r="Y371" t="str">
        <f t="shared" si="156"/>
        <v>58</v>
      </c>
      <c r="Z371">
        <f t="shared" si="157"/>
        <v>1</v>
      </c>
      <c r="AA371">
        <f t="shared" si="172"/>
        <v>6</v>
      </c>
      <c r="AB371" t="str">
        <f t="shared" si="158"/>
        <v/>
      </c>
      <c r="AC371" t="str">
        <f t="shared" si="159"/>
        <v/>
      </c>
      <c r="AD371" t="str">
        <f t="shared" si="160"/>
        <v/>
      </c>
      <c r="AE371">
        <f t="shared" si="161"/>
        <v>0</v>
      </c>
      <c r="AF371">
        <f t="shared" si="173"/>
        <v>10</v>
      </c>
      <c r="AG371" t="str">
        <f t="shared" si="162"/>
        <v/>
      </c>
      <c r="AH371" t="str">
        <f t="shared" si="163"/>
        <v/>
      </c>
      <c r="AI371" t="str">
        <f t="shared" si="164"/>
        <v/>
      </c>
      <c r="AJ371">
        <f t="shared" si="165"/>
        <v>0</v>
      </c>
      <c r="AK371">
        <f t="shared" si="174"/>
        <v>4</v>
      </c>
      <c r="AL371" t="str">
        <f t="shared" si="166"/>
        <v/>
      </c>
      <c r="AM371" t="str">
        <f t="shared" si="167"/>
        <v/>
      </c>
      <c r="AN371" t="str">
        <f t="shared" si="168"/>
        <v/>
      </c>
      <c r="AO371">
        <f t="shared" si="169"/>
        <v>0</v>
      </c>
    </row>
    <row r="372" spans="1:41" x14ac:dyDescent="0.4">
      <c r="A372" t="str">
        <f>IF($CM$6=0,"",IF(INDEX('⑩ 원문 보관'!$A:$E,$CM$6+ROW()-9,COLUMN())="","",INDEX('⑩ 원문 보관'!$A:$E,$CM$6+ROW()-9,COLUMN())))</f>
        <v/>
      </c>
      <c r="B372" t="str">
        <f>IF($CM$6=0,"",IF(INDEX('⑩ 원문 보관'!$A:$E,$CM$6+ROW()-9,COLUMN())="","",INDEX('⑩ 원문 보관'!$A:$E,$CM$6+ROW()-9,COLUMN())))</f>
        <v xml:space="preserve">121202.0  51714.86 58 </v>
      </c>
      <c r="C372" t="str">
        <f>IF($CM$6=0,"",IF(INDEX('⑩ 원문 보관'!$A:$E,$CM$6+ROW()-9,COLUMN())="","",INDEX('⑩ 원문 보관'!$A:$E,$CM$6+ROW()-9,COLUMN())))</f>
        <v/>
      </c>
      <c r="D372" t="str">
        <f>IF($CM$6=0,"",IF(INDEX('⑩ 원문 보관'!$A:$E,$CM$6+ROW()-9,COLUMN())="","",INDEX('⑩ 원문 보관'!$A:$E,$CM$6+ROW()-9,COLUMN())))</f>
        <v/>
      </c>
      <c r="E372" t="str">
        <f>IF($CM$6=0,"",IF(INDEX('⑩ 원문 보관'!$A:$E,$CM$6+ROW()-9,COLUMN())="","",INDEX('⑩ 원문 보관'!$A:$E,$CM$6+ROW()-9,COLUMN())))</f>
        <v/>
      </c>
      <c r="Q372">
        <f t="shared" si="170"/>
        <v>8</v>
      </c>
      <c r="R372" t="str">
        <f t="shared" si="150"/>
        <v/>
      </c>
      <c r="S372" t="str">
        <f t="shared" si="151"/>
        <v/>
      </c>
      <c r="T372" t="str">
        <f t="shared" si="152"/>
        <v/>
      </c>
      <c r="U372">
        <f t="shared" si="153"/>
        <v>0</v>
      </c>
      <c r="V372">
        <f t="shared" si="171"/>
        <v>10</v>
      </c>
      <c r="W372">
        <f t="shared" si="154"/>
        <v>121202</v>
      </c>
      <c r="X372">
        <f t="shared" si="155"/>
        <v>51714.86</v>
      </c>
      <c r="Y372" t="str">
        <f t="shared" si="156"/>
        <v>58</v>
      </c>
      <c r="Z372">
        <f t="shared" si="157"/>
        <v>1</v>
      </c>
      <c r="AA372">
        <f t="shared" si="172"/>
        <v>6</v>
      </c>
      <c r="AB372" t="str">
        <f t="shared" si="158"/>
        <v/>
      </c>
      <c r="AC372" t="str">
        <f t="shared" si="159"/>
        <v/>
      </c>
      <c r="AD372" t="str">
        <f t="shared" si="160"/>
        <v/>
      </c>
      <c r="AE372">
        <f t="shared" si="161"/>
        <v>0</v>
      </c>
      <c r="AF372">
        <f t="shared" si="173"/>
        <v>10</v>
      </c>
      <c r="AG372" t="str">
        <f t="shared" si="162"/>
        <v/>
      </c>
      <c r="AH372" t="str">
        <f t="shared" si="163"/>
        <v/>
      </c>
      <c r="AI372" t="str">
        <f t="shared" si="164"/>
        <v/>
      </c>
      <c r="AJ372">
        <f t="shared" si="165"/>
        <v>0</v>
      </c>
      <c r="AK372">
        <f t="shared" si="174"/>
        <v>4</v>
      </c>
      <c r="AL372" t="str">
        <f t="shared" si="166"/>
        <v/>
      </c>
      <c r="AM372" t="str">
        <f t="shared" si="167"/>
        <v/>
      </c>
      <c r="AN372" t="str">
        <f t="shared" si="168"/>
        <v/>
      </c>
      <c r="AO372">
        <f t="shared" si="169"/>
        <v>0</v>
      </c>
    </row>
    <row r="373" spans="1:41" x14ac:dyDescent="0.4">
      <c r="A373" t="str">
        <f>IF($CM$6=0,"",IF(INDEX('⑩ 원문 보관'!$A:$E,$CM$6+ROW()-9,COLUMN())="","",INDEX('⑩ 원문 보관'!$A:$E,$CM$6+ROW()-9,COLUMN())))</f>
        <v/>
      </c>
      <c r="B373" t="str">
        <f>IF($CM$6=0,"",IF(INDEX('⑩ 원문 보관'!$A:$E,$CM$6+ROW()-9,COLUMN())="","",INDEX('⑩ 원문 보관'!$A:$E,$CM$6+ROW()-9,COLUMN())))</f>
        <v xml:space="preserve">121207.0  51715.35 58 </v>
      </c>
      <c r="C373" t="str">
        <f>IF($CM$6=0,"",IF(INDEX('⑩ 원문 보관'!$A:$E,$CM$6+ROW()-9,COLUMN())="","",INDEX('⑩ 원문 보관'!$A:$E,$CM$6+ROW()-9,COLUMN())))</f>
        <v/>
      </c>
      <c r="D373" t="str">
        <f>IF($CM$6=0,"",IF(INDEX('⑩ 원문 보관'!$A:$E,$CM$6+ROW()-9,COLUMN())="","",INDEX('⑩ 원문 보관'!$A:$E,$CM$6+ROW()-9,COLUMN())))</f>
        <v/>
      </c>
      <c r="E373" t="str">
        <f>IF($CM$6=0,"",IF(INDEX('⑩ 원문 보관'!$A:$E,$CM$6+ROW()-9,COLUMN())="","",INDEX('⑩ 원문 보관'!$A:$E,$CM$6+ROW()-9,COLUMN())))</f>
        <v/>
      </c>
      <c r="Q373">
        <f t="shared" si="170"/>
        <v>8</v>
      </c>
      <c r="R373" t="str">
        <f t="shared" si="150"/>
        <v/>
      </c>
      <c r="S373" t="str">
        <f t="shared" si="151"/>
        <v/>
      </c>
      <c r="T373" t="str">
        <f t="shared" si="152"/>
        <v/>
      </c>
      <c r="U373">
        <f t="shared" si="153"/>
        <v>0</v>
      </c>
      <c r="V373">
        <f t="shared" si="171"/>
        <v>10</v>
      </c>
      <c r="W373">
        <f t="shared" si="154"/>
        <v>121207</v>
      </c>
      <c r="X373">
        <f t="shared" si="155"/>
        <v>51715.35</v>
      </c>
      <c r="Y373" t="str">
        <f t="shared" si="156"/>
        <v>58</v>
      </c>
      <c r="Z373">
        <f t="shared" si="157"/>
        <v>1</v>
      </c>
      <c r="AA373">
        <f t="shared" si="172"/>
        <v>6</v>
      </c>
      <c r="AB373" t="str">
        <f t="shared" si="158"/>
        <v/>
      </c>
      <c r="AC373" t="str">
        <f t="shared" si="159"/>
        <v/>
      </c>
      <c r="AD373" t="str">
        <f t="shared" si="160"/>
        <v/>
      </c>
      <c r="AE373">
        <f t="shared" si="161"/>
        <v>0</v>
      </c>
      <c r="AF373">
        <f t="shared" si="173"/>
        <v>10</v>
      </c>
      <c r="AG373" t="str">
        <f t="shared" si="162"/>
        <v/>
      </c>
      <c r="AH373" t="str">
        <f t="shared" si="163"/>
        <v/>
      </c>
      <c r="AI373" t="str">
        <f t="shared" si="164"/>
        <v/>
      </c>
      <c r="AJ373">
        <f t="shared" si="165"/>
        <v>0</v>
      </c>
      <c r="AK373">
        <f t="shared" si="174"/>
        <v>4</v>
      </c>
      <c r="AL373" t="str">
        <f t="shared" si="166"/>
        <v/>
      </c>
      <c r="AM373" t="str">
        <f t="shared" si="167"/>
        <v/>
      </c>
      <c r="AN373" t="str">
        <f t="shared" si="168"/>
        <v/>
      </c>
      <c r="AO373">
        <f t="shared" si="169"/>
        <v>0</v>
      </c>
    </row>
    <row r="374" spans="1:41" x14ac:dyDescent="0.4">
      <c r="A374" t="str">
        <f>IF($CM$6=0,"",IF(INDEX('⑩ 원문 보관'!$A:$E,$CM$6+ROW()-9,COLUMN())="","",INDEX('⑩ 원문 보관'!$A:$E,$CM$6+ROW()-9,COLUMN())))</f>
        <v/>
      </c>
      <c r="B374" t="str">
        <f>IF($CM$6=0,"",IF(INDEX('⑩ 원문 보관'!$A:$E,$CM$6+ROW()-9,COLUMN())="","",INDEX('⑩ 원문 보관'!$A:$E,$CM$6+ROW()-9,COLUMN())))</f>
        <v xml:space="preserve">121212.0  51713.88 47 </v>
      </c>
      <c r="C374" t="str">
        <f>IF($CM$6=0,"",IF(INDEX('⑩ 원문 보관'!$A:$E,$CM$6+ROW()-9,COLUMN())="","",INDEX('⑩ 원문 보관'!$A:$E,$CM$6+ROW()-9,COLUMN())))</f>
        <v/>
      </c>
      <c r="D374" t="str">
        <f>IF($CM$6=0,"",IF(INDEX('⑩ 원문 보관'!$A:$E,$CM$6+ROW()-9,COLUMN())="","",INDEX('⑩ 원문 보관'!$A:$E,$CM$6+ROW()-9,COLUMN())))</f>
        <v/>
      </c>
      <c r="E374" t="str">
        <f>IF($CM$6=0,"",IF(INDEX('⑩ 원문 보관'!$A:$E,$CM$6+ROW()-9,COLUMN())="","",INDEX('⑩ 원문 보관'!$A:$E,$CM$6+ROW()-9,COLUMN())))</f>
        <v/>
      </c>
      <c r="Q374">
        <f t="shared" si="170"/>
        <v>8</v>
      </c>
      <c r="R374" t="str">
        <f t="shared" si="150"/>
        <v/>
      </c>
      <c r="S374" t="str">
        <f t="shared" si="151"/>
        <v/>
      </c>
      <c r="T374" t="str">
        <f t="shared" si="152"/>
        <v/>
      </c>
      <c r="U374">
        <f t="shared" si="153"/>
        <v>0</v>
      </c>
      <c r="V374">
        <f t="shared" si="171"/>
        <v>10</v>
      </c>
      <c r="W374">
        <f t="shared" si="154"/>
        <v>121212</v>
      </c>
      <c r="X374">
        <f t="shared" si="155"/>
        <v>51713.88</v>
      </c>
      <c r="Y374" t="str">
        <f t="shared" si="156"/>
        <v>47</v>
      </c>
      <c r="Z374">
        <f t="shared" si="157"/>
        <v>1</v>
      </c>
      <c r="AA374">
        <f t="shared" si="172"/>
        <v>6</v>
      </c>
      <c r="AB374" t="str">
        <f t="shared" si="158"/>
        <v/>
      </c>
      <c r="AC374" t="str">
        <f t="shared" si="159"/>
        <v/>
      </c>
      <c r="AD374" t="str">
        <f t="shared" si="160"/>
        <v/>
      </c>
      <c r="AE374">
        <f t="shared" si="161"/>
        <v>0</v>
      </c>
      <c r="AF374">
        <f t="shared" si="173"/>
        <v>10</v>
      </c>
      <c r="AG374" t="str">
        <f t="shared" si="162"/>
        <v/>
      </c>
      <c r="AH374" t="str">
        <f t="shared" si="163"/>
        <v/>
      </c>
      <c r="AI374" t="str">
        <f t="shared" si="164"/>
        <v/>
      </c>
      <c r="AJ374">
        <f t="shared" si="165"/>
        <v>0</v>
      </c>
      <c r="AK374">
        <f t="shared" si="174"/>
        <v>4</v>
      </c>
      <c r="AL374" t="str">
        <f t="shared" si="166"/>
        <v/>
      </c>
      <c r="AM374" t="str">
        <f t="shared" si="167"/>
        <v/>
      </c>
      <c r="AN374" t="str">
        <f t="shared" si="168"/>
        <v/>
      </c>
      <c r="AO374">
        <f t="shared" si="169"/>
        <v>0</v>
      </c>
    </row>
    <row r="375" spans="1:41" x14ac:dyDescent="0.4">
      <c r="A375" t="str">
        <f>IF($CM$6=0,"",IF(INDEX('⑩ 원문 보관'!$A:$E,$CM$6+ROW()-9,COLUMN())="","",INDEX('⑩ 원문 보관'!$A:$E,$CM$6+ROW()-9,COLUMN())))</f>
        <v/>
      </c>
      <c r="B375" t="str">
        <f>IF($CM$6=0,"",IF(INDEX('⑩ 원문 보관'!$A:$E,$CM$6+ROW()-9,COLUMN())="","",INDEX('⑩ 원문 보관'!$A:$E,$CM$6+ROW()-9,COLUMN())))</f>
        <v/>
      </c>
      <c r="C375" t="str">
        <f>IF($CM$6=0,"",IF(INDEX('⑩ 원문 보관'!$A:$E,$CM$6+ROW()-9,COLUMN())="","",INDEX('⑩ 원문 보관'!$A:$E,$CM$6+ROW()-9,COLUMN())))</f>
        <v/>
      </c>
      <c r="D375" t="str">
        <f>IF($CM$6=0,"",IF(INDEX('⑩ 원문 보관'!$A:$E,$CM$6+ROW()-9,COLUMN())="","",INDEX('⑩ 원문 보관'!$A:$E,$CM$6+ROW()-9,COLUMN())))</f>
        <v/>
      </c>
      <c r="E375" t="str">
        <f>IF($CM$6=0,"",IF(INDEX('⑩ 원문 보관'!$A:$E,$CM$6+ROW()-9,COLUMN())="","",INDEX('⑩ 원문 보관'!$A:$E,$CM$6+ROW()-9,COLUMN())))</f>
        <v/>
      </c>
      <c r="Q375">
        <f t="shared" si="170"/>
        <v>8</v>
      </c>
      <c r="R375" t="str">
        <f t="shared" si="150"/>
        <v/>
      </c>
      <c r="S375" t="str">
        <f t="shared" si="151"/>
        <v/>
      </c>
      <c r="T375" t="str">
        <f t="shared" si="152"/>
        <v/>
      </c>
      <c r="U375">
        <f t="shared" si="153"/>
        <v>0</v>
      </c>
      <c r="V375">
        <f t="shared" si="171"/>
        <v>10</v>
      </c>
      <c r="W375" t="str">
        <f t="shared" si="154"/>
        <v/>
      </c>
      <c r="X375" t="str">
        <f t="shared" si="155"/>
        <v/>
      </c>
      <c r="Y375" t="str">
        <f t="shared" si="156"/>
        <v/>
      </c>
      <c r="Z375">
        <f t="shared" si="157"/>
        <v>0</v>
      </c>
      <c r="AA375">
        <f t="shared" si="172"/>
        <v>6</v>
      </c>
      <c r="AB375" t="str">
        <f t="shared" si="158"/>
        <v/>
      </c>
      <c r="AC375" t="str">
        <f t="shared" si="159"/>
        <v/>
      </c>
      <c r="AD375" t="str">
        <f t="shared" si="160"/>
        <v/>
      </c>
      <c r="AE375">
        <f t="shared" si="161"/>
        <v>0</v>
      </c>
      <c r="AF375">
        <f t="shared" si="173"/>
        <v>10</v>
      </c>
      <c r="AG375" t="str">
        <f t="shared" si="162"/>
        <v/>
      </c>
      <c r="AH375" t="str">
        <f t="shared" si="163"/>
        <v/>
      </c>
      <c r="AI375" t="str">
        <f t="shared" si="164"/>
        <v/>
      </c>
      <c r="AJ375">
        <f t="shared" si="165"/>
        <v>0</v>
      </c>
      <c r="AK375">
        <f t="shared" si="174"/>
        <v>4</v>
      </c>
      <c r="AL375" t="str">
        <f t="shared" si="166"/>
        <v/>
      </c>
      <c r="AM375" t="str">
        <f t="shared" si="167"/>
        <v/>
      </c>
      <c r="AN375" t="str">
        <f t="shared" si="168"/>
        <v/>
      </c>
      <c r="AO375">
        <f t="shared" si="169"/>
        <v>0</v>
      </c>
    </row>
    <row r="376" spans="1:41" x14ac:dyDescent="0.4">
      <c r="A376" t="str">
        <f>IF($CM$6=0,"",IF(INDEX('⑩ 원문 보관'!$A:$E,$CM$6+ROW()-9,COLUMN())="","",INDEX('⑩ 원문 보관'!$A:$E,$CM$6+ROW()-9,COLUMN())))</f>
        <v/>
      </c>
      <c r="B376" t="str">
        <f>IF($CM$6=0,"",IF(INDEX('⑩ 원문 보관'!$A:$E,$CM$6+ROW()-9,COLUMN())="","",INDEX('⑩ 원문 보관'!$A:$E,$CM$6+ROW()-9,COLUMN())))</f>
        <v/>
      </c>
      <c r="C376" t="str">
        <f>IF($CM$6=0,"",IF(INDEX('⑩ 원문 보관'!$A:$E,$CM$6+ROW()-9,COLUMN())="","",INDEX('⑩ 원문 보관'!$A:$E,$CM$6+ROW()-9,COLUMN())))</f>
        <v/>
      </c>
      <c r="D376" t="str">
        <f>IF($CM$6=0,"",IF(INDEX('⑩ 원문 보관'!$A:$E,$CM$6+ROW()-9,COLUMN())="","",INDEX('⑩ 원문 보관'!$A:$E,$CM$6+ROW()-9,COLUMN())))</f>
        <v/>
      </c>
      <c r="E376" t="str">
        <f>IF($CM$6=0,"",IF(INDEX('⑩ 원문 보관'!$A:$E,$CM$6+ROW()-9,COLUMN())="","",INDEX('⑩ 원문 보관'!$A:$E,$CM$6+ROW()-9,COLUMN())))</f>
        <v/>
      </c>
      <c r="Q376">
        <f t="shared" si="170"/>
        <v>8</v>
      </c>
      <c r="R376" t="str">
        <f t="shared" si="150"/>
        <v/>
      </c>
      <c r="S376" t="str">
        <f t="shared" si="151"/>
        <v/>
      </c>
      <c r="T376" t="str">
        <f t="shared" si="152"/>
        <v/>
      </c>
      <c r="U376">
        <f t="shared" si="153"/>
        <v>0</v>
      </c>
      <c r="V376">
        <f t="shared" si="171"/>
        <v>10</v>
      </c>
      <c r="W376" t="str">
        <f t="shared" si="154"/>
        <v/>
      </c>
      <c r="X376" t="str">
        <f t="shared" si="155"/>
        <v/>
      </c>
      <c r="Y376" t="str">
        <f t="shared" si="156"/>
        <v/>
      </c>
      <c r="Z376">
        <f t="shared" si="157"/>
        <v>0</v>
      </c>
      <c r="AA376">
        <f t="shared" si="172"/>
        <v>6</v>
      </c>
      <c r="AB376" t="str">
        <f t="shared" si="158"/>
        <v/>
      </c>
      <c r="AC376" t="str">
        <f t="shared" si="159"/>
        <v/>
      </c>
      <c r="AD376" t="str">
        <f t="shared" si="160"/>
        <v/>
      </c>
      <c r="AE376">
        <f t="shared" si="161"/>
        <v>0</v>
      </c>
      <c r="AF376">
        <f t="shared" si="173"/>
        <v>10</v>
      </c>
      <c r="AG376" t="str">
        <f t="shared" si="162"/>
        <v/>
      </c>
      <c r="AH376" t="str">
        <f t="shared" si="163"/>
        <v/>
      </c>
      <c r="AI376" t="str">
        <f t="shared" si="164"/>
        <v/>
      </c>
      <c r="AJ376">
        <f t="shared" si="165"/>
        <v>0</v>
      </c>
      <c r="AK376">
        <f t="shared" si="174"/>
        <v>4</v>
      </c>
      <c r="AL376" t="str">
        <f t="shared" si="166"/>
        <v/>
      </c>
      <c r="AM376" t="str">
        <f t="shared" si="167"/>
        <v/>
      </c>
      <c r="AN376" t="str">
        <f t="shared" si="168"/>
        <v/>
      </c>
      <c r="AO376">
        <f t="shared" si="169"/>
        <v>0</v>
      </c>
    </row>
    <row r="377" spans="1:41" x14ac:dyDescent="0.4">
      <c r="A377" t="str">
        <f>IF($CM$6=0,"",IF(INDEX('⑩ 원문 보관'!$A:$E,$CM$6+ROW()-9,COLUMN())="","",INDEX('⑩ 원문 보관'!$A:$E,$CM$6+ROW()-9,COLUMN())))</f>
        <v/>
      </c>
      <c r="B377" t="str">
        <f>IF($CM$6=0,"",IF(INDEX('⑩ 원문 보관'!$A:$E,$CM$6+ROW()-9,COLUMN())="","",INDEX('⑩ 원문 보관'!$A:$E,$CM$6+ROW()-9,COLUMN())))</f>
        <v xml:space="preserve">/Gem Systems GSM-19T 4106808 v7.0 26 IX 2014 M t-e2l..v7o                         </v>
      </c>
      <c r="C377" t="str">
        <f>IF($CM$6=0,"",IF(INDEX('⑩ 원문 보관'!$A:$E,$CM$6+ROW()-9,COLUMN())="","",INDEX('⑩ 원문 보관'!$A:$E,$CM$6+ROW()-9,COLUMN())))</f>
        <v/>
      </c>
      <c r="D377" t="str">
        <f>IF($CM$6=0,"",IF(INDEX('⑩ 원문 보관'!$A:$E,$CM$6+ROW()-9,COLUMN())="","",INDEX('⑩ 원문 보관'!$A:$E,$CM$6+ROW()-9,COLUMN())))</f>
        <v/>
      </c>
      <c r="E377" t="str">
        <f>IF($CM$6=0,"",IF(INDEX('⑩ 원문 보관'!$A:$E,$CM$6+ROW()-9,COLUMN())="","",INDEX('⑩ 원문 보관'!$A:$E,$CM$6+ROW()-9,COLUMN())))</f>
        <v/>
      </c>
      <c r="Q377">
        <f t="shared" si="170"/>
        <v>8</v>
      </c>
      <c r="R377" t="str">
        <f t="shared" si="150"/>
        <v/>
      </c>
      <c r="S377" t="str">
        <f t="shared" si="151"/>
        <v/>
      </c>
      <c r="T377" t="str">
        <f t="shared" si="152"/>
        <v/>
      </c>
      <c r="U377">
        <f t="shared" si="153"/>
        <v>0</v>
      </c>
      <c r="V377">
        <f t="shared" si="171"/>
        <v>10</v>
      </c>
      <c r="W377" t="str">
        <f t="shared" si="154"/>
        <v/>
      </c>
      <c r="X377" t="str">
        <f t="shared" si="155"/>
        <v/>
      </c>
      <c r="Y377" t="str">
        <f t="shared" si="156"/>
        <v>GSM-19T</v>
      </c>
      <c r="Z377">
        <f t="shared" si="157"/>
        <v>0</v>
      </c>
      <c r="AA377">
        <f t="shared" si="172"/>
        <v>6</v>
      </c>
      <c r="AB377" t="str">
        <f t="shared" si="158"/>
        <v/>
      </c>
      <c r="AC377" t="str">
        <f t="shared" si="159"/>
        <v/>
      </c>
      <c r="AD377" t="str">
        <f t="shared" si="160"/>
        <v/>
      </c>
      <c r="AE377">
        <f t="shared" si="161"/>
        <v>0</v>
      </c>
      <c r="AF377">
        <f t="shared" si="173"/>
        <v>10</v>
      </c>
      <c r="AG377" t="str">
        <f t="shared" si="162"/>
        <v/>
      </c>
      <c r="AH377" t="str">
        <f t="shared" si="163"/>
        <v/>
      </c>
      <c r="AI377" t="str">
        <f t="shared" si="164"/>
        <v/>
      </c>
      <c r="AJ377">
        <f t="shared" si="165"/>
        <v>0</v>
      </c>
      <c r="AK377">
        <f t="shared" si="174"/>
        <v>4</v>
      </c>
      <c r="AL377" t="str">
        <f t="shared" si="166"/>
        <v/>
      </c>
      <c r="AM377" t="str">
        <f t="shared" si="167"/>
        <v/>
      </c>
      <c r="AN377" t="str">
        <f t="shared" si="168"/>
        <v/>
      </c>
      <c r="AO377">
        <f t="shared" si="169"/>
        <v>0</v>
      </c>
    </row>
    <row r="378" spans="1:41" x14ac:dyDescent="0.4">
      <c r="A378" t="str">
        <f>IF($CM$6=0,"",IF(INDEX('⑩ 원문 보관'!$A:$E,$CM$6+ROW()-9,COLUMN())="","",INDEX('⑩ 원문 보관'!$A:$E,$CM$6+ROW()-9,COLUMN())))</f>
        <v/>
      </c>
      <c r="B378" t="str">
        <f>IF($CM$6=0,"",IF(INDEX('⑩ 원문 보관'!$A:$E,$CM$6+ROW()-9,COLUMN())="","",INDEX('⑩ 원문 보관'!$A:$E,$CM$6+ROW()-9,COLUMN())))</f>
        <v>/ID 2666 file 20survey.b   21 IX 26</v>
      </c>
      <c r="C378" t="str">
        <f>IF($CM$6=0,"",IF(INDEX('⑩ 원문 보관'!$A:$E,$CM$6+ROW()-9,COLUMN())="","",INDEX('⑩ 원문 보관'!$A:$E,$CM$6+ROW()-9,COLUMN())))</f>
        <v/>
      </c>
      <c r="D378" t="str">
        <f>IF($CM$6=0,"",IF(INDEX('⑩ 원문 보관'!$A:$E,$CM$6+ROW()-9,COLUMN())="","",INDEX('⑩ 원문 보관'!$A:$E,$CM$6+ROW()-9,COLUMN())))</f>
        <v/>
      </c>
      <c r="E378" t="str">
        <f>IF($CM$6=0,"",IF(INDEX('⑩ 원문 보관'!$A:$E,$CM$6+ROW()-9,COLUMN())="","",INDEX('⑩ 원문 보관'!$A:$E,$CM$6+ROW()-9,COLUMN())))</f>
        <v/>
      </c>
      <c r="Q378">
        <f t="shared" si="170"/>
        <v>8</v>
      </c>
      <c r="R378" t="str">
        <f t="shared" si="150"/>
        <v/>
      </c>
      <c r="S378" t="str">
        <f t="shared" si="151"/>
        <v/>
      </c>
      <c r="T378" t="str">
        <f t="shared" si="152"/>
        <v/>
      </c>
      <c r="U378">
        <f t="shared" si="153"/>
        <v>0</v>
      </c>
      <c r="V378">
        <f t="shared" si="171"/>
        <v>10</v>
      </c>
      <c r="W378" t="str">
        <f t="shared" si="154"/>
        <v/>
      </c>
      <c r="X378">
        <f t="shared" si="155"/>
        <v>2666</v>
      </c>
      <c r="Y378" t="str">
        <f t="shared" si="156"/>
        <v>file</v>
      </c>
      <c r="Z378">
        <f t="shared" si="157"/>
        <v>0</v>
      </c>
      <c r="AA378">
        <f t="shared" si="172"/>
        <v>6</v>
      </c>
      <c r="AB378" t="str">
        <f t="shared" si="158"/>
        <v/>
      </c>
      <c r="AC378" t="str">
        <f t="shared" si="159"/>
        <v/>
      </c>
      <c r="AD378" t="str">
        <f t="shared" si="160"/>
        <v/>
      </c>
      <c r="AE378">
        <f t="shared" si="161"/>
        <v>0</v>
      </c>
      <c r="AF378">
        <f t="shared" si="173"/>
        <v>10</v>
      </c>
      <c r="AG378" t="str">
        <f t="shared" si="162"/>
        <v/>
      </c>
      <c r="AH378" t="str">
        <f t="shared" si="163"/>
        <v/>
      </c>
      <c r="AI378" t="str">
        <f t="shared" si="164"/>
        <v/>
      </c>
      <c r="AJ378">
        <f t="shared" si="165"/>
        <v>0</v>
      </c>
      <c r="AK378">
        <f t="shared" si="174"/>
        <v>4</v>
      </c>
      <c r="AL378" t="str">
        <f t="shared" si="166"/>
        <v/>
      </c>
      <c r="AM378" t="str">
        <f t="shared" si="167"/>
        <v/>
      </c>
      <c r="AN378" t="str">
        <f t="shared" si="168"/>
        <v/>
      </c>
      <c r="AO378">
        <f t="shared" si="169"/>
        <v>0</v>
      </c>
    </row>
    <row r="379" spans="1:41" x14ac:dyDescent="0.4">
      <c r="A379" t="str">
        <f>IF($CM$6=0,"",IF(INDEX('⑩ 원문 보관'!$A:$E,$CM$6+ROW()-9,COLUMN())="","",INDEX('⑩ 원문 보관'!$A:$E,$CM$6+ROW()-9,COLUMN())))</f>
        <v/>
      </c>
      <c r="B379" t="str">
        <f>IF($CM$6=0,"",IF(INDEX('⑩ 원문 보관'!$A:$E,$CM$6+ROW()-9,COLUMN())="","",INDEX('⑩ 원문 보관'!$A:$E,$CM$6+ROW()-9,COLUMN())))</f>
        <v>/datum  57000.00</v>
      </c>
      <c r="C379" t="str">
        <f>IF($CM$6=0,"",IF(INDEX('⑩ 원문 보관'!$A:$E,$CM$6+ROW()-9,COLUMN())="","",INDEX('⑩ 원문 보관'!$A:$E,$CM$6+ROW()-9,COLUMN())))</f>
        <v/>
      </c>
      <c r="D379" t="str">
        <f>IF($CM$6=0,"",IF(INDEX('⑩ 원문 보관'!$A:$E,$CM$6+ROW()-9,COLUMN())="","",INDEX('⑩ 원문 보관'!$A:$E,$CM$6+ROW()-9,COLUMN())))</f>
        <v/>
      </c>
      <c r="E379" t="str">
        <f>IF($CM$6=0,"",IF(INDEX('⑩ 원문 보관'!$A:$E,$CM$6+ROW()-9,COLUMN())="","",INDEX('⑩ 원문 보관'!$A:$E,$CM$6+ROW()-9,COLUMN())))</f>
        <v/>
      </c>
      <c r="Q379">
        <f t="shared" si="170"/>
        <v>8</v>
      </c>
      <c r="R379" t="str">
        <f t="shared" si="150"/>
        <v/>
      </c>
      <c r="S379" t="str">
        <f t="shared" si="151"/>
        <v/>
      </c>
      <c r="T379" t="str">
        <f t="shared" si="152"/>
        <v/>
      </c>
      <c r="U379">
        <f t="shared" si="153"/>
        <v>0</v>
      </c>
      <c r="V379">
        <f t="shared" si="171"/>
        <v>10</v>
      </c>
      <c r="W379" t="str">
        <f t="shared" si="154"/>
        <v/>
      </c>
      <c r="X379">
        <f t="shared" si="155"/>
        <v>57000</v>
      </c>
      <c r="Y379" t="str">
        <f t="shared" si="156"/>
        <v/>
      </c>
      <c r="Z379">
        <f t="shared" si="157"/>
        <v>0</v>
      </c>
      <c r="AA379">
        <f t="shared" si="172"/>
        <v>6</v>
      </c>
      <c r="AB379" t="str">
        <f t="shared" si="158"/>
        <v/>
      </c>
      <c r="AC379" t="str">
        <f t="shared" si="159"/>
        <v/>
      </c>
      <c r="AD379" t="str">
        <f t="shared" si="160"/>
        <v/>
      </c>
      <c r="AE379">
        <f t="shared" si="161"/>
        <v>0</v>
      </c>
      <c r="AF379">
        <f t="shared" si="173"/>
        <v>10</v>
      </c>
      <c r="AG379" t="str">
        <f t="shared" si="162"/>
        <v/>
      </c>
      <c r="AH379" t="str">
        <f t="shared" si="163"/>
        <v/>
      </c>
      <c r="AI379" t="str">
        <f t="shared" si="164"/>
        <v/>
      </c>
      <c r="AJ379">
        <f t="shared" si="165"/>
        <v>0</v>
      </c>
      <c r="AK379">
        <f t="shared" si="174"/>
        <v>4</v>
      </c>
      <c r="AL379" t="str">
        <f t="shared" si="166"/>
        <v/>
      </c>
      <c r="AM379" t="str">
        <f t="shared" si="167"/>
        <v/>
      </c>
      <c r="AN379" t="str">
        <f t="shared" si="168"/>
        <v/>
      </c>
      <c r="AO379">
        <f t="shared" si="169"/>
        <v>0</v>
      </c>
    </row>
    <row r="380" spans="1:41" x14ac:dyDescent="0.4">
      <c r="A380" t="str">
        <f>IF($CM$6=0,"",IF(INDEX('⑩ 원문 보관'!$A:$E,$CM$6+ROW()-9,COLUMN())="","",INDEX('⑩ 원문 보관'!$A:$E,$CM$6+ROW()-9,COLUMN())))</f>
        <v/>
      </c>
      <c r="B380" t="str">
        <f>IF($CM$6=0,"",IF(INDEX('⑩ 원문 보관'!$A:$E,$CM$6+ROW()-9,COLUMN())="","",INDEX('⑩ 원문 보관'!$A:$E,$CM$6+ROW()-9,COLUMN())))</f>
        <v>/</v>
      </c>
      <c r="C380" t="str">
        <f>IF($CM$6=0,"",IF(INDEX('⑩ 원문 보관'!$A:$E,$CM$6+ROW()-9,COLUMN())="","",INDEX('⑩ 원문 보관'!$A:$E,$CM$6+ROW()-9,COLUMN())))</f>
        <v/>
      </c>
      <c r="D380" t="str">
        <f>IF($CM$6=0,"",IF(INDEX('⑩ 원문 보관'!$A:$E,$CM$6+ROW()-9,COLUMN())="","",INDEX('⑩ 원문 보관'!$A:$E,$CM$6+ROW()-9,COLUMN())))</f>
        <v/>
      </c>
      <c r="E380" t="str">
        <f>IF($CM$6=0,"",IF(INDEX('⑩ 원문 보관'!$A:$E,$CM$6+ROW()-9,COLUMN())="","",INDEX('⑩ 원문 보관'!$A:$E,$CM$6+ROW()-9,COLUMN())))</f>
        <v/>
      </c>
      <c r="Q380">
        <f t="shared" si="170"/>
        <v>8</v>
      </c>
      <c r="R380" t="str">
        <f t="shared" si="150"/>
        <v/>
      </c>
      <c r="S380" t="str">
        <f t="shared" si="151"/>
        <v/>
      </c>
      <c r="T380" t="str">
        <f t="shared" si="152"/>
        <v/>
      </c>
      <c r="U380">
        <f t="shared" si="153"/>
        <v>0</v>
      </c>
      <c r="V380">
        <f t="shared" si="171"/>
        <v>10</v>
      </c>
      <c r="W380" t="str">
        <f t="shared" si="154"/>
        <v/>
      </c>
      <c r="X380" t="str">
        <f t="shared" si="155"/>
        <v/>
      </c>
      <c r="Y380" t="str">
        <f t="shared" si="156"/>
        <v/>
      </c>
      <c r="Z380">
        <f t="shared" si="157"/>
        <v>0</v>
      </c>
      <c r="AA380">
        <f t="shared" si="172"/>
        <v>6</v>
      </c>
      <c r="AB380" t="str">
        <f t="shared" si="158"/>
        <v/>
      </c>
      <c r="AC380" t="str">
        <f t="shared" si="159"/>
        <v/>
      </c>
      <c r="AD380" t="str">
        <f t="shared" si="160"/>
        <v/>
      </c>
      <c r="AE380">
        <f t="shared" si="161"/>
        <v>0</v>
      </c>
      <c r="AF380">
        <f t="shared" si="173"/>
        <v>10</v>
      </c>
      <c r="AG380" t="str">
        <f t="shared" si="162"/>
        <v/>
      </c>
      <c r="AH380" t="str">
        <f t="shared" si="163"/>
        <v/>
      </c>
      <c r="AI380" t="str">
        <f t="shared" si="164"/>
        <v/>
      </c>
      <c r="AJ380">
        <f t="shared" si="165"/>
        <v>0</v>
      </c>
      <c r="AK380">
        <f t="shared" si="174"/>
        <v>4</v>
      </c>
      <c r="AL380" t="str">
        <f t="shared" si="166"/>
        <v/>
      </c>
      <c r="AM380" t="str">
        <f t="shared" si="167"/>
        <v/>
      </c>
      <c r="AN380" t="str">
        <f t="shared" si="168"/>
        <v/>
      </c>
      <c r="AO380">
        <f t="shared" si="169"/>
        <v>0</v>
      </c>
    </row>
    <row r="381" spans="1:41" x14ac:dyDescent="0.4">
      <c r="A381" t="str">
        <f>IF($CM$6=0,"",IF(INDEX('⑩ 원문 보관'!$A:$E,$CM$6+ROW()-9,COLUMN())="","",INDEX('⑩ 원문 보관'!$A:$E,$CM$6+ROW()-9,COLUMN())))</f>
        <v/>
      </c>
      <c r="B381" t="str">
        <f>IF($CM$6=0,"",IF(INDEX('⑩ 원문 보관'!$A:$E,$CM$6+ROW()-9,COLUMN())="","",INDEX('⑩ 원문 보관'!$A:$E,$CM$6+ROW()-9,COLUMN())))</f>
        <v/>
      </c>
      <c r="C381" t="str">
        <f>IF($CM$6=0,"",IF(INDEX('⑩ 원문 보관'!$A:$E,$CM$6+ROW()-9,COLUMN())="","",INDEX('⑩ 원문 보관'!$A:$E,$CM$6+ROW()-9,COLUMN())))</f>
        <v/>
      </c>
      <c r="D381" t="str">
        <f>IF($CM$6=0,"",IF(INDEX('⑩ 원문 보관'!$A:$E,$CM$6+ROW()-9,COLUMN())="","",INDEX('⑩ 원문 보관'!$A:$E,$CM$6+ROW()-9,COLUMN())))</f>
        <v/>
      </c>
      <c r="E381" t="str">
        <f>IF($CM$6=0,"",IF(INDEX('⑩ 원문 보관'!$A:$E,$CM$6+ROW()-9,COLUMN())="","",INDEX('⑩ 원문 보관'!$A:$E,$CM$6+ROW()-9,COLUMN())))</f>
        <v/>
      </c>
      <c r="Q381">
        <f t="shared" si="170"/>
        <v>8</v>
      </c>
      <c r="R381" t="str">
        <f t="shared" si="150"/>
        <v/>
      </c>
      <c r="S381" t="str">
        <f t="shared" si="151"/>
        <v/>
      </c>
      <c r="T381" t="str">
        <f t="shared" si="152"/>
        <v/>
      </c>
      <c r="U381">
        <f t="shared" si="153"/>
        <v>0</v>
      </c>
      <c r="V381">
        <f t="shared" si="171"/>
        <v>10</v>
      </c>
      <c r="W381" t="str">
        <f t="shared" si="154"/>
        <v/>
      </c>
      <c r="X381" t="str">
        <f t="shared" si="155"/>
        <v/>
      </c>
      <c r="Y381" t="str">
        <f t="shared" si="156"/>
        <v/>
      </c>
      <c r="Z381">
        <f t="shared" si="157"/>
        <v>0</v>
      </c>
      <c r="AA381">
        <f t="shared" si="172"/>
        <v>6</v>
      </c>
      <c r="AB381" t="str">
        <f t="shared" si="158"/>
        <v/>
      </c>
      <c r="AC381" t="str">
        <f t="shared" si="159"/>
        <v/>
      </c>
      <c r="AD381" t="str">
        <f t="shared" si="160"/>
        <v/>
      </c>
      <c r="AE381">
        <f t="shared" si="161"/>
        <v>0</v>
      </c>
      <c r="AF381">
        <f t="shared" si="173"/>
        <v>10</v>
      </c>
      <c r="AG381" t="str">
        <f t="shared" si="162"/>
        <v/>
      </c>
      <c r="AH381" t="str">
        <f t="shared" si="163"/>
        <v/>
      </c>
      <c r="AI381" t="str">
        <f t="shared" si="164"/>
        <v/>
      </c>
      <c r="AJ381">
        <f t="shared" si="165"/>
        <v>0</v>
      </c>
      <c r="AK381">
        <f t="shared" si="174"/>
        <v>4</v>
      </c>
      <c r="AL381" t="str">
        <f t="shared" si="166"/>
        <v/>
      </c>
      <c r="AM381" t="str">
        <f t="shared" si="167"/>
        <v/>
      </c>
      <c r="AN381" t="str">
        <f t="shared" si="168"/>
        <v/>
      </c>
      <c r="AO381">
        <f t="shared" si="169"/>
        <v>0</v>
      </c>
    </row>
    <row r="382" spans="1:41" x14ac:dyDescent="0.4">
      <c r="A382" t="str">
        <f>IF($CM$6=0,"",IF(INDEX('⑩ 원문 보관'!$A:$E,$CM$6+ROW()-9,COLUMN())="","",INDEX('⑩ 원문 보관'!$A:$E,$CM$6+ROW()-9,COLUMN())))</f>
        <v/>
      </c>
      <c r="B382" t="str">
        <f>IF($CM$6=0,"",IF(INDEX('⑩ 원문 보관'!$A:$E,$CM$6+ROW()-9,COLUMN())="","",INDEX('⑩ 원문 보관'!$A:$E,$CM$6+ROW()-9,COLUMN())))</f>
        <v xml:space="preserve">/time nT sq </v>
      </c>
      <c r="C382" t="str">
        <f>IF($CM$6=0,"",IF(INDEX('⑩ 원문 보관'!$A:$E,$CM$6+ROW()-9,COLUMN())="","",INDEX('⑩ 원문 보관'!$A:$E,$CM$6+ROW()-9,COLUMN())))</f>
        <v/>
      </c>
      <c r="D382" t="str">
        <f>IF($CM$6=0,"",IF(INDEX('⑩ 원문 보관'!$A:$E,$CM$6+ROW()-9,COLUMN())="","",INDEX('⑩ 원문 보관'!$A:$E,$CM$6+ROW()-9,COLUMN())))</f>
        <v/>
      </c>
      <c r="E382" t="str">
        <f>IF($CM$6=0,"",IF(INDEX('⑩ 원문 보관'!$A:$E,$CM$6+ROW()-9,COLUMN())="","",INDEX('⑩ 원문 보관'!$A:$E,$CM$6+ROW()-9,COLUMN())))</f>
        <v/>
      </c>
      <c r="Q382">
        <f t="shared" si="170"/>
        <v>8</v>
      </c>
      <c r="R382" t="str">
        <f t="shared" si="150"/>
        <v/>
      </c>
      <c r="S382" t="str">
        <f t="shared" si="151"/>
        <v/>
      </c>
      <c r="T382" t="str">
        <f t="shared" si="152"/>
        <v/>
      </c>
      <c r="U382">
        <f t="shared" si="153"/>
        <v>0</v>
      </c>
      <c r="V382">
        <f t="shared" si="171"/>
        <v>11</v>
      </c>
      <c r="W382" t="str">
        <f t="shared" si="154"/>
        <v/>
      </c>
      <c r="X382" t="str">
        <f t="shared" si="155"/>
        <v/>
      </c>
      <c r="Y382" t="str">
        <f t="shared" si="156"/>
        <v>sq</v>
      </c>
      <c r="Z382">
        <f t="shared" si="157"/>
        <v>0</v>
      </c>
      <c r="AA382">
        <f t="shared" si="172"/>
        <v>6</v>
      </c>
      <c r="AB382" t="str">
        <f t="shared" si="158"/>
        <v/>
      </c>
      <c r="AC382" t="str">
        <f t="shared" si="159"/>
        <v/>
      </c>
      <c r="AD382" t="str">
        <f t="shared" si="160"/>
        <v/>
      </c>
      <c r="AE382">
        <f t="shared" si="161"/>
        <v>0</v>
      </c>
      <c r="AF382">
        <f t="shared" si="173"/>
        <v>10</v>
      </c>
      <c r="AG382" t="str">
        <f t="shared" si="162"/>
        <v/>
      </c>
      <c r="AH382" t="str">
        <f t="shared" si="163"/>
        <v/>
      </c>
      <c r="AI382" t="str">
        <f t="shared" si="164"/>
        <v/>
      </c>
      <c r="AJ382">
        <f t="shared" si="165"/>
        <v>0</v>
      </c>
      <c r="AK382">
        <f t="shared" si="174"/>
        <v>4</v>
      </c>
      <c r="AL382" t="str">
        <f t="shared" si="166"/>
        <v/>
      </c>
      <c r="AM382" t="str">
        <f t="shared" si="167"/>
        <v/>
      </c>
      <c r="AN382" t="str">
        <f t="shared" si="168"/>
        <v/>
      </c>
      <c r="AO382">
        <f t="shared" si="169"/>
        <v>0</v>
      </c>
    </row>
    <row r="383" spans="1:41" x14ac:dyDescent="0.4">
      <c r="A383" t="str">
        <f>IF($CM$6=0,"",IF(INDEX('⑩ 원문 보관'!$A:$E,$CM$6+ROW()-9,COLUMN())="","",INDEX('⑩ 원문 보관'!$A:$E,$CM$6+ROW()-9,COLUMN())))</f>
        <v/>
      </c>
      <c r="B383" t="str">
        <f>IF($CM$6=0,"",IF(INDEX('⑩ 원문 보관'!$A:$E,$CM$6+ROW()-9,COLUMN())="","",INDEX('⑩ 원문 보관'!$A:$E,$CM$6+ROW()-9,COLUMN())))</f>
        <v xml:space="preserve">121237.0  52058.01 13 </v>
      </c>
      <c r="C383" t="str">
        <f>IF($CM$6=0,"",IF(INDEX('⑩ 원문 보관'!$A:$E,$CM$6+ROW()-9,COLUMN())="","",INDEX('⑩ 원문 보관'!$A:$E,$CM$6+ROW()-9,COLUMN())))</f>
        <v/>
      </c>
      <c r="D383" t="str">
        <f>IF($CM$6=0,"",IF(INDEX('⑩ 원문 보관'!$A:$E,$CM$6+ROW()-9,COLUMN())="","",INDEX('⑩ 원문 보관'!$A:$E,$CM$6+ROW()-9,COLUMN())))</f>
        <v/>
      </c>
      <c r="E383" t="str">
        <f>IF($CM$6=0,"",IF(INDEX('⑩ 원문 보관'!$A:$E,$CM$6+ROW()-9,COLUMN())="","",INDEX('⑩ 원문 보관'!$A:$E,$CM$6+ROW()-9,COLUMN())))</f>
        <v/>
      </c>
      <c r="Q383">
        <f t="shared" si="170"/>
        <v>8</v>
      </c>
      <c r="R383" t="str">
        <f t="shared" si="150"/>
        <v/>
      </c>
      <c r="S383" t="str">
        <f t="shared" si="151"/>
        <v/>
      </c>
      <c r="T383" t="str">
        <f t="shared" si="152"/>
        <v/>
      </c>
      <c r="U383">
        <f t="shared" si="153"/>
        <v>0</v>
      </c>
      <c r="V383">
        <f t="shared" si="171"/>
        <v>11</v>
      </c>
      <c r="W383">
        <f t="shared" si="154"/>
        <v>121237</v>
      </c>
      <c r="X383">
        <f t="shared" si="155"/>
        <v>52058.01</v>
      </c>
      <c r="Y383" t="str">
        <f t="shared" si="156"/>
        <v>13</v>
      </c>
      <c r="Z383">
        <f t="shared" si="157"/>
        <v>1</v>
      </c>
      <c r="AA383">
        <f t="shared" si="172"/>
        <v>6</v>
      </c>
      <c r="AB383" t="str">
        <f t="shared" si="158"/>
        <v/>
      </c>
      <c r="AC383" t="str">
        <f t="shared" si="159"/>
        <v/>
      </c>
      <c r="AD383" t="str">
        <f t="shared" si="160"/>
        <v/>
      </c>
      <c r="AE383">
        <f t="shared" si="161"/>
        <v>0</v>
      </c>
      <c r="AF383">
        <f t="shared" si="173"/>
        <v>10</v>
      </c>
      <c r="AG383" t="str">
        <f t="shared" si="162"/>
        <v/>
      </c>
      <c r="AH383" t="str">
        <f t="shared" si="163"/>
        <v/>
      </c>
      <c r="AI383" t="str">
        <f t="shared" si="164"/>
        <v/>
      </c>
      <c r="AJ383">
        <f t="shared" si="165"/>
        <v>0</v>
      </c>
      <c r="AK383">
        <f t="shared" si="174"/>
        <v>4</v>
      </c>
      <c r="AL383" t="str">
        <f t="shared" si="166"/>
        <v/>
      </c>
      <c r="AM383" t="str">
        <f t="shared" si="167"/>
        <v/>
      </c>
      <c r="AN383" t="str">
        <f t="shared" si="168"/>
        <v/>
      </c>
      <c r="AO383">
        <f t="shared" si="169"/>
        <v>0</v>
      </c>
    </row>
    <row r="384" spans="1:41" x14ac:dyDescent="0.4">
      <c r="A384" t="str">
        <f>IF($CM$6=0,"",IF(INDEX('⑩ 원문 보관'!$A:$E,$CM$6+ROW()-9,COLUMN())="","",INDEX('⑩ 원문 보관'!$A:$E,$CM$6+ROW()-9,COLUMN())))</f>
        <v/>
      </c>
      <c r="B384" t="str">
        <f>IF($CM$6=0,"",IF(INDEX('⑩ 원문 보관'!$A:$E,$CM$6+ROW()-9,COLUMN())="","",INDEX('⑩ 원문 보관'!$A:$E,$CM$6+ROW()-9,COLUMN())))</f>
        <v xml:space="preserve">121242.0  52070.80 13 </v>
      </c>
      <c r="C384" t="str">
        <f>IF($CM$6=0,"",IF(INDEX('⑩ 원문 보관'!$A:$E,$CM$6+ROW()-9,COLUMN())="","",INDEX('⑩ 원문 보관'!$A:$E,$CM$6+ROW()-9,COLUMN())))</f>
        <v/>
      </c>
      <c r="D384" t="str">
        <f>IF($CM$6=0,"",IF(INDEX('⑩ 원문 보관'!$A:$E,$CM$6+ROW()-9,COLUMN())="","",INDEX('⑩ 원문 보관'!$A:$E,$CM$6+ROW()-9,COLUMN())))</f>
        <v/>
      </c>
      <c r="E384" t="str">
        <f>IF($CM$6=0,"",IF(INDEX('⑩ 원문 보관'!$A:$E,$CM$6+ROW()-9,COLUMN())="","",INDEX('⑩ 원문 보관'!$A:$E,$CM$6+ROW()-9,COLUMN())))</f>
        <v/>
      </c>
      <c r="Q384">
        <f t="shared" si="170"/>
        <v>8</v>
      </c>
      <c r="R384" t="str">
        <f t="shared" si="150"/>
        <v/>
      </c>
      <c r="S384" t="str">
        <f t="shared" si="151"/>
        <v/>
      </c>
      <c r="T384" t="str">
        <f t="shared" si="152"/>
        <v/>
      </c>
      <c r="U384">
        <f t="shared" si="153"/>
        <v>0</v>
      </c>
      <c r="V384">
        <f t="shared" si="171"/>
        <v>11</v>
      </c>
      <c r="W384">
        <f t="shared" si="154"/>
        <v>121242</v>
      </c>
      <c r="X384">
        <f t="shared" si="155"/>
        <v>52070.8</v>
      </c>
      <c r="Y384" t="str">
        <f t="shared" si="156"/>
        <v>13</v>
      </c>
      <c r="Z384">
        <f t="shared" si="157"/>
        <v>1</v>
      </c>
      <c r="AA384">
        <f t="shared" si="172"/>
        <v>6</v>
      </c>
      <c r="AB384" t="str">
        <f t="shared" si="158"/>
        <v/>
      </c>
      <c r="AC384" t="str">
        <f t="shared" si="159"/>
        <v/>
      </c>
      <c r="AD384" t="str">
        <f t="shared" si="160"/>
        <v/>
      </c>
      <c r="AE384">
        <f t="shared" si="161"/>
        <v>0</v>
      </c>
      <c r="AF384">
        <f t="shared" si="173"/>
        <v>10</v>
      </c>
      <c r="AG384" t="str">
        <f t="shared" si="162"/>
        <v/>
      </c>
      <c r="AH384" t="str">
        <f t="shared" si="163"/>
        <v/>
      </c>
      <c r="AI384" t="str">
        <f t="shared" si="164"/>
        <v/>
      </c>
      <c r="AJ384">
        <f t="shared" si="165"/>
        <v>0</v>
      </c>
      <c r="AK384">
        <f t="shared" si="174"/>
        <v>4</v>
      </c>
      <c r="AL384" t="str">
        <f t="shared" si="166"/>
        <v/>
      </c>
      <c r="AM384" t="str">
        <f t="shared" si="167"/>
        <v/>
      </c>
      <c r="AN384" t="str">
        <f t="shared" si="168"/>
        <v/>
      </c>
      <c r="AO384">
        <f t="shared" si="169"/>
        <v>0</v>
      </c>
    </row>
    <row r="385" spans="1:41" x14ac:dyDescent="0.4">
      <c r="A385" t="str">
        <f>IF($CM$6=0,"",IF(INDEX('⑩ 원문 보관'!$A:$E,$CM$6+ROW()-9,COLUMN())="","",INDEX('⑩ 원문 보관'!$A:$E,$CM$6+ROW()-9,COLUMN())))</f>
        <v/>
      </c>
      <c r="B385" t="str">
        <f>IF($CM$6=0,"",IF(INDEX('⑩ 원문 보관'!$A:$E,$CM$6+ROW()-9,COLUMN())="","",INDEX('⑩ 원문 보관'!$A:$E,$CM$6+ROW()-9,COLUMN())))</f>
        <v xml:space="preserve">121247.0  52072.40 13 </v>
      </c>
      <c r="C385" t="str">
        <f>IF($CM$6=0,"",IF(INDEX('⑩ 원문 보관'!$A:$E,$CM$6+ROW()-9,COLUMN())="","",INDEX('⑩ 원문 보관'!$A:$E,$CM$6+ROW()-9,COLUMN())))</f>
        <v/>
      </c>
      <c r="D385" t="str">
        <f>IF($CM$6=0,"",IF(INDEX('⑩ 원문 보관'!$A:$E,$CM$6+ROW()-9,COLUMN())="","",INDEX('⑩ 원문 보관'!$A:$E,$CM$6+ROW()-9,COLUMN())))</f>
        <v/>
      </c>
      <c r="E385" t="str">
        <f>IF($CM$6=0,"",IF(INDEX('⑩ 원문 보관'!$A:$E,$CM$6+ROW()-9,COLUMN())="","",INDEX('⑩ 원문 보관'!$A:$E,$CM$6+ROW()-9,COLUMN())))</f>
        <v/>
      </c>
      <c r="Q385">
        <f t="shared" si="170"/>
        <v>8</v>
      </c>
      <c r="R385" t="str">
        <f t="shared" si="150"/>
        <v/>
      </c>
      <c r="S385" t="str">
        <f t="shared" si="151"/>
        <v/>
      </c>
      <c r="T385" t="str">
        <f t="shared" si="152"/>
        <v/>
      </c>
      <c r="U385">
        <f t="shared" si="153"/>
        <v>0</v>
      </c>
      <c r="V385">
        <f t="shared" si="171"/>
        <v>11</v>
      </c>
      <c r="W385">
        <f t="shared" si="154"/>
        <v>121247</v>
      </c>
      <c r="X385">
        <f t="shared" si="155"/>
        <v>52072.4</v>
      </c>
      <c r="Y385" t="str">
        <f t="shared" si="156"/>
        <v>13</v>
      </c>
      <c r="Z385">
        <f t="shared" si="157"/>
        <v>1</v>
      </c>
      <c r="AA385">
        <f t="shared" si="172"/>
        <v>6</v>
      </c>
      <c r="AB385" t="str">
        <f t="shared" si="158"/>
        <v/>
      </c>
      <c r="AC385" t="str">
        <f t="shared" si="159"/>
        <v/>
      </c>
      <c r="AD385" t="str">
        <f t="shared" si="160"/>
        <v/>
      </c>
      <c r="AE385">
        <f t="shared" si="161"/>
        <v>0</v>
      </c>
      <c r="AF385">
        <f t="shared" si="173"/>
        <v>10</v>
      </c>
      <c r="AG385" t="str">
        <f t="shared" si="162"/>
        <v/>
      </c>
      <c r="AH385" t="str">
        <f t="shared" si="163"/>
        <v/>
      </c>
      <c r="AI385" t="str">
        <f t="shared" si="164"/>
        <v/>
      </c>
      <c r="AJ385">
        <f t="shared" si="165"/>
        <v>0</v>
      </c>
      <c r="AK385">
        <f t="shared" si="174"/>
        <v>4</v>
      </c>
      <c r="AL385" t="str">
        <f t="shared" si="166"/>
        <v/>
      </c>
      <c r="AM385" t="str">
        <f t="shared" si="167"/>
        <v/>
      </c>
      <c r="AN385" t="str">
        <f t="shared" si="168"/>
        <v/>
      </c>
      <c r="AO385">
        <f t="shared" si="169"/>
        <v>0</v>
      </c>
    </row>
    <row r="386" spans="1:41" x14ac:dyDescent="0.4">
      <c r="A386" t="str">
        <f>IF($CM$6=0,"",IF(INDEX('⑩ 원문 보관'!$A:$E,$CM$6+ROW()-9,COLUMN())="","",INDEX('⑩ 원문 보관'!$A:$E,$CM$6+ROW()-9,COLUMN())))</f>
        <v/>
      </c>
      <c r="B386" t="str">
        <f>IF($CM$6=0,"",IF(INDEX('⑩ 원문 보관'!$A:$E,$CM$6+ROW()-9,COLUMN())="","",INDEX('⑩ 원문 보관'!$A:$E,$CM$6+ROW()-9,COLUMN())))</f>
        <v xml:space="preserve">121252.0  52062.85 03 </v>
      </c>
      <c r="C386" t="str">
        <f>IF($CM$6=0,"",IF(INDEX('⑩ 원문 보관'!$A:$E,$CM$6+ROW()-9,COLUMN())="","",INDEX('⑩ 원문 보관'!$A:$E,$CM$6+ROW()-9,COLUMN())))</f>
        <v/>
      </c>
      <c r="D386" t="str">
        <f>IF($CM$6=0,"",IF(INDEX('⑩ 원문 보관'!$A:$E,$CM$6+ROW()-9,COLUMN())="","",INDEX('⑩ 원문 보관'!$A:$E,$CM$6+ROW()-9,COLUMN())))</f>
        <v/>
      </c>
      <c r="E386" t="str">
        <f>IF($CM$6=0,"",IF(INDEX('⑩ 원문 보관'!$A:$E,$CM$6+ROW()-9,COLUMN())="","",INDEX('⑩ 원문 보관'!$A:$E,$CM$6+ROW()-9,COLUMN())))</f>
        <v/>
      </c>
      <c r="Q386">
        <f t="shared" si="170"/>
        <v>8</v>
      </c>
      <c r="R386" t="str">
        <f t="shared" si="150"/>
        <v/>
      </c>
      <c r="S386" t="str">
        <f t="shared" si="151"/>
        <v/>
      </c>
      <c r="T386" t="str">
        <f t="shared" si="152"/>
        <v/>
      </c>
      <c r="U386">
        <f t="shared" si="153"/>
        <v>0</v>
      </c>
      <c r="V386">
        <f t="shared" si="171"/>
        <v>11</v>
      </c>
      <c r="W386">
        <f t="shared" si="154"/>
        <v>121252</v>
      </c>
      <c r="X386">
        <f t="shared" si="155"/>
        <v>52062.85</v>
      </c>
      <c r="Y386" t="str">
        <f t="shared" si="156"/>
        <v>03</v>
      </c>
      <c r="Z386">
        <f t="shared" si="157"/>
        <v>1</v>
      </c>
      <c r="AA386">
        <f t="shared" si="172"/>
        <v>6</v>
      </c>
      <c r="AB386" t="str">
        <f t="shared" si="158"/>
        <v/>
      </c>
      <c r="AC386" t="str">
        <f t="shared" si="159"/>
        <v/>
      </c>
      <c r="AD386" t="str">
        <f t="shared" si="160"/>
        <v/>
      </c>
      <c r="AE386">
        <f t="shared" si="161"/>
        <v>0</v>
      </c>
      <c r="AF386">
        <f t="shared" si="173"/>
        <v>10</v>
      </c>
      <c r="AG386" t="str">
        <f t="shared" si="162"/>
        <v/>
      </c>
      <c r="AH386" t="str">
        <f t="shared" si="163"/>
        <v/>
      </c>
      <c r="AI386" t="str">
        <f t="shared" si="164"/>
        <v/>
      </c>
      <c r="AJ386">
        <f t="shared" si="165"/>
        <v>0</v>
      </c>
      <c r="AK386">
        <f t="shared" si="174"/>
        <v>4</v>
      </c>
      <c r="AL386" t="str">
        <f t="shared" si="166"/>
        <v/>
      </c>
      <c r="AM386" t="str">
        <f t="shared" si="167"/>
        <v/>
      </c>
      <c r="AN386" t="str">
        <f t="shared" si="168"/>
        <v/>
      </c>
      <c r="AO386">
        <f t="shared" si="169"/>
        <v>0</v>
      </c>
    </row>
    <row r="387" spans="1:41" x14ac:dyDescent="0.4">
      <c r="A387" t="str">
        <f>IF($CM$6=0,"",IF(INDEX('⑩ 원문 보관'!$A:$E,$CM$6+ROW()-9,COLUMN())="","",INDEX('⑩ 원문 보관'!$A:$E,$CM$6+ROW()-9,COLUMN())))</f>
        <v/>
      </c>
      <c r="B387" t="str">
        <f>IF($CM$6=0,"",IF(INDEX('⑩ 원문 보관'!$A:$E,$CM$6+ROW()-9,COLUMN())="","",INDEX('⑩ 원문 보관'!$A:$E,$CM$6+ROW()-9,COLUMN())))</f>
        <v xml:space="preserve">121257.0  52063.04 13 </v>
      </c>
      <c r="C387" t="str">
        <f>IF($CM$6=0,"",IF(INDEX('⑩ 원문 보관'!$A:$E,$CM$6+ROW()-9,COLUMN())="","",INDEX('⑩ 원문 보관'!$A:$E,$CM$6+ROW()-9,COLUMN())))</f>
        <v/>
      </c>
      <c r="D387" t="str">
        <f>IF($CM$6=0,"",IF(INDEX('⑩ 원문 보관'!$A:$E,$CM$6+ROW()-9,COLUMN())="","",INDEX('⑩ 원문 보관'!$A:$E,$CM$6+ROW()-9,COLUMN())))</f>
        <v/>
      </c>
      <c r="E387" t="str">
        <f>IF($CM$6=0,"",IF(INDEX('⑩ 원문 보관'!$A:$E,$CM$6+ROW()-9,COLUMN())="","",INDEX('⑩ 원문 보관'!$A:$E,$CM$6+ROW()-9,COLUMN())))</f>
        <v/>
      </c>
      <c r="Q387">
        <f t="shared" si="170"/>
        <v>8</v>
      </c>
      <c r="R387" t="str">
        <f t="shared" si="150"/>
        <v/>
      </c>
      <c r="S387" t="str">
        <f t="shared" si="151"/>
        <v/>
      </c>
      <c r="T387" t="str">
        <f t="shared" si="152"/>
        <v/>
      </c>
      <c r="U387">
        <f t="shared" si="153"/>
        <v>0</v>
      </c>
      <c r="V387">
        <f t="shared" si="171"/>
        <v>11</v>
      </c>
      <c r="W387">
        <f t="shared" si="154"/>
        <v>121257</v>
      </c>
      <c r="X387">
        <f t="shared" si="155"/>
        <v>52063.040000000001</v>
      </c>
      <c r="Y387" t="str">
        <f t="shared" si="156"/>
        <v>13</v>
      </c>
      <c r="Z387">
        <f t="shared" si="157"/>
        <v>1</v>
      </c>
      <c r="AA387">
        <f t="shared" si="172"/>
        <v>6</v>
      </c>
      <c r="AB387" t="str">
        <f t="shared" si="158"/>
        <v/>
      </c>
      <c r="AC387" t="str">
        <f t="shared" si="159"/>
        <v/>
      </c>
      <c r="AD387" t="str">
        <f t="shared" si="160"/>
        <v/>
      </c>
      <c r="AE387">
        <f t="shared" si="161"/>
        <v>0</v>
      </c>
      <c r="AF387">
        <f t="shared" si="173"/>
        <v>10</v>
      </c>
      <c r="AG387" t="str">
        <f t="shared" si="162"/>
        <v/>
      </c>
      <c r="AH387" t="str">
        <f t="shared" si="163"/>
        <v/>
      </c>
      <c r="AI387" t="str">
        <f t="shared" si="164"/>
        <v/>
      </c>
      <c r="AJ387">
        <f t="shared" si="165"/>
        <v>0</v>
      </c>
      <c r="AK387">
        <f t="shared" si="174"/>
        <v>4</v>
      </c>
      <c r="AL387" t="str">
        <f t="shared" si="166"/>
        <v/>
      </c>
      <c r="AM387" t="str">
        <f t="shared" si="167"/>
        <v/>
      </c>
      <c r="AN387" t="str">
        <f t="shared" si="168"/>
        <v/>
      </c>
      <c r="AO387">
        <f t="shared" si="169"/>
        <v>0</v>
      </c>
    </row>
    <row r="388" spans="1:41" x14ac:dyDescent="0.4">
      <c r="A388" t="str">
        <f>IF($CM$6=0,"",IF(INDEX('⑩ 원문 보관'!$A:$E,$CM$6+ROW()-9,COLUMN())="","",INDEX('⑩ 원문 보관'!$A:$E,$CM$6+ROW()-9,COLUMN())))</f>
        <v/>
      </c>
      <c r="B388" t="str">
        <f>IF($CM$6=0,"",IF(INDEX('⑩ 원문 보관'!$A:$E,$CM$6+ROW()-9,COLUMN())="","",INDEX('⑩ 원문 보관'!$A:$E,$CM$6+ROW()-9,COLUMN())))</f>
        <v xml:space="preserve">121302.0  52069.22 13 </v>
      </c>
      <c r="C388" t="str">
        <f>IF($CM$6=0,"",IF(INDEX('⑩ 원문 보관'!$A:$E,$CM$6+ROW()-9,COLUMN())="","",INDEX('⑩ 원문 보관'!$A:$E,$CM$6+ROW()-9,COLUMN())))</f>
        <v/>
      </c>
      <c r="D388" t="str">
        <f>IF($CM$6=0,"",IF(INDEX('⑩ 원문 보관'!$A:$E,$CM$6+ROW()-9,COLUMN())="","",INDEX('⑩ 원문 보관'!$A:$E,$CM$6+ROW()-9,COLUMN())))</f>
        <v/>
      </c>
      <c r="E388" t="str">
        <f>IF($CM$6=0,"",IF(INDEX('⑩ 원문 보관'!$A:$E,$CM$6+ROW()-9,COLUMN())="","",INDEX('⑩ 원문 보관'!$A:$E,$CM$6+ROW()-9,COLUMN())))</f>
        <v/>
      </c>
      <c r="Q388">
        <f t="shared" si="170"/>
        <v>8</v>
      </c>
      <c r="R388" t="str">
        <f t="shared" si="150"/>
        <v/>
      </c>
      <c r="S388" t="str">
        <f t="shared" si="151"/>
        <v/>
      </c>
      <c r="T388" t="str">
        <f t="shared" si="152"/>
        <v/>
      </c>
      <c r="U388">
        <f t="shared" si="153"/>
        <v>0</v>
      </c>
      <c r="V388">
        <f t="shared" si="171"/>
        <v>11</v>
      </c>
      <c r="W388">
        <f t="shared" si="154"/>
        <v>121302</v>
      </c>
      <c r="X388">
        <f t="shared" si="155"/>
        <v>52069.22</v>
      </c>
      <c r="Y388" t="str">
        <f t="shared" si="156"/>
        <v>13</v>
      </c>
      <c r="Z388">
        <f t="shared" si="157"/>
        <v>1</v>
      </c>
      <c r="AA388">
        <f t="shared" si="172"/>
        <v>6</v>
      </c>
      <c r="AB388" t="str">
        <f t="shared" si="158"/>
        <v/>
      </c>
      <c r="AC388" t="str">
        <f t="shared" si="159"/>
        <v/>
      </c>
      <c r="AD388" t="str">
        <f t="shared" si="160"/>
        <v/>
      </c>
      <c r="AE388">
        <f t="shared" si="161"/>
        <v>0</v>
      </c>
      <c r="AF388">
        <f t="shared" si="173"/>
        <v>10</v>
      </c>
      <c r="AG388" t="str">
        <f t="shared" si="162"/>
        <v/>
      </c>
      <c r="AH388" t="str">
        <f t="shared" si="163"/>
        <v/>
      </c>
      <c r="AI388" t="str">
        <f t="shared" si="164"/>
        <v/>
      </c>
      <c r="AJ388">
        <f t="shared" si="165"/>
        <v>0</v>
      </c>
      <c r="AK388">
        <f t="shared" si="174"/>
        <v>4</v>
      </c>
      <c r="AL388" t="str">
        <f t="shared" si="166"/>
        <v/>
      </c>
      <c r="AM388" t="str">
        <f t="shared" si="167"/>
        <v/>
      </c>
      <c r="AN388" t="str">
        <f t="shared" si="168"/>
        <v/>
      </c>
      <c r="AO388">
        <f t="shared" si="169"/>
        <v>0</v>
      </c>
    </row>
    <row r="389" spans="1:41" x14ac:dyDescent="0.4">
      <c r="A389" t="str">
        <f>IF($CM$6=0,"",IF(INDEX('⑩ 원문 보관'!$A:$E,$CM$6+ROW()-9,COLUMN())="","",INDEX('⑩ 원문 보관'!$A:$E,$CM$6+ROW()-9,COLUMN())))</f>
        <v/>
      </c>
      <c r="B389" t="str">
        <f>IF($CM$6=0,"",IF(INDEX('⑩ 원문 보관'!$A:$E,$CM$6+ROW()-9,COLUMN())="","",INDEX('⑩ 원문 보관'!$A:$E,$CM$6+ROW()-9,COLUMN())))</f>
        <v xml:space="preserve">121307.0  52060.05 13 </v>
      </c>
      <c r="C389" t="str">
        <f>IF($CM$6=0,"",IF(INDEX('⑩ 원문 보관'!$A:$E,$CM$6+ROW()-9,COLUMN())="","",INDEX('⑩ 원문 보관'!$A:$E,$CM$6+ROW()-9,COLUMN())))</f>
        <v/>
      </c>
      <c r="D389" t="str">
        <f>IF($CM$6=0,"",IF(INDEX('⑩ 원문 보관'!$A:$E,$CM$6+ROW()-9,COLUMN())="","",INDEX('⑩ 원문 보관'!$A:$E,$CM$6+ROW()-9,COLUMN())))</f>
        <v/>
      </c>
      <c r="E389" t="str">
        <f>IF($CM$6=0,"",IF(INDEX('⑩ 원문 보관'!$A:$E,$CM$6+ROW()-9,COLUMN())="","",INDEX('⑩ 원문 보관'!$A:$E,$CM$6+ROW()-9,COLUMN())))</f>
        <v/>
      </c>
      <c r="Q389">
        <f t="shared" si="170"/>
        <v>8</v>
      </c>
      <c r="R389" t="str">
        <f t="shared" si="150"/>
        <v/>
      </c>
      <c r="S389" t="str">
        <f t="shared" si="151"/>
        <v/>
      </c>
      <c r="T389" t="str">
        <f t="shared" si="152"/>
        <v/>
      </c>
      <c r="U389">
        <f t="shared" si="153"/>
        <v>0</v>
      </c>
      <c r="V389">
        <f t="shared" si="171"/>
        <v>11</v>
      </c>
      <c r="W389">
        <f t="shared" si="154"/>
        <v>121307</v>
      </c>
      <c r="X389">
        <f t="shared" si="155"/>
        <v>52060.05</v>
      </c>
      <c r="Y389" t="str">
        <f t="shared" si="156"/>
        <v>13</v>
      </c>
      <c r="Z389">
        <f t="shared" si="157"/>
        <v>1</v>
      </c>
      <c r="AA389">
        <f t="shared" si="172"/>
        <v>6</v>
      </c>
      <c r="AB389" t="str">
        <f t="shared" si="158"/>
        <v/>
      </c>
      <c r="AC389" t="str">
        <f t="shared" si="159"/>
        <v/>
      </c>
      <c r="AD389" t="str">
        <f t="shared" si="160"/>
        <v/>
      </c>
      <c r="AE389">
        <f t="shared" si="161"/>
        <v>0</v>
      </c>
      <c r="AF389">
        <f t="shared" si="173"/>
        <v>10</v>
      </c>
      <c r="AG389" t="str">
        <f t="shared" si="162"/>
        <v/>
      </c>
      <c r="AH389" t="str">
        <f t="shared" si="163"/>
        <v/>
      </c>
      <c r="AI389" t="str">
        <f t="shared" si="164"/>
        <v/>
      </c>
      <c r="AJ389">
        <f t="shared" si="165"/>
        <v>0</v>
      </c>
      <c r="AK389">
        <f t="shared" si="174"/>
        <v>4</v>
      </c>
      <c r="AL389" t="str">
        <f t="shared" si="166"/>
        <v/>
      </c>
      <c r="AM389" t="str">
        <f t="shared" si="167"/>
        <v/>
      </c>
      <c r="AN389" t="str">
        <f t="shared" si="168"/>
        <v/>
      </c>
      <c r="AO389">
        <f t="shared" si="169"/>
        <v>0</v>
      </c>
    </row>
    <row r="390" spans="1:41" x14ac:dyDescent="0.4">
      <c r="A390" t="str">
        <f>IF($CM$6=0,"",IF(INDEX('⑩ 원문 보관'!$A:$E,$CM$6+ROW()-9,COLUMN())="","",INDEX('⑩ 원문 보관'!$A:$E,$CM$6+ROW()-9,COLUMN())))</f>
        <v/>
      </c>
      <c r="B390" t="str">
        <f>IF($CM$6=0,"",IF(INDEX('⑩ 원문 보관'!$A:$E,$CM$6+ROW()-9,COLUMN())="","",INDEX('⑩ 원문 보관'!$A:$E,$CM$6+ROW()-9,COLUMN())))</f>
        <v xml:space="preserve">121312.0  52067.48 13 </v>
      </c>
      <c r="C390" t="str">
        <f>IF($CM$6=0,"",IF(INDEX('⑩ 원문 보관'!$A:$E,$CM$6+ROW()-9,COLUMN())="","",INDEX('⑩ 원문 보관'!$A:$E,$CM$6+ROW()-9,COLUMN())))</f>
        <v/>
      </c>
      <c r="D390" t="str">
        <f>IF($CM$6=0,"",IF(INDEX('⑩ 원문 보관'!$A:$E,$CM$6+ROW()-9,COLUMN())="","",INDEX('⑩ 원문 보관'!$A:$E,$CM$6+ROW()-9,COLUMN())))</f>
        <v/>
      </c>
      <c r="E390" t="str">
        <f>IF($CM$6=0,"",IF(INDEX('⑩ 원문 보관'!$A:$E,$CM$6+ROW()-9,COLUMN())="","",INDEX('⑩ 원문 보관'!$A:$E,$CM$6+ROW()-9,COLUMN())))</f>
        <v/>
      </c>
      <c r="Q390">
        <f t="shared" si="170"/>
        <v>8</v>
      </c>
      <c r="R390" t="str">
        <f t="shared" si="150"/>
        <v/>
      </c>
      <c r="S390" t="str">
        <f t="shared" si="151"/>
        <v/>
      </c>
      <c r="T390" t="str">
        <f t="shared" si="152"/>
        <v/>
      </c>
      <c r="U390">
        <f t="shared" si="153"/>
        <v>0</v>
      </c>
      <c r="V390">
        <f t="shared" si="171"/>
        <v>11</v>
      </c>
      <c r="W390">
        <f t="shared" si="154"/>
        <v>121312</v>
      </c>
      <c r="X390">
        <f t="shared" si="155"/>
        <v>52067.48</v>
      </c>
      <c r="Y390" t="str">
        <f t="shared" si="156"/>
        <v>13</v>
      </c>
      <c r="Z390">
        <f t="shared" si="157"/>
        <v>1</v>
      </c>
      <c r="AA390">
        <f t="shared" si="172"/>
        <v>6</v>
      </c>
      <c r="AB390" t="str">
        <f t="shared" si="158"/>
        <v/>
      </c>
      <c r="AC390" t="str">
        <f t="shared" si="159"/>
        <v/>
      </c>
      <c r="AD390" t="str">
        <f t="shared" si="160"/>
        <v/>
      </c>
      <c r="AE390">
        <f t="shared" si="161"/>
        <v>0</v>
      </c>
      <c r="AF390">
        <f t="shared" si="173"/>
        <v>10</v>
      </c>
      <c r="AG390" t="str">
        <f t="shared" si="162"/>
        <v/>
      </c>
      <c r="AH390" t="str">
        <f t="shared" si="163"/>
        <v/>
      </c>
      <c r="AI390" t="str">
        <f t="shared" si="164"/>
        <v/>
      </c>
      <c r="AJ390">
        <f t="shared" si="165"/>
        <v>0</v>
      </c>
      <c r="AK390">
        <f t="shared" si="174"/>
        <v>4</v>
      </c>
      <c r="AL390" t="str">
        <f t="shared" si="166"/>
        <v/>
      </c>
      <c r="AM390" t="str">
        <f t="shared" si="167"/>
        <v/>
      </c>
      <c r="AN390" t="str">
        <f t="shared" si="168"/>
        <v/>
      </c>
      <c r="AO390">
        <f t="shared" si="169"/>
        <v>0</v>
      </c>
    </row>
    <row r="391" spans="1:41" x14ac:dyDescent="0.4">
      <c r="A391" t="str">
        <f>IF($CM$6=0,"",IF(INDEX('⑩ 원문 보관'!$A:$E,$CM$6+ROW()-9,COLUMN())="","",INDEX('⑩ 원문 보관'!$A:$E,$CM$6+ROW()-9,COLUMN())))</f>
        <v/>
      </c>
      <c r="B391" t="str">
        <f>IF($CM$6=0,"",IF(INDEX('⑩ 원문 보관'!$A:$E,$CM$6+ROW()-9,COLUMN())="","",INDEX('⑩ 원문 보관'!$A:$E,$CM$6+ROW()-9,COLUMN())))</f>
        <v xml:space="preserve">121317.0  52064.88 12 </v>
      </c>
      <c r="C391" t="str">
        <f>IF($CM$6=0,"",IF(INDEX('⑩ 원문 보관'!$A:$E,$CM$6+ROW()-9,COLUMN())="","",INDEX('⑩ 원문 보관'!$A:$E,$CM$6+ROW()-9,COLUMN())))</f>
        <v/>
      </c>
      <c r="D391" t="str">
        <f>IF($CM$6=0,"",IF(INDEX('⑩ 원문 보관'!$A:$E,$CM$6+ROW()-9,COLUMN())="","",INDEX('⑩ 원문 보관'!$A:$E,$CM$6+ROW()-9,COLUMN())))</f>
        <v/>
      </c>
      <c r="E391" t="str">
        <f>IF($CM$6=0,"",IF(INDEX('⑩ 원문 보관'!$A:$E,$CM$6+ROW()-9,COLUMN())="","",INDEX('⑩ 원문 보관'!$A:$E,$CM$6+ROW()-9,COLUMN())))</f>
        <v/>
      </c>
      <c r="Q391">
        <f t="shared" si="170"/>
        <v>8</v>
      </c>
      <c r="R391" t="str">
        <f t="shared" si="150"/>
        <v/>
      </c>
      <c r="S391" t="str">
        <f t="shared" si="151"/>
        <v/>
      </c>
      <c r="T391" t="str">
        <f t="shared" si="152"/>
        <v/>
      </c>
      <c r="U391">
        <f t="shared" si="153"/>
        <v>0</v>
      </c>
      <c r="V391">
        <f t="shared" si="171"/>
        <v>11</v>
      </c>
      <c r="W391">
        <f t="shared" si="154"/>
        <v>121317</v>
      </c>
      <c r="X391">
        <f t="shared" si="155"/>
        <v>52064.88</v>
      </c>
      <c r="Y391" t="str">
        <f t="shared" si="156"/>
        <v>12</v>
      </c>
      <c r="Z391">
        <f t="shared" si="157"/>
        <v>1</v>
      </c>
      <c r="AA391">
        <f t="shared" si="172"/>
        <v>6</v>
      </c>
      <c r="AB391" t="str">
        <f t="shared" si="158"/>
        <v/>
      </c>
      <c r="AC391" t="str">
        <f t="shared" si="159"/>
        <v/>
      </c>
      <c r="AD391" t="str">
        <f t="shared" si="160"/>
        <v/>
      </c>
      <c r="AE391">
        <f t="shared" si="161"/>
        <v>0</v>
      </c>
      <c r="AF391">
        <f t="shared" si="173"/>
        <v>10</v>
      </c>
      <c r="AG391" t="str">
        <f t="shared" si="162"/>
        <v/>
      </c>
      <c r="AH391" t="str">
        <f t="shared" si="163"/>
        <v/>
      </c>
      <c r="AI391" t="str">
        <f t="shared" si="164"/>
        <v/>
      </c>
      <c r="AJ391">
        <f t="shared" si="165"/>
        <v>0</v>
      </c>
      <c r="AK391">
        <f t="shared" si="174"/>
        <v>4</v>
      </c>
      <c r="AL391" t="str">
        <f t="shared" si="166"/>
        <v/>
      </c>
      <c r="AM391" t="str">
        <f t="shared" si="167"/>
        <v/>
      </c>
      <c r="AN391" t="str">
        <f t="shared" si="168"/>
        <v/>
      </c>
      <c r="AO391">
        <f t="shared" si="169"/>
        <v>0</v>
      </c>
    </row>
    <row r="392" spans="1:41" x14ac:dyDescent="0.4">
      <c r="A392" t="str">
        <f>IF($CM$6=0,"",IF(INDEX('⑩ 원문 보관'!$A:$E,$CM$6+ROW()-9,COLUMN())="","",INDEX('⑩ 원문 보관'!$A:$E,$CM$6+ROW()-9,COLUMN())))</f>
        <v/>
      </c>
      <c r="B392" t="str">
        <f>IF($CM$6=0,"",IF(INDEX('⑩ 원문 보관'!$A:$E,$CM$6+ROW()-9,COLUMN())="","",INDEX('⑩ 원문 보관'!$A:$E,$CM$6+ROW()-9,COLUMN())))</f>
        <v xml:space="preserve">121322.0  52070.44 13 </v>
      </c>
      <c r="C392" t="str">
        <f>IF($CM$6=0,"",IF(INDEX('⑩ 원문 보관'!$A:$E,$CM$6+ROW()-9,COLUMN())="","",INDEX('⑩ 원문 보관'!$A:$E,$CM$6+ROW()-9,COLUMN())))</f>
        <v/>
      </c>
      <c r="D392" t="str">
        <f>IF($CM$6=0,"",IF(INDEX('⑩ 원문 보관'!$A:$E,$CM$6+ROW()-9,COLUMN())="","",INDEX('⑩ 원문 보관'!$A:$E,$CM$6+ROW()-9,COLUMN())))</f>
        <v/>
      </c>
      <c r="E392" t="str">
        <f>IF($CM$6=0,"",IF(INDEX('⑩ 원문 보관'!$A:$E,$CM$6+ROW()-9,COLUMN())="","",INDEX('⑩ 원문 보관'!$A:$E,$CM$6+ROW()-9,COLUMN())))</f>
        <v/>
      </c>
      <c r="Q392">
        <f t="shared" si="170"/>
        <v>8</v>
      </c>
      <c r="R392" t="str">
        <f t="shared" si="150"/>
        <v/>
      </c>
      <c r="S392" t="str">
        <f t="shared" si="151"/>
        <v/>
      </c>
      <c r="T392" t="str">
        <f t="shared" si="152"/>
        <v/>
      </c>
      <c r="U392">
        <f t="shared" si="153"/>
        <v>0</v>
      </c>
      <c r="V392">
        <f t="shared" si="171"/>
        <v>11</v>
      </c>
      <c r="W392">
        <f t="shared" si="154"/>
        <v>121322</v>
      </c>
      <c r="X392">
        <f t="shared" si="155"/>
        <v>52070.44</v>
      </c>
      <c r="Y392" t="str">
        <f t="shared" si="156"/>
        <v>13</v>
      </c>
      <c r="Z392">
        <f t="shared" si="157"/>
        <v>1</v>
      </c>
      <c r="AA392">
        <f t="shared" si="172"/>
        <v>6</v>
      </c>
      <c r="AB392" t="str">
        <f t="shared" si="158"/>
        <v/>
      </c>
      <c r="AC392" t="str">
        <f t="shared" si="159"/>
        <v/>
      </c>
      <c r="AD392" t="str">
        <f t="shared" si="160"/>
        <v/>
      </c>
      <c r="AE392">
        <f t="shared" si="161"/>
        <v>0</v>
      </c>
      <c r="AF392">
        <f t="shared" si="173"/>
        <v>10</v>
      </c>
      <c r="AG392" t="str">
        <f t="shared" si="162"/>
        <v/>
      </c>
      <c r="AH392" t="str">
        <f t="shared" si="163"/>
        <v/>
      </c>
      <c r="AI392" t="str">
        <f t="shared" si="164"/>
        <v/>
      </c>
      <c r="AJ392">
        <f t="shared" si="165"/>
        <v>0</v>
      </c>
      <c r="AK392">
        <f t="shared" si="174"/>
        <v>4</v>
      </c>
      <c r="AL392" t="str">
        <f t="shared" si="166"/>
        <v/>
      </c>
      <c r="AM392" t="str">
        <f t="shared" si="167"/>
        <v/>
      </c>
      <c r="AN392" t="str">
        <f t="shared" si="168"/>
        <v/>
      </c>
      <c r="AO392">
        <f t="shared" si="169"/>
        <v>0</v>
      </c>
    </row>
    <row r="393" spans="1:41" x14ac:dyDescent="0.4">
      <c r="A393" t="str">
        <f>IF($CM$6=0,"",IF(INDEX('⑩ 원문 보관'!$A:$E,$CM$6+ROW()-9,COLUMN())="","",INDEX('⑩ 원문 보관'!$A:$E,$CM$6+ROW()-9,COLUMN())))</f>
        <v/>
      </c>
      <c r="B393" t="str">
        <f>IF($CM$6=0,"",IF(INDEX('⑩ 원문 보관'!$A:$E,$CM$6+ROW()-9,COLUMN())="","",INDEX('⑩ 원문 보관'!$A:$E,$CM$6+ROW()-9,COLUMN())))</f>
        <v xml:space="preserve">121327.0  52070.93 13 </v>
      </c>
      <c r="C393" t="str">
        <f>IF($CM$6=0,"",IF(INDEX('⑩ 원문 보관'!$A:$E,$CM$6+ROW()-9,COLUMN())="","",INDEX('⑩ 원문 보관'!$A:$E,$CM$6+ROW()-9,COLUMN())))</f>
        <v/>
      </c>
      <c r="D393" t="str">
        <f>IF($CM$6=0,"",IF(INDEX('⑩ 원문 보관'!$A:$E,$CM$6+ROW()-9,COLUMN())="","",INDEX('⑩ 원문 보관'!$A:$E,$CM$6+ROW()-9,COLUMN())))</f>
        <v/>
      </c>
      <c r="E393" t="str">
        <f>IF($CM$6=0,"",IF(INDEX('⑩ 원문 보관'!$A:$E,$CM$6+ROW()-9,COLUMN())="","",INDEX('⑩ 원문 보관'!$A:$E,$CM$6+ROW()-9,COLUMN())))</f>
        <v/>
      </c>
      <c r="Q393">
        <f t="shared" si="170"/>
        <v>8</v>
      </c>
      <c r="R393" t="str">
        <f t="shared" ref="R393:R456" si="175">IFERROR(IF(ISNUMBER(--LEFT(TRIM(A393),1)),VALUE(LEFT(TRIM(A393),6)),""),"")</f>
        <v/>
      </c>
      <c r="S393" t="str">
        <f t="shared" ref="S393:S456" si="176">IFERROR(VALUE(TRIM(MID(SUBSTITUTE(TRIM(A393)," ",REPT(" ",30)),31,30))),"")</f>
        <v/>
      </c>
      <c r="T393" t="str">
        <f t="shared" ref="T393:T456" si="177">IFERROR(TRIM(MID(SUBSTITUTE(TRIM(A393)," ",REPT(" ",30)),61,30)),"")</f>
        <v/>
      </c>
      <c r="U393">
        <f t="shared" ref="U393:U456" si="178">IF(OR(R393="",S393="",T393=""),0,IF(AND(S393&gt;1000,RIGHT(T393,1)&lt;&gt;"0"),1,0))</f>
        <v>0</v>
      </c>
      <c r="V393">
        <f t="shared" si="171"/>
        <v>11</v>
      </c>
      <c r="W393">
        <f t="shared" ref="W393:W456" si="179">IFERROR(IF(ISNUMBER(--LEFT(TRIM(B393),1)),VALUE(LEFT(TRIM(B393),6)),""),"")</f>
        <v>121327</v>
      </c>
      <c r="X393">
        <f t="shared" ref="X393:X456" si="180">IFERROR(VALUE(TRIM(MID(SUBSTITUTE(TRIM(B393)," ",REPT(" ",30)),31,30))),"")</f>
        <v>52070.93</v>
      </c>
      <c r="Y393" t="str">
        <f t="shared" ref="Y393:Y456" si="181">IFERROR(TRIM(MID(SUBSTITUTE(TRIM(B393)," ",REPT(" ",30)),61,30)),"")</f>
        <v>13</v>
      </c>
      <c r="Z393">
        <f t="shared" ref="Z393:Z456" si="182">IF(OR(W393="",X393="",Y393=""),0,IF(AND(X393&gt;1000,RIGHT(Y393,1)&lt;&gt;"0"),1,0))</f>
        <v>1</v>
      </c>
      <c r="AA393">
        <f t="shared" si="172"/>
        <v>6</v>
      </c>
      <c r="AB393" t="str">
        <f t="shared" ref="AB393:AB456" si="183">IFERROR(IF(ISNUMBER(--LEFT(TRIM(C393),1)),VALUE(LEFT(TRIM(C393),6)),""),"")</f>
        <v/>
      </c>
      <c r="AC393" t="str">
        <f t="shared" ref="AC393:AC456" si="184">IFERROR(VALUE(TRIM(MID(SUBSTITUTE(TRIM(C393)," ",REPT(" ",30)),31,30))),"")</f>
        <v/>
      </c>
      <c r="AD393" t="str">
        <f t="shared" ref="AD393:AD456" si="185">IFERROR(TRIM(MID(SUBSTITUTE(TRIM(C393)," ",REPT(" ",30)),61,30)),"")</f>
        <v/>
      </c>
      <c r="AE393">
        <f t="shared" ref="AE393:AE456" si="186">IF(OR(AB393="",AC393="",AD393=""),0,IF(AND(AC393&gt;1000,RIGHT(AD393,1)&lt;&gt;"0"),1,0))</f>
        <v>0</v>
      </c>
      <c r="AF393">
        <f t="shared" si="173"/>
        <v>10</v>
      </c>
      <c r="AG393" t="str">
        <f t="shared" ref="AG393:AG456" si="187">IFERROR(IF(ISNUMBER(--LEFT(TRIM(D393),1)),VALUE(LEFT(TRIM(D393),6)),""),"")</f>
        <v/>
      </c>
      <c r="AH393" t="str">
        <f t="shared" ref="AH393:AH456" si="188">IFERROR(VALUE(TRIM(MID(SUBSTITUTE(TRIM(D393)," ",REPT(" ",30)),31,30))),"")</f>
        <v/>
      </c>
      <c r="AI393" t="str">
        <f t="shared" ref="AI393:AI456" si="189">IFERROR(TRIM(MID(SUBSTITUTE(TRIM(D393)," ",REPT(" ",30)),61,30)),"")</f>
        <v/>
      </c>
      <c r="AJ393">
        <f t="shared" ref="AJ393:AJ456" si="190">IF(OR(AG393="",AH393="",AI393=""),0,IF(AND(AH393&gt;1000,RIGHT(AI393,1)&lt;&gt;"0"),1,0))</f>
        <v>0</v>
      </c>
      <c r="AK393">
        <f t="shared" si="174"/>
        <v>4</v>
      </c>
      <c r="AL393" t="str">
        <f t="shared" ref="AL393:AL456" si="191">IFERROR(IF(ISNUMBER(--LEFT(TRIM(E393),1)),VALUE(LEFT(TRIM(E393),6)),""),"")</f>
        <v/>
      </c>
      <c r="AM393" t="str">
        <f t="shared" ref="AM393:AM456" si="192">IFERROR(VALUE(TRIM(MID(SUBSTITUTE(TRIM(E393)," ",REPT(" ",30)),31,30))),"")</f>
        <v/>
      </c>
      <c r="AN393" t="str">
        <f t="shared" ref="AN393:AN456" si="193">IFERROR(TRIM(MID(SUBSTITUTE(TRIM(E393)," ",REPT(" ",30)),61,30)),"")</f>
        <v/>
      </c>
      <c r="AO393">
        <f t="shared" ref="AO393:AO456" si="194">IF(OR(AL393="",AM393="",AN393=""),0,IF(AND(AM393&gt;1000,RIGHT(AN393,1)&lt;&gt;"0"),1,0))</f>
        <v>0</v>
      </c>
    </row>
    <row r="394" spans="1:41" x14ac:dyDescent="0.4">
      <c r="A394" t="str">
        <f>IF($CM$6=0,"",IF(INDEX('⑩ 원문 보관'!$A:$E,$CM$6+ROW()-9,COLUMN())="","",INDEX('⑩ 원문 보관'!$A:$E,$CM$6+ROW()-9,COLUMN())))</f>
        <v/>
      </c>
      <c r="B394" t="str">
        <f>IF($CM$6=0,"",IF(INDEX('⑩ 원문 보관'!$A:$E,$CM$6+ROW()-9,COLUMN())="","",INDEX('⑩ 원문 보관'!$A:$E,$CM$6+ROW()-9,COLUMN())))</f>
        <v xml:space="preserve">121332.0  52072.01 13 </v>
      </c>
      <c r="C394" t="str">
        <f>IF($CM$6=0,"",IF(INDEX('⑩ 원문 보관'!$A:$E,$CM$6+ROW()-9,COLUMN())="","",INDEX('⑩ 원문 보관'!$A:$E,$CM$6+ROW()-9,COLUMN())))</f>
        <v/>
      </c>
      <c r="D394" t="str">
        <f>IF($CM$6=0,"",IF(INDEX('⑩ 원문 보관'!$A:$E,$CM$6+ROW()-9,COLUMN())="","",INDEX('⑩ 원문 보관'!$A:$E,$CM$6+ROW()-9,COLUMN())))</f>
        <v/>
      </c>
      <c r="E394" t="str">
        <f>IF($CM$6=0,"",IF(INDEX('⑩ 원문 보관'!$A:$E,$CM$6+ROW()-9,COLUMN())="","",INDEX('⑩ 원문 보관'!$A:$E,$CM$6+ROW()-9,COLUMN())))</f>
        <v/>
      </c>
      <c r="Q394">
        <f t="shared" ref="Q394:Q457" si="195">IF(A394="",N(Q393),IF(LEFT(TRIM(A394),5)="/time",N(Q393)+1,N(Q393)))</f>
        <v>8</v>
      </c>
      <c r="R394" t="str">
        <f t="shared" si="175"/>
        <v/>
      </c>
      <c r="S394" t="str">
        <f t="shared" si="176"/>
        <v/>
      </c>
      <c r="T394" t="str">
        <f t="shared" si="177"/>
        <v/>
      </c>
      <c r="U394">
        <f t="shared" si="178"/>
        <v>0</v>
      </c>
      <c r="V394">
        <f t="shared" ref="V394:V457" si="196">IF(B394="",N(V393),IF(LEFT(TRIM(B394),5)="/time",N(V393)+1,N(V393)))</f>
        <v>11</v>
      </c>
      <c r="W394">
        <f t="shared" si="179"/>
        <v>121332</v>
      </c>
      <c r="X394">
        <f t="shared" si="180"/>
        <v>52072.01</v>
      </c>
      <c r="Y394" t="str">
        <f t="shared" si="181"/>
        <v>13</v>
      </c>
      <c r="Z394">
        <f t="shared" si="182"/>
        <v>1</v>
      </c>
      <c r="AA394">
        <f t="shared" ref="AA394:AA457" si="197">IF(C394="",N(AA393),IF(LEFT(TRIM(C394),5)="/time",N(AA393)+1,N(AA393)))</f>
        <v>6</v>
      </c>
      <c r="AB394" t="str">
        <f t="shared" si="183"/>
        <v/>
      </c>
      <c r="AC394" t="str">
        <f t="shared" si="184"/>
        <v/>
      </c>
      <c r="AD394" t="str">
        <f t="shared" si="185"/>
        <v/>
      </c>
      <c r="AE394">
        <f t="shared" si="186"/>
        <v>0</v>
      </c>
      <c r="AF394">
        <f t="shared" ref="AF394:AF457" si="198">IF(D394="",N(AF393),IF(LEFT(TRIM(D394),5)="/time",N(AF393)+1,N(AF393)))</f>
        <v>10</v>
      </c>
      <c r="AG394" t="str">
        <f t="shared" si="187"/>
        <v/>
      </c>
      <c r="AH394" t="str">
        <f t="shared" si="188"/>
        <v/>
      </c>
      <c r="AI394" t="str">
        <f t="shared" si="189"/>
        <v/>
      </c>
      <c r="AJ394">
        <f t="shared" si="190"/>
        <v>0</v>
      </c>
      <c r="AK394">
        <f t="shared" ref="AK394:AK457" si="199">IF(E394="",N(AK393),IF(LEFT(TRIM(E394),5)="/time",N(AK393)+1,N(AK393)))</f>
        <v>4</v>
      </c>
      <c r="AL394" t="str">
        <f t="shared" si="191"/>
        <v/>
      </c>
      <c r="AM394" t="str">
        <f t="shared" si="192"/>
        <v/>
      </c>
      <c r="AN394" t="str">
        <f t="shared" si="193"/>
        <v/>
      </c>
      <c r="AO394">
        <f t="shared" si="194"/>
        <v>0</v>
      </c>
    </row>
    <row r="395" spans="1:41" x14ac:dyDescent="0.4">
      <c r="A395" t="str">
        <f>IF($CM$6=0,"",IF(INDEX('⑩ 원문 보관'!$A:$E,$CM$6+ROW()-9,COLUMN())="","",INDEX('⑩ 원문 보관'!$A:$E,$CM$6+ROW()-9,COLUMN())))</f>
        <v/>
      </c>
      <c r="B395" t="str">
        <f>IF($CM$6=0,"",IF(INDEX('⑩ 원문 보관'!$A:$E,$CM$6+ROW()-9,COLUMN())="","",INDEX('⑩ 원문 보관'!$A:$E,$CM$6+ROW()-9,COLUMN())))</f>
        <v xml:space="preserve">121337.0  52067.56 13 </v>
      </c>
      <c r="C395" t="str">
        <f>IF($CM$6=0,"",IF(INDEX('⑩ 원문 보관'!$A:$E,$CM$6+ROW()-9,COLUMN())="","",INDEX('⑩ 원문 보관'!$A:$E,$CM$6+ROW()-9,COLUMN())))</f>
        <v/>
      </c>
      <c r="D395" t="str">
        <f>IF($CM$6=0,"",IF(INDEX('⑩ 원문 보관'!$A:$E,$CM$6+ROW()-9,COLUMN())="","",INDEX('⑩ 원문 보관'!$A:$E,$CM$6+ROW()-9,COLUMN())))</f>
        <v/>
      </c>
      <c r="E395" t="str">
        <f>IF($CM$6=0,"",IF(INDEX('⑩ 원문 보관'!$A:$E,$CM$6+ROW()-9,COLUMN())="","",INDEX('⑩ 원문 보관'!$A:$E,$CM$6+ROW()-9,COLUMN())))</f>
        <v/>
      </c>
      <c r="Q395">
        <f t="shared" si="195"/>
        <v>8</v>
      </c>
      <c r="R395" t="str">
        <f t="shared" si="175"/>
        <v/>
      </c>
      <c r="S395" t="str">
        <f t="shared" si="176"/>
        <v/>
      </c>
      <c r="T395" t="str">
        <f t="shared" si="177"/>
        <v/>
      </c>
      <c r="U395">
        <f t="shared" si="178"/>
        <v>0</v>
      </c>
      <c r="V395">
        <f t="shared" si="196"/>
        <v>11</v>
      </c>
      <c r="W395">
        <f t="shared" si="179"/>
        <v>121337</v>
      </c>
      <c r="X395">
        <f t="shared" si="180"/>
        <v>52067.56</v>
      </c>
      <c r="Y395" t="str">
        <f t="shared" si="181"/>
        <v>13</v>
      </c>
      <c r="Z395">
        <f t="shared" si="182"/>
        <v>1</v>
      </c>
      <c r="AA395">
        <f t="shared" si="197"/>
        <v>6</v>
      </c>
      <c r="AB395" t="str">
        <f t="shared" si="183"/>
        <v/>
      </c>
      <c r="AC395" t="str">
        <f t="shared" si="184"/>
        <v/>
      </c>
      <c r="AD395" t="str">
        <f t="shared" si="185"/>
        <v/>
      </c>
      <c r="AE395">
        <f t="shared" si="186"/>
        <v>0</v>
      </c>
      <c r="AF395">
        <f t="shared" si="198"/>
        <v>10</v>
      </c>
      <c r="AG395" t="str">
        <f t="shared" si="187"/>
        <v/>
      </c>
      <c r="AH395" t="str">
        <f t="shared" si="188"/>
        <v/>
      </c>
      <c r="AI395" t="str">
        <f t="shared" si="189"/>
        <v/>
      </c>
      <c r="AJ395">
        <f t="shared" si="190"/>
        <v>0</v>
      </c>
      <c r="AK395">
        <f t="shared" si="199"/>
        <v>4</v>
      </c>
      <c r="AL395" t="str">
        <f t="shared" si="191"/>
        <v/>
      </c>
      <c r="AM395" t="str">
        <f t="shared" si="192"/>
        <v/>
      </c>
      <c r="AN395" t="str">
        <f t="shared" si="193"/>
        <v/>
      </c>
      <c r="AO395">
        <f t="shared" si="194"/>
        <v>0</v>
      </c>
    </row>
    <row r="396" spans="1:41" x14ac:dyDescent="0.4">
      <c r="A396" t="str">
        <f>IF($CM$6=0,"",IF(INDEX('⑩ 원문 보관'!$A:$E,$CM$6+ROW()-9,COLUMN())="","",INDEX('⑩ 원문 보관'!$A:$E,$CM$6+ROW()-9,COLUMN())))</f>
        <v/>
      </c>
      <c r="B396" t="str">
        <f>IF($CM$6=0,"",IF(INDEX('⑩ 원문 보관'!$A:$E,$CM$6+ROW()-9,COLUMN())="","",INDEX('⑩ 원문 보관'!$A:$E,$CM$6+ROW()-9,COLUMN())))</f>
        <v xml:space="preserve">121342.0  52070.36 13 </v>
      </c>
      <c r="C396" t="str">
        <f>IF($CM$6=0,"",IF(INDEX('⑩ 원문 보관'!$A:$E,$CM$6+ROW()-9,COLUMN())="","",INDEX('⑩ 원문 보관'!$A:$E,$CM$6+ROW()-9,COLUMN())))</f>
        <v/>
      </c>
      <c r="D396" t="str">
        <f>IF($CM$6=0,"",IF(INDEX('⑩ 원문 보관'!$A:$E,$CM$6+ROW()-9,COLUMN())="","",INDEX('⑩ 원문 보관'!$A:$E,$CM$6+ROW()-9,COLUMN())))</f>
        <v/>
      </c>
      <c r="E396" t="str">
        <f>IF($CM$6=0,"",IF(INDEX('⑩ 원문 보관'!$A:$E,$CM$6+ROW()-9,COLUMN())="","",INDEX('⑩ 원문 보관'!$A:$E,$CM$6+ROW()-9,COLUMN())))</f>
        <v/>
      </c>
      <c r="Q396">
        <f t="shared" si="195"/>
        <v>8</v>
      </c>
      <c r="R396" t="str">
        <f t="shared" si="175"/>
        <v/>
      </c>
      <c r="S396" t="str">
        <f t="shared" si="176"/>
        <v/>
      </c>
      <c r="T396" t="str">
        <f t="shared" si="177"/>
        <v/>
      </c>
      <c r="U396">
        <f t="shared" si="178"/>
        <v>0</v>
      </c>
      <c r="V396">
        <f t="shared" si="196"/>
        <v>11</v>
      </c>
      <c r="W396">
        <f t="shared" si="179"/>
        <v>121342</v>
      </c>
      <c r="X396">
        <f t="shared" si="180"/>
        <v>52070.36</v>
      </c>
      <c r="Y396" t="str">
        <f t="shared" si="181"/>
        <v>13</v>
      </c>
      <c r="Z396">
        <f t="shared" si="182"/>
        <v>1</v>
      </c>
      <c r="AA396">
        <f t="shared" si="197"/>
        <v>6</v>
      </c>
      <c r="AB396" t="str">
        <f t="shared" si="183"/>
        <v/>
      </c>
      <c r="AC396" t="str">
        <f t="shared" si="184"/>
        <v/>
      </c>
      <c r="AD396" t="str">
        <f t="shared" si="185"/>
        <v/>
      </c>
      <c r="AE396">
        <f t="shared" si="186"/>
        <v>0</v>
      </c>
      <c r="AF396">
        <f t="shared" si="198"/>
        <v>10</v>
      </c>
      <c r="AG396" t="str">
        <f t="shared" si="187"/>
        <v/>
      </c>
      <c r="AH396" t="str">
        <f t="shared" si="188"/>
        <v/>
      </c>
      <c r="AI396" t="str">
        <f t="shared" si="189"/>
        <v/>
      </c>
      <c r="AJ396">
        <f t="shared" si="190"/>
        <v>0</v>
      </c>
      <c r="AK396">
        <f t="shared" si="199"/>
        <v>4</v>
      </c>
      <c r="AL396" t="str">
        <f t="shared" si="191"/>
        <v/>
      </c>
      <c r="AM396" t="str">
        <f t="shared" si="192"/>
        <v/>
      </c>
      <c r="AN396" t="str">
        <f t="shared" si="193"/>
        <v/>
      </c>
      <c r="AO396">
        <f t="shared" si="194"/>
        <v>0</v>
      </c>
    </row>
    <row r="397" spans="1:41" x14ac:dyDescent="0.4">
      <c r="A397" t="str">
        <f>IF($CM$6=0,"",IF(INDEX('⑩ 원문 보관'!$A:$E,$CM$6+ROW()-9,COLUMN())="","",INDEX('⑩ 원문 보관'!$A:$E,$CM$6+ROW()-9,COLUMN())))</f>
        <v/>
      </c>
      <c r="B397" t="str">
        <f>IF($CM$6=0,"",IF(INDEX('⑩ 원문 보관'!$A:$E,$CM$6+ROW()-9,COLUMN())="","",INDEX('⑩ 원문 보관'!$A:$E,$CM$6+ROW()-9,COLUMN())))</f>
        <v xml:space="preserve">121347.0  52052.04 13 </v>
      </c>
      <c r="C397" t="str">
        <f>IF($CM$6=0,"",IF(INDEX('⑩ 원문 보관'!$A:$E,$CM$6+ROW()-9,COLUMN())="","",INDEX('⑩ 원문 보관'!$A:$E,$CM$6+ROW()-9,COLUMN())))</f>
        <v/>
      </c>
      <c r="D397" t="str">
        <f>IF($CM$6=0,"",IF(INDEX('⑩ 원문 보관'!$A:$E,$CM$6+ROW()-9,COLUMN())="","",INDEX('⑩ 원문 보관'!$A:$E,$CM$6+ROW()-9,COLUMN())))</f>
        <v/>
      </c>
      <c r="E397" t="str">
        <f>IF($CM$6=0,"",IF(INDEX('⑩ 원문 보관'!$A:$E,$CM$6+ROW()-9,COLUMN())="","",INDEX('⑩ 원문 보관'!$A:$E,$CM$6+ROW()-9,COLUMN())))</f>
        <v/>
      </c>
      <c r="Q397">
        <f t="shared" si="195"/>
        <v>8</v>
      </c>
      <c r="R397" t="str">
        <f t="shared" si="175"/>
        <v/>
      </c>
      <c r="S397" t="str">
        <f t="shared" si="176"/>
        <v/>
      </c>
      <c r="T397" t="str">
        <f t="shared" si="177"/>
        <v/>
      </c>
      <c r="U397">
        <f t="shared" si="178"/>
        <v>0</v>
      </c>
      <c r="V397">
        <f t="shared" si="196"/>
        <v>11</v>
      </c>
      <c r="W397">
        <f t="shared" si="179"/>
        <v>121347</v>
      </c>
      <c r="X397">
        <f t="shared" si="180"/>
        <v>52052.04</v>
      </c>
      <c r="Y397" t="str">
        <f t="shared" si="181"/>
        <v>13</v>
      </c>
      <c r="Z397">
        <f t="shared" si="182"/>
        <v>1</v>
      </c>
      <c r="AA397">
        <f t="shared" si="197"/>
        <v>6</v>
      </c>
      <c r="AB397" t="str">
        <f t="shared" si="183"/>
        <v/>
      </c>
      <c r="AC397" t="str">
        <f t="shared" si="184"/>
        <v/>
      </c>
      <c r="AD397" t="str">
        <f t="shared" si="185"/>
        <v/>
      </c>
      <c r="AE397">
        <f t="shared" si="186"/>
        <v>0</v>
      </c>
      <c r="AF397">
        <f t="shared" si="198"/>
        <v>10</v>
      </c>
      <c r="AG397" t="str">
        <f t="shared" si="187"/>
        <v/>
      </c>
      <c r="AH397" t="str">
        <f t="shared" si="188"/>
        <v/>
      </c>
      <c r="AI397" t="str">
        <f t="shared" si="189"/>
        <v/>
      </c>
      <c r="AJ397">
        <f t="shared" si="190"/>
        <v>0</v>
      </c>
      <c r="AK397">
        <f t="shared" si="199"/>
        <v>4</v>
      </c>
      <c r="AL397" t="str">
        <f t="shared" si="191"/>
        <v/>
      </c>
      <c r="AM397" t="str">
        <f t="shared" si="192"/>
        <v/>
      </c>
      <c r="AN397" t="str">
        <f t="shared" si="193"/>
        <v/>
      </c>
      <c r="AO397">
        <f t="shared" si="194"/>
        <v>0</v>
      </c>
    </row>
    <row r="398" spans="1:41" x14ac:dyDescent="0.4">
      <c r="A398" t="str">
        <f>IF($CM$6=0,"",IF(INDEX('⑩ 원문 보관'!$A:$E,$CM$6+ROW()-9,COLUMN())="","",INDEX('⑩ 원문 보관'!$A:$E,$CM$6+ROW()-9,COLUMN())))</f>
        <v/>
      </c>
      <c r="B398" t="str">
        <f>IF($CM$6=0,"",IF(INDEX('⑩ 원문 보관'!$A:$E,$CM$6+ROW()-9,COLUMN())="","",INDEX('⑩ 원문 보관'!$A:$E,$CM$6+ROW()-9,COLUMN())))</f>
        <v xml:space="preserve">121352.0  52062.78 13 </v>
      </c>
      <c r="C398" t="str">
        <f>IF($CM$6=0,"",IF(INDEX('⑩ 원문 보관'!$A:$E,$CM$6+ROW()-9,COLUMN())="","",INDEX('⑩ 원문 보관'!$A:$E,$CM$6+ROW()-9,COLUMN())))</f>
        <v/>
      </c>
      <c r="D398" t="str">
        <f>IF($CM$6=0,"",IF(INDEX('⑩ 원문 보관'!$A:$E,$CM$6+ROW()-9,COLUMN())="","",INDEX('⑩ 원문 보관'!$A:$E,$CM$6+ROW()-9,COLUMN())))</f>
        <v/>
      </c>
      <c r="E398" t="str">
        <f>IF($CM$6=0,"",IF(INDEX('⑩ 원문 보관'!$A:$E,$CM$6+ROW()-9,COLUMN())="","",INDEX('⑩ 원문 보관'!$A:$E,$CM$6+ROW()-9,COLUMN())))</f>
        <v/>
      </c>
      <c r="Q398">
        <f t="shared" si="195"/>
        <v>8</v>
      </c>
      <c r="R398" t="str">
        <f t="shared" si="175"/>
        <v/>
      </c>
      <c r="S398" t="str">
        <f t="shared" si="176"/>
        <v/>
      </c>
      <c r="T398" t="str">
        <f t="shared" si="177"/>
        <v/>
      </c>
      <c r="U398">
        <f t="shared" si="178"/>
        <v>0</v>
      </c>
      <c r="V398">
        <f t="shared" si="196"/>
        <v>11</v>
      </c>
      <c r="W398">
        <f t="shared" si="179"/>
        <v>121352</v>
      </c>
      <c r="X398">
        <f t="shared" si="180"/>
        <v>52062.78</v>
      </c>
      <c r="Y398" t="str">
        <f t="shared" si="181"/>
        <v>13</v>
      </c>
      <c r="Z398">
        <f t="shared" si="182"/>
        <v>1</v>
      </c>
      <c r="AA398">
        <f t="shared" si="197"/>
        <v>6</v>
      </c>
      <c r="AB398" t="str">
        <f t="shared" si="183"/>
        <v/>
      </c>
      <c r="AC398" t="str">
        <f t="shared" si="184"/>
        <v/>
      </c>
      <c r="AD398" t="str">
        <f t="shared" si="185"/>
        <v/>
      </c>
      <c r="AE398">
        <f t="shared" si="186"/>
        <v>0</v>
      </c>
      <c r="AF398">
        <f t="shared" si="198"/>
        <v>10</v>
      </c>
      <c r="AG398" t="str">
        <f t="shared" si="187"/>
        <v/>
      </c>
      <c r="AH398" t="str">
        <f t="shared" si="188"/>
        <v/>
      </c>
      <c r="AI398" t="str">
        <f t="shared" si="189"/>
        <v/>
      </c>
      <c r="AJ398">
        <f t="shared" si="190"/>
        <v>0</v>
      </c>
      <c r="AK398">
        <f t="shared" si="199"/>
        <v>4</v>
      </c>
      <c r="AL398" t="str">
        <f t="shared" si="191"/>
        <v/>
      </c>
      <c r="AM398" t="str">
        <f t="shared" si="192"/>
        <v/>
      </c>
      <c r="AN398" t="str">
        <f t="shared" si="193"/>
        <v/>
      </c>
      <c r="AO398">
        <f t="shared" si="194"/>
        <v>0</v>
      </c>
    </row>
    <row r="399" spans="1:41" x14ac:dyDescent="0.4">
      <c r="A399" t="str">
        <f>IF($CM$6=0,"",IF(INDEX('⑩ 원문 보관'!$A:$E,$CM$6+ROW()-9,COLUMN())="","",INDEX('⑩ 원문 보관'!$A:$E,$CM$6+ROW()-9,COLUMN())))</f>
        <v/>
      </c>
      <c r="B399" t="str">
        <f>IF($CM$6=0,"",IF(INDEX('⑩ 원문 보관'!$A:$E,$CM$6+ROW()-9,COLUMN())="","",INDEX('⑩ 원문 보관'!$A:$E,$CM$6+ROW()-9,COLUMN())))</f>
        <v xml:space="preserve">121357.0  52070.88 23 </v>
      </c>
      <c r="C399" t="str">
        <f>IF($CM$6=0,"",IF(INDEX('⑩ 원문 보관'!$A:$E,$CM$6+ROW()-9,COLUMN())="","",INDEX('⑩ 원문 보관'!$A:$E,$CM$6+ROW()-9,COLUMN())))</f>
        <v/>
      </c>
      <c r="D399" t="str">
        <f>IF($CM$6=0,"",IF(INDEX('⑩ 원문 보관'!$A:$E,$CM$6+ROW()-9,COLUMN())="","",INDEX('⑩ 원문 보관'!$A:$E,$CM$6+ROW()-9,COLUMN())))</f>
        <v/>
      </c>
      <c r="E399" t="str">
        <f>IF($CM$6=0,"",IF(INDEX('⑩ 원문 보관'!$A:$E,$CM$6+ROW()-9,COLUMN())="","",INDEX('⑩ 원문 보관'!$A:$E,$CM$6+ROW()-9,COLUMN())))</f>
        <v/>
      </c>
      <c r="Q399">
        <f t="shared" si="195"/>
        <v>8</v>
      </c>
      <c r="R399" t="str">
        <f t="shared" si="175"/>
        <v/>
      </c>
      <c r="S399" t="str">
        <f t="shared" si="176"/>
        <v/>
      </c>
      <c r="T399" t="str">
        <f t="shared" si="177"/>
        <v/>
      </c>
      <c r="U399">
        <f t="shared" si="178"/>
        <v>0</v>
      </c>
      <c r="V399">
        <f t="shared" si="196"/>
        <v>11</v>
      </c>
      <c r="W399">
        <f t="shared" si="179"/>
        <v>121357</v>
      </c>
      <c r="X399">
        <f t="shared" si="180"/>
        <v>52070.879999999997</v>
      </c>
      <c r="Y399" t="str">
        <f t="shared" si="181"/>
        <v>23</v>
      </c>
      <c r="Z399">
        <f t="shared" si="182"/>
        <v>1</v>
      </c>
      <c r="AA399">
        <f t="shared" si="197"/>
        <v>6</v>
      </c>
      <c r="AB399" t="str">
        <f t="shared" si="183"/>
        <v/>
      </c>
      <c r="AC399" t="str">
        <f t="shared" si="184"/>
        <v/>
      </c>
      <c r="AD399" t="str">
        <f t="shared" si="185"/>
        <v/>
      </c>
      <c r="AE399">
        <f t="shared" si="186"/>
        <v>0</v>
      </c>
      <c r="AF399">
        <f t="shared" si="198"/>
        <v>10</v>
      </c>
      <c r="AG399" t="str">
        <f t="shared" si="187"/>
        <v/>
      </c>
      <c r="AH399" t="str">
        <f t="shared" si="188"/>
        <v/>
      </c>
      <c r="AI399" t="str">
        <f t="shared" si="189"/>
        <v/>
      </c>
      <c r="AJ399">
        <f t="shared" si="190"/>
        <v>0</v>
      </c>
      <c r="AK399">
        <f t="shared" si="199"/>
        <v>4</v>
      </c>
      <c r="AL399" t="str">
        <f t="shared" si="191"/>
        <v/>
      </c>
      <c r="AM399" t="str">
        <f t="shared" si="192"/>
        <v/>
      </c>
      <c r="AN399" t="str">
        <f t="shared" si="193"/>
        <v/>
      </c>
      <c r="AO399">
        <f t="shared" si="194"/>
        <v>0</v>
      </c>
    </row>
    <row r="400" spans="1:41" x14ac:dyDescent="0.4">
      <c r="A400" t="str">
        <f>IF($CM$6=0,"",IF(INDEX('⑩ 원문 보관'!$A:$E,$CM$6+ROW()-9,COLUMN())="","",INDEX('⑩ 원문 보관'!$A:$E,$CM$6+ROW()-9,COLUMN())))</f>
        <v/>
      </c>
      <c r="B400" t="str">
        <f>IF($CM$6=0,"",IF(INDEX('⑩ 원문 보관'!$A:$E,$CM$6+ROW()-9,COLUMN())="","",INDEX('⑩ 원문 보관'!$A:$E,$CM$6+ROW()-9,COLUMN())))</f>
        <v xml:space="preserve">121402.0  52067.39 13 </v>
      </c>
      <c r="C400" t="str">
        <f>IF($CM$6=0,"",IF(INDEX('⑩ 원문 보관'!$A:$E,$CM$6+ROW()-9,COLUMN())="","",INDEX('⑩ 원문 보관'!$A:$E,$CM$6+ROW()-9,COLUMN())))</f>
        <v/>
      </c>
      <c r="D400" t="str">
        <f>IF($CM$6=0,"",IF(INDEX('⑩ 원문 보관'!$A:$E,$CM$6+ROW()-9,COLUMN())="","",INDEX('⑩ 원문 보관'!$A:$E,$CM$6+ROW()-9,COLUMN())))</f>
        <v/>
      </c>
      <c r="E400" t="str">
        <f>IF($CM$6=0,"",IF(INDEX('⑩ 원문 보관'!$A:$E,$CM$6+ROW()-9,COLUMN())="","",INDEX('⑩ 원문 보관'!$A:$E,$CM$6+ROW()-9,COLUMN())))</f>
        <v/>
      </c>
      <c r="Q400">
        <f t="shared" si="195"/>
        <v>8</v>
      </c>
      <c r="R400" t="str">
        <f t="shared" si="175"/>
        <v/>
      </c>
      <c r="S400" t="str">
        <f t="shared" si="176"/>
        <v/>
      </c>
      <c r="T400" t="str">
        <f t="shared" si="177"/>
        <v/>
      </c>
      <c r="U400">
        <f t="shared" si="178"/>
        <v>0</v>
      </c>
      <c r="V400">
        <f t="shared" si="196"/>
        <v>11</v>
      </c>
      <c r="W400">
        <f t="shared" si="179"/>
        <v>121402</v>
      </c>
      <c r="X400">
        <f t="shared" si="180"/>
        <v>52067.39</v>
      </c>
      <c r="Y400" t="str">
        <f t="shared" si="181"/>
        <v>13</v>
      </c>
      <c r="Z400">
        <f t="shared" si="182"/>
        <v>1</v>
      </c>
      <c r="AA400">
        <f t="shared" si="197"/>
        <v>6</v>
      </c>
      <c r="AB400" t="str">
        <f t="shared" si="183"/>
        <v/>
      </c>
      <c r="AC400" t="str">
        <f t="shared" si="184"/>
        <v/>
      </c>
      <c r="AD400" t="str">
        <f t="shared" si="185"/>
        <v/>
      </c>
      <c r="AE400">
        <f t="shared" si="186"/>
        <v>0</v>
      </c>
      <c r="AF400">
        <f t="shared" si="198"/>
        <v>10</v>
      </c>
      <c r="AG400" t="str">
        <f t="shared" si="187"/>
        <v/>
      </c>
      <c r="AH400" t="str">
        <f t="shared" si="188"/>
        <v/>
      </c>
      <c r="AI400" t="str">
        <f t="shared" si="189"/>
        <v/>
      </c>
      <c r="AJ400">
        <f t="shared" si="190"/>
        <v>0</v>
      </c>
      <c r="AK400">
        <f t="shared" si="199"/>
        <v>4</v>
      </c>
      <c r="AL400" t="str">
        <f t="shared" si="191"/>
        <v/>
      </c>
      <c r="AM400" t="str">
        <f t="shared" si="192"/>
        <v/>
      </c>
      <c r="AN400" t="str">
        <f t="shared" si="193"/>
        <v/>
      </c>
      <c r="AO400">
        <f t="shared" si="194"/>
        <v>0</v>
      </c>
    </row>
    <row r="401" spans="1:41" x14ac:dyDescent="0.4">
      <c r="A401" t="str">
        <f>IF($CM$6=0,"",IF(INDEX('⑩ 원문 보관'!$A:$E,$CM$6+ROW()-9,COLUMN())="","",INDEX('⑩ 원문 보관'!$A:$E,$CM$6+ROW()-9,COLUMN())))</f>
        <v/>
      </c>
      <c r="B401" t="str">
        <f>IF($CM$6=0,"",IF(INDEX('⑩ 원문 보관'!$A:$E,$CM$6+ROW()-9,COLUMN())="","",INDEX('⑩ 원문 보관'!$A:$E,$CM$6+ROW()-9,COLUMN())))</f>
        <v xml:space="preserve">121407.0  52071.46 12 </v>
      </c>
      <c r="C401" t="str">
        <f>IF($CM$6=0,"",IF(INDEX('⑩ 원문 보관'!$A:$E,$CM$6+ROW()-9,COLUMN())="","",INDEX('⑩ 원문 보관'!$A:$E,$CM$6+ROW()-9,COLUMN())))</f>
        <v/>
      </c>
      <c r="D401" t="str">
        <f>IF($CM$6=0,"",IF(INDEX('⑩ 원문 보관'!$A:$E,$CM$6+ROW()-9,COLUMN())="","",INDEX('⑩ 원문 보관'!$A:$E,$CM$6+ROW()-9,COLUMN())))</f>
        <v/>
      </c>
      <c r="E401" t="str">
        <f>IF($CM$6=0,"",IF(INDEX('⑩ 원문 보관'!$A:$E,$CM$6+ROW()-9,COLUMN())="","",INDEX('⑩ 원문 보관'!$A:$E,$CM$6+ROW()-9,COLUMN())))</f>
        <v/>
      </c>
      <c r="Q401">
        <f t="shared" si="195"/>
        <v>8</v>
      </c>
      <c r="R401" t="str">
        <f t="shared" si="175"/>
        <v/>
      </c>
      <c r="S401" t="str">
        <f t="shared" si="176"/>
        <v/>
      </c>
      <c r="T401" t="str">
        <f t="shared" si="177"/>
        <v/>
      </c>
      <c r="U401">
        <f t="shared" si="178"/>
        <v>0</v>
      </c>
      <c r="V401">
        <f t="shared" si="196"/>
        <v>11</v>
      </c>
      <c r="W401">
        <f t="shared" si="179"/>
        <v>121407</v>
      </c>
      <c r="X401">
        <f t="shared" si="180"/>
        <v>52071.46</v>
      </c>
      <c r="Y401" t="str">
        <f t="shared" si="181"/>
        <v>12</v>
      </c>
      <c r="Z401">
        <f t="shared" si="182"/>
        <v>1</v>
      </c>
      <c r="AA401">
        <f t="shared" si="197"/>
        <v>6</v>
      </c>
      <c r="AB401" t="str">
        <f t="shared" si="183"/>
        <v/>
      </c>
      <c r="AC401" t="str">
        <f t="shared" si="184"/>
        <v/>
      </c>
      <c r="AD401" t="str">
        <f t="shared" si="185"/>
        <v/>
      </c>
      <c r="AE401">
        <f t="shared" si="186"/>
        <v>0</v>
      </c>
      <c r="AF401">
        <f t="shared" si="198"/>
        <v>10</v>
      </c>
      <c r="AG401" t="str">
        <f t="shared" si="187"/>
        <v/>
      </c>
      <c r="AH401" t="str">
        <f t="shared" si="188"/>
        <v/>
      </c>
      <c r="AI401" t="str">
        <f t="shared" si="189"/>
        <v/>
      </c>
      <c r="AJ401">
        <f t="shared" si="190"/>
        <v>0</v>
      </c>
      <c r="AK401">
        <f t="shared" si="199"/>
        <v>4</v>
      </c>
      <c r="AL401" t="str">
        <f t="shared" si="191"/>
        <v/>
      </c>
      <c r="AM401" t="str">
        <f t="shared" si="192"/>
        <v/>
      </c>
      <c r="AN401" t="str">
        <f t="shared" si="193"/>
        <v/>
      </c>
      <c r="AO401">
        <f t="shared" si="194"/>
        <v>0</v>
      </c>
    </row>
    <row r="402" spans="1:41" x14ac:dyDescent="0.4">
      <c r="A402" t="str">
        <f>IF($CM$6=0,"",IF(INDEX('⑩ 원문 보관'!$A:$E,$CM$6+ROW()-9,COLUMN())="","",INDEX('⑩ 원문 보관'!$A:$E,$CM$6+ROW()-9,COLUMN())))</f>
        <v/>
      </c>
      <c r="B402" t="str">
        <f>IF($CM$6=0,"",IF(INDEX('⑩ 원문 보관'!$A:$E,$CM$6+ROW()-9,COLUMN())="","",INDEX('⑩ 원문 보관'!$A:$E,$CM$6+ROW()-9,COLUMN())))</f>
        <v xml:space="preserve">121412.0  52067.16 13 </v>
      </c>
      <c r="C402" t="str">
        <f>IF($CM$6=0,"",IF(INDEX('⑩ 원문 보관'!$A:$E,$CM$6+ROW()-9,COLUMN())="","",INDEX('⑩ 원문 보관'!$A:$E,$CM$6+ROW()-9,COLUMN())))</f>
        <v/>
      </c>
      <c r="D402" t="str">
        <f>IF($CM$6=0,"",IF(INDEX('⑩ 원문 보관'!$A:$E,$CM$6+ROW()-9,COLUMN())="","",INDEX('⑩ 원문 보관'!$A:$E,$CM$6+ROW()-9,COLUMN())))</f>
        <v/>
      </c>
      <c r="E402" t="str">
        <f>IF($CM$6=0,"",IF(INDEX('⑩ 원문 보관'!$A:$E,$CM$6+ROW()-9,COLUMN())="","",INDEX('⑩ 원문 보관'!$A:$E,$CM$6+ROW()-9,COLUMN())))</f>
        <v/>
      </c>
      <c r="Q402">
        <f t="shared" si="195"/>
        <v>8</v>
      </c>
      <c r="R402" t="str">
        <f t="shared" si="175"/>
        <v/>
      </c>
      <c r="S402" t="str">
        <f t="shared" si="176"/>
        <v/>
      </c>
      <c r="T402" t="str">
        <f t="shared" si="177"/>
        <v/>
      </c>
      <c r="U402">
        <f t="shared" si="178"/>
        <v>0</v>
      </c>
      <c r="V402">
        <f t="shared" si="196"/>
        <v>11</v>
      </c>
      <c r="W402">
        <f t="shared" si="179"/>
        <v>121412</v>
      </c>
      <c r="X402">
        <f t="shared" si="180"/>
        <v>52067.16</v>
      </c>
      <c r="Y402" t="str">
        <f t="shared" si="181"/>
        <v>13</v>
      </c>
      <c r="Z402">
        <f t="shared" si="182"/>
        <v>1</v>
      </c>
      <c r="AA402">
        <f t="shared" si="197"/>
        <v>6</v>
      </c>
      <c r="AB402" t="str">
        <f t="shared" si="183"/>
        <v/>
      </c>
      <c r="AC402" t="str">
        <f t="shared" si="184"/>
        <v/>
      </c>
      <c r="AD402" t="str">
        <f t="shared" si="185"/>
        <v/>
      </c>
      <c r="AE402">
        <f t="shared" si="186"/>
        <v>0</v>
      </c>
      <c r="AF402">
        <f t="shared" si="198"/>
        <v>10</v>
      </c>
      <c r="AG402" t="str">
        <f t="shared" si="187"/>
        <v/>
      </c>
      <c r="AH402" t="str">
        <f t="shared" si="188"/>
        <v/>
      </c>
      <c r="AI402" t="str">
        <f t="shared" si="189"/>
        <v/>
      </c>
      <c r="AJ402">
        <f t="shared" si="190"/>
        <v>0</v>
      </c>
      <c r="AK402">
        <f t="shared" si="199"/>
        <v>4</v>
      </c>
      <c r="AL402" t="str">
        <f t="shared" si="191"/>
        <v/>
      </c>
      <c r="AM402" t="str">
        <f t="shared" si="192"/>
        <v/>
      </c>
      <c r="AN402" t="str">
        <f t="shared" si="193"/>
        <v/>
      </c>
      <c r="AO402">
        <f t="shared" si="194"/>
        <v>0</v>
      </c>
    </row>
    <row r="403" spans="1:41" x14ac:dyDescent="0.4">
      <c r="A403" t="str">
        <f>IF($CM$6=0,"",IF(INDEX('⑩ 원문 보관'!$A:$E,$CM$6+ROW()-9,COLUMN())="","",INDEX('⑩ 원문 보관'!$A:$E,$CM$6+ROW()-9,COLUMN())))</f>
        <v/>
      </c>
      <c r="B403" t="str">
        <f>IF($CM$6=0,"",IF(INDEX('⑩ 원문 보관'!$A:$E,$CM$6+ROW()-9,COLUMN())="","",INDEX('⑩ 원문 보관'!$A:$E,$CM$6+ROW()-9,COLUMN())))</f>
        <v xml:space="preserve">121417.0  52072.64 13 </v>
      </c>
      <c r="C403" t="str">
        <f>IF($CM$6=0,"",IF(INDEX('⑩ 원문 보관'!$A:$E,$CM$6+ROW()-9,COLUMN())="","",INDEX('⑩ 원문 보관'!$A:$E,$CM$6+ROW()-9,COLUMN())))</f>
        <v/>
      </c>
      <c r="D403" t="str">
        <f>IF($CM$6=0,"",IF(INDEX('⑩ 원문 보관'!$A:$E,$CM$6+ROW()-9,COLUMN())="","",INDEX('⑩ 원문 보관'!$A:$E,$CM$6+ROW()-9,COLUMN())))</f>
        <v/>
      </c>
      <c r="E403" t="str">
        <f>IF($CM$6=0,"",IF(INDEX('⑩ 원문 보관'!$A:$E,$CM$6+ROW()-9,COLUMN())="","",INDEX('⑩ 원문 보관'!$A:$E,$CM$6+ROW()-9,COLUMN())))</f>
        <v/>
      </c>
      <c r="Q403">
        <f t="shared" si="195"/>
        <v>8</v>
      </c>
      <c r="R403" t="str">
        <f t="shared" si="175"/>
        <v/>
      </c>
      <c r="S403" t="str">
        <f t="shared" si="176"/>
        <v/>
      </c>
      <c r="T403" t="str">
        <f t="shared" si="177"/>
        <v/>
      </c>
      <c r="U403">
        <f t="shared" si="178"/>
        <v>0</v>
      </c>
      <c r="V403">
        <f t="shared" si="196"/>
        <v>11</v>
      </c>
      <c r="W403">
        <f t="shared" si="179"/>
        <v>121417</v>
      </c>
      <c r="X403">
        <f t="shared" si="180"/>
        <v>52072.639999999999</v>
      </c>
      <c r="Y403" t="str">
        <f t="shared" si="181"/>
        <v>13</v>
      </c>
      <c r="Z403">
        <f t="shared" si="182"/>
        <v>1</v>
      </c>
      <c r="AA403">
        <f t="shared" si="197"/>
        <v>6</v>
      </c>
      <c r="AB403" t="str">
        <f t="shared" si="183"/>
        <v/>
      </c>
      <c r="AC403" t="str">
        <f t="shared" si="184"/>
        <v/>
      </c>
      <c r="AD403" t="str">
        <f t="shared" si="185"/>
        <v/>
      </c>
      <c r="AE403">
        <f t="shared" si="186"/>
        <v>0</v>
      </c>
      <c r="AF403">
        <f t="shared" si="198"/>
        <v>10</v>
      </c>
      <c r="AG403" t="str">
        <f t="shared" si="187"/>
        <v/>
      </c>
      <c r="AH403" t="str">
        <f t="shared" si="188"/>
        <v/>
      </c>
      <c r="AI403" t="str">
        <f t="shared" si="189"/>
        <v/>
      </c>
      <c r="AJ403">
        <f t="shared" si="190"/>
        <v>0</v>
      </c>
      <c r="AK403">
        <f t="shared" si="199"/>
        <v>4</v>
      </c>
      <c r="AL403" t="str">
        <f t="shared" si="191"/>
        <v/>
      </c>
      <c r="AM403" t="str">
        <f t="shared" si="192"/>
        <v/>
      </c>
      <c r="AN403" t="str">
        <f t="shared" si="193"/>
        <v/>
      </c>
      <c r="AO403">
        <f t="shared" si="194"/>
        <v>0</v>
      </c>
    </row>
    <row r="404" spans="1:41" x14ac:dyDescent="0.4">
      <c r="A404" t="str">
        <f>IF($CM$6=0,"",IF(INDEX('⑩ 원문 보관'!$A:$E,$CM$6+ROW()-9,COLUMN())="","",INDEX('⑩ 원문 보관'!$A:$E,$CM$6+ROW()-9,COLUMN())))</f>
        <v/>
      </c>
      <c r="B404" t="str">
        <f>IF($CM$6=0,"",IF(INDEX('⑩ 원문 보관'!$A:$E,$CM$6+ROW()-9,COLUMN())="","",INDEX('⑩ 원문 보관'!$A:$E,$CM$6+ROW()-9,COLUMN())))</f>
        <v xml:space="preserve">121422.0  52069.86 23 </v>
      </c>
      <c r="C404" t="str">
        <f>IF($CM$6=0,"",IF(INDEX('⑩ 원문 보관'!$A:$E,$CM$6+ROW()-9,COLUMN())="","",INDEX('⑩ 원문 보관'!$A:$E,$CM$6+ROW()-9,COLUMN())))</f>
        <v/>
      </c>
      <c r="D404" t="str">
        <f>IF($CM$6=0,"",IF(INDEX('⑩ 원문 보관'!$A:$E,$CM$6+ROW()-9,COLUMN())="","",INDEX('⑩ 원문 보관'!$A:$E,$CM$6+ROW()-9,COLUMN())))</f>
        <v/>
      </c>
      <c r="E404" t="str">
        <f>IF($CM$6=0,"",IF(INDEX('⑩ 원문 보관'!$A:$E,$CM$6+ROW()-9,COLUMN())="","",INDEX('⑩ 원문 보관'!$A:$E,$CM$6+ROW()-9,COLUMN())))</f>
        <v/>
      </c>
      <c r="Q404">
        <f t="shared" si="195"/>
        <v>8</v>
      </c>
      <c r="R404" t="str">
        <f t="shared" si="175"/>
        <v/>
      </c>
      <c r="S404" t="str">
        <f t="shared" si="176"/>
        <v/>
      </c>
      <c r="T404" t="str">
        <f t="shared" si="177"/>
        <v/>
      </c>
      <c r="U404">
        <f t="shared" si="178"/>
        <v>0</v>
      </c>
      <c r="V404">
        <f t="shared" si="196"/>
        <v>11</v>
      </c>
      <c r="W404">
        <f t="shared" si="179"/>
        <v>121422</v>
      </c>
      <c r="X404">
        <f t="shared" si="180"/>
        <v>52069.86</v>
      </c>
      <c r="Y404" t="str">
        <f t="shared" si="181"/>
        <v>23</v>
      </c>
      <c r="Z404">
        <f t="shared" si="182"/>
        <v>1</v>
      </c>
      <c r="AA404">
        <f t="shared" si="197"/>
        <v>6</v>
      </c>
      <c r="AB404" t="str">
        <f t="shared" si="183"/>
        <v/>
      </c>
      <c r="AC404" t="str">
        <f t="shared" si="184"/>
        <v/>
      </c>
      <c r="AD404" t="str">
        <f t="shared" si="185"/>
        <v/>
      </c>
      <c r="AE404">
        <f t="shared" si="186"/>
        <v>0</v>
      </c>
      <c r="AF404">
        <f t="shared" si="198"/>
        <v>10</v>
      </c>
      <c r="AG404" t="str">
        <f t="shared" si="187"/>
        <v/>
      </c>
      <c r="AH404" t="str">
        <f t="shared" si="188"/>
        <v/>
      </c>
      <c r="AI404" t="str">
        <f t="shared" si="189"/>
        <v/>
      </c>
      <c r="AJ404">
        <f t="shared" si="190"/>
        <v>0</v>
      </c>
      <c r="AK404">
        <f t="shared" si="199"/>
        <v>4</v>
      </c>
      <c r="AL404" t="str">
        <f t="shared" si="191"/>
        <v/>
      </c>
      <c r="AM404" t="str">
        <f t="shared" si="192"/>
        <v/>
      </c>
      <c r="AN404" t="str">
        <f t="shared" si="193"/>
        <v/>
      </c>
      <c r="AO404">
        <f t="shared" si="194"/>
        <v>0</v>
      </c>
    </row>
    <row r="405" spans="1:41" x14ac:dyDescent="0.4">
      <c r="A405" t="str">
        <f>IF($CM$6=0,"",IF(INDEX('⑩ 원문 보관'!$A:$E,$CM$6+ROW()-9,COLUMN())="","",INDEX('⑩ 원문 보관'!$A:$E,$CM$6+ROW()-9,COLUMN())))</f>
        <v/>
      </c>
      <c r="B405" t="str">
        <f>IF($CM$6=0,"",IF(INDEX('⑩ 원문 보관'!$A:$E,$CM$6+ROW()-9,COLUMN())="","",INDEX('⑩ 원문 보관'!$A:$E,$CM$6+ROW()-9,COLUMN())))</f>
        <v xml:space="preserve">121427.0  52067.52 13 </v>
      </c>
      <c r="C405" t="str">
        <f>IF($CM$6=0,"",IF(INDEX('⑩ 원문 보관'!$A:$E,$CM$6+ROW()-9,COLUMN())="","",INDEX('⑩ 원문 보관'!$A:$E,$CM$6+ROW()-9,COLUMN())))</f>
        <v/>
      </c>
      <c r="D405" t="str">
        <f>IF($CM$6=0,"",IF(INDEX('⑩ 원문 보관'!$A:$E,$CM$6+ROW()-9,COLUMN())="","",INDEX('⑩ 원문 보관'!$A:$E,$CM$6+ROW()-9,COLUMN())))</f>
        <v/>
      </c>
      <c r="E405" t="str">
        <f>IF($CM$6=0,"",IF(INDEX('⑩ 원문 보관'!$A:$E,$CM$6+ROW()-9,COLUMN())="","",INDEX('⑩ 원문 보관'!$A:$E,$CM$6+ROW()-9,COLUMN())))</f>
        <v/>
      </c>
      <c r="Q405">
        <f t="shared" si="195"/>
        <v>8</v>
      </c>
      <c r="R405" t="str">
        <f t="shared" si="175"/>
        <v/>
      </c>
      <c r="S405" t="str">
        <f t="shared" si="176"/>
        <v/>
      </c>
      <c r="T405" t="str">
        <f t="shared" si="177"/>
        <v/>
      </c>
      <c r="U405">
        <f t="shared" si="178"/>
        <v>0</v>
      </c>
      <c r="V405">
        <f t="shared" si="196"/>
        <v>11</v>
      </c>
      <c r="W405">
        <f t="shared" si="179"/>
        <v>121427</v>
      </c>
      <c r="X405">
        <f t="shared" si="180"/>
        <v>52067.519999999997</v>
      </c>
      <c r="Y405" t="str">
        <f t="shared" si="181"/>
        <v>13</v>
      </c>
      <c r="Z405">
        <f t="shared" si="182"/>
        <v>1</v>
      </c>
      <c r="AA405">
        <f t="shared" si="197"/>
        <v>6</v>
      </c>
      <c r="AB405" t="str">
        <f t="shared" si="183"/>
        <v/>
      </c>
      <c r="AC405" t="str">
        <f t="shared" si="184"/>
        <v/>
      </c>
      <c r="AD405" t="str">
        <f t="shared" si="185"/>
        <v/>
      </c>
      <c r="AE405">
        <f t="shared" si="186"/>
        <v>0</v>
      </c>
      <c r="AF405">
        <f t="shared" si="198"/>
        <v>10</v>
      </c>
      <c r="AG405" t="str">
        <f t="shared" si="187"/>
        <v/>
      </c>
      <c r="AH405" t="str">
        <f t="shared" si="188"/>
        <v/>
      </c>
      <c r="AI405" t="str">
        <f t="shared" si="189"/>
        <v/>
      </c>
      <c r="AJ405">
        <f t="shared" si="190"/>
        <v>0</v>
      </c>
      <c r="AK405">
        <f t="shared" si="199"/>
        <v>4</v>
      </c>
      <c r="AL405" t="str">
        <f t="shared" si="191"/>
        <v/>
      </c>
      <c r="AM405" t="str">
        <f t="shared" si="192"/>
        <v/>
      </c>
      <c r="AN405" t="str">
        <f t="shared" si="193"/>
        <v/>
      </c>
      <c r="AO405">
        <f t="shared" si="194"/>
        <v>0</v>
      </c>
    </row>
    <row r="406" spans="1:41" x14ac:dyDescent="0.4">
      <c r="A406" t="str">
        <f>IF($CM$6=0,"",IF(INDEX('⑩ 원문 보관'!$A:$E,$CM$6+ROW()-9,COLUMN())="","",INDEX('⑩ 원문 보관'!$A:$E,$CM$6+ROW()-9,COLUMN())))</f>
        <v/>
      </c>
      <c r="B406" t="str">
        <f>IF($CM$6=0,"",IF(INDEX('⑩ 원문 보관'!$A:$E,$CM$6+ROW()-9,COLUMN())="","",INDEX('⑩ 원문 보관'!$A:$E,$CM$6+ROW()-9,COLUMN())))</f>
        <v xml:space="preserve">121432.0  52074.61 13 </v>
      </c>
      <c r="C406" t="str">
        <f>IF($CM$6=0,"",IF(INDEX('⑩ 원문 보관'!$A:$E,$CM$6+ROW()-9,COLUMN())="","",INDEX('⑩ 원문 보관'!$A:$E,$CM$6+ROW()-9,COLUMN())))</f>
        <v/>
      </c>
      <c r="D406" t="str">
        <f>IF($CM$6=0,"",IF(INDEX('⑩ 원문 보관'!$A:$E,$CM$6+ROW()-9,COLUMN())="","",INDEX('⑩ 원문 보관'!$A:$E,$CM$6+ROW()-9,COLUMN())))</f>
        <v/>
      </c>
      <c r="E406" t="str">
        <f>IF($CM$6=0,"",IF(INDEX('⑩ 원문 보관'!$A:$E,$CM$6+ROW()-9,COLUMN())="","",INDEX('⑩ 원문 보관'!$A:$E,$CM$6+ROW()-9,COLUMN())))</f>
        <v/>
      </c>
      <c r="Q406">
        <f t="shared" si="195"/>
        <v>8</v>
      </c>
      <c r="R406" t="str">
        <f t="shared" si="175"/>
        <v/>
      </c>
      <c r="S406" t="str">
        <f t="shared" si="176"/>
        <v/>
      </c>
      <c r="T406" t="str">
        <f t="shared" si="177"/>
        <v/>
      </c>
      <c r="U406">
        <f t="shared" si="178"/>
        <v>0</v>
      </c>
      <c r="V406">
        <f t="shared" si="196"/>
        <v>11</v>
      </c>
      <c r="W406">
        <f t="shared" si="179"/>
        <v>121432</v>
      </c>
      <c r="X406">
        <f t="shared" si="180"/>
        <v>52074.61</v>
      </c>
      <c r="Y406" t="str">
        <f t="shared" si="181"/>
        <v>13</v>
      </c>
      <c r="Z406">
        <f t="shared" si="182"/>
        <v>1</v>
      </c>
      <c r="AA406">
        <f t="shared" si="197"/>
        <v>6</v>
      </c>
      <c r="AB406" t="str">
        <f t="shared" si="183"/>
        <v/>
      </c>
      <c r="AC406" t="str">
        <f t="shared" si="184"/>
        <v/>
      </c>
      <c r="AD406" t="str">
        <f t="shared" si="185"/>
        <v/>
      </c>
      <c r="AE406">
        <f t="shared" si="186"/>
        <v>0</v>
      </c>
      <c r="AF406">
        <f t="shared" si="198"/>
        <v>10</v>
      </c>
      <c r="AG406" t="str">
        <f t="shared" si="187"/>
        <v/>
      </c>
      <c r="AH406" t="str">
        <f t="shared" si="188"/>
        <v/>
      </c>
      <c r="AI406" t="str">
        <f t="shared" si="189"/>
        <v/>
      </c>
      <c r="AJ406">
        <f t="shared" si="190"/>
        <v>0</v>
      </c>
      <c r="AK406">
        <f t="shared" si="199"/>
        <v>4</v>
      </c>
      <c r="AL406" t="str">
        <f t="shared" si="191"/>
        <v/>
      </c>
      <c r="AM406" t="str">
        <f t="shared" si="192"/>
        <v/>
      </c>
      <c r="AN406" t="str">
        <f t="shared" si="193"/>
        <v/>
      </c>
      <c r="AO406">
        <f t="shared" si="194"/>
        <v>0</v>
      </c>
    </row>
    <row r="407" spans="1:41" x14ac:dyDescent="0.4">
      <c r="A407" t="str">
        <f>IF($CM$6=0,"",IF(INDEX('⑩ 원문 보관'!$A:$E,$CM$6+ROW()-9,COLUMN())="","",INDEX('⑩ 원문 보관'!$A:$E,$CM$6+ROW()-9,COLUMN())))</f>
        <v/>
      </c>
      <c r="B407" t="str">
        <f>IF($CM$6=0,"",IF(INDEX('⑩ 원문 보관'!$A:$E,$CM$6+ROW()-9,COLUMN())="","",INDEX('⑩ 원문 보관'!$A:$E,$CM$6+ROW()-9,COLUMN())))</f>
        <v xml:space="preserve">121437.0  52072.06 13 </v>
      </c>
      <c r="C407" t="str">
        <f>IF($CM$6=0,"",IF(INDEX('⑩ 원문 보관'!$A:$E,$CM$6+ROW()-9,COLUMN())="","",INDEX('⑩ 원문 보관'!$A:$E,$CM$6+ROW()-9,COLUMN())))</f>
        <v/>
      </c>
      <c r="D407" t="str">
        <f>IF($CM$6=0,"",IF(INDEX('⑩ 원문 보관'!$A:$E,$CM$6+ROW()-9,COLUMN())="","",INDEX('⑩ 원문 보관'!$A:$E,$CM$6+ROW()-9,COLUMN())))</f>
        <v/>
      </c>
      <c r="E407" t="str">
        <f>IF($CM$6=0,"",IF(INDEX('⑩ 원문 보관'!$A:$E,$CM$6+ROW()-9,COLUMN())="","",INDEX('⑩ 원문 보관'!$A:$E,$CM$6+ROW()-9,COLUMN())))</f>
        <v/>
      </c>
      <c r="Q407">
        <f t="shared" si="195"/>
        <v>8</v>
      </c>
      <c r="R407" t="str">
        <f t="shared" si="175"/>
        <v/>
      </c>
      <c r="S407" t="str">
        <f t="shared" si="176"/>
        <v/>
      </c>
      <c r="T407" t="str">
        <f t="shared" si="177"/>
        <v/>
      </c>
      <c r="U407">
        <f t="shared" si="178"/>
        <v>0</v>
      </c>
      <c r="V407">
        <f t="shared" si="196"/>
        <v>11</v>
      </c>
      <c r="W407">
        <f t="shared" si="179"/>
        <v>121437</v>
      </c>
      <c r="X407">
        <f t="shared" si="180"/>
        <v>52072.06</v>
      </c>
      <c r="Y407" t="str">
        <f t="shared" si="181"/>
        <v>13</v>
      </c>
      <c r="Z407">
        <f t="shared" si="182"/>
        <v>1</v>
      </c>
      <c r="AA407">
        <f t="shared" si="197"/>
        <v>6</v>
      </c>
      <c r="AB407" t="str">
        <f t="shared" si="183"/>
        <v/>
      </c>
      <c r="AC407" t="str">
        <f t="shared" si="184"/>
        <v/>
      </c>
      <c r="AD407" t="str">
        <f t="shared" si="185"/>
        <v/>
      </c>
      <c r="AE407">
        <f t="shared" si="186"/>
        <v>0</v>
      </c>
      <c r="AF407">
        <f t="shared" si="198"/>
        <v>10</v>
      </c>
      <c r="AG407" t="str">
        <f t="shared" si="187"/>
        <v/>
      </c>
      <c r="AH407" t="str">
        <f t="shared" si="188"/>
        <v/>
      </c>
      <c r="AI407" t="str">
        <f t="shared" si="189"/>
        <v/>
      </c>
      <c r="AJ407">
        <f t="shared" si="190"/>
        <v>0</v>
      </c>
      <c r="AK407">
        <f t="shared" si="199"/>
        <v>4</v>
      </c>
      <c r="AL407" t="str">
        <f t="shared" si="191"/>
        <v/>
      </c>
      <c r="AM407" t="str">
        <f t="shared" si="192"/>
        <v/>
      </c>
      <c r="AN407" t="str">
        <f t="shared" si="193"/>
        <v/>
      </c>
      <c r="AO407">
        <f t="shared" si="194"/>
        <v>0</v>
      </c>
    </row>
    <row r="408" spans="1:41" x14ac:dyDescent="0.4">
      <c r="A408" t="str">
        <f>IF($CM$6=0,"",IF(INDEX('⑩ 원문 보관'!$A:$E,$CM$6+ROW()-9,COLUMN())="","",INDEX('⑩ 원문 보관'!$A:$E,$CM$6+ROW()-9,COLUMN())))</f>
        <v/>
      </c>
      <c r="B408" t="str">
        <f>IF($CM$6=0,"",IF(INDEX('⑩ 원문 보관'!$A:$E,$CM$6+ROW()-9,COLUMN())="","",INDEX('⑩ 원문 보관'!$A:$E,$CM$6+ROW()-9,COLUMN())))</f>
        <v xml:space="preserve">121442.0  52073.42 13 </v>
      </c>
      <c r="C408" t="str">
        <f>IF($CM$6=0,"",IF(INDEX('⑩ 원문 보관'!$A:$E,$CM$6+ROW()-9,COLUMN())="","",INDEX('⑩ 원문 보관'!$A:$E,$CM$6+ROW()-9,COLUMN())))</f>
        <v/>
      </c>
      <c r="D408" t="str">
        <f>IF($CM$6=0,"",IF(INDEX('⑩ 원문 보관'!$A:$E,$CM$6+ROW()-9,COLUMN())="","",INDEX('⑩ 원문 보관'!$A:$E,$CM$6+ROW()-9,COLUMN())))</f>
        <v/>
      </c>
      <c r="E408" t="str">
        <f>IF($CM$6=0,"",IF(INDEX('⑩ 원문 보관'!$A:$E,$CM$6+ROW()-9,COLUMN())="","",INDEX('⑩ 원문 보관'!$A:$E,$CM$6+ROW()-9,COLUMN())))</f>
        <v/>
      </c>
      <c r="Q408">
        <f t="shared" si="195"/>
        <v>8</v>
      </c>
      <c r="R408" t="str">
        <f t="shared" si="175"/>
        <v/>
      </c>
      <c r="S408" t="str">
        <f t="shared" si="176"/>
        <v/>
      </c>
      <c r="T408" t="str">
        <f t="shared" si="177"/>
        <v/>
      </c>
      <c r="U408">
        <f t="shared" si="178"/>
        <v>0</v>
      </c>
      <c r="V408">
        <f t="shared" si="196"/>
        <v>11</v>
      </c>
      <c r="W408">
        <f t="shared" si="179"/>
        <v>121442</v>
      </c>
      <c r="X408">
        <f t="shared" si="180"/>
        <v>52073.42</v>
      </c>
      <c r="Y408" t="str">
        <f t="shared" si="181"/>
        <v>13</v>
      </c>
      <c r="Z408">
        <f t="shared" si="182"/>
        <v>1</v>
      </c>
      <c r="AA408">
        <f t="shared" si="197"/>
        <v>6</v>
      </c>
      <c r="AB408" t="str">
        <f t="shared" si="183"/>
        <v/>
      </c>
      <c r="AC408" t="str">
        <f t="shared" si="184"/>
        <v/>
      </c>
      <c r="AD408" t="str">
        <f t="shared" si="185"/>
        <v/>
      </c>
      <c r="AE408">
        <f t="shared" si="186"/>
        <v>0</v>
      </c>
      <c r="AF408">
        <f t="shared" si="198"/>
        <v>10</v>
      </c>
      <c r="AG408" t="str">
        <f t="shared" si="187"/>
        <v/>
      </c>
      <c r="AH408" t="str">
        <f t="shared" si="188"/>
        <v/>
      </c>
      <c r="AI408" t="str">
        <f t="shared" si="189"/>
        <v/>
      </c>
      <c r="AJ408">
        <f t="shared" si="190"/>
        <v>0</v>
      </c>
      <c r="AK408">
        <f t="shared" si="199"/>
        <v>4</v>
      </c>
      <c r="AL408" t="str">
        <f t="shared" si="191"/>
        <v/>
      </c>
      <c r="AM408" t="str">
        <f t="shared" si="192"/>
        <v/>
      </c>
      <c r="AN408" t="str">
        <f t="shared" si="193"/>
        <v/>
      </c>
      <c r="AO408">
        <f t="shared" si="194"/>
        <v>0</v>
      </c>
    </row>
    <row r="409" spans="1:41" x14ac:dyDescent="0.4">
      <c r="A409" t="str">
        <f>IF($CM$6=0,"",IF(INDEX('⑩ 원문 보관'!$A:$E,$CM$6+ROW()-9,COLUMN())="","",INDEX('⑩ 원문 보관'!$A:$E,$CM$6+ROW()-9,COLUMN())))</f>
        <v/>
      </c>
      <c r="B409" t="str">
        <f>IF($CM$6=0,"",IF(INDEX('⑩ 원문 보관'!$A:$E,$CM$6+ROW()-9,COLUMN())="","",INDEX('⑩ 원문 보관'!$A:$E,$CM$6+ROW()-9,COLUMN())))</f>
        <v xml:space="preserve">121447.0  52072.44 23 </v>
      </c>
      <c r="C409" t="str">
        <f>IF($CM$6=0,"",IF(INDEX('⑩ 원문 보관'!$A:$E,$CM$6+ROW()-9,COLUMN())="","",INDEX('⑩ 원문 보관'!$A:$E,$CM$6+ROW()-9,COLUMN())))</f>
        <v/>
      </c>
      <c r="D409" t="str">
        <f>IF($CM$6=0,"",IF(INDEX('⑩ 원문 보관'!$A:$E,$CM$6+ROW()-9,COLUMN())="","",INDEX('⑩ 원문 보관'!$A:$E,$CM$6+ROW()-9,COLUMN())))</f>
        <v/>
      </c>
      <c r="E409" t="str">
        <f>IF($CM$6=0,"",IF(INDEX('⑩ 원문 보관'!$A:$E,$CM$6+ROW()-9,COLUMN())="","",INDEX('⑩ 원문 보관'!$A:$E,$CM$6+ROW()-9,COLUMN())))</f>
        <v/>
      </c>
      <c r="Q409">
        <f t="shared" si="195"/>
        <v>8</v>
      </c>
      <c r="R409" t="str">
        <f t="shared" si="175"/>
        <v/>
      </c>
      <c r="S409" t="str">
        <f t="shared" si="176"/>
        <v/>
      </c>
      <c r="T409" t="str">
        <f t="shared" si="177"/>
        <v/>
      </c>
      <c r="U409">
        <f t="shared" si="178"/>
        <v>0</v>
      </c>
      <c r="V409">
        <f t="shared" si="196"/>
        <v>11</v>
      </c>
      <c r="W409">
        <f t="shared" si="179"/>
        <v>121447</v>
      </c>
      <c r="X409">
        <f t="shared" si="180"/>
        <v>52072.44</v>
      </c>
      <c r="Y409" t="str">
        <f t="shared" si="181"/>
        <v>23</v>
      </c>
      <c r="Z409">
        <f t="shared" si="182"/>
        <v>1</v>
      </c>
      <c r="AA409">
        <f t="shared" si="197"/>
        <v>6</v>
      </c>
      <c r="AB409" t="str">
        <f t="shared" si="183"/>
        <v/>
      </c>
      <c r="AC409" t="str">
        <f t="shared" si="184"/>
        <v/>
      </c>
      <c r="AD409" t="str">
        <f t="shared" si="185"/>
        <v/>
      </c>
      <c r="AE409">
        <f t="shared" si="186"/>
        <v>0</v>
      </c>
      <c r="AF409">
        <f t="shared" si="198"/>
        <v>10</v>
      </c>
      <c r="AG409" t="str">
        <f t="shared" si="187"/>
        <v/>
      </c>
      <c r="AH409" t="str">
        <f t="shared" si="188"/>
        <v/>
      </c>
      <c r="AI409" t="str">
        <f t="shared" si="189"/>
        <v/>
      </c>
      <c r="AJ409">
        <f t="shared" si="190"/>
        <v>0</v>
      </c>
      <c r="AK409">
        <f t="shared" si="199"/>
        <v>4</v>
      </c>
      <c r="AL409" t="str">
        <f t="shared" si="191"/>
        <v/>
      </c>
      <c r="AM409" t="str">
        <f t="shared" si="192"/>
        <v/>
      </c>
      <c r="AN409" t="str">
        <f t="shared" si="193"/>
        <v/>
      </c>
      <c r="AO409">
        <f t="shared" si="194"/>
        <v>0</v>
      </c>
    </row>
    <row r="410" spans="1:41" x14ac:dyDescent="0.4">
      <c r="A410" t="str">
        <f>IF($CM$6=0,"",IF(INDEX('⑩ 원문 보관'!$A:$E,$CM$6+ROW()-9,COLUMN())="","",INDEX('⑩ 원문 보관'!$A:$E,$CM$6+ROW()-9,COLUMN())))</f>
        <v/>
      </c>
      <c r="B410" t="str">
        <f>IF($CM$6=0,"",IF(INDEX('⑩ 원문 보관'!$A:$E,$CM$6+ROW()-9,COLUMN())="","",INDEX('⑩ 원문 보관'!$A:$E,$CM$6+ROW()-9,COLUMN())))</f>
        <v xml:space="preserve">121452.0  52067.62 13 </v>
      </c>
      <c r="C410" t="str">
        <f>IF($CM$6=0,"",IF(INDEX('⑩ 원문 보관'!$A:$E,$CM$6+ROW()-9,COLUMN())="","",INDEX('⑩ 원문 보관'!$A:$E,$CM$6+ROW()-9,COLUMN())))</f>
        <v/>
      </c>
      <c r="D410" t="str">
        <f>IF($CM$6=0,"",IF(INDEX('⑩ 원문 보관'!$A:$E,$CM$6+ROW()-9,COLUMN())="","",INDEX('⑩ 원문 보관'!$A:$E,$CM$6+ROW()-9,COLUMN())))</f>
        <v/>
      </c>
      <c r="E410" t="str">
        <f>IF($CM$6=0,"",IF(INDEX('⑩ 원문 보관'!$A:$E,$CM$6+ROW()-9,COLUMN())="","",INDEX('⑩ 원문 보관'!$A:$E,$CM$6+ROW()-9,COLUMN())))</f>
        <v/>
      </c>
      <c r="Q410">
        <f t="shared" si="195"/>
        <v>8</v>
      </c>
      <c r="R410" t="str">
        <f t="shared" si="175"/>
        <v/>
      </c>
      <c r="S410" t="str">
        <f t="shared" si="176"/>
        <v/>
      </c>
      <c r="T410" t="str">
        <f t="shared" si="177"/>
        <v/>
      </c>
      <c r="U410">
        <f t="shared" si="178"/>
        <v>0</v>
      </c>
      <c r="V410">
        <f t="shared" si="196"/>
        <v>11</v>
      </c>
      <c r="W410">
        <f t="shared" si="179"/>
        <v>121452</v>
      </c>
      <c r="X410">
        <f t="shared" si="180"/>
        <v>52067.62</v>
      </c>
      <c r="Y410" t="str">
        <f t="shared" si="181"/>
        <v>13</v>
      </c>
      <c r="Z410">
        <f t="shared" si="182"/>
        <v>1</v>
      </c>
      <c r="AA410">
        <f t="shared" si="197"/>
        <v>6</v>
      </c>
      <c r="AB410" t="str">
        <f t="shared" si="183"/>
        <v/>
      </c>
      <c r="AC410" t="str">
        <f t="shared" si="184"/>
        <v/>
      </c>
      <c r="AD410" t="str">
        <f t="shared" si="185"/>
        <v/>
      </c>
      <c r="AE410">
        <f t="shared" si="186"/>
        <v>0</v>
      </c>
      <c r="AF410">
        <f t="shared" si="198"/>
        <v>10</v>
      </c>
      <c r="AG410" t="str">
        <f t="shared" si="187"/>
        <v/>
      </c>
      <c r="AH410" t="str">
        <f t="shared" si="188"/>
        <v/>
      </c>
      <c r="AI410" t="str">
        <f t="shared" si="189"/>
        <v/>
      </c>
      <c r="AJ410">
        <f t="shared" si="190"/>
        <v>0</v>
      </c>
      <c r="AK410">
        <f t="shared" si="199"/>
        <v>4</v>
      </c>
      <c r="AL410" t="str">
        <f t="shared" si="191"/>
        <v/>
      </c>
      <c r="AM410" t="str">
        <f t="shared" si="192"/>
        <v/>
      </c>
      <c r="AN410" t="str">
        <f t="shared" si="193"/>
        <v/>
      </c>
      <c r="AO410">
        <f t="shared" si="194"/>
        <v>0</v>
      </c>
    </row>
    <row r="411" spans="1:41" x14ac:dyDescent="0.4">
      <c r="A411" t="str">
        <f>IF($CM$6=0,"",IF(INDEX('⑩ 원문 보관'!$A:$E,$CM$6+ROW()-9,COLUMN())="","",INDEX('⑩ 원문 보관'!$A:$E,$CM$6+ROW()-9,COLUMN())))</f>
        <v/>
      </c>
      <c r="B411" t="str">
        <f>IF($CM$6=0,"",IF(INDEX('⑩ 원문 보관'!$A:$E,$CM$6+ROW()-9,COLUMN())="","",INDEX('⑩ 원문 보관'!$A:$E,$CM$6+ROW()-9,COLUMN())))</f>
        <v xml:space="preserve">121457.0  52072.68 03 </v>
      </c>
      <c r="C411" t="str">
        <f>IF($CM$6=0,"",IF(INDEX('⑩ 원문 보관'!$A:$E,$CM$6+ROW()-9,COLUMN())="","",INDEX('⑩ 원문 보관'!$A:$E,$CM$6+ROW()-9,COLUMN())))</f>
        <v/>
      </c>
      <c r="D411" t="str">
        <f>IF($CM$6=0,"",IF(INDEX('⑩ 원문 보관'!$A:$E,$CM$6+ROW()-9,COLUMN())="","",INDEX('⑩ 원문 보관'!$A:$E,$CM$6+ROW()-9,COLUMN())))</f>
        <v/>
      </c>
      <c r="E411" t="str">
        <f>IF($CM$6=0,"",IF(INDEX('⑩ 원문 보관'!$A:$E,$CM$6+ROW()-9,COLUMN())="","",INDEX('⑩ 원문 보관'!$A:$E,$CM$6+ROW()-9,COLUMN())))</f>
        <v/>
      </c>
      <c r="Q411">
        <f t="shared" si="195"/>
        <v>8</v>
      </c>
      <c r="R411" t="str">
        <f t="shared" si="175"/>
        <v/>
      </c>
      <c r="S411" t="str">
        <f t="shared" si="176"/>
        <v/>
      </c>
      <c r="T411" t="str">
        <f t="shared" si="177"/>
        <v/>
      </c>
      <c r="U411">
        <f t="shared" si="178"/>
        <v>0</v>
      </c>
      <c r="V411">
        <f t="shared" si="196"/>
        <v>11</v>
      </c>
      <c r="W411">
        <f t="shared" si="179"/>
        <v>121457</v>
      </c>
      <c r="X411">
        <f t="shared" si="180"/>
        <v>52072.68</v>
      </c>
      <c r="Y411" t="str">
        <f t="shared" si="181"/>
        <v>03</v>
      </c>
      <c r="Z411">
        <f t="shared" si="182"/>
        <v>1</v>
      </c>
      <c r="AA411">
        <f t="shared" si="197"/>
        <v>6</v>
      </c>
      <c r="AB411" t="str">
        <f t="shared" si="183"/>
        <v/>
      </c>
      <c r="AC411" t="str">
        <f t="shared" si="184"/>
        <v/>
      </c>
      <c r="AD411" t="str">
        <f t="shared" si="185"/>
        <v/>
      </c>
      <c r="AE411">
        <f t="shared" si="186"/>
        <v>0</v>
      </c>
      <c r="AF411">
        <f t="shared" si="198"/>
        <v>10</v>
      </c>
      <c r="AG411" t="str">
        <f t="shared" si="187"/>
        <v/>
      </c>
      <c r="AH411" t="str">
        <f t="shared" si="188"/>
        <v/>
      </c>
      <c r="AI411" t="str">
        <f t="shared" si="189"/>
        <v/>
      </c>
      <c r="AJ411">
        <f t="shared" si="190"/>
        <v>0</v>
      </c>
      <c r="AK411">
        <f t="shared" si="199"/>
        <v>4</v>
      </c>
      <c r="AL411" t="str">
        <f t="shared" si="191"/>
        <v/>
      </c>
      <c r="AM411" t="str">
        <f t="shared" si="192"/>
        <v/>
      </c>
      <c r="AN411" t="str">
        <f t="shared" si="193"/>
        <v/>
      </c>
      <c r="AO411">
        <f t="shared" si="194"/>
        <v>0</v>
      </c>
    </row>
    <row r="412" spans="1:41" x14ac:dyDescent="0.4">
      <c r="A412" t="str">
        <f>IF($CM$6=0,"",IF(INDEX('⑩ 원문 보관'!$A:$E,$CM$6+ROW()-9,COLUMN())="","",INDEX('⑩ 원문 보관'!$A:$E,$CM$6+ROW()-9,COLUMN())))</f>
        <v/>
      </c>
      <c r="B412" t="str">
        <f>IF($CM$6=0,"",IF(INDEX('⑩ 원문 보관'!$A:$E,$CM$6+ROW()-9,COLUMN())="","",INDEX('⑩ 원문 보관'!$A:$E,$CM$6+ROW()-9,COLUMN())))</f>
        <v xml:space="preserve">121502.0  52069.62 13 </v>
      </c>
      <c r="C412" t="str">
        <f>IF($CM$6=0,"",IF(INDEX('⑩ 원문 보관'!$A:$E,$CM$6+ROW()-9,COLUMN())="","",INDEX('⑩ 원문 보관'!$A:$E,$CM$6+ROW()-9,COLUMN())))</f>
        <v/>
      </c>
      <c r="D412" t="str">
        <f>IF($CM$6=0,"",IF(INDEX('⑩ 원문 보관'!$A:$E,$CM$6+ROW()-9,COLUMN())="","",INDEX('⑩ 원문 보관'!$A:$E,$CM$6+ROW()-9,COLUMN())))</f>
        <v/>
      </c>
      <c r="E412" t="str">
        <f>IF($CM$6=0,"",IF(INDEX('⑩ 원문 보관'!$A:$E,$CM$6+ROW()-9,COLUMN())="","",INDEX('⑩ 원문 보관'!$A:$E,$CM$6+ROW()-9,COLUMN())))</f>
        <v/>
      </c>
      <c r="Q412">
        <f t="shared" si="195"/>
        <v>8</v>
      </c>
      <c r="R412" t="str">
        <f t="shared" si="175"/>
        <v/>
      </c>
      <c r="S412" t="str">
        <f t="shared" si="176"/>
        <v/>
      </c>
      <c r="T412" t="str">
        <f t="shared" si="177"/>
        <v/>
      </c>
      <c r="U412">
        <f t="shared" si="178"/>
        <v>0</v>
      </c>
      <c r="V412">
        <f t="shared" si="196"/>
        <v>11</v>
      </c>
      <c r="W412">
        <f t="shared" si="179"/>
        <v>121502</v>
      </c>
      <c r="X412">
        <f t="shared" si="180"/>
        <v>52069.62</v>
      </c>
      <c r="Y412" t="str">
        <f t="shared" si="181"/>
        <v>13</v>
      </c>
      <c r="Z412">
        <f t="shared" si="182"/>
        <v>1</v>
      </c>
      <c r="AA412">
        <f t="shared" si="197"/>
        <v>6</v>
      </c>
      <c r="AB412" t="str">
        <f t="shared" si="183"/>
        <v/>
      </c>
      <c r="AC412" t="str">
        <f t="shared" si="184"/>
        <v/>
      </c>
      <c r="AD412" t="str">
        <f t="shared" si="185"/>
        <v/>
      </c>
      <c r="AE412">
        <f t="shared" si="186"/>
        <v>0</v>
      </c>
      <c r="AF412">
        <f t="shared" si="198"/>
        <v>10</v>
      </c>
      <c r="AG412" t="str">
        <f t="shared" si="187"/>
        <v/>
      </c>
      <c r="AH412" t="str">
        <f t="shared" si="188"/>
        <v/>
      </c>
      <c r="AI412" t="str">
        <f t="shared" si="189"/>
        <v/>
      </c>
      <c r="AJ412">
        <f t="shared" si="190"/>
        <v>0</v>
      </c>
      <c r="AK412">
        <f t="shared" si="199"/>
        <v>4</v>
      </c>
      <c r="AL412" t="str">
        <f t="shared" si="191"/>
        <v/>
      </c>
      <c r="AM412" t="str">
        <f t="shared" si="192"/>
        <v/>
      </c>
      <c r="AN412" t="str">
        <f t="shared" si="193"/>
        <v/>
      </c>
      <c r="AO412">
        <f t="shared" si="194"/>
        <v>0</v>
      </c>
    </row>
    <row r="413" spans="1:41" x14ac:dyDescent="0.4">
      <c r="A413" t="str">
        <f>IF($CM$6=0,"",IF(INDEX('⑩ 원문 보관'!$A:$E,$CM$6+ROW()-9,COLUMN())="","",INDEX('⑩ 원문 보관'!$A:$E,$CM$6+ROW()-9,COLUMN())))</f>
        <v/>
      </c>
      <c r="B413" t="str">
        <f>IF($CM$6=0,"",IF(INDEX('⑩ 원문 보관'!$A:$E,$CM$6+ROW()-9,COLUMN())="","",INDEX('⑩ 원문 보관'!$A:$E,$CM$6+ROW()-9,COLUMN())))</f>
        <v/>
      </c>
      <c r="C413" t="str">
        <f>IF($CM$6=0,"",IF(INDEX('⑩ 원문 보관'!$A:$E,$CM$6+ROW()-9,COLUMN())="","",INDEX('⑩ 원문 보관'!$A:$E,$CM$6+ROW()-9,COLUMN())))</f>
        <v/>
      </c>
      <c r="D413" t="str">
        <f>IF($CM$6=0,"",IF(INDEX('⑩ 원문 보관'!$A:$E,$CM$6+ROW()-9,COLUMN())="","",INDEX('⑩ 원문 보관'!$A:$E,$CM$6+ROW()-9,COLUMN())))</f>
        <v/>
      </c>
      <c r="E413" t="str">
        <f>IF($CM$6=0,"",IF(INDEX('⑩ 원문 보관'!$A:$E,$CM$6+ROW()-9,COLUMN())="","",INDEX('⑩ 원문 보관'!$A:$E,$CM$6+ROW()-9,COLUMN())))</f>
        <v/>
      </c>
      <c r="Q413">
        <f t="shared" si="195"/>
        <v>8</v>
      </c>
      <c r="R413" t="str">
        <f t="shared" si="175"/>
        <v/>
      </c>
      <c r="S413" t="str">
        <f t="shared" si="176"/>
        <v/>
      </c>
      <c r="T413" t="str">
        <f t="shared" si="177"/>
        <v/>
      </c>
      <c r="U413">
        <f t="shared" si="178"/>
        <v>0</v>
      </c>
      <c r="V413">
        <f t="shared" si="196"/>
        <v>11</v>
      </c>
      <c r="W413" t="str">
        <f t="shared" si="179"/>
        <v/>
      </c>
      <c r="X413" t="str">
        <f t="shared" si="180"/>
        <v/>
      </c>
      <c r="Y413" t="str">
        <f t="shared" si="181"/>
        <v/>
      </c>
      <c r="Z413">
        <f t="shared" si="182"/>
        <v>0</v>
      </c>
      <c r="AA413">
        <f t="shared" si="197"/>
        <v>6</v>
      </c>
      <c r="AB413" t="str">
        <f t="shared" si="183"/>
        <v/>
      </c>
      <c r="AC413" t="str">
        <f t="shared" si="184"/>
        <v/>
      </c>
      <c r="AD413" t="str">
        <f t="shared" si="185"/>
        <v/>
      </c>
      <c r="AE413">
        <f t="shared" si="186"/>
        <v>0</v>
      </c>
      <c r="AF413">
        <f t="shared" si="198"/>
        <v>10</v>
      </c>
      <c r="AG413" t="str">
        <f t="shared" si="187"/>
        <v/>
      </c>
      <c r="AH413" t="str">
        <f t="shared" si="188"/>
        <v/>
      </c>
      <c r="AI413" t="str">
        <f t="shared" si="189"/>
        <v/>
      </c>
      <c r="AJ413">
        <f t="shared" si="190"/>
        <v>0</v>
      </c>
      <c r="AK413">
        <f t="shared" si="199"/>
        <v>4</v>
      </c>
      <c r="AL413" t="str">
        <f t="shared" si="191"/>
        <v/>
      </c>
      <c r="AM413" t="str">
        <f t="shared" si="192"/>
        <v/>
      </c>
      <c r="AN413" t="str">
        <f t="shared" si="193"/>
        <v/>
      </c>
      <c r="AO413">
        <f t="shared" si="194"/>
        <v>0</v>
      </c>
    </row>
    <row r="414" spans="1:41" x14ac:dyDescent="0.4">
      <c r="A414" t="str">
        <f>IF($CM$6=0,"",IF(INDEX('⑩ 원문 보관'!$A:$E,$CM$6+ROW()-9,COLUMN())="","",INDEX('⑩ 원문 보관'!$A:$E,$CM$6+ROW()-9,COLUMN())))</f>
        <v/>
      </c>
      <c r="B414" t="str">
        <f>IF($CM$6=0,"",IF(INDEX('⑩ 원문 보관'!$A:$E,$CM$6+ROW()-9,COLUMN())="","",INDEX('⑩ 원문 보관'!$A:$E,$CM$6+ROW()-9,COLUMN())))</f>
        <v/>
      </c>
      <c r="C414" t="str">
        <f>IF($CM$6=0,"",IF(INDEX('⑩ 원문 보관'!$A:$E,$CM$6+ROW()-9,COLUMN())="","",INDEX('⑩ 원문 보관'!$A:$E,$CM$6+ROW()-9,COLUMN())))</f>
        <v/>
      </c>
      <c r="D414" t="str">
        <f>IF($CM$6=0,"",IF(INDEX('⑩ 원문 보관'!$A:$E,$CM$6+ROW()-9,COLUMN())="","",INDEX('⑩ 원문 보관'!$A:$E,$CM$6+ROW()-9,COLUMN())))</f>
        <v/>
      </c>
      <c r="E414" t="str">
        <f>IF($CM$6=0,"",IF(INDEX('⑩ 원문 보관'!$A:$E,$CM$6+ROW()-9,COLUMN())="","",INDEX('⑩ 원문 보관'!$A:$E,$CM$6+ROW()-9,COLUMN())))</f>
        <v/>
      </c>
      <c r="Q414">
        <f t="shared" si="195"/>
        <v>8</v>
      </c>
      <c r="R414" t="str">
        <f t="shared" si="175"/>
        <v/>
      </c>
      <c r="S414" t="str">
        <f t="shared" si="176"/>
        <v/>
      </c>
      <c r="T414" t="str">
        <f t="shared" si="177"/>
        <v/>
      </c>
      <c r="U414">
        <f t="shared" si="178"/>
        <v>0</v>
      </c>
      <c r="V414">
        <f t="shared" si="196"/>
        <v>11</v>
      </c>
      <c r="W414" t="str">
        <f t="shared" si="179"/>
        <v/>
      </c>
      <c r="X414" t="str">
        <f t="shared" si="180"/>
        <v/>
      </c>
      <c r="Y414" t="str">
        <f t="shared" si="181"/>
        <v/>
      </c>
      <c r="Z414">
        <f t="shared" si="182"/>
        <v>0</v>
      </c>
      <c r="AA414">
        <f t="shared" si="197"/>
        <v>6</v>
      </c>
      <c r="AB414" t="str">
        <f t="shared" si="183"/>
        <v/>
      </c>
      <c r="AC414" t="str">
        <f t="shared" si="184"/>
        <v/>
      </c>
      <c r="AD414" t="str">
        <f t="shared" si="185"/>
        <v/>
      </c>
      <c r="AE414">
        <f t="shared" si="186"/>
        <v>0</v>
      </c>
      <c r="AF414">
        <f t="shared" si="198"/>
        <v>10</v>
      </c>
      <c r="AG414" t="str">
        <f t="shared" si="187"/>
        <v/>
      </c>
      <c r="AH414" t="str">
        <f t="shared" si="188"/>
        <v/>
      </c>
      <c r="AI414" t="str">
        <f t="shared" si="189"/>
        <v/>
      </c>
      <c r="AJ414">
        <f t="shared" si="190"/>
        <v>0</v>
      </c>
      <c r="AK414">
        <f t="shared" si="199"/>
        <v>4</v>
      </c>
      <c r="AL414" t="str">
        <f t="shared" si="191"/>
        <v/>
      </c>
      <c r="AM414" t="str">
        <f t="shared" si="192"/>
        <v/>
      </c>
      <c r="AN414" t="str">
        <f t="shared" si="193"/>
        <v/>
      </c>
      <c r="AO414">
        <f t="shared" si="194"/>
        <v>0</v>
      </c>
    </row>
    <row r="415" spans="1:41" x14ac:dyDescent="0.4">
      <c r="A415" t="str">
        <f>IF($CM$6=0,"",IF(INDEX('⑩ 원문 보관'!$A:$E,$CM$6+ROW()-9,COLUMN())="","",INDEX('⑩ 원문 보관'!$A:$E,$CM$6+ROW()-9,COLUMN())))</f>
        <v/>
      </c>
      <c r="B415" t="str">
        <f>IF($CM$6=0,"",IF(INDEX('⑩ 원문 보관'!$A:$E,$CM$6+ROW()-9,COLUMN())="","",INDEX('⑩ 원문 보관'!$A:$E,$CM$6+ROW()-9,COLUMN())))</f>
        <v xml:space="preserve">/Gem Systems GSM-19T 4106808 v7.0 26 IX 2014 M t-e2l..v7o                         </v>
      </c>
      <c r="C415" t="str">
        <f>IF($CM$6=0,"",IF(INDEX('⑩ 원문 보관'!$A:$E,$CM$6+ROW()-9,COLUMN())="","",INDEX('⑩ 원문 보관'!$A:$E,$CM$6+ROW()-9,COLUMN())))</f>
        <v/>
      </c>
      <c r="D415" t="str">
        <f>IF($CM$6=0,"",IF(INDEX('⑩ 원문 보관'!$A:$E,$CM$6+ROW()-9,COLUMN())="","",INDEX('⑩ 원문 보관'!$A:$E,$CM$6+ROW()-9,COLUMN())))</f>
        <v/>
      </c>
      <c r="E415" t="str">
        <f>IF($CM$6=0,"",IF(INDEX('⑩ 원문 보관'!$A:$E,$CM$6+ROW()-9,COLUMN())="","",INDEX('⑩ 원문 보관'!$A:$E,$CM$6+ROW()-9,COLUMN())))</f>
        <v/>
      </c>
      <c r="Q415">
        <f t="shared" si="195"/>
        <v>8</v>
      </c>
      <c r="R415" t="str">
        <f t="shared" si="175"/>
        <v/>
      </c>
      <c r="S415" t="str">
        <f t="shared" si="176"/>
        <v/>
      </c>
      <c r="T415" t="str">
        <f t="shared" si="177"/>
        <v/>
      </c>
      <c r="U415">
        <f t="shared" si="178"/>
        <v>0</v>
      </c>
      <c r="V415">
        <f t="shared" si="196"/>
        <v>11</v>
      </c>
      <c r="W415" t="str">
        <f t="shared" si="179"/>
        <v/>
      </c>
      <c r="X415" t="str">
        <f t="shared" si="180"/>
        <v/>
      </c>
      <c r="Y415" t="str">
        <f t="shared" si="181"/>
        <v>GSM-19T</v>
      </c>
      <c r="Z415">
        <f t="shared" si="182"/>
        <v>0</v>
      </c>
      <c r="AA415">
        <f t="shared" si="197"/>
        <v>6</v>
      </c>
      <c r="AB415" t="str">
        <f t="shared" si="183"/>
        <v/>
      </c>
      <c r="AC415" t="str">
        <f t="shared" si="184"/>
        <v/>
      </c>
      <c r="AD415" t="str">
        <f t="shared" si="185"/>
        <v/>
      </c>
      <c r="AE415">
        <f t="shared" si="186"/>
        <v>0</v>
      </c>
      <c r="AF415">
        <f t="shared" si="198"/>
        <v>10</v>
      </c>
      <c r="AG415" t="str">
        <f t="shared" si="187"/>
        <v/>
      </c>
      <c r="AH415" t="str">
        <f t="shared" si="188"/>
        <v/>
      </c>
      <c r="AI415" t="str">
        <f t="shared" si="189"/>
        <v/>
      </c>
      <c r="AJ415">
        <f t="shared" si="190"/>
        <v>0</v>
      </c>
      <c r="AK415">
        <f t="shared" si="199"/>
        <v>4</v>
      </c>
      <c r="AL415" t="str">
        <f t="shared" si="191"/>
        <v/>
      </c>
      <c r="AM415" t="str">
        <f t="shared" si="192"/>
        <v/>
      </c>
      <c r="AN415" t="str">
        <f t="shared" si="193"/>
        <v/>
      </c>
      <c r="AO415">
        <f t="shared" si="194"/>
        <v>0</v>
      </c>
    </row>
    <row r="416" spans="1:41" x14ac:dyDescent="0.4">
      <c r="A416" t="str">
        <f>IF($CM$6=0,"",IF(INDEX('⑩ 원문 보관'!$A:$E,$CM$6+ROW()-9,COLUMN())="","",INDEX('⑩ 원문 보관'!$A:$E,$CM$6+ROW()-9,COLUMN())))</f>
        <v/>
      </c>
      <c r="B416" t="str">
        <f>IF($CM$6=0,"",IF(INDEX('⑩ 원문 보관'!$A:$E,$CM$6+ROW()-9,COLUMN())="","",INDEX('⑩ 원문 보관'!$A:$E,$CM$6+ROW()-9,COLUMN())))</f>
        <v>/ID 2666 file 21survey.b   21 IX 26</v>
      </c>
      <c r="C416" t="str">
        <f>IF($CM$6=0,"",IF(INDEX('⑩ 원문 보관'!$A:$E,$CM$6+ROW()-9,COLUMN())="","",INDEX('⑩ 원문 보관'!$A:$E,$CM$6+ROW()-9,COLUMN())))</f>
        <v/>
      </c>
      <c r="D416" t="str">
        <f>IF($CM$6=0,"",IF(INDEX('⑩ 원문 보관'!$A:$E,$CM$6+ROW()-9,COLUMN())="","",INDEX('⑩ 원문 보관'!$A:$E,$CM$6+ROW()-9,COLUMN())))</f>
        <v/>
      </c>
      <c r="E416" t="str">
        <f>IF($CM$6=0,"",IF(INDEX('⑩ 원문 보관'!$A:$E,$CM$6+ROW()-9,COLUMN())="","",INDEX('⑩ 원문 보관'!$A:$E,$CM$6+ROW()-9,COLUMN())))</f>
        <v/>
      </c>
      <c r="Q416">
        <f t="shared" si="195"/>
        <v>8</v>
      </c>
      <c r="R416" t="str">
        <f t="shared" si="175"/>
        <v/>
      </c>
      <c r="S416" t="str">
        <f t="shared" si="176"/>
        <v/>
      </c>
      <c r="T416" t="str">
        <f t="shared" si="177"/>
        <v/>
      </c>
      <c r="U416">
        <f t="shared" si="178"/>
        <v>0</v>
      </c>
      <c r="V416">
        <f t="shared" si="196"/>
        <v>11</v>
      </c>
      <c r="W416" t="str">
        <f t="shared" si="179"/>
        <v/>
      </c>
      <c r="X416">
        <f t="shared" si="180"/>
        <v>2666</v>
      </c>
      <c r="Y416" t="str">
        <f t="shared" si="181"/>
        <v>file</v>
      </c>
      <c r="Z416">
        <f t="shared" si="182"/>
        <v>0</v>
      </c>
      <c r="AA416">
        <f t="shared" si="197"/>
        <v>6</v>
      </c>
      <c r="AB416" t="str">
        <f t="shared" si="183"/>
        <v/>
      </c>
      <c r="AC416" t="str">
        <f t="shared" si="184"/>
        <v/>
      </c>
      <c r="AD416" t="str">
        <f t="shared" si="185"/>
        <v/>
      </c>
      <c r="AE416">
        <f t="shared" si="186"/>
        <v>0</v>
      </c>
      <c r="AF416">
        <f t="shared" si="198"/>
        <v>10</v>
      </c>
      <c r="AG416" t="str">
        <f t="shared" si="187"/>
        <v/>
      </c>
      <c r="AH416" t="str">
        <f t="shared" si="188"/>
        <v/>
      </c>
      <c r="AI416" t="str">
        <f t="shared" si="189"/>
        <v/>
      </c>
      <c r="AJ416">
        <f t="shared" si="190"/>
        <v>0</v>
      </c>
      <c r="AK416">
        <f t="shared" si="199"/>
        <v>4</v>
      </c>
      <c r="AL416" t="str">
        <f t="shared" si="191"/>
        <v/>
      </c>
      <c r="AM416" t="str">
        <f t="shared" si="192"/>
        <v/>
      </c>
      <c r="AN416" t="str">
        <f t="shared" si="193"/>
        <v/>
      </c>
      <c r="AO416">
        <f t="shared" si="194"/>
        <v>0</v>
      </c>
    </row>
    <row r="417" spans="1:41" x14ac:dyDescent="0.4">
      <c r="A417" t="str">
        <f>IF($CM$6=0,"",IF(INDEX('⑩ 원문 보관'!$A:$E,$CM$6+ROW()-9,COLUMN())="","",INDEX('⑩ 원문 보관'!$A:$E,$CM$6+ROW()-9,COLUMN())))</f>
        <v/>
      </c>
      <c r="B417" t="str">
        <f>IF($CM$6=0,"",IF(INDEX('⑩ 원문 보관'!$A:$E,$CM$6+ROW()-9,COLUMN())="","",INDEX('⑩ 원문 보관'!$A:$E,$CM$6+ROW()-9,COLUMN())))</f>
        <v>/datum  57000.00</v>
      </c>
      <c r="C417" t="str">
        <f>IF($CM$6=0,"",IF(INDEX('⑩ 원문 보관'!$A:$E,$CM$6+ROW()-9,COLUMN())="","",INDEX('⑩ 원문 보관'!$A:$E,$CM$6+ROW()-9,COLUMN())))</f>
        <v/>
      </c>
      <c r="D417" t="str">
        <f>IF($CM$6=0,"",IF(INDEX('⑩ 원문 보관'!$A:$E,$CM$6+ROW()-9,COLUMN())="","",INDEX('⑩ 원문 보관'!$A:$E,$CM$6+ROW()-9,COLUMN())))</f>
        <v/>
      </c>
      <c r="E417" t="str">
        <f>IF($CM$6=0,"",IF(INDEX('⑩ 원문 보관'!$A:$E,$CM$6+ROW()-9,COLUMN())="","",INDEX('⑩ 원문 보관'!$A:$E,$CM$6+ROW()-9,COLUMN())))</f>
        <v/>
      </c>
      <c r="Q417">
        <f t="shared" si="195"/>
        <v>8</v>
      </c>
      <c r="R417" t="str">
        <f t="shared" si="175"/>
        <v/>
      </c>
      <c r="S417" t="str">
        <f t="shared" si="176"/>
        <v/>
      </c>
      <c r="T417" t="str">
        <f t="shared" si="177"/>
        <v/>
      </c>
      <c r="U417">
        <f t="shared" si="178"/>
        <v>0</v>
      </c>
      <c r="V417">
        <f t="shared" si="196"/>
        <v>11</v>
      </c>
      <c r="W417" t="str">
        <f t="shared" si="179"/>
        <v/>
      </c>
      <c r="X417">
        <f t="shared" si="180"/>
        <v>57000</v>
      </c>
      <c r="Y417" t="str">
        <f t="shared" si="181"/>
        <v/>
      </c>
      <c r="Z417">
        <f t="shared" si="182"/>
        <v>0</v>
      </c>
      <c r="AA417">
        <f t="shared" si="197"/>
        <v>6</v>
      </c>
      <c r="AB417" t="str">
        <f t="shared" si="183"/>
        <v/>
      </c>
      <c r="AC417" t="str">
        <f t="shared" si="184"/>
        <v/>
      </c>
      <c r="AD417" t="str">
        <f t="shared" si="185"/>
        <v/>
      </c>
      <c r="AE417">
        <f t="shared" si="186"/>
        <v>0</v>
      </c>
      <c r="AF417">
        <f t="shared" si="198"/>
        <v>10</v>
      </c>
      <c r="AG417" t="str">
        <f t="shared" si="187"/>
        <v/>
      </c>
      <c r="AH417" t="str">
        <f t="shared" si="188"/>
        <v/>
      </c>
      <c r="AI417" t="str">
        <f t="shared" si="189"/>
        <v/>
      </c>
      <c r="AJ417">
        <f t="shared" si="190"/>
        <v>0</v>
      </c>
      <c r="AK417">
        <f t="shared" si="199"/>
        <v>4</v>
      </c>
      <c r="AL417" t="str">
        <f t="shared" si="191"/>
        <v/>
      </c>
      <c r="AM417" t="str">
        <f t="shared" si="192"/>
        <v/>
      </c>
      <c r="AN417" t="str">
        <f t="shared" si="193"/>
        <v/>
      </c>
      <c r="AO417">
        <f t="shared" si="194"/>
        <v>0</v>
      </c>
    </row>
    <row r="418" spans="1:41" x14ac:dyDescent="0.4">
      <c r="A418" t="str">
        <f>IF($CM$6=0,"",IF(INDEX('⑩ 원문 보관'!$A:$E,$CM$6+ROW()-9,COLUMN())="","",INDEX('⑩ 원문 보관'!$A:$E,$CM$6+ROW()-9,COLUMN())))</f>
        <v/>
      </c>
      <c r="B418" t="str">
        <f>IF($CM$6=0,"",IF(INDEX('⑩ 원문 보관'!$A:$E,$CM$6+ROW()-9,COLUMN())="","",INDEX('⑩ 원문 보관'!$A:$E,$CM$6+ROW()-9,COLUMN())))</f>
        <v>/</v>
      </c>
      <c r="C418" t="str">
        <f>IF($CM$6=0,"",IF(INDEX('⑩ 원문 보관'!$A:$E,$CM$6+ROW()-9,COLUMN())="","",INDEX('⑩ 원문 보관'!$A:$E,$CM$6+ROW()-9,COLUMN())))</f>
        <v/>
      </c>
      <c r="D418" t="str">
        <f>IF($CM$6=0,"",IF(INDEX('⑩ 원문 보관'!$A:$E,$CM$6+ROW()-9,COLUMN())="","",INDEX('⑩ 원문 보관'!$A:$E,$CM$6+ROW()-9,COLUMN())))</f>
        <v/>
      </c>
      <c r="E418" t="str">
        <f>IF($CM$6=0,"",IF(INDEX('⑩ 원문 보관'!$A:$E,$CM$6+ROW()-9,COLUMN())="","",INDEX('⑩ 원문 보관'!$A:$E,$CM$6+ROW()-9,COLUMN())))</f>
        <v/>
      </c>
      <c r="Q418">
        <f t="shared" si="195"/>
        <v>8</v>
      </c>
      <c r="R418" t="str">
        <f t="shared" si="175"/>
        <v/>
      </c>
      <c r="S418" t="str">
        <f t="shared" si="176"/>
        <v/>
      </c>
      <c r="T418" t="str">
        <f t="shared" si="177"/>
        <v/>
      </c>
      <c r="U418">
        <f t="shared" si="178"/>
        <v>0</v>
      </c>
      <c r="V418">
        <f t="shared" si="196"/>
        <v>11</v>
      </c>
      <c r="W418" t="str">
        <f t="shared" si="179"/>
        <v/>
      </c>
      <c r="X418" t="str">
        <f t="shared" si="180"/>
        <v/>
      </c>
      <c r="Y418" t="str">
        <f t="shared" si="181"/>
        <v/>
      </c>
      <c r="Z418">
        <f t="shared" si="182"/>
        <v>0</v>
      </c>
      <c r="AA418">
        <f t="shared" si="197"/>
        <v>6</v>
      </c>
      <c r="AB418" t="str">
        <f t="shared" si="183"/>
        <v/>
      </c>
      <c r="AC418" t="str">
        <f t="shared" si="184"/>
        <v/>
      </c>
      <c r="AD418" t="str">
        <f t="shared" si="185"/>
        <v/>
      </c>
      <c r="AE418">
        <f t="shared" si="186"/>
        <v>0</v>
      </c>
      <c r="AF418">
        <f t="shared" si="198"/>
        <v>10</v>
      </c>
      <c r="AG418" t="str">
        <f t="shared" si="187"/>
        <v/>
      </c>
      <c r="AH418" t="str">
        <f t="shared" si="188"/>
        <v/>
      </c>
      <c r="AI418" t="str">
        <f t="shared" si="189"/>
        <v/>
      </c>
      <c r="AJ418">
        <f t="shared" si="190"/>
        <v>0</v>
      </c>
      <c r="AK418">
        <f t="shared" si="199"/>
        <v>4</v>
      </c>
      <c r="AL418" t="str">
        <f t="shared" si="191"/>
        <v/>
      </c>
      <c r="AM418" t="str">
        <f t="shared" si="192"/>
        <v/>
      </c>
      <c r="AN418" t="str">
        <f t="shared" si="193"/>
        <v/>
      </c>
      <c r="AO418">
        <f t="shared" si="194"/>
        <v>0</v>
      </c>
    </row>
    <row r="419" spans="1:41" x14ac:dyDescent="0.4">
      <c r="A419" t="str">
        <f>IF($CM$6=0,"",IF(INDEX('⑩ 원문 보관'!$A:$E,$CM$6+ROW()-9,COLUMN())="","",INDEX('⑩ 원문 보관'!$A:$E,$CM$6+ROW()-9,COLUMN())))</f>
        <v/>
      </c>
      <c r="B419" t="str">
        <f>IF($CM$6=0,"",IF(INDEX('⑩ 원문 보관'!$A:$E,$CM$6+ROW()-9,COLUMN())="","",INDEX('⑩ 원문 보관'!$A:$E,$CM$6+ROW()-9,COLUMN())))</f>
        <v/>
      </c>
      <c r="C419" t="str">
        <f>IF($CM$6=0,"",IF(INDEX('⑩ 원문 보관'!$A:$E,$CM$6+ROW()-9,COLUMN())="","",INDEX('⑩ 원문 보관'!$A:$E,$CM$6+ROW()-9,COLUMN())))</f>
        <v/>
      </c>
      <c r="D419" t="str">
        <f>IF($CM$6=0,"",IF(INDEX('⑩ 원문 보관'!$A:$E,$CM$6+ROW()-9,COLUMN())="","",INDEX('⑩ 원문 보관'!$A:$E,$CM$6+ROW()-9,COLUMN())))</f>
        <v/>
      </c>
      <c r="E419" t="str">
        <f>IF($CM$6=0,"",IF(INDEX('⑩ 원문 보관'!$A:$E,$CM$6+ROW()-9,COLUMN())="","",INDEX('⑩ 원문 보관'!$A:$E,$CM$6+ROW()-9,COLUMN())))</f>
        <v/>
      </c>
      <c r="Q419">
        <f t="shared" si="195"/>
        <v>8</v>
      </c>
      <c r="R419" t="str">
        <f t="shared" si="175"/>
        <v/>
      </c>
      <c r="S419" t="str">
        <f t="shared" si="176"/>
        <v/>
      </c>
      <c r="T419" t="str">
        <f t="shared" si="177"/>
        <v/>
      </c>
      <c r="U419">
        <f t="shared" si="178"/>
        <v>0</v>
      </c>
      <c r="V419">
        <f t="shared" si="196"/>
        <v>11</v>
      </c>
      <c r="W419" t="str">
        <f t="shared" si="179"/>
        <v/>
      </c>
      <c r="X419" t="str">
        <f t="shared" si="180"/>
        <v/>
      </c>
      <c r="Y419" t="str">
        <f t="shared" si="181"/>
        <v/>
      </c>
      <c r="Z419">
        <f t="shared" si="182"/>
        <v>0</v>
      </c>
      <c r="AA419">
        <f t="shared" si="197"/>
        <v>6</v>
      </c>
      <c r="AB419" t="str">
        <f t="shared" si="183"/>
        <v/>
      </c>
      <c r="AC419" t="str">
        <f t="shared" si="184"/>
        <v/>
      </c>
      <c r="AD419" t="str">
        <f t="shared" si="185"/>
        <v/>
      </c>
      <c r="AE419">
        <f t="shared" si="186"/>
        <v>0</v>
      </c>
      <c r="AF419">
        <f t="shared" si="198"/>
        <v>10</v>
      </c>
      <c r="AG419" t="str">
        <f t="shared" si="187"/>
        <v/>
      </c>
      <c r="AH419" t="str">
        <f t="shared" si="188"/>
        <v/>
      </c>
      <c r="AI419" t="str">
        <f t="shared" si="189"/>
        <v/>
      </c>
      <c r="AJ419">
        <f t="shared" si="190"/>
        <v>0</v>
      </c>
      <c r="AK419">
        <f t="shared" si="199"/>
        <v>4</v>
      </c>
      <c r="AL419" t="str">
        <f t="shared" si="191"/>
        <v/>
      </c>
      <c r="AM419" t="str">
        <f t="shared" si="192"/>
        <v/>
      </c>
      <c r="AN419" t="str">
        <f t="shared" si="193"/>
        <v/>
      </c>
      <c r="AO419">
        <f t="shared" si="194"/>
        <v>0</v>
      </c>
    </row>
    <row r="420" spans="1:41" x14ac:dyDescent="0.4">
      <c r="A420" t="str">
        <f>IF($CM$6=0,"",IF(INDEX('⑩ 원문 보관'!$A:$E,$CM$6+ROW()-9,COLUMN())="","",INDEX('⑩ 원문 보관'!$A:$E,$CM$6+ROW()-9,COLUMN())))</f>
        <v/>
      </c>
      <c r="B420" t="str">
        <f>IF($CM$6=0,"",IF(INDEX('⑩ 원문 보관'!$A:$E,$CM$6+ROW()-9,COLUMN())="","",INDEX('⑩ 원문 보관'!$A:$E,$CM$6+ROW()-9,COLUMN())))</f>
        <v xml:space="preserve">/time nT sq </v>
      </c>
      <c r="C420" t="str">
        <f>IF($CM$6=0,"",IF(INDEX('⑩ 원문 보관'!$A:$E,$CM$6+ROW()-9,COLUMN())="","",INDEX('⑩ 원문 보관'!$A:$E,$CM$6+ROW()-9,COLUMN())))</f>
        <v/>
      </c>
      <c r="D420" t="str">
        <f>IF($CM$6=0,"",IF(INDEX('⑩ 원문 보관'!$A:$E,$CM$6+ROW()-9,COLUMN())="","",INDEX('⑩ 원문 보관'!$A:$E,$CM$6+ROW()-9,COLUMN())))</f>
        <v/>
      </c>
      <c r="E420" t="str">
        <f>IF($CM$6=0,"",IF(INDEX('⑩ 원문 보관'!$A:$E,$CM$6+ROW()-9,COLUMN())="","",INDEX('⑩ 원문 보관'!$A:$E,$CM$6+ROW()-9,COLUMN())))</f>
        <v/>
      </c>
      <c r="Q420">
        <f t="shared" si="195"/>
        <v>8</v>
      </c>
      <c r="R420" t="str">
        <f t="shared" si="175"/>
        <v/>
      </c>
      <c r="S420" t="str">
        <f t="shared" si="176"/>
        <v/>
      </c>
      <c r="T420" t="str">
        <f t="shared" si="177"/>
        <v/>
      </c>
      <c r="U420">
        <f t="shared" si="178"/>
        <v>0</v>
      </c>
      <c r="V420">
        <f t="shared" si="196"/>
        <v>12</v>
      </c>
      <c r="W420" t="str">
        <f t="shared" si="179"/>
        <v/>
      </c>
      <c r="X420" t="str">
        <f t="shared" si="180"/>
        <v/>
      </c>
      <c r="Y420" t="str">
        <f t="shared" si="181"/>
        <v>sq</v>
      </c>
      <c r="Z420">
        <f t="shared" si="182"/>
        <v>0</v>
      </c>
      <c r="AA420">
        <f t="shared" si="197"/>
        <v>6</v>
      </c>
      <c r="AB420" t="str">
        <f t="shared" si="183"/>
        <v/>
      </c>
      <c r="AC420" t="str">
        <f t="shared" si="184"/>
        <v/>
      </c>
      <c r="AD420" t="str">
        <f t="shared" si="185"/>
        <v/>
      </c>
      <c r="AE420">
        <f t="shared" si="186"/>
        <v>0</v>
      </c>
      <c r="AF420">
        <f t="shared" si="198"/>
        <v>10</v>
      </c>
      <c r="AG420" t="str">
        <f t="shared" si="187"/>
        <v/>
      </c>
      <c r="AH420" t="str">
        <f t="shared" si="188"/>
        <v/>
      </c>
      <c r="AI420" t="str">
        <f t="shared" si="189"/>
        <v/>
      </c>
      <c r="AJ420">
        <f t="shared" si="190"/>
        <v>0</v>
      </c>
      <c r="AK420">
        <f t="shared" si="199"/>
        <v>4</v>
      </c>
      <c r="AL420" t="str">
        <f t="shared" si="191"/>
        <v/>
      </c>
      <c r="AM420" t="str">
        <f t="shared" si="192"/>
        <v/>
      </c>
      <c r="AN420" t="str">
        <f t="shared" si="193"/>
        <v/>
      </c>
      <c r="AO420">
        <f t="shared" si="194"/>
        <v>0</v>
      </c>
    </row>
    <row r="421" spans="1:41" x14ac:dyDescent="0.4">
      <c r="A421" t="str">
        <f>IF($CM$6=0,"",IF(INDEX('⑩ 원문 보관'!$A:$E,$CM$6+ROW()-9,COLUMN())="","",INDEX('⑩ 원문 보관'!$A:$E,$CM$6+ROW()-9,COLUMN())))</f>
        <v/>
      </c>
      <c r="B421" t="str">
        <f>IF($CM$6=0,"",IF(INDEX('⑩ 원문 보관'!$A:$E,$CM$6+ROW()-9,COLUMN())="","",INDEX('⑩ 원문 보관'!$A:$E,$CM$6+ROW()-9,COLUMN())))</f>
        <v xml:space="preserve">121557.0  51388.36 97 </v>
      </c>
      <c r="C421" t="str">
        <f>IF($CM$6=0,"",IF(INDEX('⑩ 원문 보관'!$A:$E,$CM$6+ROW()-9,COLUMN())="","",INDEX('⑩ 원문 보관'!$A:$E,$CM$6+ROW()-9,COLUMN())))</f>
        <v/>
      </c>
      <c r="D421" t="str">
        <f>IF($CM$6=0,"",IF(INDEX('⑩ 원문 보관'!$A:$E,$CM$6+ROW()-9,COLUMN())="","",INDEX('⑩ 원문 보관'!$A:$E,$CM$6+ROW()-9,COLUMN())))</f>
        <v/>
      </c>
      <c r="E421" t="str">
        <f>IF($CM$6=0,"",IF(INDEX('⑩ 원문 보관'!$A:$E,$CM$6+ROW()-9,COLUMN())="","",INDEX('⑩ 원문 보관'!$A:$E,$CM$6+ROW()-9,COLUMN())))</f>
        <v/>
      </c>
      <c r="Q421">
        <f t="shared" si="195"/>
        <v>8</v>
      </c>
      <c r="R421" t="str">
        <f t="shared" si="175"/>
        <v/>
      </c>
      <c r="S421" t="str">
        <f t="shared" si="176"/>
        <v/>
      </c>
      <c r="T421" t="str">
        <f t="shared" si="177"/>
        <v/>
      </c>
      <c r="U421">
        <f t="shared" si="178"/>
        <v>0</v>
      </c>
      <c r="V421">
        <f t="shared" si="196"/>
        <v>12</v>
      </c>
      <c r="W421">
        <f t="shared" si="179"/>
        <v>121557</v>
      </c>
      <c r="X421">
        <f t="shared" si="180"/>
        <v>51388.36</v>
      </c>
      <c r="Y421" t="str">
        <f t="shared" si="181"/>
        <v>97</v>
      </c>
      <c r="Z421">
        <f t="shared" si="182"/>
        <v>1</v>
      </c>
      <c r="AA421">
        <f t="shared" si="197"/>
        <v>6</v>
      </c>
      <c r="AB421" t="str">
        <f t="shared" si="183"/>
        <v/>
      </c>
      <c r="AC421" t="str">
        <f t="shared" si="184"/>
        <v/>
      </c>
      <c r="AD421" t="str">
        <f t="shared" si="185"/>
        <v/>
      </c>
      <c r="AE421">
        <f t="shared" si="186"/>
        <v>0</v>
      </c>
      <c r="AF421">
        <f t="shared" si="198"/>
        <v>10</v>
      </c>
      <c r="AG421" t="str">
        <f t="shared" si="187"/>
        <v/>
      </c>
      <c r="AH421" t="str">
        <f t="shared" si="188"/>
        <v/>
      </c>
      <c r="AI421" t="str">
        <f t="shared" si="189"/>
        <v/>
      </c>
      <c r="AJ421">
        <f t="shared" si="190"/>
        <v>0</v>
      </c>
      <c r="AK421">
        <f t="shared" si="199"/>
        <v>4</v>
      </c>
      <c r="AL421" t="str">
        <f t="shared" si="191"/>
        <v/>
      </c>
      <c r="AM421" t="str">
        <f t="shared" si="192"/>
        <v/>
      </c>
      <c r="AN421" t="str">
        <f t="shared" si="193"/>
        <v/>
      </c>
      <c r="AO421">
        <f t="shared" si="194"/>
        <v>0</v>
      </c>
    </row>
    <row r="422" spans="1:41" x14ac:dyDescent="0.4">
      <c r="A422" t="str">
        <f>IF($CM$6=0,"",IF(INDEX('⑩ 원문 보관'!$A:$E,$CM$6+ROW()-9,COLUMN())="","",INDEX('⑩ 원문 보관'!$A:$E,$CM$6+ROW()-9,COLUMN())))</f>
        <v/>
      </c>
      <c r="B422" t="str">
        <f>IF($CM$6=0,"",IF(INDEX('⑩ 원문 보관'!$A:$E,$CM$6+ROW()-9,COLUMN())="","",INDEX('⑩ 원문 보관'!$A:$E,$CM$6+ROW()-9,COLUMN())))</f>
        <v xml:space="preserve">121602.0  51388.47 97 </v>
      </c>
      <c r="C422" t="str">
        <f>IF($CM$6=0,"",IF(INDEX('⑩ 원문 보관'!$A:$E,$CM$6+ROW()-9,COLUMN())="","",INDEX('⑩ 원문 보관'!$A:$E,$CM$6+ROW()-9,COLUMN())))</f>
        <v/>
      </c>
      <c r="D422" t="str">
        <f>IF($CM$6=0,"",IF(INDEX('⑩ 원문 보관'!$A:$E,$CM$6+ROW()-9,COLUMN())="","",INDEX('⑩ 원문 보관'!$A:$E,$CM$6+ROW()-9,COLUMN())))</f>
        <v/>
      </c>
      <c r="E422" t="str">
        <f>IF($CM$6=0,"",IF(INDEX('⑩ 원문 보관'!$A:$E,$CM$6+ROW()-9,COLUMN())="","",INDEX('⑩ 원문 보관'!$A:$E,$CM$6+ROW()-9,COLUMN())))</f>
        <v/>
      </c>
      <c r="Q422">
        <f t="shared" si="195"/>
        <v>8</v>
      </c>
      <c r="R422" t="str">
        <f t="shared" si="175"/>
        <v/>
      </c>
      <c r="S422" t="str">
        <f t="shared" si="176"/>
        <v/>
      </c>
      <c r="T422" t="str">
        <f t="shared" si="177"/>
        <v/>
      </c>
      <c r="U422">
        <f t="shared" si="178"/>
        <v>0</v>
      </c>
      <c r="V422">
        <f t="shared" si="196"/>
        <v>12</v>
      </c>
      <c r="W422">
        <f t="shared" si="179"/>
        <v>121602</v>
      </c>
      <c r="X422">
        <f t="shared" si="180"/>
        <v>51388.47</v>
      </c>
      <c r="Y422" t="str">
        <f t="shared" si="181"/>
        <v>97</v>
      </c>
      <c r="Z422">
        <f t="shared" si="182"/>
        <v>1</v>
      </c>
      <c r="AA422">
        <f t="shared" si="197"/>
        <v>6</v>
      </c>
      <c r="AB422" t="str">
        <f t="shared" si="183"/>
        <v/>
      </c>
      <c r="AC422" t="str">
        <f t="shared" si="184"/>
        <v/>
      </c>
      <c r="AD422" t="str">
        <f t="shared" si="185"/>
        <v/>
      </c>
      <c r="AE422">
        <f t="shared" si="186"/>
        <v>0</v>
      </c>
      <c r="AF422">
        <f t="shared" si="198"/>
        <v>10</v>
      </c>
      <c r="AG422" t="str">
        <f t="shared" si="187"/>
        <v/>
      </c>
      <c r="AH422" t="str">
        <f t="shared" si="188"/>
        <v/>
      </c>
      <c r="AI422" t="str">
        <f t="shared" si="189"/>
        <v/>
      </c>
      <c r="AJ422">
        <f t="shared" si="190"/>
        <v>0</v>
      </c>
      <c r="AK422">
        <f t="shared" si="199"/>
        <v>4</v>
      </c>
      <c r="AL422" t="str">
        <f t="shared" si="191"/>
        <v/>
      </c>
      <c r="AM422" t="str">
        <f t="shared" si="192"/>
        <v/>
      </c>
      <c r="AN422" t="str">
        <f t="shared" si="193"/>
        <v/>
      </c>
      <c r="AO422">
        <f t="shared" si="194"/>
        <v>0</v>
      </c>
    </row>
    <row r="423" spans="1:41" x14ac:dyDescent="0.4">
      <c r="A423" t="str">
        <f>IF($CM$6=0,"",IF(INDEX('⑩ 원문 보관'!$A:$E,$CM$6+ROW()-9,COLUMN())="","",INDEX('⑩ 원문 보관'!$A:$E,$CM$6+ROW()-9,COLUMN())))</f>
        <v/>
      </c>
      <c r="B423" t="str">
        <f>IF($CM$6=0,"",IF(INDEX('⑩ 원문 보관'!$A:$E,$CM$6+ROW()-9,COLUMN())="","",INDEX('⑩ 원문 보관'!$A:$E,$CM$6+ROW()-9,COLUMN())))</f>
        <v xml:space="preserve">121607.0  51388.48 98 </v>
      </c>
      <c r="C423" t="str">
        <f>IF($CM$6=0,"",IF(INDEX('⑩ 원문 보관'!$A:$E,$CM$6+ROW()-9,COLUMN())="","",INDEX('⑩ 원문 보관'!$A:$E,$CM$6+ROW()-9,COLUMN())))</f>
        <v/>
      </c>
      <c r="D423" t="str">
        <f>IF($CM$6=0,"",IF(INDEX('⑩ 원문 보관'!$A:$E,$CM$6+ROW()-9,COLUMN())="","",INDEX('⑩ 원문 보관'!$A:$E,$CM$6+ROW()-9,COLUMN())))</f>
        <v/>
      </c>
      <c r="E423" t="str">
        <f>IF($CM$6=0,"",IF(INDEX('⑩ 원문 보관'!$A:$E,$CM$6+ROW()-9,COLUMN())="","",INDEX('⑩ 원문 보관'!$A:$E,$CM$6+ROW()-9,COLUMN())))</f>
        <v/>
      </c>
      <c r="Q423">
        <f t="shared" si="195"/>
        <v>8</v>
      </c>
      <c r="R423" t="str">
        <f t="shared" si="175"/>
        <v/>
      </c>
      <c r="S423" t="str">
        <f t="shared" si="176"/>
        <v/>
      </c>
      <c r="T423" t="str">
        <f t="shared" si="177"/>
        <v/>
      </c>
      <c r="U423">
        <f t="shared" si="178"/>
        <v>0</v>
      </c>
      <c r="V423">
        <f t="shared" si="196"/>
        <v>12</v>
      </c>
      <c r="W423">
        <f t="shared" si="179"/>
        <v>121607</v>
      </c>
      <c r="X423">
        <f t="shared" si="180"/>
        <v>51388.480000000003</v>
      </c>
      <c r="Y423" t="str">
        <f t="shared" si="181"/>
        <v>98</v>
      </c>
      <c r="Z423">
        <f t="shared" si="182"/>
        <v>1</v>
      </c>
      <c r="AA423">
        <f t="shared" si="197"/>
        <v>6</v>
      </c>
      <c r="AB423" t="str">
        <f t="shared" si="183"/>
        <v/>
      </c>
      <c r="AC423" t="str">
        <f t="shared" si="184"/>
        <v/>
      </c>
      <c r="AD423" t="str">
        <f t="shared" si="185"/>
        <v/>
      </c>
      <c r="AE423">
        <f t="shared" si="186"/>
        <v>0</v>
      </c>
      <c r="AF423">
        <f t="shared" si="198"/>
        <v>10</v>
      </c>
      <c r="AG423" t="str">
        <f t="shared" si="187"/>
        <v/>
      </c>
      <c r="AH423" t="str">
        <f t="shared" si="188"/>
        <v/>
      </c>
      <c r="AI423" t="str">
        <f t="shared" si="189"/>
        <v/>
      </c>
      <c r="AJ423">
        <f t="shared" si="190"/>
        <v>0</v>
      </c>
      <c r="AK423">
        <f t="shared" si="199"/>
        <v>4</v>
      </c>
      <c r="AL423" t="str">
        <f t="shared" si="191"/>
        <v/>
      </c>
      <c r="AM423" t="str">
        <f t="shared" si="192"/>
        <v/>
      </c>
      <c r="AN423" t="str">
        <f t="shared" si="193"/>
        <v/>
      </c>
      <c r="AO423">
        <f t="shared" si="194"/>
        <v>0</v>
      </c>
    </row>
    <row r="424" spans="1:41" x14ac:dyDescent="0.4">
      <c r="A424" t="str">
        <f>IF($CM$6=0,"",IF(INDEX('⑩ 원문 보관'!$A:$E,$CM$6+ROW()-9,COLUMN())="","",INDEX('⑩ 원문 보관'!$A:$E,$CM$6+ROW()-9,COLUMN())))</f>
        <v/>
      </c>
      <c r="B424" t="str">
        <f>IF($CM$6=0,"",IF(INDEX('⑩ 원문 보관'!$A:$E,$CM$6+ROW()-9,COLUMN())="","",INDEX('⑩ 원문 보관'!$A:$E,$CM$6+ROW()-9,COLUMN())))</f>
        <v xml:space="preserve">121612.0  51388.46 98 </v>
      </c>
      <c r="C424" t="str">
        <f>IF($CM$6=0,"",IF(INDEX('⑩ 원문 보관'!$A:$E,$CM$6+ROW()-9,COLUMN())="","",INDEX('⑩ 원문 보관'!$A:$E,$CM$6+ROW()-9,COLUMN())))</f>
        <v/>
      </c>
      <c r="D424" t="str">
        <f>IF($CM$6=0,"",IF(INDEX('⑩ 원문 보관'!$A:$E,$CM$6+ROW()-9,COLUMN())="","",INDEX('⑩ 원문 보관'!$A:$E,$CM$6+ROW()-9,COLUMN())))</f>
        <v/>
      </c>
      <c r="E424" t="str">
        <f>IF($CM$6=0,"",IF(INDEX('⑩ 원문 보관'!$A:$E,$CM$6+ROW()-9,COLUMN())="","",INDEX('⑩ 원문 보관'!$A:$E,$CM$6+ROW()-9,COLUMN())))</f>
        <v/>
      </c>
      <c r="Q424">
        <f t="shared" si="195"/>
        <v>8</v>
      </c>
      <c r="R424" t="str">
        <f t="shared" si="175"/>
        <v/>
      </c>
      <c r="S424" t="str">
        <f t="shared" si="176"/>
        <v/>
      </c>
      <c r="T424" t="str">
        <f t="shared" si="177"/>
        <v/>
      </c>
      <c r="U424">
        <f t="shared" si="178"/>
        <v>0</v>
      </c>
      <c r="V424">
        <f t="shared" si="196"/>
        <v>12</v>
      </c>
      <c r="W424">
        <f t="shared" si="179"/>
        <v>121612</v>
      </c>
      <c r="X424">
        <f t="shared" si="180"/>
        <v>51388.46</v>
      </c>
      <c r="Y424" t="str">
        <f t="shared" si="181"/>
        <v>98</v>
      </c>
      <c r="Z424">
        <f t="shared" si="182"/>
        <v>1</v>
      </c>
      <c r="AA424">
        <f t="shared" si="197"/>
        <v>6</v>
      </c>
      <c r="AB424" t="str">
        <f t="shared" si="183"/>
        <v/>
      </c>
      <c r="AC424" t="str">
        <f t="shared" si="184"/>
        <v/>
      </c>
      <c r="AD424" t="str">
        <f t="shared" si="185"/>
        <v/>
      </c>
      <c r="AE424">
        <f t="shared" si="186"/>
        <v>0</v>
      </c>
      <c r="AF424">
        <f t="shared" si="198"/>
        <v>10</v>
      </c>
      <c r="AG424" t="str">
        <f t="shared" si="187"/>
        <v/>
      </c>
      <c r="AH424" t="str">
        <f t="shared" si="188"/>
        <v/>
      </c>
      <c r="AI424" t="str">
        <f t="shared" si="189"/>
        <v/>
      </c>
      <c r="AJ424">
        <f t="shared" si="190"/>
        <v>0</v>
      </c>
      <c r="AK424">
        <f t="shared" si="199"/>
        <v>4</v>
      </c>
      <c r="AL424" t="str">
        <f t="shared" si="191"/>
        <v/>
      </c>
      <c r="AM424" t="str">
        <f t="shared" si="192"/>
        <v/>
      </c>
      <c r="AN424" t="str">
        <f t="shared" si="193"/>
        <v/>
      </c>
      <c r="AO424">
        <f t="shared" si="194"/>
        <v>0</v>
      </c>
    </row>
    <row r="425" spans="1:41" x14ac:dyDescent="0.4">
      <c r="A425" t="str">
        <f>IF($CM$6=0,"",IF(INDEX('⑩ 원문 보관'!$A:$E,$CM$6+ROW()-9,COLUMN())="","",INDEX('⑩ 원문 보관'!$A:$E,$CM$6+ROW()-9,COLUMN())))</f>
        <v/>
      </c>
      <c r="B425" t="str">
        <f>IF($CM$6=0,"",IF(INDEX('⑩ 원문 보관'!$A:$E,$CM$6+ROW()-9,COLUMN())="","",INDEX('⑩ 원문 보관'!$A:$E,$CM$6+ROW()-9,COLUMN())))</f>
        <v xml:space="preserve">121617.0  51388.51 98 </v>
      </c>
      <c r="C425" t="str">
        <f>IF($CM$6=0,"",IF(INDEX('⑩ 원문 보관'!$A:$E,$CM$6+ROW()-9,COLUMN())="","",INDEX('⑩ 원문 보관'!$A:$E,$CM$6+ROW()-9,COLUMN())))</f>
        <v/>
      </c>
      <c r="D425" t="str">
        <f>IF($CM$6=0,"",IF(INDEX('⑩ 원문 보관'!$A:$E,$CM$6+ROW()-9,COLUMN())="","",INDEX('⑩ 원문 보관'!$A:$E,$CM$6+ROW()-9,COLUMN())))</f>
        <v/>
      </c>
      <c r="E425" t="str">
        <f>IF($CM$6=0,"",IF(INDEX('⑩ 원문 보관'!$A:$E,$CM$6+ROW()-9,COLUMN())="","",INDEX('⑩ 원문 보관'!$A:$E,$CM$6+ROW()-9,COLUMN())))</f>
        <v/>
      </c>
      <c r="Q425">
        <f t="shared" si="195"/>
        <v>8</v>
      </c>
      <c r="R425" t="str">
        <f t="shared" si="175"/>
        <v/>
      </c>
      <c r="S425" t="str">
        <f t="shared" si="176"/>
        <v/>
      </c>
      <c r="T425" t="str">
        <f t="shared" si="177"/>
        <v/>
      </c>
      <c r="U425">
        <f t="shared" si="178"/>
        <v>0</v>
      </c>
      <c r="V425">
        <f t="shared" si="196"/>
        <v>12</v>
      </c>
      <c r="W425">
        <f t="shared" si="179"/>
        <v>121617</v>
      </c>
      <c r="X425">
        <f t="shared" si="180"/>
        <v>51388.51</v>
      </c>
      <c r="Y425" t="str">
        <f t="shared" si="181"/>
        <v>98</v>
      </c>
      <c r="Z425">
        <f t="shared" si="182"/>
        <v>1</v>
      </c>
      <c r="AA425">
        <f t="shared" si="197"/>
        <v>6</v>
      </c>
      <c r="AB425" t="str">
        <f t="shared" si="183"/>
        <v/>
      </c>
      <c r="AC425" t="str">
        <f t="shared" si="184"/>
        <v/>
      </c>
      <c r="AD425" t="str">
        <f t="shared" si="185"/>
        <v/>
      </c>
      <c r="AE425">
        <f t="shared" si="186"/>
        <v>0</v>
      </c>
      <c r="AF425">
        <f t="shared" si="198"/>
        <v>10</v>
      </c>
      <c r="AG425" t="str">
        <f t="shared" si="187"/>
        <v/>
      </c>
      <c r="AH425" t="str">
        <f t="shared" si="188"/>
        <v/>
      </c>
      <c r="AI425" t="str">
        <f t="shared" si="189"/>
        <v/>
      </c>
      <c r="AJ425">
        <f t="shared" si="190"/>
        <v>0</v>
      </c>
      <c r="AK425">
        <f t="shared" si="199"/>
        <v>4</v>
      </c>
      <c r="AL425" t="str">
        <f t="shared" si="191"/>
        <v/>
      </c>
      <c r="AM425" t="str">
        <f t="shared" si="192"/>
        <v/>
      </c>
      <c r="AN425" t="str">
        <f t="shared" si="193"/>
        <v/>
      </c>
      <c r="AO425">
        <f t="shared" si="194"/>
        <v>0</v>
      </c>
    </row>
    <row r="426" spans="1:41" x14ac:dyDescent="0.4">
      <c r="A426" t="str">
        <f>IF($CM$6=0,"",IF(INDEX('⑩ 원문 보관'!$A:$E,$CM$6+ROW()-9,COLUMN())="","",INDEX('⑩ 원문 보관'!$A:$E,$CM$6+ROW()-9,COLUMN())))</f>
        <v/>
      </c>
      <c r="B426" t="str">
        <f>IF($CM$6=0,"",IF(INDEX('⑩ 원문 보관'!$A:$E,$CM$6+ROW()-9,COLUMN())="","",INDEX('⑩ 원문 보관'!$A:$E,$CM$6+ROW()-9,COLUMN())))</f>
        <v xml:space="preserve">121622.0  51388.47 97 </v>
      </c>
      <c r="C426" t="str">
        <f>IF($CM$6=0,"",IF(INDEX('⑩ 원문 보관'!$A:$E,$CM$6+ROW()-9,COLUMN())="","",INDEX('⑩ 원문 보관'!$A:$E,$CM$6+ROW()-9,COLUMN())))</f>
        <v/>
      </c>
      <c r="D426" t="str">
        <f>IF($CM$6=0,"",IF(INDEX('⑩ 원문 보관'!$A:$E,$CM$6+ROW()-9,COLUMN())="","",INDEX('⑩ 원문 보관'!$A:$E,$CM$6+ROW()-9,COLUMN())))</f>
        <v/>
      </c>
      <c r="E426" t="str">
        <f>IF($CM$6=0,"",IF(INDEX('⑩ 원문 보관'!$A:$E,$CM$6+ROW()-9,COLUMN())="","",INDEX('⑩ 원문 보관'!$A:$E,$CM$6+ROW()-9,COLUMN())))</f>
        <v/>
      </c>
      <c r="Q426">
        <f t="shared" si="195"/>
        <v>8</v>
      </c>
      <c r="R426" t="str">
        <f t="shared" si="175"/>
        <v/>
      </c>
      <c r="S426" t="str">
        <f t="shared" si="176"/>
        <v/>
      </c>
      <c r="T426" t="str">
        <f t="shared" si="177"/>
        <v/>
      </c>
      <c r="U426">
        <f t="shared" si="178"/>
        <v>0</v>
      </c>
      <c r="V426">
        <f t="shared" si="196"/>
        <v>12</v>
      </c>
      <c r="W426">
        <f t="shared" si="179"/>
        <v>121622</v>
      </c>
      <c r="X426">
        <f t="shared" si="180"/>
        <v>51388.47</v>
      </c>
      <c r="Y426" t="str">
        <f t="shared" si="181"/>
        <v>97</v>
      </c>
      <c r="Z426">
        <f t="shared" si="182"/>
        <v>1</v>
      </c>
      <c r="AA426">
        <f t="shared" si="197"/>
        <v>6</v>
      </c>
      <c r="AB426" t="str">
        <f t="shared" si="183"/>
        <v/>
      </c>
      <c r="AC426" t="str">
        <f t="shared" si="184"/>
        <v/>
      </c>
      <c r="AD426" t="str">
        <f t="shared" si="185"/>
        <v/>
      </c>
      <c r="AE426">
        <f t="shared" si="186"/>
        <v>0</v>
      </c>
      <c r="AF426">
        <f t="shared" si="198"/>
        <v>10</v>
      </c>
      <c r="AG426" t="str">
        <f t="shared" si="187"/>
        <v/>
      </c>
      <c r="AH426" t="str">
        <f t="shared" si="188"/>
        <v/>
      </c>
      <c r="AI426" t="str">
        <f t="shared" si="189"/>
        <v/>
      </c>
      <c r="AJ426">
        <f t="shared" si="190"/>
        <v>0</v>
      </c>
      <c r="AK426">
        <f t="shared" si="199"/>
        <v>4</v>
      </c>
      <c r="AL426" t="str">
        <f t="shared" si="191"/>
        <v/>
      </c>
      <c r="AM426" t="str">
        <f t="shared" si="192"/>
        <v/>
      </c>
      <c r="AN426" t="str">
        <f t="shared" si="193"/>
        <v/>
      </c>
      <c r="AO426">
        <f t="shared" si="194"/>
        <v>0</v>
      </c>
    </row>
    <row r="427" spans="1:41" x14ac:dyDescent="0.4">
      <c r="A427" t="str">
        <f>IF($CM$6=0,"",IF(INDEX('⑩ 원문 보관'!$A:$E,$CM$6+ROW()-9,COLUMN())="","",INDEX('⑩ 원문 보관'!$A:$E,$CM$6+ROW()-9,COLUMN())))</f>
        <v/>
      </c>
      <c r="B427" t="str">
        <f>IF($CM$6=0,"",IF(INDEX('⑩ 원문 보관'!$A:$E,$CM$6+ROW()-9,COLUMN())="","",INDEX('⑩ 원문 보관'!$A:$E,$CM$6+ROW()-9,COLUMN())))</f>
        <v xml:space="preserve">121627.0  51388.71 98 </v>
      </c>
      <c r="C427" t="str">
        <f>IF($CM$6=0,"",IF(INDEX('⑩ 원문 보관'!$A:$E,$CM$6+ROW()-9,COLUMN())="","",INDEX('⑩ 원문 보관'!$A:$E,$CM$6+ROW()-9,COLUMN())))</f>
        <v/>
      </c>
      <c r="D427" t="str">
        <f>IF($CM$6=0,"",IF(INDEX('⑩ 원문 보관'!$A:$E,$CM$6+ROW()-9,COLUMN())="","",INDEX('⑩ 원문 보관'!$A:$E,$CM$6+ROW()-9,COLUMN())))</f>
        <v/>
      </c>
      <c r="E427" t="str">
        <f>IF($CM$6=0,"",IF(INDEX('⑩ 원문 보관'!$A:$E,$CM$6+ROW()-9,COLUMN())="","",INDEX('⑩ 원문 보관'!$A:$E,$CM$6+ROW()-9,COLUMN())))</f>
        <v/>
      </c>
      <c r="Q427">
        <f t="shared" si="195"/>
        <v>8</v>
      </c>
      <c r="R427" t="str">
        <f t="shared" si="175"/>
        <v/>
      </c>
      <c r="S427" t="str">
        <f t="shared" si="176"/>
        <v/>
      </c>
      <c r="T427" t="str">
        <f t="shared" si="177"/>
        <v/>
      </c>
      <c r="U427">
        <f t="shared" si="178"/>
        <v>0</v>
      </c>
      <c r="V427">
        <f t="shared" si="196"/>
        <v>12</v>
      </c>
      <c r="W427">
        <f t="shared" si="179"/>
        <v>121627</v>
      </c>
      <c r="X427">
        <f t="shared" si="180"/>
        <v>51388.71</v>
      </c>
      <c r="Y427" t="str">
        <f t="shared" si="181"/>
        <v>98</v>
      </c>
      <c r="Z427">
        <f t="shared" si="182"/>
        <v>1</v>
      </c>
      <c r="AA427">
        <f t="shared" si="197"/>
        <v>6</v>
      </c>
      <c r="AB427" t="str">
        <f t="shared" si="183"/>
        <v/>
      </c>
      <c r="AC427" t="str">
        <f t="shared" si="184"/>
        <v/>
      </c>
      <c r="AD427" t="str">
        <f t="shared" si="185"/>
        <v/>
      </c>
      <c r="AE427">
        <f t="shared" si="186"/>
        <v>0</v>
      </c>
      <c r="AF427">
        <f t="shared" si="198"/>
        <v>10</v>
      </c>
      <c r="AG427" t="str">
        <f t="shared" si="187"/>
        <v/>
      </c>
      <c r="AH427" t="str">
        <f t="shared" si="188"/>
        <v/>
      </c>
      <c r="AI427" t="str">
        <f t="shared" si="189"/>
        <v/>
      </c>
      <c r="AJ427">
        <f t="shared" si="190"/>
        <v>0</v>
      </c>
      <c r="AK427">
        <f t="shared" si="199"/>
        <v>4</v>
      </c>
      <c r="AL427" t="str">
        <f t="shared" si="191"/>
        <v/>
      </c>
      <c r="AM427" t="str">
        <f t="shared" si="192"/>
        <v/>
      </c>
      <c r="AN427" t="str">
        <f t="shared" si="193"/>
        <v/>
      </c>
      <c r="AO427">
        <f t="shared" si="194"/>
        <v>0</v>
      </c>
    </row>
    <row r="428" spans="1:41" x14ac:dyDescent="0.4">
      <c r="A428" t="str">
        <f>IF($CM$6=0,"",IF(INDEX('⑩ 원문 보관'!$A:$E,$CM$6+ROW()-9,COLUMN())="","",INDEX('⑩ 원문 보관'!$A:$E,$CM$6+ROW()-9,COLUMN())))</f>
        <v/>
      </c>
      <c r="B428" t="str">
        <f>IF($CM$6=0,"",IF(INDEX('⑩ 원문 보관'!$A:$E,$CM$6+ROW()-9,COLUMN())="","",INDEX('⑩ 원문 보관'!$A:$E,$CM$6+ROW()-9,COLUMN())))</f>
        <v xml:space="preserve">121632.0  51388.45 98 </v>
      </c>
      <c r="C428" t="str">
        <f>IF($CM$6=0,"",IF(INDEX('⑩ 원문 보관'!$A:$E,$CM$6+ROW()-9,COLUMN())="","",INDEX('⑩ 원문 보관'!$A:$E,$CM$6+ROW()-9,COLUMN())))</f>
        <v/>
      </c>
      <c r="D428" t="str">
        <f>IF($CM$6=0,"",IF(INDEX('⑩ 원문 보관'!$A:$E,$CM$6+ROW()-9,COLUMN())="","",INDEX('⑩ 원문 보관'!$A:$E,$CM$6+ROW()-9,COLUMN())))</f>
        <v/>
      </c>
      <c r="E428" t="str">
        <f>IF($CM$6=0,"",IF(INDEX('⑩ 원문 보관'!$A:$E,$CM$6+ROW()-9,COLUMN())="","",INDEX('⑩ 원문 보관'!$A:$E,$CM$6+ROW()-9,COLUMN())))</f>
        <v/>
      </c>
      <c r="Q428">
        <f t="shared" si="195"/>
        <v>8</v>
      </c>
      <c r="R428" t="str">
        <f t="shared" si="175"/>
        <v/>
      </c>
      <c r="S428" t="str">
        <f t="shared" si="176"/>
        <v/>
      </c>
      <c r="T428" t="str">
        <f t="shared" si="177"/>
        <v/>
      </c>
      <c r="U428">
        <f t="shared" si="178"/>
        <v>0</v>
      </c>
      <c r="V428">
        <f t="shared" si="196"/>
        <v>12</v>
      </c>
      <c r="W428">
        <f t="shared" si="179"/>
        <v>121632</v>
      </c>
      <c r="X428">
        <f t="shared" si="180"/>
        <v>51388.45</v>
      </c>
      <c r="Y428" t="str">
        <f t="shared" si="181"/>
        <v>98</v>
      </c>
      <c r="Z428">
        <f t="shared" si="182"/>
        <v>1</v>
      </c>
      <c r="AA428">
        <f t="shared" si="197"/>
        <v>6</v>
      </c>
      <c r="AB428" t="str">
        <f t="shared" si="183"/>
        <v/>
      </c>
      <c r="AC428" t="str">
        <f t="shared" si="184"/>
        <v/>
      </c>
      <c r="AD428" t="str">
        <f t="shared" si="185"/>
        <v/>
      </c>
      <c r="AE428">
        <f t="shared" si="186"/>
        <v>0</v>
      </c>
      <c r="AF428">
        <f t="shared" si="198"/>
        <v>10</v>
      </c>
      <c r="AG428" t="str">
        <f t="shared" si="187"/>
        <v/>
      </c>
      <c r="AH428" t="str">
        <f t="shared" si="188"/>
        <v/>
      </c>
      <c r="AI428" t="str">
        <f t="shared" si="189"/>
        <v/>
      </c>
      <c r="AJ428">
        <f t="shared" si="190"/>
        <v>0</v>
      </c>
      <c r="AK428">
        <f t="shared" si="199"/>
        <v>4</v>
      </c>
      <c r="AL428" t="str">
        <f t="shared" si="191"/>
        <v/>
      </c>
      <c r="AM428" t="str">
        <f t="shared" si="192"/>
        <v/>
      </c>
      <c r="AN428" t="str">
        <f t="shared" si="193"/>
        <v/>
      </c>
      <c r="AO428">
        <f t="shared" si="194"/>
        <v>0</v>
      </c>
    </row>
    <row r="429" spans="1:41" x14ac:dyDescent="0.4">
      <c r="A429" t="str">
        <f>IF($CM$6=0,"",IF(INDEX('⑩ 원문 보관'!$A:$E,$CM$6+ROW()-9,COLUMN())="","",INDEX('⑩ 원문 보관'!$A:$E,$CM$6+ROW()-9,COLUMN())))</f>
        <v/>
      </c>
      <c r="B429" t="str">
        <f>IF($CM$6=0,"",IF(INDEX('⑩ 원문 보관'!$A:$E,$CM$6+ROW()-9,COLUMN())="","",INDEX('⑩ 원문 보관'!$A:$E,$CM$6+ROW()-9,COLUMN())))</f>
        <v xml:space="preserve">121637.0  51388.36 98 </v>
      </c>
      <c r="C429" t="str">
        <f>IF($CM$6=0,"",IF(INDEX('⑩ 원문 보관'!$A:$E,$CM$6+ROW()-9,COLUMN())="","",INDEX('⑩ 원문 보관'!$A:$E,$CM$6+ROW()-9,COLUMN())))</f>
        <v/>
      </c>
      <c r="D429" t="str">
        <f>IF($CM$6=0,"",IF(INDEX('⑩ 원문 보관'!$A:$E,$CM$6+ROW()-9,COLUMN())="","",INDEX('⑩ 원문 보관'!$A:$E,$CM$6+ROW()-9,COLUMN())))</f>
        <v/>
      </c>
      <c r="E429" t="str">
        <f>IF($CM$6=0,"",IF(INDEX('⑩ 원문 보관'!$A:$E,$CM$6+ROW()-9,COLUMN())="","",INDEX('⑩ 원문 보관'!$A:$E,$CM$6+ROW()-9,COLUMN())))</f>
        <v/>
      </c>
      <c r="Q429">
        <f t="shared" si="195"/>
        <v>8</v>
      </c>
      <c r="R429" t="str">
        <f t="shared" si="175"/>
        <v/>
      </c>
      <c r="S429" t="str">
        <f t="shared" si="176"/>
        <v/>
      </c>
      <c r="T429" t="str">
        <f t="shared" si="177"/>
        <v/>
      </c>
      <c r="U429">
        <f t="shared" si="178"/>
        <v>0</v>
      </c>
      <c r="V429">
        <f t="shared" si="196"/>
        <v>12</v>
      </c>
      <c r="W429">
        <f t="shared" si="179"/>
        <v>121637</v>
      </c>
      <c r="X429">
        <f t="shared" si="180"/>
        <v>51388.36</v>
      </c>
      <c r="Y429" t="str">
        <f t="shared" si="181"/>
        <v>98</v>
      </c>
      <c r="Z429">
        <f t="shared" si="182"/>
        <v>1</v>
      </c>
      <c r="AA429">
        <f t="shared" si="197"/>
        <v>6</v>
      </c>
      <c r="AB429" t="str">
        <f t="shared" si="183"/>
        <v/>
      </c>
      <c r="AC429" t="str">
        <f t="shared" si="184"/>
        <v/>
      </c>
      <c r="AD429" t="str">
        <f t="shared" si="185"/>
        <v/>
      </c>
      <c r="AE429">
        <f t="shared" si="186"/>
        <v>0</v>
      </c>
      <c r="AF429">
        <f t="shared" si="198"/>
        <v>10</v>
      </c>
      <c r="AG429" t="str">
        <f t="shared" si="187"/>
        <v/>
      </c>
      <c r="AH429" t="str">
        <f t="shared" si="188"/>
        <v/>
      </c>
      <c r="AI429" t="str">
        <f t="shared" si="189"/>
        <v/>
      </c>
      <c r="AJ429">
        <f t="shared" si="190"/>
        <v>0</v>
      </c>
      <c r="AK429">
        <f t="shared" si="199"/>
        <v>4</v>
      </c>
      <c r="AL429" t="str">
        <f t="shared" si="191"/>
        <v/>
      </c>
      <c r="AM429" t="str">
        <f t="shared" si="192"/>
        <v/>
      </c>
      <c r="AN429" t="str">
        <f t="shared" si="193"/>
        <v/>
      </c>
      <c r="AO429">
        <f t="shared" si="194"/>
        <v>0</v>
      </c>
    </row>
    <row r="430" spans="1:41" x14ac:dyDescent="0.4">
      <c r="A430" t="str">
        <f>IF($CM$6=0,"",IF(INDEX('⑩ 원문 보관'!$A:$E,$CM$6+ROW()-9,COLUMN())="","",INDEX('⑩ 원문 보관'!$A:$E,$CM$6+ROW()-9,COLUMN())))</f>
        <v/>
      </c>
      <c r="B430" t="str">
        <f>IF($CM$6=0,"",IF(INDEX('⑩ 원문 보관'!$A:$E,$CM$6+ROW()-9,COLUMN())="","",INDEX('⑩ 원문 보관'!$A:$E,$CM$6+ROW()-9,COLUMN())))</f>
        <v xml:space="preserve">121642.0  51388.64 98 </v>
      </c>
      <c r="C430" t="str">
        <f>IF($CM$6=0,"",IF(INDEX('⑩ 원문 보관'!$A:$E,$CM$6+ROW()-9,COLUMN())="","",INDEX('⑩ 원문 보관'!$A:$E,$CM$6+ROW()-9,COLUMN())))</f>
        <v/>
      </c>
      <c r="D430" t="str">
        <f>IF($CM$6=0,"",IF(INDEX('⑩ 원문 보관'!$A:$E,$CM$6+ROW()-9,COLUMN())="","",INDEX('⑩ 원문 보관'!$A:$E,$CM$6+ROW()-9,COLUMN())))</f>
        <v/>
      </c>
      <c r="E430" t="str">
        <f>IF($CM$6=0,"",IF(INDEX('⑩ 원문 보관'!$A:$E,$CM$6+ROW()-9,COLUMN())="","",INDEX('⑩ 원문 보관'!$A:$E,$CM$6+ROW()-9,COLUMN())))</f>
        <v/>
      </c>
      <c r="Q430">
        <f t="shared" si="195"/>
        <v>8</v>
      </c>
      <c r="R430" t="str">
        <f t="shared" si="175"/>
        <v/>
      </c>
      <c r="S430" t="str">
        <f t="shared" si="176"/>
        <v/>
      </c>
      <c r="T430" t="str">
        <f t="shared" si="177"/>
        <v/>
      </c>
      <c r="U430">
        <f t="shared" si="178"/>
        <v>0</v>
      </c>
      <c r="V430">
        <f t="shared" si="196"/>
        <v>12</v>
      </c>
      <c r="W430">
        <f t="shared" si="179"/>
        <v>121642</v>
      </c>
      <c r="X430">
        <f t="shared" si="180"/>
        <v>51388.639999999999</v>
      </c>
      <c r="Y430" t="str">
        <f t="shared" si="181"/>
        <v>98</v>
      </c>
      <c r="Z430">
        <f t="shared" si="182"/>
        <v>1</v>
      </c>
      <c r="AA430">
        <f t="shared" si="197"/>
        <v>6</v>
      </c>
      <c r="AB430" t="str">
        <f t="shared" si="183"/>
        <v/>
      </c>
      <c r="AC430" t="str">
        <f t="shared" si="184"/>
        <v/>
      </c>
      <c r="AD430" t="str">
        <f t="shared" si="185"/>
        <v/>
      </c>
      <c r="AE430">
        <f t="shared" si="186"/>
        <v>0</v>
      </c>
      <c r="AF430">
        <f t="shared" si="198"/>
        <v>10</v>
      </c>
      <c r="AG430" t="str">
        <f t="shared" si="187"/>
        <v/>
      </c>
      <c r="AH430" t="str">
        <f t="shared" si="188"/>
        <v/>
      </c>
      <c r="AI430" t="str">
        <f t="shared" si="189"/>
        <v/>
      </c>
      <c r="AJ430">
        <f t="shared" si="190"/>
        <v>0</v>
      </c>
      <c r="AK430">
        <f t="shared" si="199"/>
        <v>4</v>
      </c>
      <c r="AL430" t="str">
        <f t="shared" si="191"/>
        <v/>
      </c>
      <c r="AM430" t="str">
        <f t="shared" si="192"/>
        <v/>
      </c>
      <c r="AN430" t="str">
        <f t="shared" si="193"/>
        <v/>
      </c>
      <c r="AO430">
        <f t="shared" si="194"/>
        <v>0</v>
      </c>
    </row>
    <row r="431" spans="1:41" x14ac:dyDescent="0.4">
      <c r="A431" t="str">
        <f>IF($CM$6=0,"",IF(INDEX('⑩ 원문 보관'!$A:$E,$CM$6+ROW()-9,COLUMN())="","",INDEX('⑩ 원문 보관'!$A:$E,$CM$6+ROW()-9,COLUMN())))</f>
        <v/>
      </c>
      <c r="B431" t="str">
        <f>IF($CM$6=0,"",IF(INDEX('⑩ 원문 보관'!$A:$E,$CM$6+ROW()-9,COLUMN())="","",INDEX('⑩ 원문 보관'!$A:$E,$CM$6+ROW()-9,COLUMN())))</f>
        <v xml:space="preserve">121647.0  51388.59 98 </v>
      </c>
      <c r="C431" t="str">
        <f>IF($CM$6=0,"",IF(INDEX('⑩ 원문 보관'!$A:$E,$CM$6+ROW()-9,COLUMN())="","",INDEX('⑩ 원문 보관'!$A:$E,$CM$6+ROW()-9,COLUMN())))</f>
        <v/>
      </c>
      <c r="D431" t="str">
        <f>IF($CM$6=0,"",IF(INDEX('⑩ 원문 보관'!$A:$E,$CM$6+ROW()-9,COLUMN())="","",INDEX('⑩ 원문 보관'!$A:$E,$CM$6+ROW()-9,COLUMN())))</f>
        <v/>
      </c>
      <c r="E431" t="str">
        <f>IF($CM$6=0,"",IF(INDEX('⑩ 원문 보관'!$A:$E,$CM$6+ROW()-9,COLUMN())="","",INDEX('⑩ 원문 보관'!$A:$E,$CM$6+ROW()-9,COLUMN())))</f>
        <v/>
      </c>
      <c r="Q431">
        <f t="shared" si="195"/>
        <v>8</v>
      </c>
      <c r="R431" t="str">
        <f t="shared" si="175"/>
        <v/>
      </c>
      <c r="S431" t="str">
        <f t="shared" si="176"/>
        <v/>
      </c>
      <c r="T431" t="str">
        <f t="shared" si="177"/>
        <v/>
      </c>
      <c r="U431">
        <f t="shared" si="178"/>
        <v>0</v>
      </c>
      <c r="V431">
        <f t="shared" si="196"/>
        <v>12</v>
      </c>
      <c r="W431">
        <f t="shared" si="179"/>
        <v>121647</v>
      </c>
      <c r="X431">
        <f t="shared" si="180"/>
        <v>51388.59</v>
      </c>
      <c r="Y431" t="str">
        <f t="shared" si="181"/>
        <v>98</v>
      </c>
      <c r="Z431">
        <f t="shared" si="182"/>
        <v>1</v>
      </c>
      <c r="AA431">
        <f t="shared" si="197"/>
        <v>6</v>
      </c>
      <c r="AB431" t="str">
        <f t="shared" si="183"/>
        <v/>
      </c>
      <c r="AC431" t="str">
        <f t="shared" si="184"/>
        <v/>
      </c>
      <c r="AD431" t="str">
        <f t="shared" si="185"/>
        <v/>
      </c>
      <c r="AE431">
        <f t="shared" si="186"/>
        <v>0</v>
      </c>
      <c r="AF431">
        <f t="shared" si="198"/>
        <v>10</v>
      </c>
      <c r="AG431" t="str">
        <f t="shared" si="187"/>
        <v/>
      </c>
      <c r="AH431" t="str">
        <f t="shared" si="188"/>
        <v/>
      </c>
      <c r="AI431" t="str">
        <f t="shared" si="189"/>
        <v/>
      </c>
      <c r="AJ431">
        <f t="shared" si="190"/>
        <v>0</v>
      </c>
      <c r="AK431">
        <f t="shared" si="199"/>
        <v>4</v>
      </c>
      <c r="AL431" t="str">
        <f t="shared" si="191"/>
        <v/>
      </c>
      <c r="AM431" t="str">
        <f t="shared" si="192"/>
        <v/>
      </c>
      <c r="AN431" t="str">
        <f t="shared" si="193"/>
        <v/>
      </c>
      <c r="AO431">
        <f t="shared" si="194"/>
        <v>0</v>
      </c>
    </row>
    <row r="432" spans="1:41" x14ac:dyDescent="0.4">
      <c r="A432" t="str">
        <f>IF($CM$6=0,"",IF(INDEX('⑩ 원문 보관'!$A:$E,$CM$6+ROW()-9,COLUMN())="","",INDEX('⑩ 원문 보관'!$A:$E,$CM$6+ROW()-9,COLUMN())))</f>
        <v/>
      </c>
      <c r="B432" t="str">
        <f>IF($CM$6=0,"",IF(INDEX('⑩ 원문 보관'!$A:$E,$CM$6+ROW()-9,COLUMN())="","",INDEX('⑩ 원문 보관'!$A:$E,$CM$6+ROW()-9,COLUMN())))</f>
        <v xml:space="preserve">121652.0  51388.55 97 </v>
      </c>
      <c r="C432" t="str">
        <f>IF($CM$6=0,"",IF(INDEX('⑩ 원문 보관'!$A:$E,$CM$6+ROW()-9,COLUMN())="","",INDEX('⑩ 원문 보관'!$A:$E,$CM$6+ROW()-9,COLUMN())))</f>
        <v/>
      </c>
      <c r="D432" t="str">
        <f>IF($CM$6=0,"",IF(INDEX('⑩ 원문 보관'!$A:$E,$CM$6+ROW()-9,COLUMN())="","",INDEX('⑩ 원문 보관'!$A:$E,$CM$6+ROW()-9,COLUMN())))</f>
        <v/>
      </c>
      <c r="E432" t="str">
        <f>IF($CM$6=0,"",IF(INDEX('⑩ 원문 보관'!$A:$E,$CM$6+ROW()-9,COLUMN())="","",INDEX('⑩ 원문 보관'!$A:$E,$CM$6+ROW()-9,COLUMN())))</f>
        <v/>
      </c>
      <c r="Q432">
        <f t="shared" si="195"/>
        <v>8</v>
      </c>
      <c r="R432" t="str">
        <f t="shared" si="175"/>
        <v/>
      </c>
      <c r="S432" t="str">
        <f t="shared" si="176"/>
        <v/>
      </c>
      <c r="T432" t="str">
        <f t="shared" si="177"/>
        <v/>
      </c>
      <c r="U432">
        <f t="shared" si="178"/>
        <v>0</v>
      </c>
      <c r="V432">
        <f t="shared" si="196"/>
        <v>12</v>
      </c>
      <c r="W432">
        <f t="shared" si="179"/>
        <v>121652</v>
      </c>
      <c r="X432">
        <f t="shared" si="180"/>
        <v>51388.55</v>
      </c>
      <c r="Y432" t="str">
        <f t="shared" si="181"/>
        <v>97</v>
      </c>
      <c r="Z432">
        <f t="shared" si="182"/>
        <v>1</v>
      </c>
      <c r="AA432">
        <f t="shared" si="197"/>
        <v>6</v>
      </c>
      <c r="AB432" t="str">
        <f t="shared" si="183"/>
        <v/>
      </c>
      <c r="AC432" t="str">
        <f t="shared" si="184"/>
        <v/>
      </c>
      <c r="AD432" t="str">
        <f t="shared" si="185"/>
        <v/>
      </c>
      <c r="AE432">
        <f t="shared" si="186"/>
        <v>0</v>
      </c>
      <c r="AF432">
        <f t="shared" si="198"/>
        <v>10</v>
      </c>
      <c r="AG432" t="str">
        <f t="shared" si="187"/>
        <v/>
      </c>
      <c r="AH432" t="str">
        <f t="shared" si="188"/>
        <v/>
      </c>
      <c r="AI432" t="str">
        <f t="shared" si="189"/>
        <v/>
      </c>
      <c r="AJ432">
        <f t="shared" si="190"/>
        <v>0</v>
      </c>
      <c r="AK432">
        <f t="shared" si="199"/>
        <v>4</v>
      </c>
      <c r="AL432" t="str">
        <f t="shared" si="191"/>
        <v/>
      </c>
      <c r="AM432" t="str">
        <f t="shared" si="192"/>
        <v/>
      </c>
      <c r="AN432" t="str">
        <f t="shared" si="193"/>
        <v/>
      </c>
      <c r="AO432">
        <f t="shared" si="194"/>
        <v>0</v>
      </c>
    </row>
    <row r="433" spans="1:41" x14ac:dyDescent="0.4">
      <c r="A433" t="str">
        <f>IF($CM$6=0,"",IF(INDEX('⑩ 원문 보관'!$A:$E,$CM$6+ROW()-9,COLUMN())="","",INDEX('⑩ 원문 보관'!$A:$E,$CM$6+ROW()-9,COLUMN())))</f>
        <v/>
      </c>
      <c r="B433" t="str">
        <f>IF($CM$6=0,"",IF(INDEX('⑩ 원문 보관'!$A:$E,$CM$6+ROW()-9,COLUMN())="","",INDEX('⑩ 원문 보관'!$A:$E,$CM$6+ROW()-9,COLUMN())))</f>
        <v xml:space="preserve">121657.0  51388.53 97 </v>
      </c>
      <c r="C433" t="str">
        <f>IF($CM$6=0,"",IF(INDEX('⑩ 원문 보관'!$A:$E,$CM$6+ROW()-9,COLUMN())="","",INDEX('⑩ 원문 보관'!$A:$E,$CM$6+ROW()-9,COLUMN())))</f>
        <v/>
      </c>
      <c r="D433" t="str">
        <f>IF($CM$6=0,"",IF(INDEX('⑩ 원문 보관'!$A:$E,$CM$6+ROW()-9,COLUMN())="","",INDEX('⑩ 원문 보관'!$A:$E,$CM$6+ROW()-9,COLUMN())))</f>
        <v/>
      </c>
      <c r="E433" t="str">
        <f>IF($CM$6=0,"",IF(INDEX('⑩ 원문 보관'!$A:$E,$CM$6+ROW()-9,COLUMN())="","",INDEX('⑩ 원문 보관'!$A:$E,$CM$6+ROW()-9,COLUMN())))</f>
        <v/>
      </c>
      <c r="Q433">
        <f t="shared" si="195"/>
        <v>8</v>
      </c>
      <c r="R433" t="str">
        <f t="shared" si="175"/>
        <v/>
      </c>
      <c r="S433" t="str">
        <f t="shared" si="176"/>
        <v/>
      </c>
      <c r="T433" t="str">
        <f t="shared" si="177"/>
        <v/>
      </c>
      <c r="U433">
        <f t="shared" si="178"/>
        <v>0</v>
      </c>
      <c r="V433">
        <f t="shared" si="196"/>
        <v>12</v>
      </c>
      <c r="W433">
        <f t="shared" si="179"/>
        <v>121657</v>
      </c>
      <c r="X433">
        <f t="shared" si="180"/>
        <v>51388.53</v>
      </c>
      <c r="Y433" t="str">
        <f t="shared" si="181"/>
        <v>97</v>
      </c>
      <c r="Z433">
        <f t="shared" si="182"/>
        <v>1</v>
      </c>
      <c r="AA433">
        <f t="shared" si="197"/>
        <v>6</v>
      </c>
      <c r="AB433" t="str">
        <f t="shared" si="183"/>
        <v/>
      </c>
      <c r="AC433" t="str">
        <f t="shared" si="184"/>
        <v/>
      </c>
      <c r="AD433" t="str">
        <f t="shared" si="185"/>
        <v/>
      </c>
      <c r="AE433">
        <f t="shared" si="186"/>
        <v>0</v>
      </c>
      <c r="AF433">
        <f t="shared" si="198"/>
        <v>10</v>
      </c>
      <c r="AG433" t="str">
        <f t="shared" si="187"/>
        <v/>
      </c>
      <c r="AH433" t="str">
        <f t="shared" si="188"/>
        <v/>
      </c>
      <c r="AI433" t="str">
        <f t="shared" si="189"/>
        <v/>
      </c>
      <c r="AJ433">
        <f t="shared" si="190"/>
        <v>0</v>
      </c>
      <c r="AK433">
        <f t="shared" si="199"/>
        <v>4</v>
      </c>
      <c r="AL433" t="str">
        <f t="shared" si="191"/>
        <v/>
      </c>
      <c r="AM433" t="str">
        <f t="shared" si="192"/>
        <v/>
      </c>
      <c r="AN433" t="str">
        <f t="shared" si="193"/>
        <v/>
      </c>
      <c r="AO433">
        <f t="shared" si="194"/>
        <v>0</v>
      </c>
    </row>
    <row r="434" spans="1:41" x14ac:dyDescent="0.4">
      <c r="A434" t="str">
        <f>IF($CM$6=0,"",IF(INDEX('⑩ 원문 보관'!$A:$E,$CM$6+ROW()-9,COLUMN())="","",INDEX('⑩ 원문 보관'!$A:$E,$CM$6+ROW()-9,COLUMN())))</f>
        <v/>
      </c>
      <c r="B434" t="str">
        <f>IF($CM$6=0,"",IF(INDEX('⑩ 원문 보관'!$A:$E,$CM$6+ROW()-9,COLUMN())="","",INDEX('⑩ 원문 보관'!$A:$E,$CM$6+ROW()-9,COLUMN())))</f>
        <v xml:space="preserve">121702.0  51388.52 97 </v>
      </c>
      <c r="C434" t="str">
        <f>IF($CM$6=0,"",IF(INDEX('⑩ 원문 보관'!$A:$E,$CM$6+ROW()-9,COLUMN())="","",INDEX('⑩ 원문 보관'!$A:$E,$CM$6+ROW()-9,COLUMN())))</f>
        <v/>
      </c>
      <c r="D434" t="str">
        <f>IF($CM$6=0,"",IF(INDEX('⑩ 원문 보관'!$A:$E,$CM$6+ROW()-9,COLUMN())="","",INDEX('⑩ 원문 보관'!$A:$E,$CM$6+ROW()-9,COLUMN())))</f>
        <v/>
      </c>
      <c r="E434" t="str">
        <f>IF($CM$6=0,"",IF(INDEX('⑩ 원문 보관'!$A:$E,$CM$6+ROW()-9,COLUMN())="","",INDEX('⑩ 원문 보관'!$A:$E,$CM$6+ROW()-9,COLUMN())))</f>
        <v/>
      </c>
      <c r="Q434">
        <f t="shared" si="195"/>
        <v>8</v>
      </c>
      <c r="R434" t="str">
        <f t="shared" si="175"/>
        <v/>
      </c>
      <c r="S434" t="str">
        <f t="shared" si="176"/>
        <v/>
      </c>
      <c r="T434" t="str">
        <f t="shared" si="177"/>
        <v/>
      </c>
      <c r="U434">
        <f t="shared" si="178"/>
        <v>0</v>
      </c>
      <c r="V434">
        <f t="shared" si="196"/>
        <v>12</v>
      </c>
      <c r="W434">
        <f t="shared" si="179"/>
        <v>121702</v>
      </c>
      <c r="X434">
        <f t="shared" si="180"/>
        <v>51388.52</v>
      </c>
      <c r="Y434" t="str">
        <f t="shared" si="181"/>
        <v>97</v>
      </c>
      <c r="Z434">
        <f t="shared" si="182"/>
        <v>1</v>
      </c>
      <c r="AA434">
        <f t="shared" si="197"/>
        <v>6</v>
      </c>
      <c r="AB434" t="str">
        <f t="shared" si="183"/>
        <v/>
      </c>
      <c r="AC434" t="str">
        <f t="shared" si="184"/>
        <v/>
      </c>
      <c r="AD434" t="str">
        <f t="shared" si="185"/>
        <v/>
      </c>
      <c r="AE434">
        <f t="shared" si="186"/>
        <v>0</v>
      </c>
      <c r="AF434">
        <f t="shared" si="198"/>
        <v>10</v>
      </c>
      <c r="AG434" t="str">
        <f t="shared" si="187"/>
        <v/>
      </c>
      <c r="AH434" t="str">
        <f t="shared" si="188"/>
        <v/>
      </c>
      <c r="AI434" t="str">
        <f t="shared" si="189"/>
        <v/>
      </c>
      <c r="AJ434">
        <f t="shared" si="190"/>
        <v>0</v>
      </c>
      <c r="AK434">
        <f t="shared" si="199"/>
        <v>4</v>
      </c>
      <c r="AL434" t="str">
        <f t="shared" si="191"/>
        <v/>
      </c>
      <c r="AM434" t="str">
        <f t="shared" si="192"/>
        <v/>
      </c>
      <c r="AN434" t="str">
        <f t="shared" si="193"/>
        <v/>
      </c>
      <c r="AO434">
        <f t="shared" si="194"/>
        <v>0</v>
      </c>
    </row>
    <row r="435" spans="1:41" x14ac:dyDescent="0.4">
      <c r="A435" t="str">
        <f>IF($CM$6=0,"",IF(INDEX('⑩ 원문 보관'!$A:$E,$CM$6+ROW()-9,COLUMN())="","",INDEX('⑩ 원문 보관'!$A:$E,$CM$6+ROW()-9,COLUMN())))</f>
        <v/>
      </c>
      <c r="B435" t="str">
        <f>IF($CM$6=0,"",IF(INDEX('⑩ 원문 보관'!$A:$E,$CM$6+ROW()-9,COLUMN())="","",INDEX('⑩ 원문 보관'!$A:$E,$CM$6+ROW()-9,COLUMN())))</f>
        <v xml:space="preserve">121707.0  51388.55 97 </v>
      </c>
      <c r="C435" t="str">
        <f>IF($CM$6=0,"",IF(INDEX('⑩ 원문 보관'!$A:$E,$CM$6+ROW()-9,COLUMN())="","",INDEX('⑩ 원문 보관'!$A:$E,$CM$6+ROW()-9,COLUMN())))</f>
        <v/>
      </c>
      <c r="D435" t="str">
        <f>IF($CM$6=0,"",IF(INDEX('⑩ 원문 보관'!$A:$E,$CM$6+ROW()-9,COLUMN())="","",INDEX('⑩ 원문 보관'!$A:$E,$CM$6+ROW()-9,COLUMN())))</f>
        <v/>
      </c>
      <c r="E435" t="str">
        <f>IF($CM$6=0,"",IF(INDEX('⑩ 원문 보관'!$A:$E,$CM$6+ROW()-9,COLUMN())="","",INDEX('⑩ 원문 보관'!$A:$E,$CM$6+ROW()-9,COLUMN())))</f>
        <v/>
      </c>
      <c r="Q435">
        <f t="shared" si="195"/>
        <v>8</v>
      </c>
      <c r="R435" t="str">
        <f t="shared" si="175"/>
        <v/>
      </c>
      <c r="S435" t="str">
        <f t="shared" si="176"/>
        <v/>
      </c>
      <c r="T435" t="str">
        <f t="shared" si="177"/>
        <v/>
      </c>
      <c r="U435">
        <f t="shared" si="178"/>
        <v>0</v>
      </c>
      <c r="V435">
        <f t="shared" si="196"/>
        <v>12</v>
      </c>
      <c r="W435">
        <f t="shared" si="179"/>
        <v>121707</v>
      </c>
      <c r="X435">
        <f t="shared" si="180"/>
        <v>51388.55</v>
      </c>
      <c r="Y435" t="str">
        <f t="shared" si="181"/>
        <v>97</v>
      </c>
      <c r="Z435">
        <f t="shared" si="182"/>
        <v>1</v>
      </c>
      <c r="AA435">
        <f t="shared" si="197"/>
        <v>6</v>
      </c>
      <c r="AB435" t="str">
        <f t="shared" si="183"/>
        <v/>
      </c>
      <c r="AC435" t="str">
        <f t="shared" si="184"/>
        <v/>
      </c>
      <c r="AD435" t="str">
        <f t="shared" si="185"/>
        <v/>
      </c>
      <c r="AE435">
        <f t="shared" si="186"/>
        <v>0</v>
      </c>
      <c r="AF435">
        <f t="shared" si="198"/>
        <v>10</v>
      </c>
      <c r="AG435" t="str">
        <f t="shared" si="187"/>
        <v/>
      </c>
      <c r="AH435" t="str">
        <f t="shared" si="188"/>
        <v/>
      </c>
      <c r="AI435" t="str">
        <f t="shared" si="189"/>
        <v/>
      </c>
      <c r="AJ435">
        <f t="shared" si="190"/>
        <v>0</v>
      </c>
      <c r="AK435">
        <f t="shared" si="199"/>
        <v>4</v>
      </c>
      <c r="AL435" t="str">
        <f t="shared" si="191"/>
        <v/>
      </c>
      <c r="AM435" t="str">
        <f t="shared" si="192"/>
        <v/>
      </c>
      <c r="AN435" t="str">
        <f t="shared" si="193"/>
        <v/>
      </c>
      <c r="AO435">
        <f t="shared" si="194"/>
        <v>0</v>
      </c>
    </row>
    <row r="436" spans="1:41" x14ac:dyDescent="0.4">
      <c r="A436" t="str">
        <f>IF($CM$6=0,"",IF(INDEX('⑩ 원문 보관'!$A:$E,$CM$6+ROW()-9,COLUMN())="","",INDEX('⑩ 원문 보관'!$A:$E,$CM$6+ROW()-9,COLUMN())))</f>
        <v/>
      </c>
      <c r="B436" t="str">
        <f>IF($CM$6=0,"",IF(INDEX('⑩ 원문 보관'!$A:$E,$CM$6+ROW()-9,COLUMN())="","",INDEX('⑩ 원문 보관'!$A:$E,$CM$6+ROW()-9,COLUMN())))</f>
        <v xml:space="preserve">121712.0  51388.60 97 </v>
      </c>
      <c r="C436" t="str">
        <f>IF($CM$6=0,"",IF(INDEX('⑩ 원문 보관'!$A:$E,$CM$6+ROW()-9,COLUMN())="","",INDEX('⑩ 원문 보관'!$A:$E,$CM$6+ROW()-9,COLUMN())))</f>
        <v/>
      </c>
      <c r="D436" t="str">
        <f>IF($CM$6=0,"",IF(INDEX('⑩ 원문 보관'!$A:$E,$CM$6+ROW()-9,COLUMN())="","",INDEX('⑩ 원문 보관'!$A:$E,$CM$6+ROW()-9,COLUMN())))</f>
        <v/>
      </c>
      <c r="E436" t="str">
        <f>IF($CM$6=0,"",IF(INDEX('⑩ 원문 보관'!$A:$E,$CM$6+ROW()-9,COLUMN())="","",INDEX('⑩ 원문 보관'!$A:$E,$CM$6+ROW()-9,COLUMN())))</f>
        <v/>
      </c>
      <c r="Q436">
        <f t="shared" si="195"/>
        <v>8</v>
      </c>
      <c r="R436" t="str">
        <f t="shared" si="175"/>
        <v/>
      </c>
      <c r="S436" t="str">
        <f t="shared" si="176"/>
        <v/>
      </c>
      <c r="T436" t="str">
        <f t="shared" si="177"/>
        <v/>
      </c>
      <c r="U436">
        <f t="shared" si="178"/>
        <v>0</v>
      </c>
      <c r="V436">
        <f t="shared" si="196"/>
        <v>12</v>
      </c>
      <c r="W436">
        <f t="shared" si="179"/>
        <v>121712</v>
      </c>
      <c r="X436">
        <f t="shared" si="180"/>
        <v>51388.6</v>
      </c>
      <c r="Y436" t="str">
        <f t="shared" si="181"/>
        <v>97</v>
      </c>
      <c r="Z436">
        <f t="shared" si="182"/>
        <v>1</v>
      </c>
      <c r="AA436">
        <f t="shared" si="197"/>
        <v>6</v>
      </c>
      <c r="AB436" t="str">
        <f t="shared" si="183"/>
        <v/>
      </c>
      <c r="AC436" t="str">
        <f t="shared" si="184"/>
        <v/>
      </c>
      <c r="AD436" t="str">
        <f t="shared" si="185"/>
        <v/>
      </c>
      <c r="AE436">
        <f t="shared" si="186"/>
        <v>0</v>
      </c>
      <c r="AF436">
        <f t="shared" si="198"/>
        <v>10</v>
      </c>
      <c r="AG436" t="str">
        <f t="shared" si="187"/>
        <v/>
      </c>
      <c r="AH436" t="str">
        <f t="shared" si="188"/>
        <v/>
      </c>
      <c r="AI436" t="str">
        <f t="shared" si="189"/>
        <v/>
      </c>
      <c r="AJ436">
        <f t="shared" si="190"/>
        <v>0</v>
      </c>
      <c r="AK436">
        <f t="shared" si="199"/>
        <v>4</v>
      </c>
      <c r="AL436" t="str">
        <f t="shared" si="191"/>
        <v/>
      </c>
      <c r="AM436" t="str">
        <f t="shared" si="192"/>
        <v/>
      </c>
      <c r="AN436" t="str">
        <f t="shared" si="193"/>
        <v/>
      </c>
      <c r="AO436">
        <f t="shared" si="194"/>
        <v>0</v>
      </c>
    </row>
    <row r="437" spans="1:41" x14ac:dyDescent="0.4">
      <c r="A437" t="str">
        <f>IF($CM$6=0,"",IF(INDEX('⑩ 원문 보관'!$A:$E,$CM$6+ROW()-9,COLUMN())="","",INDEX('⑩ 원문 보관'!$A:$E,$CM$6+ROW()-9,COLUMN())))</f>
        <v/>
      </c>
      <c r="B437" t="str">
        <f>IF($CM$6=0,"",IF(INDEX('⑩ 원문 보관'!$A:$E,$CM$6+ROW()-9,COLUMN())="","",INDEX('⑩ 원문 보관'!$A:$E,$CM$6+ROW()-9,COLUMN())))</f>
        <v xml:space="preserve">121717.0  51388.61 98 </v>
      </c>
      <c r="C437" t="str">
        <f>IF($CM$6=0,"",IF(INDEX('⑩ 원문 보관'!$A:$E,$CM$6+ROW()-9,COLUMN())="","",INDEX('⑩ 원문 보관'!$A:$E,$CM$6+ROW()-9,COLUMN())))</f>
        <v/>
      </c>
      <c r="D437" t="str">
        <f>IF($CM$6=0,"",IF(INDEX('⑩ 원문 보관'!$A:$E,$CM$6+ROW()-9,COLUMN())="","",INDEX('⑩ 원문 보관'!$A:$E,$CM$6+ROW()-9,COLUMN())))</f>
        <v/>
      </c>
      <c r="E437" t="str">
        <f>IF($CM$6=0,"",IF(INDEX('⑩ 원문 보관'!$A:$E,$CM$6+ROW()-9,COLUMN())="","",INDEX('⑩ 원문 보관'!$A:$E,$CM$6+ROW()-9,COLUMN())))</f>
        <v/>
      </c>
      <c r="Q437">
        <f t="shared" si="195"/>
        <v>8</v>
      </c>
      <c r="R437" t="str">
        <f t="shared" si="175"/>
        <v/>
      </c>
      <c r="S437" t="str">
        <f t="shared" si="176"/>
        <v/>
      </c>
      <c r="T437" t="str">
        <f t="shared" si="177"/>
        <v/>
      </c>
      <c r="U437">
        <f t="shared" si="178"/>
        <v>0</v>
      </c>
      <c r="V437">
        <f t="shared" si="196"/>
        <v>12</v>
      </c>
      <c r="W437">
        <f t="shared" si="179"/>
        <v>121717</v>
      </c>
      <c r="X437">
        <f t="shared" si="180"/>
        <v>51388.61</v>
      </c>
      <c r="Y437" t="str">
        <f t="shared" si="181"/>
        <v>98</v>
      </c>
      <c r="Z437">
        <f t="shared" si="182"/>
        <v>1</v>
      </c>
      <c r="AA437">
        <f t="shared" si="197"/>
        <v>6</v>
      </c>
      <c r="AB437" t="str">
        <f t="shared" si="183"/>
        <v/>
      </c>
      <c r="AC437" t="str">
        <f t="shared" si="184"/>
        <v/>
      </c>
      <c r="AD437" t="str">
        <f t="shared" si="185"/>
        <v/>
      </c>
      <c r="AE437">
        <f t="shared" si="186"/>
        <v>0</v>
      </c>
      <c r="AF437">
        <f t="shared" si="198"/>
        <v>10</v>
      </c>
      <c r="AG437" t="str">
        <f t="shared" si="187"/>
        <v/>
      </c>
      <c r="AH437" t="str">
        <f t="shared" si="188"/>
        <v/>
      </c>
      <c r="AI437" t="str">
        <f t="shared" si="189"/>
        <v/>
      </c>
      <c r="AJ437">
        <f t="shared" si="190"/>
        <v>0</v>
      </c>
      <c r="AK437">
        <f t="shared" si="199"/>
        <v>4</v>
      </c>
      <c r="AL437" t="str">
        <f t="shared" si="191"/>
        <v/>
      </c>
      <c r="AM437" t="str">
        <f t="shared" si="192"/>
        <v/>
      </c>
      <c r="AN437" t="str">
        <f t="shared" si="193"/>
        <v/>
      </c>
      <c r="AO437">
        <f t="shared" si="194"/>
        <v>0</v>
      </c>
    </row>
    <row r="438" spans="1:41" x14ac:dyDescent="0.4">
      <c r="A438" t="str">
        <f>IF($CM$6=0,"",IF(INDEX('⑩ 원문 보관'!$A:$E,$CM$6+ROW()-9,COLUMN())="","",INDEX('⑩ 원문 보관'!$A:$E,$CM$6+ROW()-9,COLUMN())))</f>
        <v/>
      </c>
      <c r="B438" t="str">
        <f>IF($CM$6=0,"",IF(INDEX('⑩ 원문 보관'!$A:$E,$CM$6+ROW()-9,COLUMN())="","",INDEX('⑩ 원문 보관'!$A:$E,$CM$6+ROW()-9,COLUMN())))</f>
        <v xml:space="preserve">121722.0  51388.59 98 </v>
      </c>
      <c r="C438" t="str">
        <f>IF($CM$6=0,"",IF(INDEX('⑩ 원문 보관'!$A:$E,$CM$6+ROW()-9,COLUMN())="","",INDEX('⑩ 원문 보관'!$A:$E,$CM$6+ROW()-9,COLUMN())))</f>
        <v/>
      </c>
      <c r="D438" t="str">
        <f>IF($CM$6=0,"",IF(INDEX('⑩ 원문 보관'!$A:$E,$CM$6+ROW()-9,COLUMN())="","",INDEX('⑩ 원문 보관'!$A:$E,$CM$6+ROW()-9,COLUMN())))</f>
        <v/>
      </c>
      <c r="E438" t="str">
        <f>IF($CM$6=0,"",IF(INDEX('⑩ 원문 보관'!$A:$E,$CM$6+ROW()-9,COLUMN())="","",INDEX('⑩ 원문 보관'!$A:$E,$CM$6+ROW()-9,COLUMN())))</f>
        <v/>
      </c>
      <c r="Q438">
        <f t="shared" si="195"/>
        <v>8</v>
      </c>
      <c r="R438" t="str">
        <f t="shared" si="175"/>
        <v/>
      </c>
      <c r="S438" t="str">
        <f t="shared" si="176"/>
        <v/>
      </c>
      <c r="T438" t="str">
        <f t="shared" si="177"/>
        <v/>
      </c>
      <c r="U438">
        <f t="shared" si="178"/>
        <v>0</v>
      </c>
      <c r="V438">
        <f t="shared" si="196"/>
        <v>12</v>
      </c>
      <c r="W438">
        <f t="shared" si="179"/>
        <v>121722</v>
      </c>
      <c r="X438">
        <f t="shared" si="180"/>
        <v>51388.59</v>
      </c>
      <c r="Y438" t="str">
        <f t="shared" si="181"/>
        <v>98</v>
      </c>
      <c r="Z438">
        <f t="shared" si="182"/>
        <v>1</v>
      </c>
      <c r="AA438">
        <f t="shared" si="197"/>
        <v>6</v>
      </c>
      <c r="AB438" t="str">
        <f t="shared" si="183"/>
        <v/>
      </c>
      <c r="AC438" t="str">
        <f t="shared" si="184"/>
        <v/>
      </c>
      <c r="AD438" t="str">
        <f t="shared" si="185"/>
        <v/>
      </c>
      <c r="AE438">
        <f t="shared" si="186"/>
        <v>0</v>
      </c>
      <c r="AF438">
        <f t="shared" si="198"/>
        <v>10</v>
      </c>
      <c r="AG438" t="str">
        <f t="shared" si="187"/>
        <v/>
      </c>
      <c r="AH438" t="str">
        <f t="shared" si="188"/>
        <v/>
      </c>
      <c r="AI438" t="str">
        <f t="shared" si="189"/>
        <v/>
      </c>
      <c r="AJ438">
        <f t="shared" si="190"/>
        <v>0</v>
      </c>
      <c r="AK438">
        <f t="shared" si="199"/>
        <v>4</v>
      </c>
      <c r="AL438" t="str">
        <f t="shared" si="191"/>
        <v/>
      </c>
      <c r="AM438" t="str">
        <f t="shared" si="192"/>
        <v/>
      </c>
      <c r="AN438" t="str">
        <f t="shared" si="193"/>
        <v/>
      </c>
      <c r="AO438">
        <f t="shared" si="194"/>
        <v>0</v>
      </c>
    </row>
    <row r="439" spans="1:41" x14ac:dyDescent="0.4">
      <c r="A439" t="str">
        <f>IF($CM$6=0,"",IF(INDEX('⑩ 원문 보관'!$A:$E,$CM$6+ROW()-9,COLUMN())="","",INDEX('⑩ 원문 보관'!$A:$E,$CM$6+ROW()-9,COLUMN())))</f>
        <v/>
      </c>
      <c r="B439" t="str">
        <f>IF($CM$6=0,"",IF(INDEX('⑩ 원문 보관'!$A:$E,$CM$6+ROW()-9,COLUMN())="","",INDEX('⑩ 원문 보관'!$A:$E,$CM$6+ROW()-9,COLUMN())))</f>
        <v xml:space="preserve">121727.0  51388.62 97 </v>
      </c>
      <c r="C439" t="str">
        <f>IF($CM$6=0,"",IF(INDEX('⑩ 원문 보관'!$A:$E,$CM$6+ROW()-9,COLUMN())="","",INDEX('⑩ 원문 보관'!$A:$E,$CM$6+ROW()-9,COLUMN())))</f>
        <v/>
      </c>
      <c r="D439" t="str">
        <f>IF($CM$6=0,"",IF(INDEX('⑩ 원문 보관'!$A:$E,$CM$6+ROW()-9,COLUMN())="","",INDEX('⑩ 원문 보관'!$A:$E,$CM$6+ROW()-9,COLUMN())))</f>
        <v/>
      </c>
      <c r="E439" t="str">
        <f>IF($CM$6=0,"",IF(INDEX('⑩ 원문 보관'!$A:$E,$CM$6+ROW()-9,COLUMN())="","",INDEX('⑩ 원문 보관'!$A:$E,$CM$6+ROW()-9,COLUMN())))</f>
        <v/>
      </c>
      <c r="Q439">
        <f t="shared" si="195"/>
        <v>8</v>
      </c>
      <c r="R439" t="str">
        <f t="shared" si="175"/>
        <v/>
      </c>
      <c r="S439" t="str">
        <f t="shared" si="176"/>
        <v/>
      </c>
      <c r="T439" t="str">
        <f t="shared" si="177"/>
        <v/>
      </c>
      <c r="U439">
        <f t="shared" si="178"/>
        <v>0</v>
      </c>
      <c r="V439">
        <f t="shared" si="196"/>
        <v>12</v>
      </c>
      <c r="W439">
        <f t="shared" si="179"/>
        <v>121727</v>
      </c>
      <c r="X439">
        <f t="shared" si="180"/>
        <v>51388.62</v>
      </c>
      <c r="Y439" t="str">
        <f t="shared" si="181"/>
        <v>97</v>
      </c>
      <c r="Z439">
        <f t="shared" si="182"/>
        <v>1</v>
      </c>
      <c r="AA439">
        <f t="shared" si="197"/>
        <v>6</v>
      </c>
      <c r="AB439" t="str">
        <f t="shared" si="183"/>
        <v/>
      </c>
      <c r="AC439" t="str">
        <f t="shared" si="184"/>
        <v/>
      </c>
      <c r="AD439" t="str">
        <f t="shared" si="185"/>
        <v/>
      </c>
      <c r="AE439">
        <f t="shared" si="186"/>
        <v>0</v>
      </c>
      <c r="AF439">
        <f t="shared" si="198"/>
        <v>10</v>
      </c>
      <c r="AG439" t="str">
        <f t="shared" si="187"/>
        <v/>
      </c>
      <c r="AH439" t="str">
        <f t="shared" si="188"/>
        <v/>
      </c>
      <c r="AI439" t="str">
        <f t="shared" si="189"/>
        <v/>
      </c>
      <c r="AJ439">
        <f t="shared" si="190"/>
        <v>0</v>
      </c>
      <c r="AK439">
        <f t="shared" si="199"/>
        <v>4</v>
      </c>
      <c r="AL439" t="str">
        <f t="shared" si="191"/>
        <v/>
      </c>
      <c r="AM439" t="str">
        <f t="shared" si="192"/>
        <v/>
      </c>
      <c r="AN439" t="str">
        <f t="shared" si="193"/>
        <v/>
      </c>
      <c r="AO439">
        <f t="shared" si="194"/>
        <v>0</v>
      </c>
    </row>
    <row r="440" spans="1:41" x14ac:dyDescent="0.4">
      <c r="A440" t="str">
        <f>IF($CM$6=0,"",IF(INDEX('⑩ 원문 보관'!$A:$E,$CM$6+ROW()-9,COLUMN())="","",INDEX('⑩ 원문 보관'!$A:$E,$CM$6+ROW()-9,COLUMN())))</f>
        <v/>
      </c>
      <c r="B440" t="str">
        <f>IF($CM$6=0,"",IF(INDEX('⑩ 원문 보관'!$A:$E,$CM$6+ROW()-9,COLUMN())="","",INDEX('⑩ 원문 보관'!$A:$E,$CM$6+ROW()-9,COLUMN())))</f>
        <v xml:space="preserve">121732.0  51388.71 98 </v>
      </c>
      <c r="C440" t="str">
        <f>IF($CM$6=0,"",IF(INDEX('⑩ 원문 보관'!$A:$E,$CM$6+ROW()-9,COLUMN())="","",INDEX('⑩ 원문 보관'!$A:$E,$CM$6+ROW()-9,COLUMN())))</f>
        <v/>
      </c>
      <c r="D440" t="str">
        <f>IF($CM$6=0,"",IF(INDEX('⑩ 원문 보관'!$A:$E,$CM$6+ROW()-9,COLUMN())="","",INDEX('⑩ 원문 보관'!$A:$E,$CM$6+ROW()-9,COLUMN())))</f>
        <v/>
      </c>
      <c r="E440" t="str">
        <f>IF($CM$6=0,"",IF(INDEX('⑩ 원문 보관'!$A:$E,$CM$6+ROW()-9,COLUMN())="","",INDEX('⑩ 원문 보관'!$A:$E,$CM$6+ROW()-9,COLUMN())))</f>
        <v/>
      </c>
      <c r="Q440">
        <f t="shared" si="195"/>
        <v>8</v>
      </c>
      <c r="R440" t="str">
        <f t="shared" si="175"/>
        <v/>
      </c>
      <c r="S440" t="str">
        <f t="shared" si="176"/>
        <v/>
      </c>
      <c r="T440" t="str">
        <f t="shared" si="177"/>
        <v/>
      </c>
      <c r="U440">
        <f t="shared" si="178"/>
        <v>0</v>
      </c>
      <c r="V440">
        <f t="shared" si="196"/>
        <v>12</v>
      </c>
      <c r="W440">
        <f t="shared" si="179"/>
        <v>121732</v>
      </c>
      <c r="X440">
        <f t="shared" si="180"/>
        <v>51388.71</v>
      </c>
      <c r="Y440" t="str">
        <f t="shared" si="181"/>
        <v>98</v>
      </c>
      <c r="Z440">
        <f t="shared" si="182"/>
        <v>1</v>
      </c>
      <c r="AA440">
        <f t="shared" si="197"/>
        <v>6</v>
      </c>
      <c r="AB440" t="str">
        <f t="shared" si="183"/>
        <v/>
      </c>
      <c r="AC440" t="str">
        <f t="shared" si="184"/>
        <v/>
      </c>
      <c r="AD440" t="str">
        <f t="shared" si="185"/>
        <v/>
      </c>
      <c r="AE440">
        <f t="shared" si="186"/>
        <v>0</v>
      </c>
      <c r="AF440">
        <f t="shared" si="198"/>
        <v>10</v>
      </c>
      <c r="AG440" t="str">
        <f t="shared" si="187"/>
        <v/>
      </c>
      <c r="AH440" t="str">
        <f t="shared" si="188"/>
        <v/>
      </c>
      <c r="AI440" t="str">
        <f t="shared" si="189"/>
        <v/>
      </c>
      <c r="AJ440">
        <f t="shared" si="190"/>
        <v>0</v>
      </c>
      <c r="AK440">
        <f t="shared" si="199"/>
        <v>4</v>
      </c>
      <c r="AL440" t="str">
        <f t="shared" si="191"/>
        <v/>
      </c>
      <c r="AM440" t="str">
        <f t="shared" si="192"/>
        <v/>
      </c>
      <c r="AN440" t="str">
        <f t="shared" si="193"/>
        <v/>
      </c>
      <c r="AO440">
        <f t="shared" si="194"/>
        <v>0</v>
      </c>
    </row>
    <row r="441" spans="1:41" x14ac:dyDescent="0.4">
      <c r="A441" t="str">
        <f>IF($CM$6=0,"",IF(INDEX('⑩ 원문 보관'!$A:$E,$CM$6+ROW()-9,COLUMN())="","",INDEX('⑩ 원문 보관'!$A:$E,$CM$6+ROW()-9,COLUMN())))</f>
        <v/>
      </c>
      <c r="B441" t="str">
        <f>IF($CM$6=0,"",IF(INDEX('⑩ 원문 보관'!$A:$E,$CM$6+ROW()-9,COLUMN())="","",INDEX('⑩ 원문 보관'!$A:$E,$CM$6+ROW()-9,COLUMN())))</f>
        <v xml:space="preserve">121737.0  51388.61 97 </v>
      </c>
      <c r="C441" t="str">
        <f>IF($CM$6=0,"",IF(INDEX('⑩ 원문 보관'!$A:$E,$CM$6+ROW()-9,COLUMN())="","",INDEX('⑩ 원문 보관'!$A:$E,$CM$6+ROW()-9,COLUMN())))</f>
        <v/>
      </c>
      <c r="D441" t="str">
        <f>IF($CM$6=0,"",IF(INDEX('⑩ 원문 보관'!$A:$E,$CM$6+ROW()-9,COLUMN())="","",INDEX('⑩ 원문 보관'!$A:$E,$CM$6+ROW()-9,COLUMN())))</f>
        <v/>
      </c>
      <c r="E441" t="str">
        <f>IF($CM$6=0,"",IF(INDEX('⑩ 원문 보관'!$A:$E,$CM$6+ROW()-9,COLUMN())="","",INDEX('⑩ 원문 보관'!$A:$E,$CM$6+ROW()-9,COLUMN())))</f>
        <v/>
      </c>
      <c r="Q441">
        <f t="shared" si="195"/>
        <v>8</v>
      </c>
      <c r="R441" t="str">
        <f t="shared" si="175"/>
        <v/>
      </c>
      <c r="S441" t="str">
        <f t="shared" si="176"/>
        <v/>
      </c>
      <c r="T441" t="str">
        <f t="shared" si="177"/>
        <v/>
      </c>
      <c r="U441">
        <f t="shared" si="178"/>
        <v>0</v>
      </c>
      <c r="V441">
        <f t="shared" si="196"/>
        <v>12</v>
      </c>
      <c r="W441">
        <f t="shared" si="179"/>
        <v>121737</v>
      </c>
      <c r="X441">
        <f t="shared" si="180"/>
        <v>51388.61</v>
      </c>
      <c r="Y441" t="str">
        <f t="shared" si="181"/>
        <v>97</v>
      </c>
      <c r="Z441">
        <f t="shared" si="182"/>
        <v>1</v>
      </c>
      <c r="AA441">
        <f t="shared" si="197"/>
        <v>6</v>
      </c>
      <c r="AB441" t="str">
        <f t="shared" si="183"/>
        <v/>
      </c>
      <c r="AC441" t="str">
        <f t="shared" si="184"/>
        <v/>
      </c>
      <c r="AD441" t="str">
        <f t="shared" si="185"/>
        <v/>
      </c>
      <c r="AE441">
        <f t="shared" si="186"/>
        <v>0</v>
      </c>
      <c r="AF441">
        <f t="shared" si="198"/>
        <v>10</v>
      </c>
      <c r="AG441" t="str">
        <f t="shared" si="187"/>
        <v/>
      </c>
      <c r="AH441" t="str">
        <f t="shared" si="188"/>
        <v/>
      </c>
      <c r="AI441" t="str">
        <f t="shared" si="189"/>
        <v/>
      </c>
      <c r="AJ441">
        <f t="shared" si="190"/>
        <v>0</v>
      </c>
      <c r="AK441">
        <f t="shared" si="199"/>
        <v>4</v>
      </c>
      <c r="AL441" t="str">
        <f t="shared" si="191"/>
        <v/>
      </c>
      <c r="AM441" t="str">
        <f t="shared" si="192"/>
        <v/>
      </c>
      <c r="AN441" t="str">
        <f t="shared" si="193"/>
        <v/>
      </c>
      <c r="AO441">
        <f t="shared" si="194"/>
        <v>0</v>
      </c>
    </row>
    <row r="442" spans="1:41" x14ac:dyDescent="0.4">
      <c r="A442" t="str">
        <f>IF($CM$6=0,"",IF(INDEX('⑩ 원문 보관'!$A:$E,$CM$6+ROW()-9,COLUMN())="","",INDEX('⑩ 원문 보관'!$A:$E,$CM$6+ROW()-9,COLUMN())))</f>
        <v/>
      </c>
      <c r="B442" t="str">
        <f>IF($CM$6=0,"",IF(INDEX('⑩ 원문 보관'!$A:$E,$CM$6+ROW()-9,COLUMN())="","",INDEX('⑩ 원문 보관'!$A:$E,$CM$6+ROW()-9,COLUMN())))</f>
        <v xml:space="preserve">121742.0  51388.68 98 </v>
      </c>
      <c r="C442" t="str">
        <f>IF($CM$6=0,"",IF(INDEX('⑩ 원문 보관'!$A:$E,$CM$6+ROW()-9,COLUMN())="","",INDEX('⑩ 원문 보관'!$A:$E,$CM$6+ROW()-9,COLUMN())))</f>
        <v/>
      </c>
      <c r="D442" t="str">
        <f>IF($CM$6=0,"",IF(INDEX('⑩ 원문 보관'!$A:$E,$CM$6+ROW()-9,COLUMN())="","",INDEX('⑩ 원문 보관'!$A:$E,$CM$6+ROW()-9,COLUMN())))</f>
        <v/>
      </c>
      <c r="E442" t="str">
        <f>IF($CM$6=0,"",IF(INDEX('⑩ 원문 보관'!$A:$E,$CM$6+ROW()-9,COLUMN())="","",INDEX('⑩ 원문 보관'!$A:$E,$CM$6+ROW()-9,COLUMN())))</f>
        <v/>
      </c>
      <c r="Q442">
        <f t="shared" si="195"/>
        <v>8</v>
      </c>
      <c r="R442" t="str">
        <f t="shared" si="175"/>
        <v/>
      </c>
      <c r="S442" t="str">
        <f t="shared" si="176"/>
        <v/>
      </c>
      <c r="T442" t="str">
        <f t="shared" si="177"/>
        <v/>
      </c>
      <c r="U442">
        <f t="shared" si="178"/>
        <v>0</v>
      </c>
      <c r="V442">
        <f t="shared" si="196"/>
        <v>12</v>
      </c>
      <c r="W442">
        <f t="shared" si="179"/>
        <v>121742</v>
      </c>
      <c r="X442">
        <f t="shared" si="180"/>
        <v>51388.68</v>
      </c>
      <c r="Y442" t="str">
        <f t="shared" si="181"/>
        <v>98</v>
      </c>
      <c r="Z442">
        <f t="shared" si="182"/>
        <v>1</v>
      </c>
      <c r="AA442">
        <f t="shared" si="197"/>
        <v>6</v>
      </c>
      <c r="AB442" t="str">
        <f t="shared" si="183"/>
        <v/>
      </c>
      <c r="AC442" t="str">
        <f t="shared" si="184"/>
        <v/>
      </c>
      <c r="AD442" t="str">
        <f t="shared" si="185"/>
        <v/>
      </c>
      <c r="AE442">
        <f t="shared" si="186"/>
        <v>0</v>
      </c>
      <c r="AF442">
        <f t="shared" si="198"/>
        <v>10</v>
      </c>
      <c r="AG442" t="str">
        <f t="shared" si="187"/>
        <v/>
      </c>
      <c r="AH442" t="str">
        <f t="shared" si="188"/>
        <v/>
      </c>
      <c r="AI442" t="str">
        <f t="shared" si="189"/>
        <v/>
      </c>
      <c r="AJ442">
        <f t="shared" si="190"/>
        <v>0</v>
      </c>
      <c r="AK442">
        <f t="shared" si="199"/>
        <v>4</v>
      </c>
      <c r="AL442" t="str">
        <f t="shared" si="191"/>
        <v/>
      </c>
      <c r="AM442" t="str">
        <f t="shared" si="192"/>
        <v/>
      </c>
      <c r="AN442" t="str">
        <f t="shared" si="193"/>
        <v/>
      </c>
      <c r="AO442">
        <f t="shared" si="194"/>
        <v>0</v>
      </c>
    </row>
    <row r="443" spans="1:41" x14ac:dyDescent="0.4">
      <c r="A443" t="str">
        <f>IF($CM$6=0,"",IF(INDEX('⑩ 원문 보관'!$A:$E,$CM$6+ROW()-9,COLUMN())="","",INDEX('⑩ 원문 보관'!$A:$E,$CM$6+ROW()-9,COLUMN())))</f>
        <v/>
      </c>
      <c r="B443" t="str">
        <f>IF($CM$6=0,"",IF(INDEX('⑩ 원문 보관'!$A:$E,$CM$6+ROW()-9,COLUMN())="","",INDEX('⑩ 원문 보관'!$A:$E,$CM$6+ROW()-9,COLUMN())))</f>
        <v xml:space="preserve">121747.0  51388.53 97 </v>
      </c>
      <c r="C443" t="str">
        <f>IF($CM$6=0,"",IF(INDEX('⑩ 원문 보관'!$A:$E,$CM$6+ROW()-9,COLUMN())="","",INDEX('⑩ 원문 보관'!$A:$E,$CM$6+ROW()-9,COLUMN())))</f>
        <v/>
      </c>
      <c r="D443" t="str">
        <f>IF($CM$6=0,"",IF(INDEX('⑩ 원문 보관'!$A:$E,$CM$6+ROW()-9,COLUMN())="","",INDEX('⑩ 원문 보관'!$A:$E,$CM$6+ROW()-9,COLUMN())))</f>
        <v/>
      </c>
      <c r="E443" t="str">
        <f>IF($CM$6=0,"",IF(INDEX('⑩ 원문 보관'!$A:$E,$CM$6+ROW()-9,COLUMN())="","",INDEX('⑩ 원문 보관'!$A:$E,$CM$6+ROW()-9,COLUMN())))</f>
        <v/>
      </c>
      <c r="Q443">
        <f t="shared" si="195"/>
        <v>8</v>
      </c>
      <c r="R443" t="str">
        <f t="shared" si="175"/>
        <v/>
      </c>
      <c r="S443" t="str">
        <f t="shared" si="176"/>
        <v/>
      </c>
      <c r="T443" t="str">
        <f t="shared" si="177"/>
        <v/>
      </c>
      <c r="U443">
        <f t="shared" si="178"/>
        <v>0</v>
      </c>
      <c r="V443">
        <f t="shared" si="196"/>
        <v>12</v>
      </c>
      <c r="W443">
        <f t="shared" si="179"/>
        <v>121747</v>
      </c>
      <c r="X443">
        <f t="shared" si="180"/>
        <v>51388.53</v>
      </c>
      <c r="Y443" t="str">
        <f t="shared" si="181"/>
        <v>97</v>
      </c>
      <c r="Z443">
        <f t="shared" si="182"/>
        <v>1</v>
      </c>
      <c r="AA443">
        <f t="shared" si="197"/>
        <v>6</v>
      </c>
      <c r="AB443" t="str">
        <f t="shared" si="183"/>
        <v/>
      </c>
      <c r="AC443" t="str">
        <f t="shared" si="184"/>
        <v/>
      </c>
      <c r="AD443" t="str">
        <f t="shared" si="185"/>
        <v/>
      </c>
      <c r="AE443">
        <f t="shared" si="186"/>
        <v>0</v>
      </c>
      <c r="AF443">
        <f t="shared" si="198"/>
        <v>10</v>
      </c>
      <c r="AG443" t="str">
        <f t="shared" si="187"/>
        <v/>
      </c>
      <c r="AH443" t="str">
        <f t="shared" si="188"/>
        <v/>
      </c>
      <c r="AI443" t="str">
        <f t="shared" si="189"/>
        <v/>
      </c>
      <c r="AJ443">
        <f t="shared" si="190"/>
        <v>0</v>
      </c>
      <c r="AK443">
        <f t="shared" si="199"/>
        <v>4</v>
      </c>
      <c r="AL443" t="str">
        <f t="shared" si="191"/>
        <v/>
      </c>
      <c r="AM443" t="str">
        <f t="shared" si="192"/>
        <v/>
      </c>
      <c r="AN443" t="str">
        <f t="shared" si="193"/>
        <v/>
      </c>
      <c r="AO443">
        <f t="shared" si="194"/>
        <v>0</v>
      </c>
    </row>
    <row r="444" spans="1:41" x14ac:dyDescent="0.4">
      <c r="A444" t="str">
        <f>IF($CM$6=0,"",IF(INDEX('⑩ 원문 보관'!$A:$E,$CM$6+ROW()-9,COLUMN())="","",INDEX('⑩ 원문 보관'!$A:$E,$CM$6+ROW()-9,COLUMN())))</f>
        <v/>
      </c>
      <c r="B444" t="str">
        <f>IF($CM$6=0,"",IF(INDEX('⑩ 원문 보관'!$A:$E,$CM$6+ROW()-9,COLUMN())="","",INDEX('⑩ 원문 보관'!$A:$E,$CM$6+ROW()-9,COLUMN())))</f>
        <v xml:space="preserve">121752.0  51388.55 98 </v>
      </c>
      <c r="C444" t="str">
        <f>IF($CM$6=0,"",IF(INDEX('⑩ 원문 보관'!$A:$E,$CM$6+ROW()-9,COLUMN())="","",INDEX('⑩ 원문 보관'!$A:$E,$CM$6+ROW()-9,COLUMN())))</f>
        <v/>
      </c>
      <c r="D444" t="str">
        <f>IF($CM$6=0,"",IF(INDEX('⑩ 원문 보관'!$A:$E,$CM$6+ROW()-9,COLUMN())="","",INDEX('⑩ 원문 보관'!$A:$E,$CM$6+ROW()-9,COLUMN())))</f>
        <v/>
      </c>
      <c r="E444" t="str">
        <f>IF($CM$6=0,"",IF(INDEX('⑩ 원문 보관'!$A:$E,$CM$6+ROW()-9,COLUMN())="","",INDEX('⑩ 원문 보관'!$A:$E,$CM$6+ROW()-9,COLUMN())))</f>
        <v/>
      </c>
      <c r="Q444">
        <f t="shared" si="195"/>
        <v>8</v>
      </c>
      <c r="R444" t="str">
        <f t="shared" si="175"/>
        <v/>
      </c>
      <c r="S444" t="str">
        <f t="shared" si="176"/>
        <v/>
      </c>
      <c r="T444" t="str">
        <f t="shared" si="177"/>
        <v/>
      </c>
      <c r="U444">
        <f t="shared" si="178"/>
        <v>0</v>
      </c>
      <c r="V444">
        <f t="shared" si="196"/>
        <v>12</v>
      </c>
      <c r="W444">
        <f t="shared" si="179"/>
        <v>121752</v>
      </c>
      <c r="X444">
        <f t="shared" si="180"/>
        <v>51388.55</v>
      </c>
      <c r="Y444" t="str">
        <f t="shared" si="181"/>
        <v>98</v>
      </c>
      <c r="Z444">
        <f t="shared" si="182"/>
        <v>1</v>
      </c>
      <c r="AA444">
        <f t="shared" si="197"/>
        <v>6</v>
      </c>
      <c r="AB444" t="str">
        <f t="shared" si="183"/>
        <v/>
      </c>
      <c r="AC444" t="str">
        <f t="shared" si="184"/>
        <v/>
      </c>
      <c r="AD444" t="str">
        <f t="shared" si="185"/>
        <v/>
      </c>
      <c r="AE444">
        <f t="shared" si="186"/>
        <v>0</v>
      </c>
      <c r="AF444">
        <f t="shared" si="198"/>
        <v>10</v>
      </c>
      <c r="AG444" t="str">
        <f t="shared" si="187"/>
        <v/>
      </c>
      <c r="AH444" t="str">
        <f t="shared" si="188"/>
        <v/>
      </c>
      <c r="AI444" t="str">
        <f t="shared" si="189"/>
        <v/>
      </c>
      <c r="AJ444">
        <f t="shared" si="190"/>
        <v>0</v>
      </c>
      <c r="AK444">
        <f t="shared" si="199"/>
        <v>4</v>
      </c>
      <c r="AL444" t="str">
        <f t="shared" si="191"/>
        <v/>
      </c>
      <c r="AM444" t="str">
        <f t="shared" si="192"/>
        <v/>
      </c>
      <c r="AN444" t="str">
        <f t="shared" si="193"/>
        <v/>
      </c>
      <c r="AO444">
        <f t="shared" si="194"/>
        <v>0</v>
      </c>
    </row>
    <row r="445" spans="1:41" x14ac:dyDescent="0.4">
      <c r="A445" t="str">
        <f>IF($CM$6=0,"",IF(INDEX('⑩ 원문 보관'!$A:$E,$CM$6+ROW()-9,COLUMN())="","",INDEX('⑩ 원문 보관'!$A:$E,$CM$6+ROW()-9,COLUMN())))</f>
        <v/>
      </c>
      <c r="B445" t="str">
        <f>IF($CM$6=0,"",IF(INDEX('⑩ 원문 보관'!$A:$E,$CM$6+ROW()-9,COLUMN())="","",INDEX('⑩ 원문 보관'!$A:$E,$CM$6+ROW()-9,COLUMN())))</f>
        <v xml:space="preserve">121757.0  51388.60 97 </v>
      </c>
      <c r="C445" t="str">
        <f>IF($CM$6=0,"",IF(INDEX('⑩ 원문 보관'!$A:$E,$CM$6+ROW()-9,COLUMN())="","",INDEX('⑩ 원문 보관'!$A:$E,$CM$6+ROW()-9,COLUMN())))</f>
        <v/>
      </c>
      <c r="D445" t="str">
        <f>IF($CM$6=0,"",IF(INDEX('⑩ 원문 보관'!$A:$E,$CM$6+ROW()-9,COLUMN())="","",INDEX('⑩ 원문 보관'!$A:$E,$CM$6+ROW()-9,COLUMN())))</f>
        <v/>
      </c>
      <c r="E445" t="str">
        <f>IF($CM$6=0,"",IF(INDEX('⑩ 원문 보관'!$A:$E,$CM$6+ROW()-9,COLUMN())="","",INDEX('⑩ 원문 보관'!$A:$E,$CM$6+ROW()-9,COLUMN())))</f>
        <v/>
      </c>
      <c r="Q445">
        <f t="shared" si="195"/>
        <v>8</v>
      </c>
      <c r="R445" t="str">
        <f t="shared" si="175"/>
        <v/>
      </c>
      <c r="S445" t="str">
        <f t="shared" si="176"/>
        <v/>
      </c>
      <c r="T445" t="str">
        <f t="shared" si="177"/>
        <v/>
      </c>
      <c r="U445">
        <f t="shared" si="178"/>
        <v>0</v>
      </c>
      <c r="V445">
        <f t="shared" si="196"/>
        <v>12</v>
      </c>
      <c r="W445">
        <f t="shared" si="179"/>
        <v>121757</v>
      </c>
      <c r="X445">
        <f t="shared" si="180"/>
        <v>51388.6</v>
      </c>
      <c r="Y445" t="str">
        <f t="shared" si="181"/>
        <v>97</v>
      </c>
      <c r="Z445">
        <f t="shared" si="182"/>
        <v>1</v>
      </c>
      <c r="AA445">
        <f t="shared" si="197"/>
        <v>6</v>
      </c>
      <c r="AB445" t="str">
        <f t="shared" si="183"/>
        <v/>
      </c>
      <c r="AC445" t="str">
        <f t="shared" si="184"/>
        <v/>
      </c>
      <c r="AD445" t="str">
        <f t="shared" si="185"/>
        <v/>
      </c>
      <c r="AE445">
        <f t="shared" si="186"/>
        <v>0</v>
      </c>
      <c r="AF445">
        <f t="shared" si="198"/>
        <v>10</v>
      </c>
      <c r="AG445" t="str">
        <f t="shared" si="187"/>
        <v/>
      </c>
      <c r="AH445" t="str">
        <f t="shared" si="188"/>
        <v/>
      </c>
      <c r="AI445" t="str">
        <f t="shared" si="189"/>
        <v/>
      </c>
      <c r="AJ445">
        <f t="shared" si="190"/>
        <v>0</v>
      </c>
      <c r="AK445">
        <f t="shared" si="199"/>
        <v>4</v>
      </c>
      <c r="AL445" t="str">
        <f t="shared" si="191"/>
        <v/>
      </c>
      <c r="AM445" t="str">
        <f t="shared" si="192"/>
        <v/>
      </c>
      <c r="AN445" t="str">
        <f t="shared" si="193"/>
        <v/>
      </c>
      <c r="AO445">
        <f t="shared" si="194"/>
        <v>0</v>
      </c>
    </row>
    <row r="446" spans="1:41" x14ac:dyDescent="0.4">
      <c r="A446" t="str">
        <f>IF($CM$6=0,"",IF(INDEX('⑩ 원문 보관'!$A:$E,$CM$6+ROW()-9,COLUMN())="","",INDEX('⑩ 원문 보관'!$A:$E,$CM$6+ROW()-9,COLUMN())))</f>
        <v/>
      </c>
      <c r="B446" t="str">
        <f>IF($CM$6=0,"",IF(INDEX('⑩ 원문 보관'!$A:$E,$CM$6+ROW()-9,COLUMN())="","",INDEX('⑩ 원문 보관'!$A:$E,$CM$6+ROW()-9,COLUMN())))</f>
        <v xml:space="preserve">121802.0  51388.70 97 </v>
      </c>
      <c r="C446" t="str">
        <f>IF($CM$6=0,"",IF(INDEX('⑩ 원문 보관'!$A:$E,$CM$6+ROW()-9,COLUMN())="","",INDEX('⑩ 원문 보관'!$A:$E,$CM$6+ROW()-9,COLUMN())))</f>
        <v/>
      </c>
      <c r="D446" t="str">
        <f>IF($CM$6=0,"",IF(INDEX('⑩ 원문 보관'!$A:$E,$CM$6+ROW()-9,COLUMN())="","",INDEX('⑩ 원문 보관'!$A:$E,$CM$6+ROW()-9,COLUMN())))</f>
        <v/>
      </c>
      <c r="E446" t="str">
        <f>IF($CM$6=0,"",IF(INDEX('⑩ 원문 보관'!$A:$E,$CM$6+ROW()-9,COLUMN())="","",INDEX('⑩ 원문 보관'!$A:$E,$CM$6+ROW()-9,COLUMN())))</f>
        <v/>
      </c>
      <c r="Q446">
        <f t="shared" si="195"/>
        <v>8</v>
      </c>
      <c r="R446" t="str">
        <f t="shared" si="175"/>
        <v/>
      </c>
      <c r="S446" t="str">
        <f t="shared" si="176"/>
        <v/>
      </c>
      <c r="T446" t="str">
        <f t="shared" si="177"/>
        <v/>
      </c>
      <c r="U446">
        <f t="shared" si="178"/>
        <v>0</v>
      </c>
      <c r="V446">
        <f t="shared" si="196"/>
        <v>12</v>
      </c>
      <c r="W446">
        <f t="shared" si="179"/>
        <v>121802</v>
      </c>
      <c r="X446">
        <f t="shared" si="180"/>
        <v>51388.7</v>
      </c>
      <c r="Y446" t="str">
        <f t="shared" si="181"/>
        <v>97</v>
      </c>
      <c r="Z446">
        <f t="shared" si="182"/>
        <v>1</v>
      </c>
      <c r="AA446">
        <f t="shared" si="197"/>
        <v>6</v>
      </c>
      <c r="AB446" t="str">
        <f t="shared" si="183"/>
        <v/>
      </c>
      <c r="AC446" t="str">
        <f t="shared" si="184"/>
        <v/>
      </c>
      <c r="AD446" t="str">
        <f t="shared" si="185"/>
        <v/>
      </c>
      <c r="AE446">
        <f t="shared" si="186"/>
        <v>0</v>
      </c>
      <c r="AF446">
        <f t="shared" si="198"/>
        <v>10</v>
      </c>
      <c r="AG446" t="str">
        <f t="shared" si="187"/>
        <v/>
      </c>
      <c r="AH446" t="str">
        <f t="shared" si="188"/>
        <v/>
      </c>
      <c r="AI446" t="str">
        <f t="shared" si="189"/>
        <v/>
      </c>
      <c r="AJ446">
        <f t="shared" si="190"/>
        <v>0</v>
      </c>
      <c r="AK446">
        <f t="shared" si="199"/>
        <v>4</v>
      </c>
      <c r="AL446" t="str">
        <f t="shared" si="191"/>
        <v/>
      </c>
      <c r="AM446" t="str">
        <f t="shared" si="192"/>
        <v/>
      </c>
      <c r="AN446" t="str">
        <f t="shared" si="193"/>
        <v/>
      </c>
      <c r="AO446">
        <f t="shared" si="194"/>
        <v>0</v>
      </c>
    </row>
    <row r="447" spans="1:41" x14ac:dyDescent="0.4">
      <c r="A447" t="str">
        <f>IF($CM$6=0,"",IF(INDEX('⑩ 원문 보관'!$A:$E,$CM$6+ROW()-9,COLUMN())="","",INDEX('⑩ 원문 보관'!$A:$E,$CM$6+ROW()-9,COLUMN())))</f>
        <v/>
      </c>
      <c r="B447" t="str">
        <f>IF($CM$6=0,"",IF(INDEX('⑩ 원문 보관'!$A:$E,$CM$6+ROW()-9,COLUMN())="","",INDEX('⑩ 원문 보관'!$A:$E,$CM$6+ROW()-9,COLUMN())))</f>
        <v xml:space="preserve">121807.0  51388.86 97 </v>
      </c>
      <c r="C447" t="str">
        <f>IF($CM$6=0,"",IF(INDEX('⑩ 원문 보관'!$A:$E,$CM$6+ROW()-9,COLUMN())="","",INDEX('⑩ 원문 보관'!$A:$E,$CM$6+ROW()-9,COLUMN())))</f>
        <v/>
      </c>
      <c r="D447" t="str">
        <f>IF($CM$6=0,"",IF(INDEX('⑩ 원문 보관'!$A:$E,$CM$6+ROW()-9,COLUMN())="","",INDEX('⑩ 원문 보관'!$A:$E,$CM$6+ROW()-9,COLUMN())))</f>
        <v/>
      </c>
      <c r="E447" t="str">
        <f>IF($CM$6=0,"",IF(INDEX('⑩ 원문 보관'!$A:$E,$CM$6+ROW()-9,COLUMN())="","",INDEX('⑩ 원문 보관'!$A:$E,$CM$6+ROW()-9,COLUMN())))</f>
        <v/>
      </c>
      <c r="Q447">
        <f t="shared" si="195"/>
        <v>8</v>
      </c>
      <c r="R447" t="str">
        <f t="shared" si="175"/>
        <v/>
      </c>
      <c r="S447" t="str">
        <f t="shared" si="176"/>
        <v/>
      </c>
      <c r="T447" t="str">
        <f t="shared" si="177"/>
        <v/>
      </c>
      <c r="U447">
        <f t="shared" si="178"/>
        <v>0</v>
      </c>
      <c r="V447">
        <f t="shared" si="196"/>
        <v>12</v>
      </c>
      <c r="W447">
        <f t="shared" si="179"/>
        <v>121807</v>
      </c>
      <c r="X447">
        <f t="shared" si="180"/>
        <v>51388.86</v>
      </c>
      <c r="Y447" t="str">
        <f t="shared" si="181"/>
        <v>97</v>
      </c>
      <c r="Z447">
        <f t="shared" si="182"/>
        <v>1</v>
      </c>
      <c r="AA447">
        <f t="shared" si="197"/>
        <v>6</v>
      </c>
      <c r="AB447" t="str">
        <f t="shared" si="183"/>
        <v/>
      </c>
      <c r="AC447" t="str">
        <f t="shared" si="184"/>
        <v/>
      </c>
      <c r="AD447" t="str">
        <f t="shared" si="185"/>
        <v/>
      </c>
      <c r="AE447">
        <f t="shared" si="186"/>
        <v>0</v>
      </c>
      <c r="AF447">
        <f t="shared" si="198"/>
        <v>10</v>
      </c>
      <c r="AG447" t="str">
        <f t="shared" si="187"/>
        <v/>
      </c>
      <c r="AH447" t="str">
        <f t="shared" si="188"/>
        <v/>
      </c>
      <c r="AI447" t="str">
        <f t="shared" si="189"/>
        <v/>
      </c>
      <c r="AJ447">
        <f t="shared" si="190"/>
        <v>0</v>
      </c>
      <c r="AK447">
        <f t="shared" si="199"/>
        <v>4</v>
      </c>
      <c r="AL447" t="str">
        <f t="shared" si="191"/>
        <v/>
      </c>
      <c r="AM447" t="str">
        <f t="shared" si="192"/>
        <v/>
      </c>
      <c r="AN447" t="str">
        <f t="shared" si="193"/>
        <v/>
      </c>
      <c r="AO447">
        <f t="shared" si="194"/>
        <v>0</v>
      </c>
    </row>
    <row r="448" spans="1:41" x14ac:dyDescent="0.4">
      <c r="A448" t="str">
        <f>IF($CM$6=0,"",IF(INDEX('⑩ 원문 보관'!$A:$E,$CM$6+ROW()-9,COLUMN())="","",INDEX('⑩ 원문 보관'!$A:$E,$CM$6+ROW()-9,COLUMN())))</f>
        <v/>
      </c>
      <c r="B448" t="str">
        <f>IF($CM$6=0,"",IF(INDEX('⑩ 원문 보관'!$A:$E,$CM$6+ROW()-9,COLUMN())="","",INDEX('⑩ 원문 보관'!$A:$E,$CM$6+ROW()-9,COLUMN())))</f>
        <v/>
      </c>
      <c r="C448" t="str">
        <f>IF($CM$6=0,"",IF(INDEX('⑩ 원문 보관'!$A:$E,$CM$6+ROW()-9,COLUMN())="","",INDEX('⑩ 원문 보관'!$A:$E,$CM$6+ROW()-9,COLUMN())))</f>
        <v/>
      </c>
      <c r="D448" t="str">
        <f>IF($CM$6=0,"",IF(INDEX('⑩ 원문 보관'!$A:$E,$CM$6+ROW()-9,COLUMN())="","",INDEX('⑩ 원문 보관'!$A:$E,$CM$6+ROW()-9,COLUMN())))</f>
        <v/>
      </c>
      <c r="E448" t="str">
        <f>IF($CM$6=0,"",IF(INDEX('⑩ 원문 보관'!$A:$E,$CM$6+ROW()-9,COLUMN())="","",INDEX('⑩ 원문 보관'!$A:$E,$CM$6+ROW()-9,COLUMN())))</f>
        <v/>
      </c>
      <c r="Q448">
        <f t="shared" si="195"/>
        <v>8</v>
      </c>
      <c r="R448" t="str">
        <f t="shared" si="175"/>
        <v/>
      </c>
      <c r="S448" t="str">
        <f t="shared" si="176"/>
        <v/>
      </c>
      <c r="T448" t="str">
        <f t="shared" si="177"/>
        <v/>
      </c>
      <c r="U448">
        <f t="shared" si="178"/>
        <v>0</v>
      </c>
      <c r="V448">
        <f t="shared" si="196"/>
        <v>12</v>
      </c>
      <c r="W448" t="str">
        <f t="shared" si="179"/>
        <v/>
      </c>
      <c r="X448" t="str">
        <f t="shared" si="180"/>
        <v/>
      </c>
      <c r="Y448" t="str">
        <f t="shared" si="181"/>
        <v/>
      </c>
      <c r="Z448">
        <f t="shared" si="182"/>
        <v>0</v>
      </c>
      <c r="AA448">
        <f t="shared" si="197"/>
        <v>6</v>
      </c>
      <c r="AB448" t="str">
        <f t="shared" si="183"/>
        <v/>
      </c>
      <c r="AC448" t="str">
        <f t="shared" si="184"/>
        <v/>
      </c>
      <c r="AD448" t="str">
        <f t="shared" si="185"/>
        <v/>
      </c>
      <c r="AE448">
        <f t="shared" si="186"/>
        <v>0</v>
      </c>
      <c r="AF448">
        <f t="shared" si="198"/>
        <v>10</v>
      </c>
      <c r="AG448" t="str">
        <f t="shared" si="187"/>
        <v/>
      </c>
      <c r="AH448" t="str">
        <f t="shared" si="188"/>
        <v/>
      </c>
      <c r="AI448" t="str">
        <f t="shared" si="189"/>
        <v/>
      </c>
      <c r="AJ448">
        <f t="shared" si="190"/>
        <v>0</v>
      </c>
      <c r="AK448">
        <f t="shared" si="199"/>
        <v>4</v>
      </c>
      <c r="AL448" t="str">
        <f t="shared" si="191"/>
        <v/>
      </c>
      <c r="AM448" t="str">
        <f t="shared" si="192"/>
        <v/>
      </c>
      <c r="AN448" t="str">
        <f t="shared" si="193"/>
        <v/>
      </c>
      <c r="AO448">
        <f t="shared" si="194"/>
        <v>0</v>
      </c>
    </row>
    <row r="449" spans="1:41" x14ac:dyDescent="0.4">
      <c r="A449" t="str">
        <f>IF($CM$6=0,"",IF(INDEX('⑩ 원문 보관'!$A:$E,$CM$6+ROW()-9,COLUMN())="","",INDEX('⑩ 원문 보관'!$A:$E,$CM$6+ROW()-9,COLUMN())))</f>
        <v/>
      </c>
      <c r="B449" t="str">
        <f>IF($CM$6=0,"",IF(INDEX('⑩ 원문 보관'!$A:$E,$CM$6+ROW()-9,COLUMN())="","",INDEX('⑩ 원문 보관'!$A:$E,$CM$6+ROW()-9,COLUMN())))</f>
        <v/>
      </c>
      <c r="C449" t="str">
        <f>IF($CM$6=0,"",IF(INDEX('⑩ 원문 보관'!$A:$E,$CM$6+ROW()-9,COLUMN())="","",INDEX('⑩ 원문 보관'!$A:$E,$CM$6+ROW()-9,COLUMN())))</f>
        <v/>
      </c>
      <c r="D449" t="str">
        <f>IF($CM$6=0,"",IF(INDEX('⑩ 원문 보관'!$A:$E,$CM$6+ROW()-9,COLUMN())="","",INDEX('⑩ 원문 보관'!$A:$E,$CM$6+ROW()-9,COLUMN())))</f>
        <v/>
      </c>
      <c r="E449" t="str">
        <f>IF($CM$6=0,"",IF(INDEX('⑩ 원문 보관'!$A:$E,$CM$6+ROW()-9,COLUMN())="","",INDEX('⑩ 원문 보관'!$A:$E,$CM$6+ROW()-9,COLUMN())))</f>
        <v/>
      </c>
      <c r="Q449">
        <f t="shared" si="195"/>
        <v>8</v>
      </c>
      <c r="R449" t="str">
        <f t="shared" si="175"/>
        <v/>
      </c>
      <c r="S449" t="str">
        <f t="shared" si="176"/>
        <v/>
      </c>
      <c r="T449" t="str">
        <f t="shared" si="177"/>
        <v/>
      </c>
      <c r="U449">
        <f t="shared" si="178"/>
        <v>0</v>
      </c>
      <c r="V449">
        <f t="shared" si="196"/>
        <v>12</v>
      </c>
      <c r="W449" t="str">
        <f t="shared" si="179"/>
        <v/>
      </c>
      <c r="X449" t="str">
        <f t="shared" si="180"/>
        <v/>
      </c>
      <c r="Y449" t="str">
        <f t="shared" si="181"/>
        <v/>
      </c>
      <c r="Z449">
        <f t="shared" si="182"/>
        <v>0</v>
      </c>
      <c r="AA449">
        <f t="shared" si="197"/>
        <v>6</v>
      </c>
      <c r="AB449" t="str">
        <f t="shared" si="183"/>
        <v/>
      </c>
      <c r="AC449" t="str">
        <f t="shared" si="184"/>
        <v/>
      </c>
      <c r="AD449" t="str">
        <f t="shared" si="185"/>
        <v/>
      </c>
      <c r="AE449">
        <f t="shared" si="186"/>
        <v>0</v>
      </c>
      <c r="AF449">
        <f t="shared" si="198"/>
        <v>10</v>
      </c>
      <c r="AG449" t="str">
        <f t="shared" si="187"/>
        <v/>
      </c>
      <c r="AH449" t="str">
        <f t="shared" si="188"/>
        <v/>
      </c>
      <c r="AI449" t="str">
        <f t="shared" si="189"/>
        <v/>
      </c>
      <c r="AJ449">
        <f t="shared" si="190"/>
        <v>0</v>
      </c>
      <c r="AK449">
        <f t="shared" si="199"/>
        <v>4</v>
      </c>
      <c r="AL449" t="str">
        <f t="shared" si="191"/>
        <v/>
      </c>
      <c r="AM449" t="str">
        <f t="shared" si="192"/>
        <v/>
      </c>
      <c r="AN449" t="str">
        <f t="shared" si="193"/>
        <v/>
      </c>
      <c r="AO449">
        <f t="shared" si="194"/>
        <v>0</v>
      </c>
    </row>
    <row r="450" spans="1:41" x14ac:dyDescent="0.4">
      <c r="A450" t="str">
        <f>IF($CM$6=0,"",IF(INDEX('⑩ 원문 보관'!$A:$E,$CM$6+ROW()-9,COLUMN())="","",INDEX('⑩ 원문 보관'!$A:$E,$CM$6+ROW()-9,COLUMN())))</f>
        <v/>
      </c>
      <c r="B450" t="str">
        <f>IF($CM$6=0,"",IF(INDEX('⑩ 원문 보관'!$A:$E,$CM$6+ROW()-9,COLUMN())="","",INDEX('⑩ 원문 보관'!$A:$E,$CM$6+ROW()-9,COLUMN())))</f>
        <v xml:space="preserve">/Gem Systems GSM-19T 4106808 v7.0 26 IX 2014 M t-e2l..v7o                         </v>
      </c>
      <c r="C450" t="str">
        <f>IF($CM$6=0,"",IF(INDEX('⑩ 원문 보관'!$A:$E,$CM$6+ROW()-9,COLUMN())="","",INDEX('⑩ 원문 보관'!$A:$E,$CM$6+ROW()-9,COLUMN())))</f>
        <v/>
      </c>
      <c r="D450" t="str">
        <f>IF($CM$6=0,"",IF(INDEX('⑩ 원문 보관'!$A:$E,$CM$6+ROW()-9,COLUMN())="","",INDEX('⑩ 원문 보관'!$A:$E,$CM$6+ROW()-9,COLUMN())))</f>
        <v/>
      </c>
      <c r="E450" t="str">
        <f>IF($CM$6=0,"",IF(INDEX('⑩ 원문 보관'!$A:$E,$CM$6+ROW()-9,COLUMN())="","",INDEX('⑩ 원문 보관'!$A:$E,$CM$6+ROW()-9,COLUMN())))</f>
        <v/>
      </c>
      <c r="Q450">
        <f t="shared" si="195"/>
        <v>8</v>
      </c>
      <c r="R450" t="str">
        <f t="shared" si="175"/>
        <v/>
      </c>
      <c r="S450" t="str">
        <f t="shared" si="176"/>
        <v/>
      </c>
      <c r="T450" t="str">
        <f t="shared" si="177"/>
        <v/>
      </c>
      <c r="U450">
        <f t="shared" si="178"/>
        <v>0</v>
      </c>
      <c r="V450">
        <f t="shared" si="196"/>
        <v>12</v>
      </c>
      <c r="W450" t="str">
        <f t="shared" si="179"/>
        <v/>
      </c>
      <c r="X450" t="str">
        <f t="shared" si="180"/>
        <v/>
      </c>
      <c r="Y450" t="str">
        <f t="shared" si="181"/>
        <v>GSM-19T</v>
      </c>
      <c r="Z450">
        <f t="shared" si="182"/>
        <v>0</v>
      </c>
      <c r="AA450">
        <f t="shared" si="197"/>
        <v>6</v>
      </c>
      <c r="AB450" t="str">
        <f t="shared" si="183"/>
        <v/>
      </c>
      <c r="AC450" t="str">
        <f t="shared" si="184"/>
        <v/>
      </c>
      <c r="AD450" t="str">
        <f t="shared" si="185"/>
        <v/>
      </c>
      <c r="AE450">
        <f t="shared" si="186"/>
        <v>0</v>
      </c>
      <c r="AF450">
        <f t="shared" si="198"/>
        <v>10</v>
      </c>
      <c r="AG450" t="str">
        <f t="shared" si="187"/>
        <v/>
      </c>
      <c r="AH450" t="str">
        <f t="shared" si="188"/>
        <v/>
      </c>
      <c r="AI450" t="str">
        <f t="shared" si="189"/>
        <v/>
      </c>
      <c r="AJ450">
        <f t="shared" si="190"/>
        <v>0</v>
      </c>
      <c r="AK450">
        <f t="shared" si="199"/>
        <v>4</v>
      </c>
      <c r="AL450" t="str">
        <f t="shared" si="191"/>
        <v/>
      </c>
      <c r="AM450" t="str">
        <f t="shared" si="192"/>
        <v/>
      </c>
      <c r="AN450" t="str">
        <f t="shared" si="193"/>
        <v/>
      </c>
      <c r="AO450">
        <f t="shared" si="194"/>
        <v>0</v>
      </c>
    </row>
    <row r="451" spans="1:41" x14ac:dyDescent="0.4">
      <c r="A451" t="str">
        <f>IF($CM$6=0,"",IF(INDEX('⑩ 원문 보관'!$A:$E,$CM$6+ROW()-9,COLUMN())="","",INDEX('⑩ 원문 보관'!$A:$E,$CM$6+ROW()-9,COLUMN())))</f>
        <v/>
      </c>
      <c r="B451" t="str">
        <f>IF($CM$6=0,"",IF(INDEX('⑩ 원문 보관'!$A:$E,$CM$6+ROW()-9,COLUMN())="","",INDEX('⑩ 원문 보관'!$A:$E,$CM$6+ROW()-9,COLUMN())))</f>
        <v>/ID 2666</v>
      </c>
      <c r="C451" t="str">
        <f>IF($CM$6=0,"",IF(INDEX('⑩ 원문 보관'!$A:$E,$CM$6+ROW()-9,COLUMN())="","",INDEX('⑩ 원문 보관'!$A:$E,$CM$6+ROW()-9,COLUMN())))</f>
        <v/>
      </c>
      <c r="D451" t="str">
        <f>IF($CM$6=0,"",IF(INDEX('⑩ 원문 보관'!$A:$E,$CM$6+ROW()-9,COLUMN())="","",INDEX('⑩ 원문 보관'!$A:$E,$CM$6+ROW()-9,COLUMN())))</f>
        <v/>
      </c>
      <c r="E451" t="str">
        <f>IF($CM$6=0,"",IF(INDEX('⑩ 원문 보관'!$A:$E,$CM$6+ROW()-9,COLUMN())="","",INDEX('⑩ 원문 보관'!$A:$E,$CM$6+ROW()-9,COLUMN())))</f>
        <v/>
      </c>
      <c r="Q451">
        <f t="shared" si="195"/>
        <v>8</v>
      </c>
      <c r="R451" t="str">
        <f t="shared" si="175"/>
        <v/>
      </c>
      <c r="S451" t="str">
        <f t="shared" si="176"/>
        <v/>
      </c>
      <c r="T451" t="str">
        <f t="shared" si="177"/>
        <v/>
      </c>
      <c r="U451">
        <f t="shared" si="178"/>
        <v>0</v>
      </c>
      <c r="V451">
        <f t="shared" si="196"/>
        <v>12</v>
      </c>
      <c r="W451" t="str">
        <f t="shared" si="179"/>
        <v/>
      </c>
      <c r="X451">
        <f t="shared" si="180"/>
        <v>2666</v>
      </c>
      <c r="Y451" t="str">
        <f t="shared" si="181"/>
        <v/>
      </c>
      <c r="Z451">
        <f t="shared" si="182"/>
        <v>0</v>
      </c>
      <c r="AA451">
        <f t="shared" si="197"/>
        <v>6</v>
      </c>
      <c r="AB451" t="str">
        <f t="shared" si="183"/>
        <v/>
      </c>
      <c r="AC451" t="str">
        <f t="shared" si="184"/>
        <v/>
      </c>
      <c r="AD451" t="str">
        <f t="shared" si="185"/>
        <v/>
      </c>
      <c r="AE451">
        <f t="shared" si="186"/>
        <v>0</v>
      </c>
      <c r="AF451">
        <f t="shared" si="198"/>
        <v>10</v>
      </c>
      <c r="AG451" t="str">
        <f t="shared" si="187"/>
        <v/>
      </c>
      <c r="AH451" t="str">
        <f t="shared" si="188"/>
        <v/>
      </c>
      <c r="AI451" t="str">
        <f t="shared" si="189"/>
        <v/>
      </c>
      <c r="AJ451">
        <f t="shared" si="190"/>
        <v>0</v>
      </c>
      <c r="AK451">
        <f t="shared" si="199"/>
        <v>4</v>
      </c>
      <c r="AL451" t="str">
        <f t="shared" si="191"/>
        <v/>
      </c>
      <c r="AM451" t="str">
        <f t="shared" si="192"/>
        <v/>
      </c>
      <c r="AN451" t="str">
        <f t="shared" si="193"/>
        <v/>
      </c>
      <c r="AO451">
        <f t="shared" si="194"/>
        <v>0</v>
      </c>
    </row>
    <row r="452" spans="1:41" x14ac:dyDescent="0.4">
      <c r="A452" t="str">
        <f>IF($CM$6=0,"",IF(INDEX('⑩ 원문 보관'!$A:$E,$CM$6+ROW()-9,COLUMN())="","",INDEX('⑩ 원문 보관'!$A:$E,$CM$6+ROW()-9,COLUMN())))</f>
        <v/>
      </c>
      <c r="B452" t="str">
        <f>IF($CM$6=0,"",IF(INDEX('⑩ 원문 보관'!$A:$E,$CM$6+ROW()-9,COLUMN())="","",INDEX('⑩ 원문 보관'!$A:$E,$CM$6+ROW()-9,COLUMN())))</f>
        <v/>
      </c>
      <c r="C452" t="str">
        <f>IF($CM$6=0,"",IF(INDEX('⑩ 원문 보관'!$A:$E,$CM$6+ROW()-9,COLUMN())="","",INDEX('⑩ 원문 보관'!$A:$E,$CM$6+ROW()-9,COLUMN())))</f>
        <v/>
      </c>
      <c r="D452" t="str">
        <f>IF($CM$6=0,"",IF(INDEX('⑩ 원문 보관'!$A:$E,$CM$6+ROW()-9,COLUMN())="","",INDEX('⑩ 원문 보관'!$A:$E,$CM$6+ROW()-9,COLUMN())))</f>
        <v/>
      </c>
      <c r="E452" t="str">
        <f>IF($CM$6=0,"",IF(INDEX('⑩ 원문 보관'!$A:$E,$CM$6+ROW()-9,COLUMN())="","",INDEX('⑩ 원문 보관'!$A:$E,$CM$6+ROW()-9,COLUMN())))</f>
        <v/>
      </c>
      <c r="Q452">
        <f t="shared" si="195"/>
        <v>8</v>
      </c>
      <c r="R452" t="str">
        <f t="shared" si="175"/>
        <v/>
      </c>
      <c r="S452" t="str">
        <f t="shared" si="176"/>
        <v/>
      </c>
      <c r="T452" t="str">
        <f t="shared" si="177"/>
        <v/>
      </c>
      <c r="U452">
        <f t="shared" si="178"/>
        <v>0</v>
      </c>
      <c r="V452">
        <f t="shared" si="196"/>
        <v>12</v>
      </c>
      <c r="W452" t="str">
        <f t="shared" si="179"/>
        <v/>
      </c>
      <c r="X452" t="str">
        <f t="shared" si="180"/>
        <v/>
      </c>
      <c r="Y452" t="str">
        <f t="shared" si="181"/>
        <v/>
      </c>
      <c r="Z452">
        <f t="shared" si="182"/>
        <v>0</v>
      </c>
      <c r="AA452">
        <f t="shared" si="197"/>
        <v>6</v>
      </c>
      <c r="AB452" t="str">
        <f t="shared" si="183"/>
        <v/>
      </c>
      <c r="AC452" t="str">
        <f t="shared" si="184"/>
        <v/>
      </c>
      <c r="AD452" t="str">
        <f t="shared" si="185"/>
        <v/>
      </c>
      <c r="AE452">
        <f t="shared" si="186"/>
        <v>0</v>
      </c>
      <c r="AF452">
        <f t="shared" si="198"/>
        <v>10</v>
      </c>
      <c r="AG452" t="str">
        <f t="shared" si="187"/>
        <v/>
      </c>
      <c r="AH452" t="str">
        <f t="shared" si="188"/>
        <v/>
      </c>
      <c r="AI452" t="str">
        <f t="shared" si="189"/>
        <v/>
      </c>
      <c r="AJ452">
        <f t="shared" si="190"/>
        <v>0</v>
      </c>
      <c r="AK452">
        <f t="shared" si="199"/>
        <v>4</v>
      </c>
      <c r="AL452" t="str">
        <f t="shared" si="191"/>
        <v/>
      </c>
      <c r="AM452" t="str">
        <f t="shared" si="192"/>
        <v/>
      </c>
      <c r="AN452" t="str">
        <f t="shared" si="193"/>
        <v/>
      </c>
      <c r="AO452">
        <f t="shared" si="194"/>
        <v>0</v>
      </c>
    </row>
    <row r="453" spans="1:41" x14ac:dyDescent="0.4">
      <c r="A453" t="str">
        <f>IF($CM$6=0,"",IF(INDEX('⑩ 원문 보관'!$A:$E,$CM$6+ROW()-9,COLUMN())="","",INDEX('⑩ 원문 보관'!$A:$E,$CM$6+ROW()-9,COLUMN())))</f>
        <v/>
      </c>
      <c r="B453" t="str">
        <f>IF($CM$6=0,"",IF(INDEX('⑩ 원문 보관'!$A:$E,$CM$6+ROW()-9,COLUMN())="","",INDEX('⑩ 원문 보관'!$A:$E,$CM$6+ROW()-9,COLUMN())))</f>
        <v/>
      </c>
      <c r="C453" t="str">
        <f>IF($CM$6=0,"",IF(INDEX('⑩ 원문 보관'!$A:$E,$CM$6+ROW()-9,COLUMN())="","",INDEX('⑩ 원문 보관'!$A:$E,$CM$6+ROW()-9,COLUMN())))</f>
        <v/>
      </c>
      <c r="D453" t="str">
        <f>IF($CM$6=0,"",IF(INDEX('⑩ 원문 보관'!$A:$E,$CM$6+ROW()-9,COLUMN())="","",INDEX('⑩ 원문 보관'!$A:$E,$CM$6+ROW()-9,COLUMN())))</f>
        <v/>
      </c>
      <c r="E453" t="str">
        <f>IF($CM$6=0,"",IF(INDEX('⑩ 원문 보관'!$A:$E,$CM$6+ROW()-9,COLUMN())="","",INDEX('⑩ 원문 보관'!$A:$E,$CM$6+ROW()-9,COLUMN())))</f>
        <v/>
      </c>
      <c r="Q453">
        <f t="shared" si="195"/>
        <v>8</v>
      </c>
      <c r="R453" t="str">
        <f t="shared" si="175"/>
        <v/>
      </c>
      <c r="S453" t="str">
        <f t="shared" si="176"/>
        <v/>
      </c>
      <c r="T453" t="str">
        <f t="shared" si="177"/>
        <v/>
      </c>
      <c r="U453">
        <f t="shared" si="178"/>
        <v>0</v>
      </c>
      <c r="V453">
        <f t="shared" si="196"/>
        <v>12</v>
      </c>
      <c r="W453" t="str">
        <f t="shared" si="179"/>
        <v/>
      </c>
      <c r="X453" t="str">
        <f t="shared" si="180"/>
        <v/>
      </c>
      <c r="Y453" t="str">
        <f t="shared" si="181"/>
        <v/>
      </c>
      <c r="Z453">
        <f t="shared" si="182"/>
        <v>0</v>
      </c>
      <c r="AA453">
        <f t="shared" si="197"/>
        <v>6</v>
      </c>
      <c r="AB453" t="str">
        <f t="shared" si="183"/>
        <v/>
      </c>
      <c r="AC453" t="str">
        <f t="shared" si="184"/>
        <v/>
      </c>
      <c r="AD453" t="str">
        <f t="shared" si="185"/>
        <v/>
      </c>
      <c r="AE453">
        <f t="shared" si="186"/>
        <v>0</v>
      </c>
      <c r="AF453">
        <f t="shared" si="198"/>
        <v>10</v>
      </c>
      <c r="AG453" t="str">
        <f t="shared" si="187"/>
        <v/>
      </c>
      <c r="AH453" t="str">
        <f t="shared" si="188"/>
        <v/>
      </c>
      <c r="AI453" t="str">
        <f t="shared" si="189"/>
        <v/>
      </c>
      <c r="AJ453">
        <f t="shared" si="190"/>
        <v>0</v>
      </c>
      <c r="AK453">
        <f t="shared" si="199"/>
        <v>4</v>
      </c>
      <c r="AL453" t="str">
        <f t="shared" si="191"/>
        <v/>
      </c>
      <c r="AM453" t="str">
        <f t="shared" si="192"/>
        <v/>
      </c>
      <c r="AN453" t="str">
        <f t="shared" si="193"/>
        <v/>
      </c>
      <c r="AO453">
        <f t="shared" si="194"/>
        <v>0</v>
      </c>
    </row>
    <row r="454" spans="1:41" x14ac:dyDescent="0.4">
      <c r="A454" t="str">
        <f>IF($CM$6=0,"",IF(INDEX('⑩ 원문 보관'!$A:$E,$CM$6+ROW()-9,COLUMN())="","",INDEX('⑩ 원문 보관'!$A:$E,$CM$6+ROW()-9,COLUMN())))</f>
        <v/>
      </c>
      <c r="B454" t="str">
        <f>IF($CM$6=0,"",IF(INDEX('⑩ 원문 보관'!$A:$E,$CM$6+ROW()-9,COLUMN())="","",INDEX('⑩ 원문 보관'!$A:$E,$CM$6+ROW()-9,COLUMN())))</f>
        <v/>
      </c>
      <c r="C454" t="str">
        <f>IF($CM$6=0,"",IF(INDEX('⑩ 원문 보관'!$A:$E,$CM$6+ROW()-9,COLUMN())="","",INDEX('⑩ 원문 보관'!$A:$E,$CM$6+ROW()-9,COLUMN())))</f>
        <v/>
      </c>
      <c r="D454" t="str">
        <f>IF($CM$6=0,"",IF(INDEX('⑩ 원문 보관'!$A:$E,$CM$6+ROW()-9,COLUMN())="","",INDEX('⑩ 원문 보관'!$A:$E,$CM$6+ROW()-9,COLUMN())))</f>
        <v/>
      </c>
      <c r="E454" t="str">
        <f>IF($CM$6=0,"",IF(INDEX('⑩ 원문 보관'!$A:$E,$CM$6+ROW()-9,COLUMN())="","",INDEX('⑩ 원문 보관'!$A:$E,$CM$6+ROW()-9,COLUMN())))</f>
        <v/>
      </c>
      <c r="Q454">
        <f t="shared" si="195"/>
        <v>8</v>
      </c>
      <c r="R454" t="str">
        <f t="shared" si="175"/>
        <v/>
      </c>
      <c r="S454" t="str">
        <f t="shared" si="176"/>
        <v/>
      </c>
      <c r="T454" t="str">
        <f t="shared" si="177"/>
        <v/>
      </c>
      <c r="U454">
        <f t="shared" si="178"/>
        <v>0</v>
      </c>
      <c r="V454">
        <f t="shared" si="196"/>
        <v>12</v>
      </c>
      <c r="W454" t="str">
        <f t="shared" si="179"/>
        <v/>
      </c>
      <c r="X454" t="str">
        <f t="shared" si="180"/>
        <v/>
      </c>
      <c r="Y454" t="str">
        <f t="shared" si="181"/>
        <v/>
      </c>
      <c r="Z454">
        <f t="shared" si="182"/>
        <v>0</v>
      </c>
      <c r="AA454">
        <f t="shared" si="197"/>
        <v>6</v>
      </c>
      <c r="AB454" t="str">
        <f t="shared" si="183"/>
        <v/>
      </c>
      <c r="AC454" t="str">
        <f t="shared" si="184"/>
        <v/>
      </c>
      <c r="AD454" t="str">
        <f t="shared" si="185"/>
        <v/>
      </c>
      <c r="AE454">
        <f t="shared" si="186"/>
        <v>0</v>
      </c>
      <c r="AF454">
        <f t="shared" si="198"/>
        <v>10</v>
      </c>
      <c r="AG454" t="str">
        <f t="shared" si="187"/>
        <v/>
      </c>
      <c r="AH454" t="str">
        <f t="shared" si="188"/>
        <v/>
      </c>
      <c r="AI454" t="str">
        <f t="shared" si="189"/>
        <v/>
      </c>
      <c r="AJ454">
        <f t="shared" si="190"/>
        <v>0</v>
      </c>
      <c r="AK454">
        <f t="shared" si="199"/>
        <v>4</v>
      </c>
      <c r="AL454" t="str">
        <f t="shared" si="191"/>
        <v/>
      </c>
      <c r="AM454" t="str">
        <f t="shared" si="192"/>
        <v/>
      </c>
      <c r="AN454" t="str">
        <f t="shared" si="193"/>
        <v/>
      </c>
      <c r="AO454">
        <f t="shared" si="194"/>
        <v>0</v>
      </c>
    </row>
    <row r="455" spans="1:41" x14ac:dyDescent="0.4">
      <c r="A455" t="str">
        <f>IF($CM$6=0,"",IF(INDEX('⑩ 원문 보관'!$A:$E,$CM$6+ROW()-9,COLUMN())="","",INDEX('⑩ 원문 보관'!$A:$E,$CM$6+ROW()-9,COLUMN())))</f>
        <v/>
      </c>
      <c r="B455" t="str">
        <f>IF($CM$6=0,"",IF(INDEX('⑩ 원문 보관'!$A:$E,$CM$6+ROW()-9,COLUMN())="","",INDEX('⑩ 원문 보관'!$A:$E,$CM$6+ROW()-9,COLUMN())))</f>
        <v/>
      </c>
      <c r="C455" t="str">
        <f>IF($CM$6=0,"",IF(INDEX('⑩ 원문 보관'!$A:$E,$CM$6+ROW()-9,COLUMN())="","",INDEX('⑩ 원문 보관'!$A:$E,$CM$6+ROW()-9,COLUMN())))</f>
        <v/>
      </c>
      <c r="D455" t="str">
        <f>IF($CM$6=0,"",IF(INDEX('⑩ 원문 보관'!$A:$E,$CM$6+ROW()-9,COLUMN())="","",INDEX('⑩ 원문 보관'!$A:$E,$CM$6+ROW()-9,COLUMN())))</f>
        <v/>
      </c>
      <c r="E455" t="str">
        <f>IF($CM$6=0,"",IF(INDEX('⑩ 원문 보관'!$A:$E,$CM$6+ROW()-9,COLUMN())="","",INDEX('⑩ 원문 보관'!$A:$E,$CM$6+ROW()-9,COLUMN())))</f>
        <v/>
      </c>
      <c r="Q455">
        <f t="shared" si="195"/>
        <v>8</v>
      </c>
      <c r="R455" t="str">
        <f t="shared" si="175"/>
        <v/>
      </c>
      <c r="S455" t="str">
        <f t="shared" si="176"/>
        <v/>
      </c>
      <c r="T455" t="str">
        <f t="shared" si="177"/>
        <v/>
      </c>
      <c r="U455">
        <f t="shared" si="178"/>
        <v>0</v>
      </c>
      <c r="V455">
        <f t="shared" si="196"/>
        <v>12</v>
      </c>
      <c r="W455" t="str">
        <f t="shared" si="179"/>
        <v/>
      </c>
      <c r="X455" t="str">
        <f t="shared" si="180"/>
        <v/>
      </c>
      <c r="Y455" t="str">
        <f t="shared" si="181"/>
        <v/>
      </c>
      <c r="Z455">
        <f t="shared" si="182"/>
        <v>0</v>
      </c>
      <c r="AA455">
        <f t="shared" si="197"/>
        <v>6</v>
      </c>
      <c r="AB455" t="str">
        <f t="shared" si="183"/>
        <v/>
      </c>
      <c r="AC455" t="str">
        <f t="shared" si="184"/>
        <v/>
      </c>
      <c r="AD455" t="str">
        <f t="shared" si="185"/>
        <v/>
      </c>
      <c r="AE455">
        <f t="shared" si="186"/>
        <v>0</v>
      </c>
      <c r="AF455">
        <f t="shared" si="198"/>
        <v>10</v>
      </c>
      <c r="AG455" t="str">
        <f t="shared" si="187"/>
        <v/>
      </c>
      <c r="AH455" t="str">
        <f t="shared" si="188"/>
        <v/>
      </c>
      <c r="AI455" t="str">
        <f t="shared" si="189"/>
        <v/>
      </c>
      <c r="AJ455">
        <f t="shared" si="190"/>
        <v>0</v>
      </c>
      <c r="AK455">
        <f t="shared" si="199"/>
        <v>4</v>
      </c>
      <c r="AL455" t="str">
        <f t="shared" si="191"/>
        <v/>
      </c>
      <c r="AM455" t="str">
        <f t="shared" si="192"/>
        <v/>
      </c>
      <c r="AN455" t="str">
        <f t="shared" si="193"/>
        <v/>
      </c>
      <c r="AO455">
        <f t="shared" si="194"/>
        <v>0</v>
      </c>
    </row>
    <row r="456" spans="1:41" x14ac:dyDescent="0.4">
      <c r="A456" t="str">
        <f>IF($CM$6=0,"",IF(INDEX('⑩ 원문 보관'!$A:$E,$CM$6+ROW()-9,COLUMN())="","",INDEX('⑩ 원문 보관'!$A:$E,$CM$6+ROW()-9,COLUMN())))</f>
        <v/>
      </c>
      <c r="B456" t="str">
        <f>IF($CM$6=0,"",IF(INDEX('⑩ 원문 보관'!$A:$E,$CM$6+ROW()-9,COLUMN())="","",INDEX('⑩ 원문 보관'!$A:$E,$CM$6+ROW()-9,COLUMN())))</f>
        <v/>
      </c>
      <c r="C456" t="str">
        <f>IF($CM$6=0,"",IF(INDEX('⑩ 원문 보관'!$A:$E,$CM$6+ROW()-9,COLUMN())="","",INDEX('⑩ 원문 보관'!$A:$E,$CM$6+ROW()-9,COLUMN())))</f>
        <v/>
      </c>
      <c r="D456" t="str">
        <f>IF($CM$6=0,"",IF(INDEX('⑩ 원문 보관'!$A:$E,$CM$6+ROW()-9,COLUMN())="","",INDEX('⑩ 원문 보관'!$A:$E,$CM$6+ROW()-9,COLUMN())))</f>
        <v/>
      </c>
      <c r="E456" t="str">
        <f>IF($CM$6=0,"",IF(INDEX('⑩ 원문 보관'!$A:$E,$CM$6+ROW()-9,COLUMN())="","",INDEX('⑩ 원문 보관'!$A:$E,$CM$6+ROW()-9,COLUMN())))</f>
        <v/>
      </c>
      <c r="Q456">
        <f t="shared" si="195"/>
        <v>8</v>
      </c>
      <c r="R456" t="str">
        <f t="shared" si="175"/>
        <v/>
      </c>
      <c r="S456" t="str">
        <f t="shared" si="176"/>
        <v/>
      </c>
      <c r="T456" t="str">
        <f t="shared" si="177"/>
        <v/>
      </c>
      <c r="U456">
        <f t="shared" si="178"/>
        <v>0</v>
      </c>
      <c r="V456">
        <f t="shared" si="196"/>
        <v>12</v>
      </c>
      <c r="W456" t="str">
        <f t="shared" si="179"/>
        <v/>
      </c>
      <c r="X456" t="str">
        <f t="shared" si="180"/>
        <v/>
      </c>
      <c r="Y456" t="str">
        <f t="shared" si="181"/>
        <v/>
      </c>
      <c r="Z456">
        <f t="shared" si="182"/>
        <v>0</v>
      </c>
      <c r="AA456">
        <f t="shared" si="197"/>
        <v>6</v>
      </c>
      <c r="AB456" t="str">
        <f t="shared" si="183"/>
        <v/>
      </c>
      <c r="AC456" t="str">
        <f t="shared" si="184"/>
        <v/>
      </c>
      <c r="AD456" t="str">
        <f t="shared" si="185"/>
        <v/>
      </c>
      <c r="AE456">
        <f t="shared" si="186"/>
        <v>0</v>
      </c>
      <c r="AF456">
        <f t="shared" si="198"/>
        <v>10</v>
      </c>
      <c r="AG456" t="str">
        <f t="shared" si="187"/>
        <v/>
      </c>
      <c r="AH456" t="str">
        <f t="shared" si="188"/>
        <v/>
      </c>
      <c r="AI456" t="str">
        <f t="shared" si="189"/>
        <v/>
      </c>
      <c r="AJ456">
        <f t="shared" si="190"/>
        <v>0</v>
      </c>
      <c r="AK456">
        <f t="shared" si="199"/>
        <v>4</v>
      </c>
      <c r="AL456" t="str">
        <f t="shared" si="191"/>
        <v/>
      </c>
      <c r="AM456" t="str">
        <f t="shared" si="192"/>
        <v/>
      </c>
      <c r="AN456" t="str">
        <f t="shared" si="193"/>
        <v/>
      </c>
      <c r="AO456">
        <f t="shared" si="194"/>
        <v>0</v>
      </c>
    </row>
    <row r="457" spans="1:41" x14ac:dyDescent="0.4">
      <c r="A457" t="str">
        <f>IF($CM$6=0,"",IF(INDEX('⑩ 원문 보관'!$A:$E,$CM$6+ROW()-9,COLUMN())="","",INDEX('⑩ 원문 보관'!$A:$E,$CM$6+ROW()-9,COLUMN())))</f>
        <v/>
      </c>
      <c r="B457" t="str">
        <f>IF($CM$6=0,"",IF(INDEX('⑩ 원문 보관'!$A:$E,$CM$6+ROW()-9,COLUMN())="","",INDEX('⑩ 원문 보관'!$A:$E,$CM$6+ROW()-9,COLUMN())))</f>
        <v/>
      </c>
      <c r="C457" t="str">
        <f>IF($CM$6=0,"",IF(INDEX('⑩ 원문 보관'!$A:$E,$CM$6+ROW()-9,COLUMN())="","",INDEX('⑩ 원문 보관'!$A:$E,$CM$6+ROW()-9,COLUMN())))</f>
        <v/>
      </c>
      <c r="D457" t="str">
        <f>IF($CM$6=0,"",IF(INDEX('⑩ 원문 보관'!$A:$E,$CM$6+ROW()-9,COLUMN())="","",INDEX('⑩ 원문 보관'!$A:$E,$CM$6+ROW()-9,COLUMN())))</f>
        <v/>
      </c>
      <c r="E457" t="str">
        <f>IF($CM$6=0,"",IF(INDEX('⑩ 원문 보관'!$A:$E,$CM$6+ROW()-9,COLUMN())="","",INDEX('⑩ 원문 보관'!$A:$E,$CM$6+ROW()-9,COLUMN())))</f>
        <v/>
      </c>
      <c r="Q457">
        <f t="shared" si="195"/>
        <v>8</v>
      </c>
      <c r="R457" t="str">
        <f t="shared" ref="R457:R520" si="200">IFERROR(IF(ISNUMBER(--LEFT(TRIM(A457),1)),VALUE(LEFT(TRIM(A457),6)),""),"")</f>
        <v/>
      </c>
      <c r="S457" t="str">
        <f t="shared" ref="S457:S520" si="201">IFERROR(VALUE(TRIM(MID(SUBSTITUTE(TRIM(A457)," ",REPT(" ",30)),31,30))),"")</f>
        <v/>
      </c>
      <c r="T457" t="str">
        <f t="shared" ref="T457:T520" si="202">IFERROR(TRIM(MID(SUBSTITUTE(TRIM(A457)," ",REPT(" ",30)),61,30)),"")</f>
        <v/>
      </c>
      <c r="U457">
        <f t="shared" ref="U457:U520" si="203">IF(OR(R457="",S457="",T457=""),0,IF(AND(S457&gt;1000,RIGHT(T457,1)&lt;&gt;"0"),1,0))</f>
        <v>0</v>
      </c>
      <c r="V457">
        <f t="shared" si="196"/>
        <v>12</v>
      </c>
      <c r="W457" t="str">
        <f t="shared" ref="W457:W520" si="204">IFERROR(IF(ISNUMBER(--LEFT(TRIM(B457),1)),VALUE(LEFT(TRIM(B457),6)),""),"")</f>
        <v/>
      </c>
      <c r="X457" t="str">
        <f t="shared" ref="X457:X520" si="205">IFERROR(VALUE(TRIM(MID(SUBSTITUTE(TRIM(B457)," ",REPT(" ",30)),31,30))),"")</f>
        <v/>
      </c>
      <c r="Y457" t="str">
        <f t="shared" ref="Y457:Y520" si="206">IFERROR(TRIM(MID(SUBSTITUTE(TRIM(B457)," ",REPT(" ",30)),61,30)),"")</f>
        <v/>
      </c>
      <c r="Z457">
        <f t="shared" ref="Z457:Z520" si="207">IF(OR(W457="",X457="",Y457=""),0,IF(AND(X457&gt;1000,RIGHT(Y457,1)&lt;&gt;"0"),1,0))</f>
        <v>0</v>
      </c>
      <c r="AA457">
        <f t="shared" si="197"/>
        <v>6</v>
      </c>
      <c r="AB457" t="str">
        <f t="shared" ref="AB457:AB520" si="208">IFERROR(IF(ISNUMBER(--LEFT(TRIM(C457),1)),VALUE(LEFT(TRIM(C457),6)),""),"")</f>
        <v/>
      </c>
      <c r="AC457" t="str">
        <f t="shared" ref="AC457:AC520" si="209">IFERROR(VALUE(TRIM(MID(SUBSTITUTE(TRIM(C457)," ",REPT(" ",30)),31,30))),"")</f>
        <v/>
      </c>
      <c r="AD457" t="str">
        <f t="shared" ref="AD457:AD520" si="210">IFERROR(TRIM(MID(SUBSTITUTE(TRIM(C457)," ",REPT(" ",30)),61,30)),"")</f>
        <v/>
      </c>
      <c r="AE457">
        <f t="shared" ref="AE457:AE520" si="211">IF(OR(AB457="",AC457="",AD457=""),0,IF(AND(AC457&gt;1000,RIGHT(AD457,1)&lt;&gt;"0"),1,0))</f>
        <v>0</v>
      </c>
      <c r="AF457">
        <f t="shared" si="198"/>
        <v>10</v>
      </c>
      <c r="AG457" t="str">
        <f t="shared" ref="AG457:AG520" si="212">IFERROR(IF(ISNUMBER(--LEFT(TRIM(D457),1)),VALUE(LEFT(TRIM(D457),6)),""),"")</f>
        <v/>
      </c>
      <c r="AH457" t="str">
        <f t="shared" ref="AH457:AH520" si="213">IFERROR(VALUE(TRIM(MID(SUBSTITUTE(TRIM(D457)," ",REPT(" ",30)),31,30))),"")</f>
        <v/>
      </c>
      <c r="AI457" t="str">
        <f t="shared" ref="AI457:AI520" si="214">IFERROR(TRIM(MID(SUBSTITUTE(TRIM(D457)," ",REPT(" ",30)),61,30)),"")</f>
        <v/>
      </c>
      <c r="AJ457">
        <f t="shared" ref="AJ457:AJ520" si="215">IF(OR(AG457="",AH457="",AI457=""),0,IF(AND(AH457&gt;1000,RIGHT(AI457,1)&lt;&gt;"0"),1,0))</f>
        <v>0</v>
      </c>
      <c r="AK457">
        <f t="shared" si="199"/>
        <v>4</v>
      </c>
      <c r="AL457" t="str">
        <f t="shared" ref="AL457:AL520" si="216">IFERROR(IF(ISNUMBER(--LEFT(TRIM(E457),1)),VALUE(LEFT(TRIM(E457),6)),""),"")</f>
        <v/>
      </c>
      <c r="AM457" t="str">
        <f t="shared" ref="AM457:AM520" si="217">IFERROR(VALUE(TRIM(MID(SUBSTITUTE(TRIM(E457)," ",REPT(" ",30)),31,30))),"")</f>
        <v/>
      </c>
      <c r="AN457" t="str">
        <f t="shared" ref="AN457:AN520" si="218">IFERROR(TRIM(MID(SUBSTITUTE(TRIM(E457)," ",REPT(" ",30)),61,30)),"")</f>
        <v/>
      </c>
      <c r="AO457">
        <f t="shared" ref="AO457:AO520" si="219">IF(OR(AL457="",AM457="",AN457=""),0,IF(AND(AM457&gt;1000,RIGHT(AN457,1)&lt;&gt;"0"),1,0))</f>
        <v>0</v>
      </c>
    </row>
    <row r="458" spans="1:41" x14ac:dyDescent="0.4">
      <c r="A458" t="str">
        <f>IF($CM$6=0,"",IF(INDEX('⑩ 원문 보관'!$A:$E,$CM$6+ROW()-9,COLUMN())="","",INDEX('⑩ 원문 보관'!$A:$E,$CM$6+ROW()-9,COLUMN())))</f>
        <v/>
      </c>
      <c r="B458" t="str">
        <f>IF($CM$6=0,"",IF(INDEX('⑩ 원문 보관'!$A:$E,$CM$6+ROW()-9,COLUMN())="","",INDEX('⑩ 원문 보관'!$A:$E,$CM$6+ROW()-9,COLUMN())))</f>
        <v/>
      </c>
      <c r="C458" t="str">
        <f>IF($CM$6=0,"",IF(INDEX('⑩ 원문 보관'!$A:$E,$CM$6+ROW()-9,COLUMN())="","",INDEX('⑩ 원문 보관'!$A:$E,$CM$6+ROW()-9,COLUMN())))</f>
        <v/>
      </c>
      <c r="D458" t="str">
        <f>IF($CM$6=0,"",IF(INDEX('⑩ 원문 보관'!$A:$E,$CM$6+ROW()-9,COLUMN())="","",INDEX('⑩ 원문 보관'!$A:$E,$CM$6+ROW()-9,COLUMN())))</f>
        <v/>
      </c>
      <c r="E458" t="str">
        <f>IF($CM$6=0,"",IF(INDEX('⑩ 원문 보관'!$A:$E,$CM$6+ROW()-9,COLUMN())="","",INDEX('⑩ 원문 보관'!$A:$E,$CM$6+ROW()-9,COLUMN())))</f>
        <v/>
      </c>
      <c r="Q458">
        <f t="shared" ref="Q458:Q521" si="220">IF(A458="",N(Q457),IF(LEFT(TRIM(A458),5)="/time",N(Q457)+1,N(Q457)))</f>
        <v>8</v>
      </c>
      <c r="R458" t="str">
        <f t="shared" si="200"/>
        <v/>
      </c>
      <c r="S458" t="str">
        <f t="shared" si="201"/>
        <v/>
      </c>
      <c r="T458" t="str">
        <f t="shared" si="202"/>
        <v/>
      </c>
      <c r="U458">
        <f t="shared" si="203"/>
        <v>0</v>
      </c>
      <c r="V458">
        <f t="shared" ref="V458:V521" si="221">IF(B458="",N(V457),IF(LEFT(TRIM(B458),5)="/time",N(V457)+1,N(V457)))</f>
        <v>12</v>
      </c>
      <c r="W458" t="str">
        <f t="shared" si="204"/>
        <v/>
      </c>
      <c r="X458" t="str">
        <f t="shared" si="205"/>
        <v/>
      </c>
      <c r="Y458" t="str">
        <f t="shared" si="206"/>
        <v/>
      </c>
      <c r="Z458">
        <f t="shared" si="207"/>
        <v>0</v>
      </c>
      <c r="AA458">
        <f t="shared" ref="AA458:AA521" si="222">IF(C458="",N(AA457),IF(LEFT(TRIM(C458),5)="/time",N(AA457)+1,N(AA457)))</f>
        <v>6</v>
      </c>
      <c r="AB458" t="str">
        <f t="shared" si="208"/>
        <v/>
      </c>
      <c r="AC458" t="str">
        <f t="shared" si="209"/>
        <v/>
      </c>
      <c r="AD458" t="str">
        <f t="shared" si="210"/>
        <v/>
      </c>
      <c r="AE458">
        <f t="shared" si="211"/>
        <v>0</v>
      </c>
      <c r="AF458">
        <f t="shared" ref="AF458:AF521" si="223">IF(D458="",N(AF457),IF(LEFT(TRIM(D458),5)="/time",N(AF457)+1,N(AF457)))</f>
        <v>10</v>
      </c>
      <c r="AG458" t="str">
        <f t="shared" si="212"/>
        <v/>
      </c>
      <c r="AH458" t="str">
        <f t="shared" si="213"/>
        <v/>
      </c>
      <c r="AI458" t="str">
        <f t="shared" si="214"/>
        <v/>
      </c>
      <c r="AJ458">
        <f t="shared" si="215"/>
        <v>0</v>
      </c>
      <c r="AK458">
        <f t="shared" ref="AK458:AK521" si="224">IF(E458="",N(AK457),IF(LEFT(TRIM(E458),5)="/time",N(AK457)+1,N(AK457)))</f>
        <v>4</v>
      </c>
      <c r="AL458" t="str">
        <f t="shared" si="216"/>
        <v/>
      </c>
      <c r="AM458" t="str">
        <f t="shared" si="217"/>
        <v/>
      </c>
      <c r="AN458" t="str">
        <f t="shared" si="218"/>
        <v/>
      </c>
      <c r="AO458">
        <f t="shared" si="219"/>
        <v>0</v>
      </c>
    </row>
    <row r="459" spans="1:41" x14ac:dyDescent="0.4">
      <c r="A459" t="str">
        <f>IF($CM$6=0,"",IF(INDEX('⑩ 원문 보관'!$A:$E,$CM$6+ROW()-9,COLUMN())="","",INDEX('⑩ 원문 보관'!$A:$E,$CM$6+ROW()-9,COLUMN())))</f>
        <v/>
      </c>
      <c r="B459" t="str">
        <f>IF($CM$6=0,"",IF(INDEX('⑩ 원문 보관'!$A:$E,$CM$6+ROW()-9,COLUMN())="","",INDEX('⑩ 원문 보관'!$A:$E,$CM$6+ROW()-9,COLUMN())))</f>
        <v/>
      </c>
      <c r="C459" t="str">
        <f>IF($CM$6=0,"",IF(INDEX('⑩ 원문 보관'!$A:$E,$CM$6+ROW()-9,COLUMN())="","",INDEX('⑩ 원문 보관'!$A:$E,$CM$6+ROW()-9,COLUMN())))</f>
        <v/>
      </c>
      <c r="D459" t="str">
        <f>IF($CM$6=0,"",IF(INDEX('⑩ 원문 보관'!$A:$E,$CM$6+ROW()-9,COLUMN())="","",INDEX('⑩ 원문 보관'!$A:$E,$CM$6+ROW()-9,COLUMN())))</f>
        <v/>
      </c>
      <c r="E459" t="str">
        <f>IF($CM$6=0,"",IF(INDEX('⑩ 원문 보관'!$A:$E,$CM$6+ROW()-9,COLUMN())="","",INDEX('⑩ 원문 보관'!$A:$E,$CM$6+ROW()-9,COLUMN())))</f>
        <v/>
      </c>
      <c r="Q459">
        <f t="shared" si="220"/>
        <v>8</v>
      </c>
      <c r="R459" t="str">
        <f t="shared" si="200"/>
        <v/>
      </c>
      <c r="S459" t="str">
        <f t="shared" si="201"/>
        <v/>
      </c>
      <c r="T459" t="str">
        <f t="shared" si="202"/>
        <v/>
      </c>
      <c r="U459">
        <f t="shared" si="203"/>
        <v>0</v>
      </c>
      <c r="V459">
        <f t="shared" si="221"/>
        <v>12</v>
      </c>
      <c r="W459" t="str">
        <f t="shared" si="204"/>
        <v/>
      </c>
      <c r="X459" t="str">
        <f t="shared" si="205"/>
        <v/>
      </c>
      <c r="Y459" t="str">
        <f t="shared" si="206"/>
        <v/>
      </c>
      <c r="Z459">
        <f t="shared" si="207"/>
        <v>0</v>
      </c>
      <c r="AA459">
        <f t="shared" si="222"/>
        <v>6</v>
      </c>
      <c r="AB459" t="str">
        <f t="shared" si="208"/>
        <v/>
      </c>
      <c r="AC459" t="str">
        <f t="shared" si="209"/>
        <v/>
      </c>
      <c r="AD459" t="str">
        <f t="shared" si="210"/>
        <v/>
      </c>
      <c r="AE459">
        <f t="shared" si="211"/>
        <v>0</v>
      </c>
      <c r="AF459">
        <f t="shared" si="223"/>
        <v>10</v>
      </c>
      <c r="AG459" t="str">
        <f t="shared" si="212"/>
        <v/>
      </c>
      <c r="AH459" t="str">
        <f t="shared" si="213"/>
        <v/>
      </c>
      <c r="AI459" t="str">
        <f t="shared" si="214"/>
        <v/>
      </c>
      <c r="AJ459">
        <f t="shared" si="215"/>
        <v>0</v>
      </c>
      <c r="AK459">
        <f t="shared" si="224"/>
        <v>4</v>
      </c>
      <c r="AL459" t="str">
        <f t="shared" si="216"/>
        <v/>
      </c>
      <c r="AM459" t="str">
        <f t="shared" si="217"/>
        <v/>
      </c>
      <c r="AN459" t="str">
        <f t="shared" si="218"/>
        <v/>
      </c>
      <c r="AO459">
        <f t="shared" si="219"/>
        <v>0</v>
      </c>
    </row>
    <row r="460" spans="1:41" x14ac:dyDescent="0.4">
      <c r="A460" t="str">
        <f>IF($CM$6=0,"",IF(INDEX('⑩ 원문 보관'!$A:$E,$CM$6+ROW()-9,COLUMN())="","",INDEX('⑩ 원문 보관'!$A:$E,$CM$6+ROW()-9,COLUMN())))</f>
        <v/>
      </c>
      <c r="B460" t="str">
        <f>IF($CM$6=0,"",IF(INDEX('⑩ 원문 보관'!$A:$E,$CM$6+ROW()-9,COLUMN())="","",INDEX('⑩ 원문 보관'!$A:$E,$CM$6+ROW()-9,COLUMN())))</f>
        <v/>
      </c>
      <c r="C460" t="str">
        <f>IF($CM$6=0,"",IF(INDEX('⑩ 원문 보관'!$A:$E,$CM$6+ROW()-9,COLUMN())="","",INDEX('⑩ 원문 보관'!$A:$E,$CM$6+ROW()-9,COLUMN())))</f>
        <v/>
      </c>
      <c r="D460" t="str">
        <f>IF($CM$6=0,"",IF(INDEX('⑩ 원문 보관'!$A:$E,$CM$6+ROW()-9,COLUMN())="","",INDEX('⑩ 원문 보관'!$A:$E,$CM$6+ROW()-9,COLUMN())))</f>
        <v/>
      </c>
      <c r="E460" t="str">
        <f>IF($CM$6=0,"",IF(INDEX('⑩ 원문 보관'!$A:$E,$CM$6+ROW()-9,COLUMN())="","",INDEX('⑩ 원문 보관'!$A:$E,$CM$6+ROW()-9,COLUMN())))</f>
        <v/>
      </c>
      <c r="Q460">
        <f t="shared" si="220"/>
        <v>8</v>
      </c>
      <c r="R460" t="str">
        <f t="shared" si="200"/>
        <v/>
      </c>
      <c r="S460" t="str">
        <f t="shared" si="201"/>
        <v/>
      </c>
      <c r="T460" t="str">
        <f t="shared" si="202"/>
        <v/>
      </c>
      <c r="U460">
        <f t="shared" si="203"/>
        <v>0</v>
      </c>
      <c r="V460">
        <f t="shared" si="221"/>
        <v>12</v>
      </c>
      <c r="W460" t="str">
        <f t="shared" si="204"/>
        <v/>
      </c>
      <c r="X460" t="str">
        <f t="shared" si="205"/>
        <v/>
      </c>
      <c r="Y460" t="str">
        <f t="shared" si="206"/>
        <v/>
      </c>
      <c r="Z460">
        <f t="shared" si="207"/>
        <v>0</v>
      </c>
      <c r="AA460">
        <f t="shared" si="222"/>
        <v>6</v>
      </c>
      <c r="AB460" t="str">
        <f t="shared" si="208"/>
        <v/>
      </c>
      <c r="AC460" t="str">
        <f t="shared" si="209"/>
        <v/>
      </c>
      <c r="AD460" t="str">
        <f t="shared" si="210"/>
        <v/>
      </c>
      <c r="AE460">
        <f t="shared" si="211"/>
        <v>0</v>
      </c>
      <c r="AF460">
        <f t="shared" si="223"/>
        <v>10</v>
      </c>
      <c r="AG460" t="str">
        <f t="shared" si="212"/>
        <v/>
      </c>
      <c r="AH460" t="str">
        <f t="shared" si="213"/>
        <v/>
      </c>
      <c r="AI460" t="str">
        <f t="shared" si="214"/>
        <v/>
      </c>
      <c r="AJ460">
        <f t="shared" si="215"/>
        <v>0</v>
      </c>
      <c r="AK460">
        <f t="shared" si="224"/>
        <v>4</v>
      </c>
      <c r="AL460" t="str">
        <f t="shared" si="216"/>
        <v/>
      </c>
      <c r="AM460" t="str">
        <f t="shared" si="217"/>
        <v/>
      </c>
      <c r="AN460" t="str">
        <f t="shared" si="218"/>
        <v/>
      </c>
      <c r="AO460">
        <f t="shared" si="219"/>
        <v>0</v>
      </c>
    </row>
    <row r="461" spans="1:41" x14ac:dyDescent="0.4">
      <c r="A461" t="str">
        <f>IF($CM$6=0,"",IF(INDEX('⑩ 원문 보관'!$A:$E,$CM$6+ROW()-9,COLUMN())="","",INDEX('⑩ 원문 보관'!$A:$E,$CM$6+ROW()-9,COLUMN())))</f>
        <v/>
      </c>
      <c r="B461" t="str">
        <f>IF($CM$6=0,"",IF(INDEX('⑩ 원문 보관'!$A:$E,$CM$6+ROW()-9,COLUMN())="","",INDEX('⑩ 원문 보관'!$A:$E,$CM$6+ROW()-9,COLUMN())))</f>
        <v/>
      </c>
      <c r="C461" t="str">
        <f>IF($CM$6=0,"",IF(INDEX('⑩ 원문 보관'!$A:$E,$CM$6+ROW()-9,COLUMN())="","",INDEX('⑩ 원문 보관'!$A:$E,$CM$6+ROW()-9,COLUMN())))</f>
        <v/>
      </c>
      <c r="D461" t="str">
        <f>IF($CM$6=0,"",IF(INDEX('⑩ 원문 보관'!$A:$E,$CM$6+ROW()-9,COLUMN())="","",INDEX('⑩ 원문 보관'!$A:$E,$CM$6+ROW()-9,COLUMN())))</f>
        <v/>
      </c>
      <c r="E461" t="str">
        <f>IF($CM$6=0,"",IF(INDEX('⑩ 원문 보관'!$A:$E,$CM$6+ROW()-9,COLUMN())="","",INDEX('⑩ 원문 보관'!$A:$E,$CM$6+ROW()-9,COLUMN())))</f>
        <v/>
      </c>
      <c r="Q461">
        <f t="shared" si="220"/>
        <v>8</v>
      </c>
      <c r="R461" t="str">
        <f t="shared" si="200"/>
        <v/>
      </c>
      <c r="S461" t="str">
        <f t="shared" si="201"/>
        <v/>
      </c>
      <c r="T461" t="str">
        <f t="shared" si="202"/>
        <v/>
      </c>
      <c r="U461">
        <f t="shared" si="203"/>
        <v>0</v>
      </c>
      <c r="V461">
        <f t="shared" si="221"/>
        <v>12</v>
      </c>
      <c r="W461" t="str">
        <f t="shared" si="204"/>
        <v/>
      </c>
      <c r="X461" t="str">
        <f t="shared" si="205"/>
        <v/>
      </c>
      <c r="Y461" t="str">
        <f t="shared" si="206"/>
        <v/>
      </c>
      <c r="Z461">
        <f t="shared" si="207"/>
        <v>0</v>
      </c>
      <c r="AA461">
        <f t="shared" si="222"/>
        <v>6</v>
      </c>
      <c r="AB461" t="str">
        <f t="shared" si="208"/>
        <v/>
      </c>
      <c r="AC461" t="str">
        <f t="shared" si="209"/>
        <v/>
      </c>
      <c r="AD461" t="str">
        <f t="shared" si="210"/>
        <v/>
      </c>
      <c r="AE461">
        <f t="shared" si="211"/>
        <v>0</v>
      </c>
      <c r="AF461">
        <f t="shared" si="223"/>
        <v>10</v>
      </c>
      <c r="AG461" t="str">
        <f t="shared" si="212"/>
        <v/>
      </c>
      <c r="AH461" t="str">
        <f t="shared" si="213"/>
        <v/>
      </c>
      <c r="AI461" t="str">
        <f t="shared" si="214"/>
        <v/>
      </c>
      <c r="AJ461">
        <f t="shared" si="215"/>
        <v>0</v>
      </c>
      <c r="AK461">
        <f t="shared" si="224"/>
        <v>4</v>
      </c>
      <c r="AL461" t="str">
        <f t="shared" si="216"/>
        <v/>
      </c>
      <c r="AM461" t="str">
        <f t="shared" si="217"/>
        <v/>
      </c>
      <c r="AN461" t="str">
        <f t="shared" si="218"/>
        <v/>
      </c>
      <c r="AO461">
        <f t="shared" si="219"/>
        <v>0</v>
      </c>
    </row>
    <row r="462" spans="1:41" x14ac:dyDescent="0.4">
      <c r="A462" t="str">
        <f>IF($CM$6=0,"",IF(INDEX('⑩ 원문 보관'!$A:$E,$CM$6+ROW()-9,COLUMN())="","",INDEX('⑩ 원문 보관'!$A:$E,$CM$6+ROW()-9,COLUMN())))</f>
        <v/>
      </c>
      <c r="B462" t="str">
        <f>IF($CM$6=0,"",IF(INDEX('⑩ 원문 보관'!$A:$E,$CM$6+ROW()-9,COLUMN())="","",INDEX('⑩ 원문 보관'!$A:$E,$CM$6+ROW()-9,COLUMN())))</f>
        <v/>
      </c>
      <c r="C462" t="str">
        <f>IF($CM$6=0,"",IF(INDEX('⑩ 원문 보관'!$A:$E,$CM$6+ROW()-9,COLUMN())="","",INDEX('⑩ 원문 보관'!$A:$E,$CM$6+ROW()-9,COLUMN())))</f>
        <v/>
      </c>
      <c r="D462" t="str">
        <f>IF($CM$6=0,"",IF(INDEX('⑩ 원문 보관'!$A:$E,$CM$6+ROW()-9,COLUMN())="","",INDEX('⑩ 원문 보관'!$A:$E,$CM$6+ROW()-9,COLUMN())))</f>
        <v/>
      </c>
      <c r="E462" t="str">
        <f>IF($CM$6=0,"",IF(INDEX('⑩ 원문 보관'!$A:$E,$CM$6+ROW()-9,COLUMN())="","",INDEX('⑩ 원문 보관'!$A:$E,$CM$6+ROW()-9,COLUMN())))</f>
        <v/>
      </c>
      <c r="Q462">
        <f t="shared" si="220"/>
        <v>8</v>
      </c>
      <c r="R462" t="str">
        <f t="shared" si="200"/>
        <v/>
      </c>
      <c r="S462" t="str">
        <f t="shared" si="201"/>
        <v/>
      </c>
      <c r="T462" t="str">
        <f t="shared" si="202"/>
        <v/>
      </c>
      <c r="U462">
        <f t="shared" si="203"/>
        <v>0</v>
      </c>
      <c r="V462">
        <f t="shared" si="221"/>
        <v>12</v>
      </c>
      <c r="W462" t="str">
        <f t="shared" si="204"/>
        <v/>
      </c>
      <c r="X462" t="str">
        <f t="shared" si="205"/>
        <v/>
      </c>
      <c r="Y462" t="str">
        <f t="shared" si="206"/>
        <v/>
      </c>
      <c r="Z462">
        <f t="shared" si="207"/>
        <v>0</v>
      </c>
      <c r="AA462">
        <f t="shared" si="222"/>
        <v>6</v>
      </c>
      <c r="AB462" t="str">
        <f t="shared" si="208"/>
        <v/>
      </c>
      <c r="AC462" t="str">
        <f t="shared" si="209"/>
        <v/>
      </c>
      <c r="AD462" t="str">
        <f t="shared" si="210"/>
        <v/>
      </c>
      <c r="AE462">
        <f t="shared" si="211"/>
        <v>0</v>
      </c>
      <c r="AF462">
        <f t="shared" si="223"/>
        <v>10</v>
      </c>
      <c r="AG462" t="str">
        <f t="shared" si="212"/>
        <v/>
      </c>
      <c r="AH462" t="str">
        <f t="shared" si="213"/>
        <v/>
      </c>
      <c r="AI462" t="str">
        <f t="shared" si="214"/>
        <v/>
      </c>
      <c r="AJ462">
        <f t="shared" si="215"/>
        <v>0</v>
      </c>
      <c r="AK462">
        <f t="shared" si="224"/>
        <v>4</v>
      </c>
      <c r="AL462" t="str">
        <f t="shared" si="216"/>
        <v/>
      </c>
      <c r="AM462" t="str">
        <f t="shared" si="217"/>
        <v/>
      </c>
      <c r="AN462" t="str">
        <f t="shared" si="218"/>
        <v/>
      </c>
      <c r="AO462">
        <f t="shared" si="219"/>
        <v>0</v>
      </c>
    </row>
    <row r="463" spans="1:41" x14ac:dyDescent="0.4">
      <c r="A463" t="str">
        <f>IF($CM$6=0,"",IF(INDEX('⑩ 원문 보관'!$A:$E,$CM$6+ROW()-9,COLUMN())="","",INDEX('⑩ 원문 보관'!$A:$E,$CM$6+ROW()-9,COLUMN())))</f>
        <v/>
      </c>
      <c r="B463" t="str">
        <f>IF($CM$6=0,"",IF(INDEX('⑩ 원문 보관'!$A:$E,$CM$6+ROW()-9,COLUMN())="","",INDEX('⑩ 원문 보관'!$A:$E,$CM$6+ROW()-9,COLUMN())))</f>
        <v/>
      </c>
      <c r="C463" t="str">
        <f>IF($CM$6=0,"",IF(INDEX('⑩ 원문 보관'!$A:$E,$CM$6+ROW()-9,COLUMN())="","",INDEX('⑩ 원문 보관'!$A:$E,$CM$6+ROW()-9,COLUMN())))</f>
        <v/>
      </c>
      <c r="D463" t="str">
        <f>IF($CM$6=0,"",IF(INDEX('⑩ 원문 보관'!$A:$E,$CM$6+ROW()-9,COLUMN())="","",INDEX('⑩ 원문 보관'!$A:$E,$CM$6+ROW()-9,COLUMN())))</f>
        <v/>
      </c>
      <c r="E463" t="str">
        <f>IF($CM$6=0,"",IF(INDEX('⑩ 원문 보관'!$A:$E,$CM$6+ROW()-9,COLUMN())="","",INDEX('⑩ 원문 보관'!$A:$E,$CM$6+ROW()-9,COLUMN())))</f>
        <v/>
      </c>
      <c r="Q463">
        <f t="shared" si="220"/>
        <v>8</v>
      </c>
      <c r="R463" t="str">
        <f t="shared" si="200"/>
        <v/>
      </c>
      <c r="S463" t="str">
        <f t="shared" si="201"/>
        <v/>
      </c>
      <c r="T463" t="str">
        <f t="shared" si="202"/>
        <v/>
      </c>
      <c r="U463">
        <f t="shared" si="203"/>
        <v>0</v>
      </c>
      <c r="V463">
        <f t="shared" si="221"/>
        <v>12</v>
      </c>
      <c r="W463" t="str">
        <f t="shared" si="204"/>
        <v/>
      </c>
      <c r="X463" t="str">
        <f t="shared" si="205"/>
        <v/>
      </c>
      <c r="Y463" t="str">
        <f t="shared" si="206"/>
        <v/>
      </c>
      <c r="Z463">
        <f t="shared" si="207"/>
        <v>0</v>
      </c>
      <c r="AA463">
        <f t="shared" si="222"/>
        <v>6</v>
      </c>
      <c r="AB463" t="str">
        <f t="shared" si="208"/>
        <v/>
      </c>
      <c r="AC463" t="str">
        <f t="shared" si="209"/>
        <v/>
      </c>
      <c r="AD463" t="str">
        <f t="shared" si="210"/>
        <v/>
      </c>
      <c r="AE463">
        <f t="shared" si="211"/>
        <v>0</v>
      </c>
      <c r="AF463">
        <f t="shared" si="223"/>
        <v>10</v>
      </c>
      <c r="AG463" t="str">
        <f t="shared" si="212"/>
        <v/>
      </c>
      <c r="AH463" t="str">
        <f t="shared" si="213"/>
        <v/>
      </c>
      <c r="AI463" t="str">
        <f t="shared" si="214"/>
        <v/>
      </c>
      <c r="AJ463">
        <f t="shared" si="215"/>
        <v>0</v>
      </c>
      <c r="AK463">
        <f t="shared" si="224"/>
        <v>4</v>
      </c>
      <c r="AL463" t="str">
        <f t="shared" si="216"/>
        <v/>
      </c>
      <c r="AM463" t="str">
        <f t="shared" si="217"/>
        <v/>
      </c>
      <c r="AN463" t="str">
        <f t="shared" si="218"/>
        <v/>
      </c>
      <c r="AO463">
        <f t="shared" si="219"/>
        <v>0</v>
      </c>
    </row>
    <row r="464" spans="1:41" x14ac:dyDescent="0.4">
      <c r="A464" t="str">
        <f>IF($CM$6=0,"",IF(INDEX('⑩ 원문 보관'!$A:$E,$CM$6+ROW()-9,COLUMN())="","",INDEX('⑩ 원문 보관'!$A:$E,$CM$6+ROW()-9,COLUMN())))</f>
        <v/>
      </c>
      <c r="B464" t="str">
        <f>IF($CM$6=0,"",IF(INDEX('⑩ 원문 보관'!$A:$E,$CM$6+ROW()-9,COLUMN())="","",INDEX('⑩ 원문 보관'!$A:$E,$CM$6+ROW()-9,COLUMN())))</f>
        <v/>
      </c>
      <c r="C464" t="str">
        <f>IF($CM$6=0,"",IF(INDEX('⑩ 원문 보관'!$A:$E,$CM$6+ROW()-9,COLUMN())="","",INDEX('⑩ 원문 보관'!$A:$E,$CM$6+ROW()-9,COLUMN())))</f>
        <v/>
      </c>
      <c r="D464" t="str">
        <f>IF($CM$6=0,"",IF(INDEX('⑩ 원문 보관'!$A:$E,$CM$6+ROW()-9,COLUMN())="","",INDEX('⑩ 원문 보관'!$A:$E,$CM$6+ROW()-9,COLUMN())))</f>
        <v/>
      </c>
      <c r="E464" t="str">
        <f>IF($CM$6=0,"",IF(INDEX('⑩ 원문 보관'!$A:$E,$CM$6+ROW()-9,COLUMN())="","",INDEX('⑩ 원문 보관'!$A:$E,$CM$6+ROW()-9,COLUMN())))</f>
        <v/>
      </c>
      <c r="Q464">
        <f t="shared" si="220"/>
        <v>8</v>
      </c>
      <c r="R464" t="str">
        <f t="shared" si="200"/>
        <v/>
      </c>
      <c r="S464" t="str">
        <f t="shared" si="201"/>
        <v/>
      </c>
      <c r="T464" t="str">
        <f t="shared" si="202"/>
        <v/>
      </c>
      <c r="U464">
        <f t="shared" si="203"/>
        <v>0</v>
      </c>
      <c r="V464">
        <f t="shared" si="221"/>
        <v>12</v>
      </c>
      <c r="W464" t="str">
        <f t="shared" si="204"/>
        <v/>
      </c>
      <c r="X464" t="str">
        <f t="shared" si="205"/>
        <v/>
      </c>
      <c r="Y464" t="str">
        <f t="shared" si="206"/>
        <v/>
      </c>
      <c r="Z464">
        <f t="shared" si="207"/>
        <v>0</v>
      </c>
      <c r="AA464">
        <f t="shared" si="222"/>
        <v>6</v>
      </c>
      <c r="AB464" t="str">
        <f t="shared" si="208"/>
        <v/>
      </c>
      <c r="AC464" t="str">
        <f t="shared" si="209"/>
        <v/>
      </c>
      <c r="AD464" t="str">
        <f t="shared" si="210"/>
        <v/>
      </c>
      <c r="AE464">
        <f t="shared" si="211"/>
        <v>0</v>
      </c>
      <c r="AF464">
        <f t="shared" si="223"/>
        <v>10</v>
      </c>
      <c r="AG464" t="str">
        <f t="shared" si="212"/>
        <v/>
      </c>
      <c r="AH464" t="str">
        <f t="shared" si="213"/>
        <v/>
      </c>
      <c r="AI464" t="str">
        <f t="shared" si="214"/>
        <v/>
      </c>
      <c r="AJ464">
        <f t="shared" si="215"/>
        <v>0</v>
      </c>
      <c r="AK464">
        <f t="shared" si="224"/>
        <v>4</v>
      </c>
      <c r="AL464" t="str">
        <f t="shared" si="216"/>
        <v/>
      </c>
      <c r="AM464" t="str">
        <f t="shared" si="217"/>
        <v/>
      </c>
      <c r="AN464" t="str">
        <f t="shared" si="218"/>
        <v/>
      </c>
      <c r="AO464">
        <f t="shared" si="219"/>
        <v>0</v>
      </c>
    </row>
    <row r="465" spans="1:41" x14ac:dyDescent="0.4">
      <c r="A465" t="str">
        <f>IF($CM$6=0,"",IF(INDEX('⑩ 원문 보관'!$A:$E,$CM$6+ROW()-9,COLUMN())="","",INDEX('⑩ 원문 보관'!$A:$E,$CM$6+ROW()-9,COLUMN())))</f>
        <v/>
      </c>
      <c r="B465" t="str">
        <f>IF($CM$6=0,"",IF(INDEX('⑩ 원문 보관'!$A:$E,$CM$6+ROW()-9,COLUMN())="","",INDEX('⑩ 원문 보관'!$A:$E,$CM$6+ROW()-9,COLUMN())))</f>
        <v/>
      </c>
      <c r="C465" t="str">
        <f>IF($CM$6=0,"",IF(INDEX('⑩ 원문 보관'!$A:$E,$CM$6+ROW()-9,COLUMN())="","",INDEX('⑩ 원문 보관'!$A:$E,$CM$6+ROW()-9,COLUMN())))</f>
        <v/>
      </c>
      <c r="D465" t="str">
        <f>IF($CM$6=0,"",IF(INDEX('⑩ 원문 보관'!$A:$E,$CM$6+ROW()-9,COLUMN())="","",INDEX('⑩ 원문 보관'!$A:$E,$CM$6+ROW()-9,COLUMN())))</f>
        <v/>
      </c>
      <c r="E465" t="str">
        <f>IF($CM$6=0,"",IF(INDEX('⑩ 원문 보관'!$A:$E,$CM$6+ROW()-9,COLUMN())="","",INDEX('⑩ 원문 보관'!$A:$E,$CM$6+ROW()-9,COLUMN())))</f>
        <v/>
      </c>
      <c r="Q465">
        <f t="shared" si="220"/>
        <v>8</v>
      </c>
      <c r="R465" t="str">
        <f t="shared" si="200"/>
        <v/>
      </c>
      <c r="S465" t="str">
        <f t="shared" si="201"/>
        <v/>
      </c>
      <c r="T465" t="str">
        <f t="shared" si="202"/>
        <v/>
      </c>
      <c r="U465">
        <f t="shared" si="203"/>
        <v>0</v>
      </c>
      <c r="V465">
        <f t="shared" si="221"/>
        <v>12</v>
      </c>
      <c r="W465" t="str">
        <f t="shared" si="204"/>
        <v/>
      </c>
      <c r="X465" t="str">
        <f t="shared" si="205"/>
        <v/>
      </c>
      <c r="Y465" t="str">
        <f t="shared" si="206"/>
        <v/>
      </c>
      <c r="Z465">
        <f t="shared" si="207"/>
        <v>0</v>
      </c>
      <c r="AA465">
        <f t="shared" si="222"/>
        <v>6</v>
      </c>
      <c r="AB465" t="str">
        <f t="shared" si="208"/>
        <v/>
      </c>
      <c r="AC465" t="str">
        <f t="shared" si="209"/>
        <v/>
      </c>
      <c r="AD465" t="str">
        <f t="shared" si="210"/>
        <v/>
      </c>
      <c r="AE465">
        <f t="shared" si="211"/>
        <v>0</v>
      </c>
      <c r="AF465">
        <f t="shared" si="223"/>
        <v>10</v>
      </c>
      <c r="AG465" t="str">
        <f t="shared" si="212"/>
        <v/>
      </c>
      <c r="AH465" t="str">
        <f t="shared" si="213"/>
        <v/>
      </c>
      <c r="AI465" t="str">
        <f t="shared" si="214"/>
        <v/>
      </c>
      <c r="AJ465">
        <f t="shared" si="215"/>
        <v>0</v>
      </c>
      <c r="AK465">
        <f t="shared" si="224"/>
        <v>4</v>
      </c>
      <c r="AL465" t="str">
        <f t="shared" si="216"/>
        <v/>
      </c>
      <c r="AM465" t="str">
        <f t="shared" si="217"/>
        <v/>
      </c>
      <c r="AN465" t="str">
        <f t="shared" si="218"/>
        <v/>
      </c>
      <c r="AO465">
        <f t="shared" si="219"/>
        <v>0</v>
      </c>
    </row>
    <row r="466" spans="1:41" x14ac:dyDescent="0.4">
      <c r="A466" t="str">
        <f>IF($CM$6=0,"",IF(INDEX('⑩ 원문 보관'!$A:$E,$CM$6+ROW()-9,COLUMN())="","",INDEX('⑩ 원문 보관'!$A:$E,$CM$6+ROW()-9,COLUMN())))</f>
        <v/>
      </c>
      <c r="B466" t="str">
        <f>IF($CM$6=0,"",IF(INDEX('⑩ 원문 보관'!$A:$E,$CM$6+ROW()-9,COLUMN())="","",INDEX('⑩ 원문 보관'!$A:$E,$CM$6+ROW()-9,COLUMN())))</f>
        <v/>
      </c>
      <c r="C466" t="str">
        <f>IF($CM$6=0,"",IF(INDEX('⑩ 원문 보관'!$A:$E,$CM$6+ROW()-9,COLUMN())="","",INDEX('⑩ 원문 보관'!$A:$E,$CM$6+ROW()-9,COLUMN())))</f>
        <v/>
      </c>
      <c r="D466" t="str">
        <f>IF($CM$6=0,"",IF(INDEX('⑩ 원문 보관'!$A:$E,$CM$6+ROW()-9,COLUMN())="","",INDEX('⑩ 원문 보관'!$A:$E,$CM$6+ROW()-9,COLUMN())))</f>
        <v/>
      </c>
      <c r="E466" t="str">
        <f>IF($CM$6=0,"",IF(INDEX('⑩ 원문 보관'!$A:$E,$CM$6+ROW()-9,COLUMN())="","",INDEX('⑩ 원문 보관'!$A:$E,$CM$6+ROW()-9,COLUMN())))</f>
        <v/>
      </c>
      <c r="Q466">
        <f t="shared" si="220"/>
        <v>8</v>
      </c>
      <c r="R466" t="str">
        <f t="shared" si="200"/>
        <v/>
      </c>
      <c r="S466" t="str">
        <f t="shared" si="201"/>
        <v/>
      </c>
      <c r="T466" t="str">
        <f t="shared" si="202"/>
        <v/>
      </c>
      <c r="U466">
        <f t="shared" si="203"/>
        <v>0</v>
      </c>
      <c r="V466">
        <f t="shared" si="221"/>
        <v>12</v>
      </c>
      <c r="W466" t="str">
        <f t="shared" si="204"/>
        <v/>
      </c>
      <c r="X466" t="str">
        <f t="shared" si="205"/>
        <v/>
      </c>
      <c r="Y466" t="str">
        <f t="shared" si="206"/>
        <v/>
      </c>
      <c r="Z466">
        <f t="shared" si="207"/>
        <v>0</v>
      </c>
      <c r="AA466">
        <f t="shared" si="222"/>
        <v>6</v>
      </c>
      <c r="AB466" t="str">
        <f t="shared" si="208"/>
        <v/>
      </c>
      <c r="AC466" t="str">
        <f t="shared" si="209"/>
        <v/>
      </c>
      <c r="AD466" t="str">
        <f t="shared" si="210"/>
        <v/>
      </c>
      <c r="AE466">
        <f t="shared" si="211"/>
        <v>0</v>
      </c>
      <c r="AF466">
        <f t="shared" si="223"/>
        <v>10</v>
      </c>
      <c r="AG466" t="str">
        <f t="shared" si="212"/>
        <v/>
      </c>
      <c r="AH466" t="str">
        <f t="shared" si="213"/>
        <v/>
      </c>
      <c r="AI466" t="str">
        <f t="shared" si="214"/>
        <v/>
      </c>
      <c r="AJ466">
        <f t="shared" si="215"/>
        <v>0</v>
      </c>
      <c r="AK466">
        <f t="shared" si="224"/>
        <v>4</v>
      </c>
      <c r="AL466" t="str">
        <f t="shared" si="216"/>
        <v/>
      </c>
      <c r="AM466" t="str">
        <f t="shared" si="217"/>
        <v/>
      </c>
      <c r="AN466" t="str">
        <f t="shared" si="218"/>
        <v/>
      </c>
      <c r="AO466">
        <f t="shared" si="219"/>
        <v>0</v>
      </c>
    </row>
    <row r="467" spans="1:41" x14ac:dyDescent="0.4">
      <c r="A467" t="str">
        <f>IF($CM$6=0,"",IF(INDEX('⑩ 원문 보관'!$A:$E,$CM$6+ROW()-9,COLUMN())="","",INDEX('⑩ 원문 보관'!$A:$E,$CM$6+ROW()-9,COLUMN())))</f>
        <v/>
      </c>
      <c r="B467" t="str">
        <f>IF($CM$6=0,"",IF(INDEX('⑩ 원문 보관'!$A:$E,$CM$6+ROW()-9,COLUMN())="","",INDEX('⑩ 원문 보관'!$A:$E,$CM$6+ROW()-9,COLUMN())))</f>
        <v/>
      </c>
      <c r="C467" t="str">
        <f>IF($CM$6=0,"",IF(INDEX('⑩ 원문 보관'!$A:$E,$CM$6+ROW()-9,COLUMN())="","",INDEX('⑩ 원문 보관'!$A:$E,$CM$6+ROW()-9,COLUMN())))</f>
        <v/>
      </c>
      <c r="D467" t="str">
        <f>IF($CM$6=0,"",IF(INDEX('⑩ 원문 보관'!$A:$E,$CM$6+ROW()-9,COLUMN())="","",INDEX('⑩ 원문 보관'!$A:$E,$CM$6+ROW()-9,COLUMN())))</f>
        <v/>
      </c>
      <c r="E467" t="str">
        <f>IF($CM$6=0,"",IF(INDEX('⑩ 원문 보관'!$A:$E,$CM$6+ROW()-9,COLUMN())="","",INDEX('⑩ 원문 보관'!$A:$E,$CM$6+ROW()-9,COLUMN())))</f>
        <v/>
      </c>
      <c r="Q467">
        <f t="shared" si="220"/>
        <v>8</v>
      </c>
      <c r="R467" t="str">
        <f t="shared" si="200"/>
        <v/>
      </c>
      <c r="S467" t="str">
        <f t="shared" si="201"/>
        <v/>
      </c>
      <c r="T467" t="str">
        <f t="shared" si="202"/>
        <v/>
      </c>
      <c r="U467">
        <f t="shared" si="203"/>
        <v>0</v>
      </c>
      <c r="V467">
        <f t="shared" si="221"/>
        <v>12</v>
      </c>
      <c r="W467" t="str">
        <f t="shared" si="204"/>
        <v/>
      </c>
      <c r="X467" t="str">
        <f t="shared" si="205"/>
        <v/>
      </c>
      <c r="Y467" t="str">
        <f t="shared" si="206"/>
        <v/>
      </c>
      <c r="Z467">
        <f t="shared" si="207"/>
        <v>0</v>
      </c>
      <c r="AA467">
        <f t="shared" si="222"/>
        <v>6</v>
      </c>
      <c r="AB467" t="str">
        <f t="shared" si="208"/>
        <v/>
      </c>
      <c r="AC467" t="str">
        <f t="shared" si="209"/>
        <v/>
      </c>
      <c r="AD467" t="str">
        <f t="shared" si="210"/>
        <v/>
      </c>
      <c r="AE467">
        <f t="shared" si="211"/>
        <v>0</v>
      </c>
      <c r="AF467">
        <f t="shared" si="223"/>
        <v>10</v>
      </c>
      <c r="AG467" t="str">
        <f t="shared" si="212"/>
        <v/>
      </c>
      <c r="AH467" t="str">
        <f t="shared" si="213"/>
        <v/>
      </c>
      <c r="AI467" t="str">
        <f t="shared" si="214"/>
        <v/>
      </c>
      <c r="AJ467">
        <f t="shared" si="215"/>
        <v>0</v>
      </c>
      <c r="AK467">
        <f t="shared" si="224"/>
        <v>4</v>
      </c>
      <c r="AL467" t="str">
        <f t="shared" si="216"/>
        <v/>
      </c>
      <c r="AM467" t="str">
        <f t="shared" si="217"/>
        <v/>
      </c>
      <c r="AN467" t="str">
        <f t="shared" si="218"/>
        <v/>
      </c>
      <c r="AO467">
        <f t="shared" si="219"/>
        <v>0</v>
      </c>
    </row>
    <row r="468" spans="1:41" x14ac:dyDescent="0.4">
      <c r="A468" t="str">
        <f>IF($CM$6=0,"",IF(INDEX('⑩ 원문 보관'!$A:$E,$CM$6+ROW()-9,COLUMN())="","",INDEX('⑩ 원문 보관'!$A:$E,$CM$6+ROW()-9,COLUMN())))</f>
        <v/>
      </c>
      <c r="B468" t="str">
        <f>IF($CM$6=0,"",IF(INDEX('⑩ 원문 보관'!$A:$E,$CM$6+ROW()-9,COLUMN())="","",INDEX('⑩ 원문 보관'!$A:$E,$CM$6+ROW()-9,COLUMN())))</f>
        <v/>
      </c>
      <c r="C468" t="str">
        <f>IF($CM$6=0,"",IF(INDEX('⑩ 원문 보관'!$A:$E,$CM$6+ROW()-9,COLUMN())="","",INDEX('⑩ 원문 보관'!$A:$E,$CM$6+ROW()-9,COLUMN())))</f>
        <v/>
      </c>
      <c r="D468" t="str">
        <f>IF($CM$6=0,"",IF(INDEX('⑩ 원문 보관'!$A:$E,$CM$6+ROW()-9,COLUMN())="","",INDEX('⑩ 원문 보관'!$A:$E,$CM$6+ROW()-9,COLUMN())))</f>
        <v/>
      </c>
      <c r="E468" t="str">
        <f>IF($CM$6=0,"",IF(INDEX('⑩ 원문 보관'!$A:$E,$CM$6+ROW()-9,COLUMN())="","",INDEX('⑩ 원문 보관'!$A:$E,$CM$6+ROW()-9,COLUMN())))</f>
        <v/>
      </c>
      <c r="Q468">
        <f t="shared" si="220"/>
        <v>8</v>
      </c>
      <c r="R468" t="str">
        <f t="shared" si="200"/>
        <v/>
      </c>
      <c r="S468" t="str">
        <f t="shared" si="201"/>
        <v/>
      </c>
      <c r="T468" t="str">
        <f t="shared" si="202"/>
        <v/>
      </c>
      <c r="U468">
        <f t="shared" si="203"/>
        <v>0</v>
      </c>
      <c r="V468">
        <f t="shared" si="221"/>
        <v>12</v>
      </c>
      <c r="W468" t="str">
        <f t="shared" si="204"/>
        <v/>
      </c>
      <c r="X468" t="str">
        <f t="shared" si="205"/>
        <v/>
      </c>
      <c r="Y468" t="str">
        <f t="shared" si="206"/>
        <v/>
      </c>
      <c r="Z468">
        <f t="shared" si="207"/>
        <v>0</v>
      </c>
      <c r="AA468">
        <f t="shared" si="222"/>
        <v>6</v>
      </c>
      <c r="AB468" t="str">
        <f t="shared" si="208"/>
        <v/>
      </c>
      <c r="AC468" t="str">
        <f t="shared" si="209"/>
        <v/>
      </c>
      <c r="AD468" t="str">
        <f t="shared" si="210"/>
        <v/>
      </c>
      <c r="AE468">
        <f t="shared" si="211"/>
        <v>0</v>
      </c>
      <c r="AF468">
        <f t="shared" si="223"/>
        <v>10</v>
      </c>
      <c r="AG468" t="str">
        <f t="shared" si="212"/>
        <v/>
      </c>
      <c r="AH468" t="str">
        <f t="shared" si="213"/>
        <v/>
      </c>
      <c r="AI468" t="str">
        <f t="shared" si="214"/>
        <v/>
      </c>
      <c r="AJ468">
        <f t="shared" si="215"/>
        <v>0</v>
      </c>
      <c r="AK468">
        <f t="shared" si="224"/>
        <v>4</v>
      </c>
      <c r="AL468" t="str">
        <f t="shared" si="216"/>
        <v/>
      </c>
      <c r="AM468" t="str">
        <f t="shared" si="217"/>
        <v/>
      </c>
      <c r="AN468" t="str">
        <f t="shared" si="218"/>
        <v/>
      </c>
      <c r="AO468">
        <f t="shared" si="219"/>
        <v>0</v>
      </c>
    </row>
    <row r="469" spans="1:41" x14ac:dyDescent="0.4">
      <c r="A469" t="str">
        <f>IF($CM$6=0,"",IF(INDEX('⑩ 원문 보관'!$A:$E,$CM$6+ROW()-9,COLUMN())="","",INDEX('⑩ 원문 보관'!$A:$E,$CM$6+ROW()-9,COLUMN())))</f>
        <v/>
      </c>
      <c r="B469" t="str">
        <f>IF($CM$6=0,"",IF(INDEX('⑩ 원문 보관'!$A:$E,$CM$6+ROW()-9,COLUMN())="","",INDEX('⑩ 원문 보관'!$A:$E,$CM$6+ROW()-9,COLUMN())))</f>
        <v/>
      </c>
      <c r="C469" t="str">
        <f>IF($CM$6=0,"",IF(INDEX('⑩ 원문 보관'!$A:$E,$CM$6+ROW()-9,COLUMN())="","",INDEX('⑩ 원문 보관'!$A:$E,$CM$6+ROW()-9,COLUMN())))</f>
        <v/>
      </c>
      <c r="D469" t="str">
        <f>IF($CM$6=0,"",IF(INDEX('⑩ 원문 보관'!$A:$E,$CM$6+ROW()-9,COLUMN())="","",INDEX('⑩ 원문 보관'!$A:$E,$CM$6+ROW()-9,COLUMN())))</f>
        <v/>
      </c>
      <c r="E469" t="str">
        <f>IF($CM$6=0,"",IF(INDEX('⑩ 원문 보관'!$A:$E,$CM$6+ROW()-9,COLUMN())="","",INDEX('⑩ 원문 보관'!$A:$E,$CM$6+ROW()-9,COLUMN())))</f>
        <v/>
      </c>
      <c r="Q469">
        <f t="shared" si="220"/>
        <v>8</v>
      </c>
      <c r="R469" t="str">
        <f t="shared" si="200"/>
        <v/>
      </c>
      <c r="S469" t="str">
        <f t="shared" si="201"/>
        <v/>
      </c>
      <c r="T469" t="str">
        <f t="shared" si="202"/>
        <v/>
      </c>
      <c r="U469">
        <f t="shared" si="203"/>
        <v>0</v>
      </c>
      <c r="V469">
        <f t="shared" si="221"/>
        <v>12</v>
      </c>
      <c r="W469" t="str">
        <f t="shared" si="204"/>
        <v/>
      </c>
      <c r="X469" t="str">
        <f t="shared" si="205"/>
        <v/>
      </c>
      <c r="Y469" t="str">
        <f t="shared" si="206"/>
        <v/>
      </c>
      <c r="Z469">
        <f t="shared" si="207"/>
        <v>0</v>
      </c>
      <c r="AA469">
        <f t="shared" si="222"/>
        <v>6</v>
      </c>
      <c r="AB469" t="str">
        <f t="shared" si="208"/>
        <v/>
      </c>
      <c r="AC469" t="str">
        <f t="shared" si="209"/>
        <v/>
      </c>
      <c r="AD469" t="str">
        <f t="shared" si="210"/>
        <v/>
      </c>
      <c r="AE469">
        <f t="shared" si="211"/>
        <v>0</v>
      </c>
      <c r="AF469">
        <f t="shared" si="223"/>
        <v>10</v>
      </c>
      <c r="AG469" t="str">
        <f t="shared" si="212"/>
        <v/>
      </c>
      <c r="AH469" t="str">
        <f t="shared" si="213"/>
        <v/>
      </c>
      <c r="AI469" t="str">
        <f t="shared" si="214"/>
        <v/>
      </c>
      <c r="AJ469">
        <f t="shared" si="215"/>
        <v>0</v>
      </c>
      <c r="AK469">
        <f t="shared" si="224"/>
        <v>4</v>
      </c>
      <c r="AL469" t="str">
        <f t="shared" si="216"/>
        <v/>
      </c>
      <c r="AM469" t="str">
        <f t="shared" si="217"/>
        <v/>
      </c>
      <c r="AN469" t="str">
        <f t="shared" si="218"/>
        <v/>
      </c>
      <c r="AO469">
        <f t="shared" si="219"/>
        <v>0</v>
      </c>
    </row>
    <row r="470" spans="1:41" x14ac:dyDescent="0.4">
      <c r="A470" t="str">
        <f>IF($CM$6=0,"",IF(INDEX('⑩ 원문 보관'!$A:$E,$CM$6+ROW()-9,COLUMN())="","",INDEX('⑩ 원문 보관'!$A:$E,$CM$6+ROW()-9,COLUMN())))</f>
        <v/>
      </c>
      <c r="B470" t="str">
        <f>IF($CM$6=0,"",IF(INDEX('⑩ 원문 보관'!$A:$E,$CM$6+ROW()-9,COLUMN())="","",INDEX('⑩ 원문 보관'!$A:$E,$CM$6+ROW()-9,COLUMN())))</f>
        <v/>
      </c>
      <c r="C470" t="str">
        <f>IF($CM$6=0,"",IF(INDEX('⑩ 원문 보관'!$A:$E,$CM$6+ROW()-9,COLUMN())="","",INDEX('⑩ 원문 보관'!$A:$E,$CM$6+ROW()-9,COLUMN())))</f>
        <v/>
      </c>
      <c r="D470" t="str">
        <f>IF($CM$6=0,"",IF(INDEX('⑩ 원문 보관'!$A:$E,$CM$6+ROW()-9,COLUMN())="","",INDEX('⑩ 원문 보관'!$A:$E,$CM$6+ROW()-9,COLUMN())))</f>
        <v/>
      </c>
      <c r="E470" t="str">
        <f>IF($CM$6=0,"",IF(INDEX('⑩ 원문 보관'!$A:$E,$CM$6+ROW()-9,COLUMN())="","",INDEX('⑩ 원문 보관'!$A:$E,$CM$6+ROW()-9,COLUMN())))</f>
        <v/>
      </c>
      <c r="Q470">
        <f t="shared" si="220"/>
        <v>8</v>
      </c>
      <c r="R470" t="str">
        <f t="shared" si="200"/>
        <v/>
      </c>
      <c r="S470" t="str">
        <f t="shared" si="201"/>
        <v/>
      </c>
      <c r="T470" t="str">
        <f t="shared" si="202"/>
        <v/>
      </c>
      <c r="U470">
        <f t="shared" si="203"/>
        <v>0</v>
      </c>
      <c r="V470">
        <f t="shared" si="221"/>
        <v>12</v>
      </c>
      <c r="W470" t="str">
        <f t="shared" si="204"/>
        <v/>
      </c>
      <c r="X470" t="str">
        <f t="shared" si="205"/>
        <v/>
      </c>
      <c r="Y470" t="str">
        <f t="shared" si="206"/>
        <v/>
      </c>
      <c r="Z470">
        <f t="shared" si="207"/>
        <v>0</v>
      </c>
      <c r="AA470">
        <f t="shared" si="222"/>
        <v>6</v>
      </c>
      <c r="AB470" t="str">
        <f t="shared" si="208"/>
        <v/>
      </c>
      <c r="AC470" t="str">
        <f t="shared" si="209"/>
        <v/>
      </c>
      <c r="AD470" t="str">
        <f t="shared" si="210"/>
        <v/>
      </c>
      <c r="AE470">
        <f t="shared" si="211"/>
        <v>0</v>
      </c>
      <c r="AF470">
        <f t="shared" si="223"/>
        <v>10</v>
      </c>
      <c r="AG470" t="str">
        <f t="shared" si="212"/>
        <v/>
      </c>
      <c r="AH470" t="str">
        <f t="shared" si="213"/>
        <v/>
      </c>
      <c r="AI470" t="str">
        <f t="shared" si="214"/>
        <v/>
      </c>
      <c r="AJ470">
        <f t="shared" si="215"/>
        <v>0</v>
      </c>
      <c r="AK470">
        <f t="shared" si="224"/>
        <v>4</v>
      </c>
      <c r="AL470" t="str">
        <f t="shared" si="216"/>
        <v/>
      </c>
      <c r="AM470" t="str">
        <f t="shared" si="217"/>
        <v/>
      </c>
      <c r="AN470" t="str">
        <f t="shared" si="218"/>
        <v/>
      </c>
      <c r="AO470">
        <f t="shared" si="219"/>
        <v>0</v>
      </c>
    </row>
    <row r="471" spans="1:41" x14ac:dyDescent="0.4">
      <c r="A471" t="str">
        <f>IF($CM$6=0,"",IF(INDEX('⑩ 원문 보관'!$A:$E,$CM$6+ROW()-9,COLUMN())="","",INDEX('⑩ 원문 보관'!$A:$E,$CM$6+ROW()-9,COLUMN())))</f>
        <v/>
      </c>
      <c r="B471" t="str">
        <f>IF($CM$6=0,"",IF(INDEX('⑩ 원문 보관'!$A:$E,$CM$6+ROW()-9,COLUMN())="","",INDEX('⑩ 원문 보관'!$A:$E,$CM$6+ROW()-9,COLUMN())))</f>
        <v/>
      </c>
      <c r="C471" t="str">
        <f>IF($CM$6=0,"",IF(INDEX('⑩ 원문 보관'!$A:$E,$CM$6+ROW()-9,COLUMN())="","",INDEX('⑩ 원문 보관'!$A:$E,$CM$6+ROW()-9,COLUMN())))</f>
        <v/>
      </c>
      <c r="D471" t="str">
        <f>IF($CM$6=0,"",IF(INDEX('⑩ 원문 보관'!$A:$E,$CM$6+ROW()-9,COLUMN())="","",INDEX('⑩ 원문 보관'!$A:$E,$CM$6+ROW()-9,COLUMN())))</f>
        <v/>
      </c>
      <c r="E471" t="str">
        <f>IF($CM$6=0,"",IF(INDEX('⑩ 원문 보관'!$A:$E,$CM$6+ROW()-9,COLUMN())="","",INDEX('⑩ 원문 보관'!$A:$E,$CM$6+ROW()-9,COLUMN())))</f>
        <v/>
      </c>
      <c r="Q471">
        <f t="shared" si="220"/>
        <v>8</v>
      </c>
      <c r="R471" t="str">
        <f t="shared" si="200"/>
        <v/>
      </c>
      <c r="S471" t="str">
        <f t="shared" si="201"/>
        <v/>
      </c>
      <c r="T471" t="str">
        <f t="shared" si="202"/>
        <v/>
      </c>
      <c r="U471">
        <f t="shared" si="203"/>
        <v>0</v>
      </c>
      <c r="V471">
        <f t="shared" si="221"/>
        <v>12</v>
      </c>
      <c r="W471" t="str">
        <f t="shared" si="204"/>
        <v/>
      </c>
      <c r="X471" t="str">
        <f t="shared" si="205"/>
        <v/>
      </c>
      <c r="Y471" t="str">
        <f t="shared" si="206"/>
        <v/>
      </c>
      <c r="Z471">
        <f t="shared" si="207"/>
        <v>0</v>
      </c>
      <c r="AA471">
        <f t="shared" si="222"/>
        <v>6</v>
      </c>
      <c r="AB471" t="str">
        <f t="shared" si="208"/>
        <v/>
      </c>
      <c r="AC471" t="str">
        <f t="shared" si="209"/>
        <v/>
      </c>
      <c r="AD471" t="str">
        <f t="shared" si="210"/>
        <v/>
      </c>
      <c r="AE471">
        <f t="shared" si="211"/>
        <v>0</v>
      </c>
      <c r="AF471">
        <f t="shared" si="223"/>
        <v>10</v>
      </c>
      <c r="AG471" t="str">
        <f t="shared" si="212"/>
        <v/>
      </c>
      <c r="AH471" t="str">
        <f t="shared" si="213"/>
        <v/>
      </c>
      <c r="AI471" t="str">
        <f t="shared" si="214"/>
        <v/>
      </c>
      <c r="AJ471">
        <f t="shared" si="215"/>
        <v>0</v>
      </c>
      <c r="AK471">
        <f t="shared" si="224"/>
        <v>4</v>
      </c>
      <c r="AL471" t="str">
        <f t="shared" si="216"/>
        <v/>
      </c>
      <c r="AM471" t="str">
        <f t="shared" si="217"/>
        <v/>
      </c>
      <c r="AN471" t="str">
        <f t="shared" si="218"/>
        <v/>
      </c>
      <c r="AO471">
        <f t="shared" si="219"/>
        <v>0</v>
      </c>
    </row>
    <row r="472" spans="1:41" x14ac:dyDescent="0.4">
      <c r="A472" t="str">
        <f>IF($CM$6=0,"",IF(INDEX('⑩ 원문 보관'!$A:$E,$CM$6+ROW()-9,COLUMN())="","",INDEX('⑩ 원문 보관'!$A:$E,$CM$6+ROW()-9,COLUMN())))</f>
        <v/>
      </c>
      <c r="B472" t="str">
        <f>IF($CM$6=0,"",IF(INDEX('⑩ 원문 보관'!$A:$E,$CM$6+ROW()-9,COLUMN())="","",INDEX('⑩ 원문 보관'!$A:$E,$CM$6+ROW()-9,COLUMN())))</f>
        <v/>
      </c>
      <c r="C472" t="str">
        <f>IF($CM$6=0,"",IF(INDEX('⑩ 원문 보관'!$A:$E,$CM$6+ROW()-9,COLUMN())="","",INDEX('⑩ 원문 보관'!$A:$E,$CM$6+ROW()-9,COLUMN())))</f>
        <v/>
      </c>
      <c r="D472" t="str">
        <f>IF($CM$6=0,"",IF(INDEX('⑩ 원문 보관'!$A:$E,$CM$6+ROW()-9,COLUMN())="","",INDEX('⑩ 원문 보관'!$A:$E,$CM$6+ROW()-9,COLUMN())))</f>
        <v/>
      </c>
      <c r="E472" t="str">
        <f>IF($CM$6=0,"",IF(INDEX('⑩ 원문 보관'!$A:$E,$CM$6+ROW()-9,COLUMN())="","",INDEX('⑩ 원문 보관'!$A:$E,$CM$6+ROW()-9,COLUMN())))</f>
        <v/>
      </c>
      <c r="Q472">
        <f t="shared" si="220"/>
        <v>8</v>
      </c>
      <c r="R472" t="str">
        <f t="shared" si="200"/>
        <v/>
      </c>
      <c r="S472" t="str">
        <f t="shared" si="201"/>
        <v/>
      </c>
      <c r="T472" t="str">
        <f t="shared" si="202"/>
        <v/>
      </c>
      <c r="U472">
        <f t="shared" si="203"/>
        <v>0</v>
      </c>
      <c r="V472">
        <f t="shared" si="221"/>
        <v>12</v>
      </c>
      <c r="W472" t="str">
        <f t="shared" si="204"/>
        <v/>
      </c>
      <c r="X472" t="str">
        <f t="shared" si="205"/>
        <v/>
      </c>
      <c r="Y472" t="str">
        <f t="shared" si="206"/>
        <v/>
      </c>
      <c r="Z472">
        <f t="shared" si="207"/>
        <v>0</v>
      </c>
      <c r="AA472">
        <f t="shared" si="222"/>
        <v>6</v>
      </c>
      <c r="AB472" t="str">
        <f t="shared" si="208"/>
        <v/>
      </c>
      <c r="AC472" t="str">
        <f t="shared" si="209"/>
        <v/>
      </c>
      <c r="AD472" t="str">
        <f t="shared" si="210"/>
        <v/>
      </c>
      <c r="AE472">
        <f t="shared" si="211"/>
        <v>0</v>
      </c>
      <c r="AF472">
        <f t="shared" si="223"/>
        <v>10</v>
      </c>
      <c r="AG472" t="str">
        <f t="shared" si="212"/>
        <v/>
      </c>
      <c r="AH472" t="str">
        <f t="shared" si="213"/>
        <v/>
      </c>
      <c r="AI472" t="str">
        <f t="shared" si="214"/>
        <v/>
      </c>
      <c r="AJ472">
        <f t="shared" si="215"/>
        <v>0</v>
      </c>
      <c r="AK472">
        <f t="shared" si="224"/>
        <v>4</v>
      </c>
      <c r="AL472" t="str">
        <f t="shared" si="216"/>
        <v/>
      </c>
      <c r="AM472" t="str">
        <f t="shared" si="217"/>
        <v/>
      </c>
      <c r="AN472" t="str">
        <f t="shared" si="218"/>
        <v/>
      </c>
      <c r="AO472">
        <f t="shared" si="219"/>
        <v>0</v>
      </c>
    </row>
    <row r="473" spans="1:41" x14ac:dyDescent="0.4">
      <c r="A473" t="str">
        <f>IF($CM$6=0,"",IF(INDEX('⑩ 원문 보관'!$A:$E,$CM$6+ROW()-9,COLUMN())="","",INDEX('⑩ 원문 보관'!$A:$E,$CM$6+ROW()-9,COLUMN())))</f>
        <v/>
      </c>
      <c r="B473" t="str">
        <f>IF($CM$6=0,"",IF(INDEX('⑩ 원문 보관'!$A:$E,$CM$6+ROW()-9,COLUMN())="","",INDEX('⑩ 원문 보관'!$A:$E,$CM$6+ROW()-9,COLUMN())))</f>
        <v/>
      </c>
      <c r="C473" t="str">
        <f>IF($CM$6=0,"",IF(INDEX('⑩ 원문 보관'!$A:$E,$CM$6+ROW()-9,COLUMN())="","",INDEX('⑩ 원문 보관'!$A:$E,$CM$6+ROW()-9,COLUMN())))</f>
        <v/>
      </c>
      <c r="D473" t="str">
        <f>IF($CM$6=0,"",IF(INDEX('⑩ 원문 보관'!$A:$E,$CM$6+ROW()-9,COLUMN())="","",INDEX('⑩ 원문 보관'!$A:$E,$CM$6+ROW()-9,COLUMN())))</f>
        <v/>
      </c>
      <c r="E473" t="str">
        <f>IF($CM$6=0,"",IF(INDEX('⑩ 원문 보관'!$A:$E,$CM$6+ROW()-9,COLUMN())="","",INDEX('⑩ 원문 보관'!$A:$E,$CM$6+ROW()-9,COLUMN())))</f>
        <v/>
      </c>
      <c r="Q473">
        <f t="shared" si="220"/>
        <v>8</v>
      </c>
      <c r="R473" t="str">
        <f t="shared" si="200"/>
        <v/>
      </c>
      <c r="S473" t="str">
        <f t="shared" si="201"/>
        <v/>
      </c>
      <c r="T473" t="str">
        <f t="shared" si="202"/>
        <v/>
      </c>
      <c r="U473">
        <f t="shared" si="203"/>
        <v>0</v>
      </c>
      <c r="V473">
        <f t="shared" si="221"/>
        <v>12</v>
      </c>
      <c r="W473" t="str">
        <f t="shared" si="204"/>
        <v/>
      </c>
      <c r="X473" t="str">
        <f t="shared" si="205"/>
        <v/>
      </c>
      <c r="Y473" t="str">
        <f t="shared" si="206"/>
        <v/>
      </c>
      <c r="Z473">
        <f t="shared" si="207"/>
        <v>0</v>
      </c>
      <c r="AA473">
        <f t="shared" si="222"/>
        <v>6</v>
      </c>
      <c r="AB473" t="str">
        <f t="shared" si="208"/>
        <v/>
      </c>
      <c r="AC473" t="str">
        <f t="shared" si="209"/>
        <v/>
      </c>
      <c r="AD473" t="str">
        <f t="shared" si="210"/>
        <v/>
      </c>
      <c r="AE473">
        <f t="shared" si="211"/>
        <v>0</v>
      </c>
      <c r="AF473">
        <f t="shared" si="223"/>
        <v>10</v>
      </c>
      <c r="AG473" t="str">
        <f t="shared" si="212"/>
        <v/>
      </c>
      <c r="AH473" t="str">
        <f t="shared" si="213"/>
        <v/>
      </c>
      <c r="AI473" t="str">
        <f t="shared" si="214"/>
        <v/>
      </c>
      <c r="AJ473">
        <f t="shared" si="215"/>
        <v>0</v>
      </c>
      <c r="AK473">
        <f t="shared" si="224"/>
        <v>4</v>
      </c>
      <c r="AL473" t="str">
        <f t="shared" si="216"/>
        <v/>
      </c>
      <c r="AM473" t="str">
        <f t="shared" si="217"/>
        <v/>
      </c>
      <c r="AN473" t="str">
        <f t="shared" si="218"/>
        <v/>
      </c>
      <c r="AO473">
        <f t="shared" si="219"/>
        <v>0</v>
      </c>
    </row>
    <row r="474" spans="1:41" x14ac:dyDescent="0.4">
      <c r="A474" t="str">
        <f>IF($CM$6=0,"",IF(INDEX('⑩ 원문 보관'!$A:$E,$CM$6+ROW()-9,COLUMN())="","",INDEX('⑩ 원문 보관'!$A:$E,$CM$6+ROW()-9,COLUMN())))</f>
        <v/>
      </c>
      <c r="B474" t="str">
        <f>IF($CM$6=0,"",IF(INDEX('⑩ 원문 보관'!$A:$E,$CM$6+ROW()-9,COLUMN())="","",INDEX('⑩ 원문 보관'!$A:$E,$CM$6+ROW()-9,COLUMN())))</f>
        <v/>
      </c>
      <c r="C474" t="str">
        <f>IF($CM$6=0,"",IF(INDEX('⑩ 원문 보관'!$A:$E,$CM$6+ROW()-9,COLUMN())="","",INDEX('⑩ 원문 보관'!$A:$E,$CM$6+ROW()-9,COLUMN())))</f>
        <v/>
      </c>
      <c r="D474" t="str">
        <f>IF($CM$6=0,"",IF(INDEX('⑩ 원문 보관'!$A:$E,$CM$6+ROW()-9,COLUMN())="","",INDEX('⑩ 원문 보관'!$A:$E,$CM$6+ROW()-9,COLUMN())))</f>
        <v/>
      </c>
      <c r="E474" t="str">
        <f>IF($CM$6=0,"",IF(INDEX('⑩ 원문 보관'!$A:$E,$CM$6+ROW()-9,COLUMN())="","",INDEX('⑩ 원문 보관'!$A:$E,$CM$6+ROW()-9,COLUMN())))</f>
        <v/>
      </c>
      <c r="Q474">
        <f t="shared" si="220"/>
        <v>8</v>
      </c>
      <c r="R474" t="str">
        <f t="shared" si="200"/>
        <v/>
      </c>
      <c r="S474" t="str">
        <f t="shared" si="201"/>
        <v/>
      </c>
      <c r="T474" t="str">
        <f t="shared" si="202"/>
        <v/>
      </c>
      <c r="U474">
        <f t="shared" si="203"/>
        <v>0</v>
      </c>
      <c r="V474">
        <f t="shared" si="221"/>
        <v>12</v>
      </c>
      <c r="W474" t="str">
        <f t="shared" si="204"/>
        <v/>
      </c>
      <c r="X474" t="str">
        <f t="shared" si="205"/>
        <v/>
      </c>
      <c r="Y474" t="str">
        <f t="shared" si="206"/>
        <v/>
      </c>
      <c r="Z474">
        <f t="shared" si="207"/>
        <v>0</v>
      </c>
      <c r="AA474">
        <f t="shared" si="222"/>
        <v>6</v>
      </c>
      <c r="AB474" t="str">
        <f t="shared" si="208"/>
        <v/>
      </c>
      <c r="AC474" t="str">
        <f t="shared" si="209"/>
        <v/>
      </c>
      <c r="AD474" t="str">
        <f t="shared" si="210"/>
        <v/>
      </c>
      <c r="AE474">
        <f t="shared" si="211"/>
        <v>0</v>
      </c>
      <c r="AF474">
        <f t="shared" si="223"/>
        <v>10</v>
      </c>
      <c r="AG474" t="str">
        <f t="shared" si="212"/>
        <v/>
      </c>
      <c r="AH474" t="str">
        <f t="shared" si="213"/>
        <v/>
      </c>
      <c r="AI474" t="str">
        <f t="shared" si="214"/>
        <v/>
      </c>
      <c r="AJ474">
        <f t="shared" si="215"/>
        <v>0</v>
      </c>
      <c r="AK474">
        <f t="shared" si="224"/>
        <v>4</v>
      </c>
      <c r="AL474" t="str">
        <f t="shared" si="216"/>
        <v/>
      </c>
      <c r="AM474" t="str">
        <f t="shared" si="217"/>
        <v/>
      </c>
      <c r="AN474" t="str">
        <f t="shared" si="218"/>
        <v/>
      </c>
      <c r="AO474">
        <f t="shared" si="219"/>
        <v>0</v>
      </c>
    </row>
    <row r="475" spans="1:41" x14ac:dyDescent="0.4">
      <c r="A475" t="str">
        <f>IF($CM$6=0,"",IF(INDEX('⑩ 원문 보관'!$A:$E,$CM$6+ROW()-9,COLUMN())="","",INDEX('⑩ 원문 보관'!$A:$E,$CM$6+ROW()-9,COLUMN())))</f>
        <v/>
      </c>
      <c r="B475" t="str">
        <f>IF($CM$6=0,"",IF(INDEX('⑩ 원문 보관'!$A:$E,$CM$6+ROW()-9,COLUMN())="","",INDEX('⑩ 원문 보관'!$A:$E,$CM$6+ROW()-9,COLUMN())))</f>
        <v/>
      </c>
      <c r="C475" t="str">
        <f>IF($CM$6=0,"",IF(INDEX('⑩ 원문 보관'!$A:$E,$CM$6+ROW()-9,COLUMN())="","",INDEX('⑩ 원문 보관'!$A:$E,$CM$6+ROW()-9,COLUMN())))</f>
        <v/>
      </c>
      <c r="D475" t="str">
        <f>IF($CM$6=0,"",IF(INDEX('⑩ 원문 보관'!$A:$E,$CM$6+ROW()-9,COLUMN())="","",INDEX('⑩ 원문 보관'!$A:$E,$CM$6+ROW()-9,COLUMN())))</f>
        <v/>
      </c>
      <c r="E475" t="str">
        <f>IF($CM$6=0,"",IF(INDEX('⑩ 원문 보관'!$A:$E,$CM$6+ROW()-9,COLUMN())="","",INDEX('⑩ 원문 보관'!$A:$E,$CM$6+ROW()-9,COLUMN())))</f>
        <v/>
      </c>
      <c r="Q475">
        <f t="shared" si="220"/>
        <v>8</v>
      </c>
      <c r="R475" t="str">
        <f t="shared" si="200"/>
        <v/>
      </c>
      <c r="S475" t="str">
        <f t="shared" si="201"/>
        <v/>
      </c>
      <c r="T475" t="str">
        <f t="shared" si="202"/>
        <v/>
      </c>
      <c r="U475">
        <f t="shared" si="203"/>
        <v>0</v>
      </c>
      <c r="V475">
        <f t="shared" si="221"/>
        <v>12</v>
      </c>
      <c r="W475" t="str">
        <f t="shared" si="204"/>
        <v/>
      </c>
      <c r="X475" t="str">
        <f t="shared" si="205"/>
        <v/>
      </c>
      <c r="Y475" t="str">
        <f t="shared" si="206"/>
        <v/>
      </c>
      <c r="Z475">
        <f t="shared" si="207"/>
        <v>0</v>
      </c>
      <c r="AA475">
        <f t="shared" si="222"/>
        <v>6</v>
      </c>
      <c r="AB475" t="str">
        <f t="shared" si="208"/>
        <v/>
      </c>
      <c r="AC475" t="str">
        <f t="shared" si="209"/>
        <v/>
      </c>
      <c r="AD475" t="str">
        <f t="shared" si="210"/>
        <v/>
      </c>
      <c r="AE475">
        <f t="shared" si="211"/>
        <v>0</v>
      </c>
      <c r="AF475">
        <f t="shared" si="223"/>
        <v>10</v>
      </c>
      <c r="AG475" t="str">
        <f t="shared" si="212"/>
        <v/>
      </c>
      <c r="AH475" t="str">
        <f t="shared" si="213"/>
        <v/>
      </c>
      <c r="AI475" t="str">
        <f t="shared" si="214"/>
        <v/>
      </c>
      <c r="AJ475">
        <f t="shared" si="215"/>
        <v>0</v>
      </c>
      <c r="AK475">
        <f t="shared" si="224"/>
        <v>4</v>
      </c>
      <c r="AL475" t="str">
        <f t="shared" si="216"/>
        <v/>
      </c>
      <c r="AM475" t="str">
        <f t="shared" si="217"/>
        <v/>
      </c>
      <c r="AN475" t="str">
        <f t="shared" si="218"/>
        <v/>
      </c>
      <c r="AO475">
        <f t="shared" si="219"/>
        <v>0</v>
      </c>
    </row>
    <row r="476" spans="1:41" x14ac:dyDescent="0.4">
      <c r="A476" t="str">
        <f>IF($CM$6=0,"",IF(INDEX('⑩ 원문 보관'!$A:$E,$CM$6+ROW()-9,COLUMN())="","",INDEX('⑩ 원문 보관'!$A:$E,$CM$6+ROW()-9,COLUMN())))</f>
        <v/>
      </c>
      <c r="B476" t="str">
        <f>IF($CM$6=0,"",IF(INDEX('⑩ 원문 보관'!$A:$E,$CM$6+ROW()-9,COLUMN())="","",INDEX('⑩ 원문 보관'!$A:$E,$CM$6+ROW()-9,COLUMN())))</f>
        <v/>
      </c>
      <c r="C476" t="str">
        <f>IF($CM$6=0,"",IF(INDEX('⑩ 원문 보관'!$A:$E,$CM$6+ROW()-9,COLUMN())="","",INDEX('⑩ 원문 보관'!$A:$E,$CM$6+ROW()-9,COLUMN())))</f>
        <v/>
      </c>
      <c r="D476" t="str">
        <f>IF($CM$6=0,"",IF(INDEX('⑩ 원문 보관'!$A:$E,$CM$6+ROW()-9,COLUMN())="","",INDEX('⑩ 원문 보관'!$A:$E,$CM$6+ROW()-9,COLUMN())))</f>
        <v/>
      </c>
      <c r="E476" t="str">
        <f>IF($CM$6=0,"",IF(INDEX('⑩ 원문 보관'!$A:$E,$CM$6+ROW()-9,COLUMN())="","",INDEX('⑩ 원문 보관'!$A:$E,$CM$6+ROW()-9,COLUMN())))</f>
        <v/>
      </c>
      <c r="Q476">
        <f t="shared" si="220"/>
        <v>8</v>
      </c>
      <c r="R476" t="str">
        <f t="shared" si="200"/>
        <v/>
      </c>
      <c r="S476" t="str">
        <f t="shared" si="201"/>
        <v/>
      </c>
      <c r="T476" t="str">
        <f t="shared" si="202"/>
        <v/>
      </c>
      <c r="U476">
        <f t="shared" si="203"/>
        <v>0</v>
      </c>
      <c r="V476">
        <f t="shared" si="221"/>
        <v>12</v>
      </c>
      <c r="W476" t="str">
        <f t="shared" si="204"/>
        <v/>
      </c>
      <c r="X476" t="str">
        <f t="shared" si="205"/>
        <v/>
      </c>
      <c r="Y476" t="str">
        <f t="shared" si="206"/>
        <v/>
      </c>
      <c r="Z476">
        <f t="shared" si="207"/>
        <v>0</v>
      </c>
      <c r="AA476">
        <f t="shared" si="222"/>
        <v>6</v>
      </c>
      <c r="AB476" t="str">
        <f t="shared" si="208"/>
        <v/>
      </c>
      <c r="AC476" t="str">
        <f t="shared" si="209"/>
        <v/>
      </c>
      <c r="AD476" t="str">
        <f t="shared" si="210"/>
        <v/>
      </c>
      <c r="AE476">
        <f t="shared" si="211"/>
        <v>0</v>
      </c>
      <c r="AF476">
        <f t="shared" si="223"/>
        <v>10</v>
      </c>
      <c r="AG476" t="str">
        <f t="shared" si="212"/>
        <v/>
      </c>
      <c r="AH476" t="str">
        <f t="shared" si="213"/>
        <v/>
      </c>
      <c r="AI476" t="str">
        <f t="shared" si="214"/>
        <v/>
      </c>
      <c r="AJ476">
        <f t="shared" si="215"/>
        <v>0</v>
      </c>
      <c r="AK476">
        <f t="shared" si="224"/>
        <v>4</v>
      </c>
      <c r="AL476" t="str">
        <f t="shared" si="216"/>
        <v/>
      </c>
      <c r="AM476" t="str">
        <f t="shared" si="217"/>
        <v/>
      </c>
      <c r="AN476" t="str">
        <f t="shared" si="218"/>
        <v/>
      </c>
      <c r="AO476">
        <f t="shared" si="219"/>
        <v>0</v>
      </c>
    </row>
    <row r="477" spans="1:41" x14ac:dyDescent="0.4">
      <c r="A477" t="str">
        <f>IF($CM$6=0,"",IF(INDEX('⑩ 원문 보관'!$A:$E,$CM$6+ROW()-9,COLUMN())="","",INDEX('⑩ 원문 보관'!$A:$E,$CM$6+ROW()-9,COLUMN())))</f>
        <v/>
      </c>
      <c r="B477" t="str">
        <f>IF($CM$6=0,"",IF(INDEX('⑩ 원문 보관'!$A:$E,$CM$6+ROW()-9,COLUMN())="","",INDEX('⑩ 원문 보관'!$A:$E,$CM$6+ROW()-9,COLUMN())))</f>
        <v/>
      </c>
      <c r="C477" t="str">
        <f>IF($CM$6=0,"",IF(INDEX('⑩ 원문 보관'!$A:$E,$CM$6+ROW()-9,COLUMN())="","",INDEX('⑩ 원문 보관'!$A:$E,$CM$6+ROW()-9,COLUMN())))</f>
        <v/>
      </c>
      <c r="D477" t="str">
        <f>IF($CM$6=0,"",IF(INDEX('⑩ 원문 보관'!$A:$E,$CM$6+ROW()-9,COLUMN())="","",INDEX('⑩ 원문 보관'!$A:$E,$CM$6+ROW()-9,COLUMN())))</f>
        <v/>
      </c>
      <c r="E477" t="str">
        <f>IF($CM$6=0,"",IF(INDEX('⑩ 원문 보관'!$A:$E,$CM$6+ROW()-9,COLUMN())="","",INDEX('⑩ 원문 보관'!$A:$E,$CM$6+ROW()-9,COLUMN())))</f>
        <v/>
      </c>
      <c r="Q477">
        <f t="shared" si="220"/>
        <v>8</v>
      </c>
      <c r="R477" t="str">
        <f t="shared" si="200"/>
        <v/>
      </c>
      <c r="S477" t="str">
        <f t="shared" si="201"/>
        <v/>
      </c>
      <c r="T477" t="str">
        <f t="shared" si="202"/>
        <v/>
      </c>
      <c r="U477">
        <f t="shared" si="203"/>
        <v>0</v>
      </c>
      <c r="V477">
        <f t="shared" si="221"/>
        <v>12</v>
      </c>
      <c r="W477" t="str">
        <f t="shared" si="204"/>
        <v/>
      </c>
      <c r="X477" t="str">
        <f t="shared" si="205"/>
        <v/>
      </c>
      <c r="Y477" t="str">
        <f t="shared" si="206"/>
        <v/>
      </c>
      <c r="Z477">
        <f t="shared" si="207"/>
        <v>0</v>
      </c>
      <c r="AA477">
        <f t="shared" si="222"/>
        <v>6</v>
      </c>
      <c r="AB477" t="str">
        <f t="shared" si="208"/>
        <v/>
      </c>
      <c r="AC477" t="str">
        <f t="shared" si="209"/>
        <v/>
      </c>
      <c r="AD477" t="str">
        <f t="shared" si="210"/>
        <v/>
      </c>
      <c r="AE477">
        <f t="shared" si="211"/>
        <v>0</v>
      </c>
      <c r="AF477">
        <f t="shared" si="223"/>
        <v>10</v>
      </c>
      <c r="AG477" t="str">
        <f t="shared" si="212"/>
        <v/>
      </c>
      <c r="AH477" t="str">
        <f t="shared" si="213"/>
        <v/>
      </c>
      <c r="AI477" t="str">
        <f t="shared" si="214"/>
        <v/>
      </c>
      <c r="AJ477">
        <f t="shared" si="215"/>
        <v>0</v>
      </c>
      <c r="AK477">
        <f t="shared" si="224"/>
        <v>4</v>
      </c>
      <c r="AL477" t="str">
        <f t="shared" si="216"/>
        <v/>
      </c>
      <c r="AM477" t="str">
        <f t="shared" si="217"/>
        <v/>
      </c>
      <c r="AN477" t="str">
        <f t="shared" si="218"/>
        <v/>
      </c>
      <c r="AO477">
        <f t="shared" si="219"/>
        <v>0</v>
      </c>
    </row>
    <row r="478" spans="1:41" x14ac:dyDescent="0.4">
      <c r="A478" t="str">
        <f>IF($CM$6=0,"",IF(INDEX('⑩ 원문 보관'!$A:$E,$CM$6+ROW()-9,COLUMN())="","",INDEX('⑩ 원문 보관'!$A:$E,$CM$6+ROW()-9,COLUMN())))</f>
        <v/>
      </c>
      <c r="B478" t="str">
        <f>IF($CM$6=0,"",IF(INDEX('⑩ 원문 보관'!$A:$E,$CM$6+ROW()-9,COLUMN())="","",INDEX('⑩ 원문 보관'!$A:$E,$CM$6+ROW()-9,COLUMN())))</f>
        <v/>
      </c>
      <c r="C478" t="str">
        <f>IF($CM$6=0,"",IF(INDEX('⑩ 원문 보관'!$A:$E,$CM$6+ROW()-9,COLUMN())="","",INDEX('⑩ 원문 보관'!$A:$E,$CM$6+ROW()-9,COLUMN())))</f>
        <v/>
      </c>
      <c r="D478" t="str">
        <f>IF($CM$6=0,"",IF(INDEX('⑩ 원문 보관'!$A:$E,$CM$6+ROW()-9,COLUMN())="","",INDEX('⑩ 원문 보관'!$A:$E,$CM$6+ROW()-9,COLUMN())))</f>
        <v/>
      </c>
      <c r="E478" t="str">
        <f>IF($CM$6=0,"",IF(INDEX('⑩ 원문 보관'!$A:$E,$CM$6+ROW()-9,COLUMN())="","",INDEX('⑩ 원문 보관'!$A:$E,$CM$6+ROW()-9,COLUMN())))</f>
        <v/>
      </c>
      <c r="Q478">
        <f t="shared" si="220"/>
        <v>8</v>
      </c>
      <c r="R478" t="str">
        <f t="shared" si="200"/>
        <v/>
      </c>
      <c r="S478" t="str">
        <f t="shared" si="201"/>
        <v/>
      </c>
      <c r="T478" t="str">
        <f t="shared" si="202"/>
        <v/>
      </c>
      <c r="U478">
        <f t="shared" si="203"/>
        <v>0</v>
      </c>
      <c r="V478">
        <f t="shared" si="221"/>
        <v>12</v>
      </c>
      <c r="W478" t="str">
        <f t="shared" si="204"/>
        <v/>
      </c>
      <c r="X478" t="str">
        <f t="shared" si="205"/>
        <v/>
      </c>
      <c r="Y478" t="str">
        <f t="shared" si="206"/>
        <v/>
      </c>
      <c r="Z478">
        <f t="shared" si="207"/>
        <v>0</v>
      </c>
      <c r="AA478">
        <f t="shared" si="222"/>
        <v>6</v>
      </c>
      <c r="AB478" t="str">
        <f t="shared" si="208"/>
        <v/>
      </c>
      <c r="AC478" t="str">
        <f t="shared" si="209"/>
        <v/>
      </c>
      <c r="AD478" t="str">
        <f t="shared" si="210"/>
        <v/>
      </c>
      <c r="AE478">
        <f t="shared" si="211"/>
        <v>0</v>
      </c>
      <c r="AF478">
        <f t="shared" si="223"/>
        <v>10</v>
      </c>
      <c r="AG478" t="str">
        <f t="shared" si="212"/>
        <v/>
      </c>
      <c r="AH478" t="str">
        <f t="shared" si="213"/>
        <v/>
      </c>
      <c r="AI478" t="str">
        <f t="shared" si="214"/>
        <v/>
      </c>
      <c r="AJ478">
        <f t="shared" si="215"/>
        <v>0</v>
      </c>
      <c r="AK478">
        <f t="shared" si="224"/>
        <v>4</v>
      </c>
      <c r="AL478" t="str">
        <f t="shared" si="216"/>
        <v/>
      </c>
      <c r="AM478" t="str">
        <f t="shared" si="217"/>
        <v/>
      </c>
      <c r="AN478" t="str">
        <f t="shared" si="218"/>
        <v/>
      </c>
      <c r="AO478">
        <f t="shared" si="219"/>
        <v>0</v>
      </c>
    </row>
    <row r="479" spans="1:41" x14ac:dyDescent="0.4">
      <c r="A479" t="str">
        <f>IF($CM$6=0,"",IF(INDEX('⑩ 원문 보관'!$A:$E,$CM$6+ROW()-9,COLUMN())="","",INDEX('⑩ 원문 보관'!$A:$E,$CM$6+ROW()-9,COLUMN())))</f>
        <v/>
      </c>
      <c r="B479" t="str">
        <f>IF($CM$6=0,"",IF(INDEX('⑩ 원문 보관'!$A:$E,$CM$6+ROW()-9,COLUMN())="","",INDEX('⑩ 원문 보관'!$A:$E,$CM$6+ROW()-9,COLUMN())))</f>
        <v/>
      </c>
      <c r="C479" t="str">
        <f>IF($CM$6=0,"",IF(INDEX('⑩ 원문 보관'!$A:$E,$CM$6+ROW()-9,COLUMN())="","",INDEX('⑩ 원문 보관'!$A:$E,$CM$6+ROW()-9,COLUMN())))</f>
        <v/>
      </c>
      <c r="D479" t="str">
        <f>IF($CM$6=0,"",IF(INDEX('⑩ 원문 보관'!$A:$E,$CM$6+ROW()-9,COLUMN())="","",INDEX('⑩ 원문 보관'!$A:$E,$CM$6+ROW()-9,COLUMN())))</f>
        <v/>
      </c>
      <c r="E479" t="str">
        <f>IF($CM$6=0,"",IF(INDEX('⑩ 원문 보관'!$A:$E,$CM$6+ROW()-9,COLUMN())="","",INDEX('⑩ 원문 보관'!$A:$E,$CM$6+ROW()-9,COLUMN())))</f>
        <v/>
      </c>
      <c r="Q479">
        <f t="shared" si="220"/>
        <v>8</v>
      </c>
      <c r="R479" t="str">
        <f t="shared" si="200"/>
        <v/>
      </c>
      <c r="S479" t="str">
        <f t="shared" si="201"/>
        <v/>
      </c>
      <c r="T479" t="str">
        <f t="shared" si="202"/>
        <v/>
      </c>
      <c r="U479">
        <f t="shared" si="203"/>
        <v>0</v>
      </c>
      <c r="V479">
        <f t="shared" si="221"/>
        <v>12</v>
      </c>
      <c r="W479" t="str">
        <f t="shared" si="204"/>
        <v/>
      </c>
      <c r="X479" t="str">
        <f t="shared" si="205"/>
        <v/>
      </c>
      <c r="Y479" t="str">
        <f t="shared" si="206"/>
        <v/>
      </c>
      <c r="Z479">
        <f t="shared" si="207"/>
        <v>0</v>
      </c>
      <c r="AA479">
        <f t="shared" si="222"/>
        <v>6</v>
      </c>
      <c r="AB479" t="str">
        <f t="shared" si="208"/>
        <v/>
      </c>
      <c r="AC479" t="str">
        <f t="shared" si="209"/>
        <v/>
      </c>
      <c r="AD479" t="str">
        <f t="shared" si="210"/>
        <v/>
      </c>
      <c r="AE479">
        <f t="shared" si="211"/>
        <v>0</v>
      </c>
      <c r="AF479">
        <f t="shared" si="223"/>
        <v>10</v>
      </c>
      <c r="AG479" t="str">
        <f t="shared" si="212"/>
        <v/>
      </c>
      <c r="AH479" t="str">
        <f t="shared" si="213"/>
        <v/>
      </c>
      <c r="AI479" t="str">
        <f t="shared" si="214"/>
        <v/>
      </c>
      <c r="AJ479">
        <f t="shared" si="215"/>
        <v>0</v>
      </c>
      <c r="AK479">
        <f t="shared" si="224"/>
        <v>4</v>
      </c>
      <c r="AL479" t="str">
        <f t="shared" si="216"/>
        <v/>
      </c>
      <c r="AM479" t="str">
        <f t="shared" si="217"/>
        <v/>
      </c>
      <c r="AN479" t="str">
        <f t="shared" si="218"/>
        <v/>
      </c>
      <c r="AO479">
        <f t="shared" si="219"/>
        <v>0</v>
      </c>
    </row>
    <row r="480" spans="1:41" x14ac:dyDescent="0.4">
      <c r="A480" t="str">
        <f>IF($CM$6=0,"",IF(INDEX('⑩ 원문 보관'!$A:$E,$CM$6+ROW()-9,COLUMN())="","",INDEX('⑩ 원문 보관'!$A:$E,$CM$6+ROW()-9,COLUMN())))</f>
        <v/>
      </c>
      <c r="B480" t="str">
        <f>IF($CM$6=0,"",IF(INDEX('⑩ 원문 보관'!$A:$E,$CM$6+ROW()-9,COLUMN())="","",INDEX('⑩ 원문 보관'!$A:$E,$CM$6+ROW()-9,COLUMN())))</f>
        <v/>
      </c>
      <c r="C480" t="str">
        <f>IF($CM$6=0,"",IF(INDEX('⑩ 원문 보관'!$A:$E,$CM$6+ROW()-9,COLUMN())="","",INDEX('⑩ 원문 보관'!$A:$E,$CM$6+ROW()-9,COLUMN())))</f>
        <v/>
      </c>
      <c r="D480" t="str">
        <f>IF($CM$6=0,"",IF(INDEX('⑩ 원문 보관'!$A:$E,$CM$6+ROW()-9,COLUMN())="","",INDEX('⑩ 원문 보관'!$A:$E,$CM$6+ROW()-9,COLUMN())))</f>
        <v/>
      </c>
      <c r="E480" t="str">
        <f>IF($CM$6=0,"",IF(INDEX('⑩ 원문 보관'!$A:$E,$CM$6+ROW()-9,COLUMN())="","",INDEX('⑩ 원문 보관'!$A:$E,$CM$6+ROW()-9,COLUMN())))</f>
        <v/>
      </c>
      <c r="Q480">
        <f t="shared" si="220"/>
        <v>8</v>
      </c>
      <c r="R480" t="str">
        <f t="shared" si="200"/>
        <v/>
      </c>
      <c r="S480" t="str">
        <f t="shared" si="201"/>
        <v/>
      </c>
      <c r="T480" t="str">
        <f t="shared" si="202"/>
        <v/>
      </c>
      <c r="U480">
        <f t="shared" si="203"/>
        <v>0</v>
      </c>
      <c r="V480">
        <f t="shared" si="221"/>
        <v>12</v>
      </c>
      <c r="W480" t="str">
        <f t="shared" si="204"/>
        <v/>
      </c>
      <c r="X480" t="str">
        <f t="shared" si="205"/>
        <v/>
      </c>
      <c r="Y480" t="str">
        <f t="shared" si="206"/>
        <v/>
      </c>
      <c r="Z480">
        <f t="shared" si="207"/>
        <v>0</v>
      </c>
      <c r="AA480">
        <f t="shared" si="222"/>
        <v>6</v>
      </c>
      <c r="AB480" t="str">
        <f t="shared" si="208"/>
        <v/>
      </c>
      <c r="AC480" t="str">
        <f t="shared" si="209"/>
        <v/>
      </c>
      <c r="AD480" t="str">
        <f t="shared" si="210"/>
        <v/>
      </c>
      <c r="AE480">
        <f t="shared" si="211"/>
        <v>0</v>
      </c>
      <c r="AF480">
        <f t="shared" si="223"/>
        <v>10</v>
      </c>
      <c r="AG480" t="str">
        <f t="shared" si="212"/>
        <v/>
      </c>
      <c r="AH480" t="str">
        <f t="shared" si="213"/>
        <v/>
      </c>
      <c r="AI480" t="str">
        <f t="shared" si="214"/>
        <v/>
      </c>
      <c r="AJ480">
        <f t="shared" si="215"/>
        <v>0</v>
      </c>
      <c r="AK480">
        <f t="shared" si="224"/>
        <v>4</v>
      </c>
      <c r="AL480" t="str">
        <f t="shared" si="216"/>
        <v/>
      </c>
      <c r="AM480" t="str">
        <f t="shared" si="217"/>
        <v/>
      </c>
      <c r="AN480" t="str">
        <f t="shared" si="218"/>
        <v/>
      </c>
      <c r="AO480">
        <f t="shared" si="219"/>
        <v>0</v>
      </c>
    </row>
    <row r="481" spans="1:41" x14ac:dyDescent="0.4">
      <c r="A481" t="str">
        <f>IF($CM$6=0,"",IF(INDEX('⑩ 원문 보관'!$A:$E,$CM$6+ROW()-9,COLUMN())="","",INDEX('⑩ 원문 보관'!$A:$E,$CM$6+ROW()-9,COLUMN())))</f>
        <v/>
      </c>
      <c r="B481" t="str">
        <f>IF($CM$6=0,"",IF(INDEX('⑩ 원문 보관'!$A:$E,$CM$6+ROW()-9,COLUMN())="","",INDEX('⑩ 원문 보관'!$A:$E,$CM$6+ROW()-9,COLUMN())))</f>
        <v/>
      </c>
      <c r="C481" t="str">
        <f>IF($CM$6=0,"",IF(INDEX('⑩ 원문 보관'!$A:$E,$CM$6+ROW()-9,COLUMN())="","",INDEX('⑩ 원문 보관'!$A:$E,$CM$6+ROW()-9,COLUMN())))</f>
        <v/>
      </c>
      <c r="D481" t="str">
        <f>IF($CM$6=0,"",IF(INDEX('⑩ 원문 보관'!$A:$E,$CM$6+ROW()-9,COLUMN())="","",INDEX('⑩ 원문 보관'!$A:$E,$CM$6+ROW()-9,COLUMN())))</f>
        <v/>
      </c>
      <c r="E481" t="str">
        <f>IF($CM$6=0,"",IF(INDEX('⑩ 원문 보관'!$A:$E,$CM$6+ROW()-9,COLUMN())="","",INDEX('⑩ 원문 보관'!$A:$E,$CM$6+ROW()-9,COLUMN())))</f>
        <v/>
      </c>
      <c r="Q481">
        <f t="shared" si="220"/>
        <v>8</v>
      </c>
      <c r="R481" t="str">
        <f t="shared" si="200"/>
        <v/>
      </c>
      <c r="S481" t="str">
        <f t="shared" si="201"/>
        <v/>
      </c>
      <c r="T481" t="str">
        <f t="shared" si="202"/>
        <v/>
      </c>
      <c r="U481">
        <f t="shared" si="203"/>
        <v>0</v>
      </c>
      <c r="V481">
        <f t="shared" si="221"/>
        <v>12</v>
      </c>
      <c r="W481" t="str">
        <f t="shared" si="204"/>
        <v/>
      </c>
      <c r="X481" t="str">
        <f t="shared" si="205"/>
        <v/>
      </c>
      <c r="Y481" t="str">
        <f t="shared" si="206"/>
        <v/>
      </c>
      <c r="Z481">
        <f t="shared" si="207"/>
        <v>0</v>
      </c>
      <c r="AA481">
        <f t="shared" si="222"/>
        <v>6</v>
      </c>
      <c r="AB481" t="str">
        <f t="shared" si="208"/>
        <v/>
      </c>
      <c r="AC481" t="str">
        <f t="shared" si="209"/>
        <v/>
      </c>
      <c r="AD481" t="str">
        <f t="shared" si="210"/>
        <v/>
      </c>
      <c r="AE481">
        <f t="shared" si="211"/>
        <v>0</v>
      </c>
      <c r="AF481">
        <f t="shared" si="223"/>
        <v>10</v>
      </c>
      <c r="AG481" t="str">
        <f t="shared" si="212"/>
        <v/>
      </c>
      <c r="AH481" t="str">
        <f t="shared" si="213"/>
        <v/>
      </c>
      <c r="AI481" t="str">
        <f t="shared" si="214"/>
        <v/>
      </c>
      <c r="AJ481">
        <f t="shared" si="215"/>
        <v>0</v>
      </c>
      <c r="AK481">
        <f t="shared" si="224"/>
        <v>4</v>
      </c>
      <c r="AL481" t="str">
        <f t="shared" si="216"/>
        <v/>
      </c>
      <c r="AM481" t="str">
        <f t="shared" si="217"/>
        <v/>
      </c>
      <c r="AN481" t="str">
        <f t="shared" si="218"/>
        <v/>
      </c>
      <c r="AO481">
        <f t="shared" si="219"/>
        <v>0</v>
      </c>
    </row>
    <row r="482" spans="1:41" x14ac:dyDescent="0.4">
      <c r="A482" t="str">
        <f>IF($CM$6=0,"",IF(INDEX('⑩ 원문 보관'!$A:$E,$CM$6+ROW()-9,COLUMN())="","",INDEX('⑩ 원문 보관'!$A:$E,$CM$6+ROW()-9,COLUMN())))</f>
        <v/>
      </c>
      <c r="B482" t="str">
        <f>IF($CM$6=0,"",IF(INDEX('⑩ 원문 보관'!$A:$E,$CM$6+ROW()-9,COLUMN())="","",INDEX('⑩ 원문 보관'!$A:$E,$CM$6+ROW()-9,COLUMN())))</f>
        <v/>
      </c>
      <c r="C482" t="str">
        <f>IF($CM$6=0,"",IF(INDEX('⑩ 원문 보관'!$A:$E,$CM$6+ROW()-9,COLUMN())="","",INDEX('⑩ 원문 보관'!$A:$E,$CM$6+ROW()-9,COLUMN())))</f>
        <v/>
      </c>
      <c r="D482" t="str">
        <f>IF($CM$6=0,"",IF(INDEX('⑩ 원문 보관'!$A:$E,$CM$6+ROW()-9,COLUMN())="","",INDEX('⑩ 원문 보관'!$A:$E,$CM$6+ROW()-9,COLUMN())))</f>
        <v/>
      </c>
      <c r="E482" t="str">
        <f>IF($CM$6=0,"",IF(INDEX('⑩ 원문 보관'!$A:$E,$CM$6+ROW()-9,COLUMN())="","",INDEX('⑩ 원문 보관'!$A:$E,$CM$6+ROW()-9,COLUMN())))</f>
        <v/>
      </c>
      <c r="Q482">
        <f t="shared" si="220"/>
        <v>8</v>
      </c>
      <c r="R482" t="str">
        <f t="shared" si="200"/>
        <v/>
      </c>
      <c r="S482" t="str">
        <f t="shared" si="201"/>
        <v/>
      </c>
      <c r="T482" t="str">
        <f t="shared" si="202"/>
        <v/>
      </c>
      <c r="U482">
        <f t="shared" si="203"/>
        <v>0</v>
      </c>
      <c r="V482">
        <f t="shared" si="221"/>
        <v>12</v>
      </c>
      <c r="W482" t="str">
        <f t="shared" si="204"/>
        <v/>
      </c>
      <c r="X482" t="str">
        <f t="shared" si="205"/>
        <v/>
      </c>
      <c r="Y482" t="str">
        <f t="shared" si="206"/>
        <v/>
      </c>
      <c r="Z482">
        <f t="shared" si="207"/>
        <v>0</v>
      </c>
      <c r="AA482">
        <f t="shared" si="222"/>
        <v>6</v>
      </c>
      <c r="AB482" t="str">
        <f t="shared" si="208"/>
        <v/>
      </c>
      <c r="AC482" t="str">
        <f t="shared" si="209"/>
        <v/>
      </c>
      <c r="AD482" t="str">
        <f t="shared" si="210"/>
        <v/>
      </c>
      <c r="AE482">
        <f t="shared" si="211"/>
        <v>0</v>
      </c>
      <c r="AF482">
        <f t="shared" si="223"/>
        <v>10</v>
      </c>
      <c r="AG482" t="str">
        <f t="shared" si="212"/>
        <v/>
      </c>
      <c r="AH482" t="str">
        <f t="shared" si="213"/>
        <v/>
      </c>
      <c r="AI482" t="str">
        <f t="shared" si="214"/>
        <v/>
      </c>
      <c r="AJ482">
        <f t="shared" si="215"/>
        <v>0</v>
      </c>
      <c r="AK482">
        <f t="shared" si="224"/>
        <v>4</v>
      </c>
      <c r="AL482" t="str">
        <f t="shared" si="216"/>
        <v/>
      </c>
      <c r="AM482" t="str">
        <f t="shared" si="217"/>
        <v/>
      </c>
      <c r="AN482" t="str">
        <f t="shared" si="218"/>
        <v/>
      </c>
      <c r="AO482">
        <f t="shared" si="219"/>
        <v>0</v>
      </c>
    </row>
    <row r="483" spans="1:41" x14ac:dyDescent="0.4">
      <c r="A483" t="str">
        <f>IF($CM$6=0,"",IF(INDEX('⑩ 원문 보관'!$A:$E,$CM$6+ROW()-9,COLUMN())="","",INDEX('⑩ 원문 보관'!$A:$E,$CM$6+ROW()-9,COLUMN())))</f>
        <v/>
      </c>
      <c r="B483" t="str">
        <f>IF($CM$6=0,"",IF(INDEX('⑩ 원문 보관'!$A:$E,$CM$6+ROW()-9,COLUMN())="","",INDEX('⑩ 원문 보관'!$A:$E,$CM$6+ROW()-9,COLUMN())))</f>
        <v/>
      </c>
      <c r="C483" t="str">
        <f>IF($CM$6=0,"",IF(INDEX('⑩ 원문 보관'!$A:$E,$CM$6+ROW()-9,COLUMN())="","",INDEX('⑩ 원문 보관'!$A:$E,$CM$6+ROW()-9,COLUMN())))</f>
        <v/>
      </c>
      <c r="D483" t="str">
        <f>IF($CM$6=0,"",IF(INDEX('⑩ 원문 보관'!$A:$E,$CM$6+ROW()-9,COLUMN())="","",INDEX('⑩ 원문 보관'!$A:$E,$CM$6+ROW()-9,COLUMN())))</f>
        <v/>
      </c>
      <c r="E483" t="str">
        <f>IF($CM$6=0,"",IF(INDEX('⑩ 원문 보관'!$A:$E,$CM$6+ROW()-9,COLUMN())="","",INDEX('⑩ 원문 보관'!$A:$E,$CM$6+ROW()-9,COLUMN())))</f>
        <v/>
      </c>
      <c r="Q483">
        <f t="shared" si="220"/>
        <v>8</v>
      </c>
      <c r="R483" t="str">
        <f t="shared" si="200"/>
        <v/>
      </c>
      <c r="S483" t="str">
        <f t="shared" si="201"/>
        <v/>
      </c>
      <c r="T483" t="str">
        <f t="shared" si="202"/>
        <v/>
      </c>
      <c r="U483">
        <f t="shared" si="203"/>
        <v>0</v>
      </c>
      <c r="V483">
        <f t="shared" si="221"/>
        <v>12</v>
      </c>
      <c r="W483" t="str">
        <f t="shared" si="204"/>
        <v/>
      </c>
      <c r="X483" t="str">
        <f t="shared" si="205"/>
        <v/>
      </c>
      <c r="Y483" t="str">
        <f t="shared" si="206"/>
        <v/>
      </c>
      <c r="Z483">
        <f t="shared" si="207"/>
        <v>0</v>
      </c>
      <c r="AA483">
        <f t="shared" si="222"/>
        <v>6</v>
      </c>
      <c r="AB483" t="str">
        <f t="shared" si="208"/>
        <v/>
      </c>
      <c r="AC483" t="str">
        <f t="shared" si="209"/>
        <v/>
      </c>
      <c r="AD483" t="str">
        <f t="shared" si="210"/>
        <v/>
      </c>
      <c r="AE483">
        <f t="shared" si="211"/>
        <v>0</v>
      </c>
      <c r="AF483">
        <f t="shared" si="223"/>
        <v>10</v>
      </c>
      <c r="AG483" t="str">
        <f t="shared" si="212"/>
        <v/>
      </c>
      <c r="AH483" t="str">
        <f t="shared" si="213"/>
        <v/>
      </c>
      <c r="AI483" t="str">
        <f t="shared" si="214"/>
        <v/>
      </c>
      <c r="AJ483">
        <f t="shared" si="215"/>
        <v>0</v>
      </c>
      <c r="AK483">
        <f t="shared" si="224"/>
        <v>4</v>
      </c>
      <c r="AL483" t="str">
        <f t="shared" si="216"/>
        <v/>
      </c>
      <c r="AM483" t="str">
        <f t="shared" si="217"/>
        <v/>
      </c>
      <c r="AN483" t="str">
        <f t="shared" si="218"/>
        <v/>
      </c>
      <c r="AO483">
        <f t="shared" si="219"/>
        <v>0</v>
      </c>
    </row>
    <row r="484" spans="1:41" x14ac:dyDescent="0.4">
      <c r="A484" t="str">
        <f>IF($CM$6=0,"",IF(INDEX('⑩ 원문 보관'!$A:$E,$CM$6+ROW()-9,COLUMN())="","",INDEX('⑩ 원문 보관'!$A:$E,$CM$6+ROW()-9,COLUMN())))</f>
        <v/>
      </c>
      <c r="B484" t="str">
        <f>IF($CM$6=0,"",IF(INDEX('⑩ 원문 보관'!$A:$E,$CM$6+ROW()-9,COLUMN())="","",INDEX('⑩ 원문 보관'!$A:$E,$CM$6+ROW()-9,COLUMN())))</f>
        <v/>
      </c>
      <c r="C484" t="str">
        <f>IF($CM$6=0,"",IF(INDEX('⑩ 원문 보관'!$A:$E,$CM$6+ROW()-9,COLUMN())="","",INDEX('⑩ 원문 보관'!$A:$E,$CM$6+ROW()-9,COLUMN())))</f>
        <v/>
      </c>
      <c r="D484" t="str">
        <f>IF($CM$6=0,"",IF(INDEX('⑩ 원문 보관'!$A:$E,$CM$6+ROW()-9,COLUMN())="","",INDEX('⑩ 원문 보관'!$A:$E,$CM$6+ROW()-9,COLUMN())))</f>
        <v/>
      </c>
      <c r="E484" t="str">
        <f>IF($CM$6=0,"",IF(INDEX('⑩ 원문 보관'!$A:$E,$CM$6+ROW()-9,COLUMN())="","",INDEX('⑩ 원문 보관'!$A:$E,$CM$6+ROW()-9,COLUMN())))</f>
        <v/>
      </c>
      <c r="Q484">
        <f t="shared" si="220"/>
        <v>8</v>
      </c>
      <c r="R484" t="str">
        <f t="shared" si="200"/>
        <v/>
      </c>
      <c r="S484" t="str">
        <f t="shared" si="201"/>
        <v/>
      </c>
      <c r="T484" t="str">
        <f t="shared" si="202"/>
        <v/>
      </c>
      <c r="U484">
        <f t="shared" si="203"/>
        <v>0</v>
      </c>
      <c r="V484">
        <f t="shared" si="221"/>
        <v>12</v>
      </c>
      <c r="W484" t="str">
        <f t="shared" si="204"/>
        <v/>
      </c>
      <c r="X484" t="str">
        <f t="shared" si="205"/>
        <v/>
      </c>
      <c r="Y484" t="str">
        <f t="shared" si="206"/>
        <v/>
      </c>
      <c r="Z484">
        <f t="shared" si="207"/>
        <v>0</v>
      </c>
      <c r="AA484">
        <f t="shared" si="222"/>
        <v>6</v>
      </c>
      <c r="AB484" t="str">
        <f t="shared" si="208"/>
        <v/>
      </c>
      <c r="AC484" t="str">
        <f t="shared" si="209"/>
        <v/>
      </c>
      <c r="AD484" t="str">
        <f t="shared" si="210"/>
        <v/>
      </c>
      <c r="AE484">
        <f t="shared" si="211"/>
        <v>0</v>
      </c>
      <c r="AF484">
        <f t="shared" si="223"/>
        <v>10</v>
      </c>
      <c r="AG484" t="str">
        <f t="shared" si="212"/>
        <v/>
      </c>
      <c r="AH484" t="str">
        <f t="shared" si="213"/>
        <v/>
      </c>
      <c r="AI484" t="str">
        <f t="shared" si="214"/>
        <v/>
      </c>
      <c r="AJ484">
        <f t="shared" si="215"/>
        <v>0</v>
      </c>
      <c r="AK484">
        <f t="shared" si="224"/>
        <v>4</v>
      </c>
      <c r="AL484" t="str">
        <f t="shared" si="216"/>
        <v/>
      </c>
      <c r="AM484" t="str">
        <f t="shared" si="217"/>
        <v/>
      </c>
      <c r="AN484" t="str">
        <f t="shared" si="218"/>
        <v/>
      </c>
      <c r="AO484">
        <f t="shared" si="219"/>
        <v>0</v>
      </c>
    </row>
    <row r="485" spans="1:41" x14ac:dyDescent="0.4">
      <c r="A485" t="str">
        <f>IF($CM$6=0,"",IF(INDEX('⑩ 원문 보관'!$A:$E,$CM$6+ROW()-9,COLUMN())="","",INDEX('⑩ 원문 보관'!$A:$E,$CM$6+ROW()-9,COLUMN())))</f>
        <v/>
      </c>
      <c r="B485" t="str">
        <f>IF($CM$6=0,"",IF(INDEX('⑩ 원문 보관'!$A:$E,$CM$6+ROW()-9,COLUMN())="","",INDEX('⑩ 원문 보관'!$A:$E,$CM$6+ROW()-9,COLUMN())))</f>
        <v/>
      </c>
      <c r="C485" t="str">
        <f>IF($CM$6=0,"",IF(INDEX('⑩ 원문 보관'!$A:$E,$CM$6+ROW()-9,COLUMN())="","",INDEX('⑩ 원문 보관'!$A:$E,$CM$6+ROW()-9,COLUMN())))</f>
        <v/>
      </c>
      <c r="D485" t="str">
        <f>IF($CM$6=0,"",IF(INDEX('⑩ 원문 보관'!$A:$E,$CM$6+ROW()-9,COLUMN())="","",INDEX('⑩ 원문 보관'!$A:$E,$CM$6+ROW()-9,COLUMN())))</f>
        <v/>
      </c>
      <c r="E485" t="str">
        <f>IF($CM$6=0,"",IF(INDEX('⑩ 원문 보관'!$A:$E,$CM$6+ROW()-9,COLUMN())="","",INDEX('⑩ 원문 보관'!$A:$E,$CM$6+ROW()-9,COLUMN())))</f>
        <v/>
      </c>
      <c r="Q485">
        <f t="shared" si="220"/>
        <v>8</v>
      </c>
      <c r="R485" t="str">
        <f t="shared" si="200"/>
        <v/>
      </c>
      <c r="S485" t="str">
        <f t="shared" si="201"/>
        <v/>
      </c>
      <c r="T485" t="str">
        <f t="shared" si="202"/>
        <v/>
      </c>
      <c r="U485">
        <f t="shared" si="203"/>
        <v>0</v>
      </c>
      <c r="V485">
        <f t="shared" si="221"/>
        <v>12</v>
      </c>
      <c r="W485" t="str">
        <f t="shared" si="204"/>
        <v/>
      </c>
      <c r="X485" t="str">
        <f t="shared" si="205"/>
        <v/>
      </c>
      <c r="Y485" t="str">
        <f t="shared" si="206"/>
        <v/>
      </c>
      <c r="Z485">
        <f t="shared" si="207"/>
        <v>0</v>
      </c>
      <c r="AA485">
        <f t="shared" si="222"/>
        <v>6</v>
      </c>
      <c r="AB485" t="str">
        <f t="shared" si="208"/>
        <v/>
      </c>
      <c r="AC485" t="str">
        <f t="shared" si="209"/>
        <v/>
      </c>
      <c r="AD485" t="str">
        <f t="shared" si="210"/>
        <v/>
      </c>
      <c r="AE485">
        <f t="shared" si="211"/>
        <v>0</v>
      </c>
      <c r="AF485">
        <f t="shared" si="223"/>
        <v>10</v>
      </c>
      <c r="AG485" t="str">
        <f t="shared" si="212"/>
        <v/>
      </c>
      <c r="AH485" t="str">
        <f t="shared" si="213"/>
        <v/>
      </c>
      <c r="AI485" t="str">
        <f t="shared" si="214"/>
        <v/>
      </c>
      <c r="AJ485">
        <f t="shared" si="215"/>
        <v>0</v>
      </c>
      <c r="AK485">
        <f t="shared" si="224"/>
        <v>4</v>
      </c>
      <c r="AL485" t="str">
        <f t="shared" si="216"/>
        <v/>
      </c>
      <c r="AM485" t="str">
        <f t="shared" si="217"/>
        <v/>
      </c>
      <c r="AN485" t="str">
        <f t="shared" si="218"/>
        <v/>
      </c>
      <c r="AO485">
        <f t="shared" si="219"/>
        <v>0</v>
      </c>
    </row>
    <row r="486" spans="1:41" x14ac:dyDescent="0.4">
      <c r="A486" t="str">
        <f>IF($CM$6=0,"",IF(INDEX('⑩ 원문 보관'!$A:$E,$CM$6+ROW()-9,COLUMN())="","",INDEX('⑩ 원문 보관'!$A:$E,$CM$6+ROW()-9,COLUMN())))</f>
        <v/>
      </c>
      <c r="B486" t="str">
        <f>IF($CM$6=0,"",IF(INDEX('⑩ 원문 보관'!$A:$E,$CM$6+ROW()-9,COLUMN())="","",INDEX('⑩ 원문 보관'!$A:$E,$CM$6+ROW()-9,COLUMN())))</f>
        <v/>
      </c>
      <c r="C486" t="str">
        <f>IF($CM$6=0,"",IF(INDEX('⑩ 원문 보관'!$A:$E,$CM$6+ROW()-9,COLUMN())="","",INDEX('⑩ 원문 보관'!$A:$E,$CM$6+ROW()-9,COLUMN())))</f>
        <v/>
      </c>
      <c r="D486" t="str">
        <f>IF($CM$6=0,"",IF(INDEX('⑩ 원문 보관'!$A:$E,$CM$6+ROW()-9,COLUMN())="","",INDEX('⑩ 원문 보관'!$A:$E,$CM$6+ROW()-9,COLUMN())))</f>
        <v/>
      </c>
      <c r="E486" t="str">
        <f>IF($CM$6=0,"",IF(INDEX('⑩ 원문 보관'!$A:$E,$CM$6+ROW()-9,COLUMN())="","",INDEX('⑩ 원문 보관'!$A:$E,$CM$6+ROW()-9,COLUMN())))</f>
        <v/>
      </c>
      <c r="Q486">
        <f t="shared" si="220"/>
        <v>8</v>
      </c>
      <c r="R486" t="str">
        <f t="shared" si="200"/>
        <v/>
      </c>
      <c r="S486" t="str">
        <f t="shared" si="201"/>
        <v/>
      </c>
      <c r="T486" t="str">
        <f t="shared" si="202"/>
        <v/>
      </c>
      <c r="U486">
        <f t="shared" si="203"/>
        <v>0</v>
      </c>
      <c r="V486">
        <f t="shared" si="221"/>
        <v>12</v>
      </c>
      <c r="W486" t="str">
        <f t="shared" si="204"/>
        <v/>
      </c>
      <c r="X486" t="str">
        <f t="shared" si="205"/>
        <v/>
      </c>
      <c r="Y486" t="str">
        <f t="shared" si="206"/>
        <v/>
      </c>
      <c r="Z486">
        <f t="shared" si="207"/>
        <v>0</v>
      </c>
      <c r="AA486">
        <f t="shared" si="222"/>
        <v>6</v>
      </c>
      <c r="AB486" t="str">
        <f t="shared" si="208"/>
        <v/>
      </c>
      <c r="AC486" t="str">
        <f t="shared" si="209"/>
        <v/>
      </c>
      <c r="AD486" t="str">
        <f t="shared" si="210"/>
        <v/>
      </c>
      <c r="AE486">
        <f t="shared" si="211"/>
        <v>0</v>
      </c>
      <c r="AF486">
        <f t="shared" si="223"/>
        <v>10</v>
      </c>
      <c r="AG486" t="str">
        <f t="shared" si="212"/>
        <v/>
      </c>
      <c r="AH486" t="str">
        <f t="shared" si="213"/>
        <v/>
      </c>
      <c r="AI486" t="str">
        <f t="shared" si="214"/>
        <v/>
      </c>
      <c r="AJ486">
        <f t="shared" si="215"/>
        <v>0</v>
      </c>
      <c r="AK486">
        <f t="shared" si="224"/>
        <v>4</v>
      </c>
      <c r="AL486" t="str">
        <f t="shared" si="216"/>
        <v/>
      </c>
      <c r="AM486" t="str">
        <f t="shared" si="217"/>
        <v/>
      </c>
      <c r="AN486" t="str">
        <f t="shared" si="218"/>
        <v/>
      </c>
      <c r="AO486">
        <f t="shared" si="219"/>
        <v>0</v>
      </c>
    </row>
    <row r="487" spans="1:41" x14ac:dyDescent="0.4">
      <c r="A487" t="str">
        <f>IF($CM$6=0,"",IF(INDEX('⑩ 원문 보관'!$A:$E,$CM$6+ROW()-9,COLUMN())="","",INDEX('⑩ 원문 보관'!$A:$E,$CM$6+ROW()-9,COLUMN())))</f>
        <v/>
      </c>
      <c r="B487" t="str">
        <f>IF($CM$6=0,"",IF(INDEX('⑩ 원문 보관'!$A:$E,$CM$6+ROW()-9,COLUMN())="","",INDEX('⑩ 원문 보관'!$A:$E,$CM$6+ROW()-9,COLUMN())))</f>
        <v/>
      </c>
      <c r="C487" t="str">
        <f>IF($CM$6=0,"",IF(INDEX('⑩ 원문 보관'!$A:$E,$CM$6+ROW()-9,COLUMN())="","",INDEX('⑩ 원문 보관'!$A:$E,$CM$6+ROW()-9,COLUMN())))</f>
        <v/>
      </c>
      <c r="D487" t="str">
        <f>IF($CM$6=0,"",IF(INDEX('⑩ 원문 보관'!$A:$E,$CM$6+ROW()-9,COLUMN())="","",INDEX('⑩ 원문 보관'!$A:$E,$CM$6+ROW()-9,COLUMN())))</f>
        <v/>
      </c>
      <c r="E487" t="str">
        <f>IF($CM$6=0,"",IF(INDEX('⑩ 원문 보관'!$A:$E,$CM$6+ROW()-9,COLUMN())="","",INDEX('⑩ 원문 보관'!$A:$E,$CM$6+ROW()-9,COLUMN())))</f>
        <v/>
      </c>
      <c r="Q487">
        <f t="shared" si="220"/>
        <v>8</v>
      </c>
      <c r="R487" t="str">
        <f t="shared" si="200"/>
        <v/>
      </c>
      <c r="S487" t="str">
        <f t="shared" si="201"/>
        <v/>
      </c>
      <c r="T487" t="str">
        <f t="shared" si="202"/>
        <v/>
      </c>
      <c r="U487">
        <f t="shared" si="203"/>
        <v>0</v>
      </c>
      <c r="V487">
        <f t="shared" si="221"/>
        <v>12</v>
      </c>
      <c r="W487" t="str">
        <f t="shared" si="204"/>
        <v/>
      </c>
      <c r="X487" t="str">
        <f t="shared" si="205"/>
        <v/>
      </c>
      <c r="Y487" t="str">
        <f t="shared" si="206"/>
        <v/>
      </c>
      <c r="Z487">
        <f t="shared" si="207"/>
        <v>0</v>
      </c>
      <c r="AA487">
        <f t="shared" si="222"/>
        <v>6</v>
      </c>
      <c r="AB487" t="str">
        <f t="shared" si="208"/>
        <v/>
      </c>
      <c r="AC487" t="str">
        <f t="shared" si="209"/>
        <v/>
      </c>
      <c r="AD487" t="str">
        <f t="shared" si="210"/>
        <v/>
      </c>
      <c r="AE487">
        <f t="shared" si="211"/>
        <v>0</v>
      </c>
      <c r="AF487">
        <f t="shared" si="223"/>
        <v>10</v>
      </c>
      <c r="AG487" t="str">
        <f t="shared" si="212"/>
        <v/>
      </c>
      <c r="AH487" t="str">
        <f t="shared" si="213"/>
        <v/>
      </c>
      <c r="AI487" t="str">
        <f t="shared" si="214"/>
        <v/>
      </c>
      <c r="AJ487">
        <f t="shared" si="215"/>
        <v>0</v>
      </c>
      <c r="AK487">
        <f t="shared" si="224"/>
        <v>4</v>
      </c>
      <c r="AL487" t="str">
        <f t="shared" si="216"/>
        <v/>
      </c>
      <c r="AM487" t="str">
        <f t="shared" si="217"/>
        <v/>
      </c>
      <c r="AN487" t="str">
        <f t="shared" si="218"/>
        <v/>
      </c>
      <c r="AO487">
        <f t="shared" si="219"/>
        <v>0</v>
      </c>
    </row>
    <row r="488" spans="1:41" x14ac:dyDescent="0.4">
      <c r="A488" t="str">
        <f>IF($CM$6=0,"",IF(INDEX('⑩ 원문 보관'!$A:$E,$CM$6+ROW()-9,COLUMN())="","",INDEX('⑩ 원문 보관'!$A:$E,$CM$6+ROW()-9,COLUMN())))</f>
        <v/>
      </c>
      <c r="B488" t="str">
        <f>IF($CM$6=0,"",IF(INDEX('⑩ 원문 보관'!$A:$E,$CM$6+ROW()-9,COLUMN())="","",INDEX('⑩ 원문 보관'!$A:$E,$CM$6+ROW()-9,COLUMN())))</f>
        <v/>
      </c>
      <c r="C488" t="str">
        <f>IF($CM$6=0,"",IF(INDEX('⑩ 원문 보관'!$A:$E,$CM$6+ROW()-9,COLUMN())="","",INDEX('⑩ 원문 보관'!$A:$E,$CM$6+ROW()-9,COLUMN())))</f>
        <v/>
      </c>
      <c r="D488" t="str">
        <f>IF($CM$6=0,"",IF(INDEX('⑩ 원문 보관'!$A:$E,$CM$6+ROW()-9,COLUMN())="","",INDEX('⑩ 원문 보관'!$A:$E,$CM$6+ROW()-9,COLUMN())))</f>
        <v/>
      </c>
      <c r="E488" t="str">
        <f>IF($CM$6=0,"",IF(INDEX('⑩ 원문 보관'!$A:$E,$CM$6+ROW()-9,COLUMN())="","",INDEX('⑩ 원문 보관'!$A:$E,$CM$6+ROW()-9,COLUMN())))</f>
        <v/>
      </c>
      <c r="Q488">
        <f t="shared" si="220"/>
        <v>8</v>
      </c>
      <c r="R488" t="str">
        <f t="shared" si="200"/>
        <v/>
      </c>
      <c r="S488" t="str">
        <f t="shared" si="201"/>
        <v/>
      </c>
      <c r="T488" t="str">
        <f t="shared" si="202"/>
        <v/>
      </c>
      <c r="U488">
        <f t="shared" si="203"/>
        <v>0</v>
      </c>
      <c r="V488">
        <f t="shared" si="221"/>
        <v>12</v>
      </c>
      <c r="W488" t="str">
        <f t="shared" si="204"/>
        <v/>
      </c>
      <c r="X488" t="str">
        <f t="shared" si="205"/>
        <v/>
      </c>
      <c r="Y488" t="str">
        <f t="shared" si="206"/>
        <v/>
      </c>
      <c r="Z488">
        <f t="shared" si="207"/>
        <v>0</v>
      </c>
      <c r="AA488">
        <f t="shared" si="222"/>
        <v>6</v>
      </c>
      <c r="AB488" t="str">
        <f t="shared" si="208"/>
        <v/>
      </c>
      <c r="AC488" t="str">
        <f t="shared" si="209"/>
        <v/>
      </c>
      <c r="AD488" t="str">
        <f t="shared" si="210"/>
        <v/>
      </c>
      <c r="AE488">
        <f t="shared" si="211"/>
        <v>0</v>
      </c>
      <c r="AF488">
        <f t="shared" si="223"/>
        <v>10</v>
      </c>
      <c r="AG488" t="str">
        <f t="shared" si="212"/>
        <v/>
      </c>
      <c r="AH488" t="str">
        <f t="shared" si="213"/>
        <v/>
      </c>
      <c r="AI488" t="str">
        <f t="shared" si="214"/>
        <v/>
      </c>
      <c r="AJ488">
        <f t="shared" si="215"/>
        <v>0</v>
      </c>
      <c r="AK488">
        <f t="shared" si="224"/>
        <v>4</v>
      </c>
      <c r="AL488" t="str">
        <f t="shared" si="216"/>
        <v/>
      </c>
      <c r="AM488" t="str">
        <f t="shared" si="217"/>
        <v/>
      </c>
      <c r="AN488" t="str">
        <f t="shared" si="218"/>
        <v/>
      </c>
      <c r="AO488">
        <f t="shared" si="219"/>
        <v>0</v>
      </c>
    </row>
    <row r="489" spans="1:41" x14ac:dyDescent="0.4">
      <c r="A489" t="str">
        <f>IF($CM$6=0,"",IF(INDEX('⑩ 원문 보관'!$A:$E,$CM$6+ROW()-9,COLUMN())="","",INDEX('⑩ 원문 보관'!$A:$E,$CM$6+ROW()-9,COLUMN())))</f>
        <v/>
      </c>
      <c r="B489" t="str">
        <f>IF($CM$6=0,"",IF(INDEX('⑩ 원문 보관'!$A:$E,$CM$6+ROW()-9,COLUMN())="","",INDEX('⑩ 원문 보관'!$A:$E,$CM$6+ROW()-9,COLUMN())))</f>
        <v/>
      </c>
      <c r="C489" t="str">
        <f>IF($CM$6=0,"",IF(INDEX('⑩ 원문 보관'!$A:$E,$CM$6+ROW()-9,COLUMN())="","",INDEX('⑩ 원문 보관'!$A:$E,$CM$6+ROW()-9,COLUMN())))</f>
        <v/>
      </c>
      <c r="D489" t="str">
        <f>IF($CM$6=0,"",IF(INDEX('⑩ 원문 보관'!$A:$E,$CM$6+ROW()-9,COLUMN())="","",INDEX('⑩ 원문 보관'!$A:$E,$CM$6+ROW()-9,COLUMN())))</f>
        <v/>
      </c>
      <c r="E489" t="str">
        <f>IF($CM$6=0,"",IF(INDEX('⑩ 원문 보관'!$A:$E,$CM$6+ROW()-9,COLUMN())="","",INDEX('⑩ 원문 보관'!$A:$E,$CM$6+ROW()-9,COLUMN())))</f>
        <v/>
      </c>
      <c r="Q489">
        <f t="shared" si="220"/>
        <v>8</v>
      </c>
      <c r="R489" t="str">
        <f t="shared" si="200"/>
        <v/>
      </c>
      <c r="S489" t="str">
        <f t="shared" si="201"/>
        <v/>
      </c>
      <c r="T489" t="str">
        <f t="shared" si="202"/>
        <v/>
      </c>
      <c r="U489">
        <f t="shared" si="203"/>
        <v>0</v>
      </c>
      <c r="V489">
        <f t="shared" si="221"/>
        <v>12</v>
      </c>
      <c r="W489" t="str">
        <f t="shared" si="204"/>
        <v/>
      </c>
      <c r="X489" t="str">
        <f t="shared" si="205"/>
        <v/>
      </c>
      <c r="Y489" t="str">
        <f t="shared" si="206"/>
        <v/>
      </c>
      <c r="Z489">
        <f t="shared" si="207"/>
        <v>0</v>
      </c>
      <c r="AA489">
        <f t="shared" si="222"/>
        <v>6</v>
      </c>
      <c r="AB489" t="str">
        <f t="shared" si="208"/>
        <v/>
      </c>
      <c r="AC489" t="str">
        <f t="shared" si="209"/>
        <v/>
      </c>
      <c r="AD489" t="str">
        <f t="shared" si="210"/>
        <v/>
      </c>
      <c r="AE489">
        <f t="shared" si="211"/>
        <v>0</v>
      </c>
      <c r="AF489">
        <f t="shared" si="223"/>
        <v>10</v>
      </c>
      <c r="AG489" t="str">
        <f t="shared" si="212"/>
        <v/>
      </c>
      <c r="AH489" t="str">
        <f t="shared" si="213"/>
        <v/>
      </c>
      <c r="AI489" t="str">
        <f t="shared" si="214"/>
        <v/>
      </c>
      <c r="AJ489">
        <f t="shared" si="215"/>
        <v>0</v>
      </c>
      <c r="AK489">
        <f t="shared" si="224"/>
        <v>4</v>
      </c>
      <c r="AL489" t="str">
        <f t="shared" si="216"/>
        <v/>
      </c>
      <c r="AM489" t="str">
        <f t="shared" si="217"/>
        <v/>
      </c>
      <c r="AN489" t="str">
        <f t="shared" si="218"/>
        <v/>
      </c>
      <c r="AO489">
        <f t="shared" si="219"/>
        <v>0</v>
      </c>
    </row>
    <row r="490" spans="1:41" x14ac:dyDescent="0.4">
      <c r="A490" t="str">
        <f>IF($CM$6=0,"",IF(INDEX('⑩ 원문 보관'!$A:$E,$CM$6+ROW()-9,COLUMN())="","",INDEX('⑩ 원문 보관'!$A:$E,$CM$6+ROW()-9,COLUMN())))</f>
        <v/>
      </c>
      <c r="B490" t="str">
        <f>IF($CM$6=0,"",IF(INDEX('⑩ 원문 보관'!$A:$E,$CM$6+ROW()-9,COLUMN())="","",INDEX('⑩ 원문 보관'!$A:$E,$CM$6+ROW()-9,COLUMN())))</f>
        <v/>
      </c>
      <c r="C490" t="str">
        <f>IF($CM$6=0,"",IF(INDEX('⑩ 원문 보관'!$A:$E,$CM$6+ROW()-9,COLUMN())="","",INDEX('⑩ 원문 보관'!$A:$E,$CM$6+ROW()-9,COLUMN())))</f>
        <v/>
      </c>
      <c r="D490" t="str">
        <f>IF($CM$6=0,"",IF(INDEX('⑩ 원문 보관'!$A:$E,$CM$6+ROW()-9,COLUMN())="","",INDEX('⑩ 원문 보관'!$A:$E,$CM$6+ROW()-9,COLUMN())))</f>
        <v/>
      </c>
      <c r="E490" t="str">
        <f>IF($CM$6=0,"",IF(INDEX('⑩ 원문 보관'!$A:$E,$CM$6+ROW()-9,COLUMN())="","",INDEX('⑩ 원문 보관'!$A:$E,$CM$6+ROW()-9,COLUMN())))</f>
        <v/>
      </c>
      <c r="Q490">
        <f t="shared" si="220"/>
        <v>8</v>
      </c>
      <c r="R490" t="str">
        <f t="shared" si="200"/>
        <v/>
      </c>
      <c r="S490" t="str">
        <f t="shared" si="201"/>
        <v/>
      </c>
      <c r="T490" t="str">
        <f t="shared" si="202"/>
        <v/>
      </c>
      <c r="U490">
        <f t="shared" si="203"/>
        <v>0</v>
      </c>
      <c r="V490">
        <f t="shared" si="221"/>
        <v>12</v>
      </c>
      <c r="W490" t="str">
        <f t="shared" si="204"/>
        <v/>
      </c>
      <c r="X490" t="str">
        <f t="shared" si="205"/>
        <v/>
      </c>
      <c r="Y490" t="str">
        <f t="shared" si="206"/>
        <v/>
      </c>
      <c r="Z490">
        <f t="shared" si="207"/>
        <v>0</v>
      </c>
      <c r="AA490">
        <f t="shared" si="222"/>
        <v>6</v>
      </c>
      <c r="AB490" t="str">
        <f t="shared" si="208"/>
        <v/>
      </c>
      <c r="AC490" t="str">
        <f t="shared" si="209"/>
        <v/>
      </c>
      <c r="AD490" t="str">
        <f t="shared" si="210"/>
        <v/>
      </c>
      <c r="AE490">
        <f t="shared" si="211"/>
        <v>0</v>
      </c>
      <c r="AF490">
        <f t="shared" si="223"/>
        <v>10</v>
      </c>
      <c r="AG490" t="str">
        <f t="shared" si="212"/>
        <v/>
      </c>
      <c r="AH490" t="str">
        <f t="shared" si="213"/>
        <v/>
      </c>
      <c r="AI490" t="str">
        <f t="shared" si="214"/>
        <v/>
      </c>
      <c r="AJ490">
        <f t="shared" si="215"/>
        <v>0</v>
      </c>
      <c r="AK490">
        <f t="shared" si="224"/>
        <v>4</v>
      </c>
      <c r="AL490" t="str">
        <f t="shared" si="216"/>
        <v/>
      </c>
      <c r="AM490" t="str">
        <f t="shared" si="217"/>
        <v/>
      </c>
      <c r="AN490" t="str">
        <f t="shared" si="218"/>
        <v/>
      </c>
      <c r="AO490">
        <f t="shared" si="219"/>
        <v>0</v>
      </c>
    </row>
    <row r="491" spans="1:41" x14ac:dyDescent="0.4">
      <c r="A491" t="str">
        <f>IF($CM$6=0,"",IF(INDEX('⑩ 원문 보관'!$A:$E,$CM$6+ROW()-9,COLUMN())="","",INDEX('⑩ 원문 보관'!$A:$E,$CM$6+ROW()-9,COLUMN())))</f>
        <v/>
      </c>
      <c r="B491" t="str">
        <f>IF($CM$6=0,"",IF(INDEX('⑩ 원문 보관'!$A:$E,$CM$6+ROW()-9,COLUMN())="","",INDEX('⑩ 원문 보관'!$A:$E,$CM$6+ROW()-9,COLUMN())))</f>
        <v/>
      </c>
      <c r="C491" t="str">
        <f>IF($CM$6=0,"",IF(INDEX('⑩ 원문 보관'!$A:$E,$CM$6+ROW()-9,COLUMN())="","",INDEX('⑩ 원문 보관'!$A:$E,$CM$6+ROW()-9,COLUMN())))</f>
        <v/>
      </c>
      <c r="D491" t="str">
        <f>IF($CM$6=0,"",IF(INDEX('⑩ 원문 보관'!$A:$E,$CM$6+ROW()-9,COLUMN())="","",INDEX('⑩ 원문 보관'!$A:$E,$CM$6+ROW()-9,COLUMN())))</f>
        <v/>
      </c>
      <c r="E491" t="str">
        <f>IF($CM$6=0,"",IF(INDEX('⑩ 원문 보관'!$A:$E,$CM$6+ROW()-9,COLUMN())="","",INDEX('⑩ 원문 보관'!$A:$E,$CM$6+ROW()-9,COLUMN())))</f>
        <v/>
      </c>
      <c r="Q491">
        <f t="shared" si="220"/>
        <v>8</v>
      </c>
      <c r="R491" t="str">
        <f t="shared" si="200"/>
        <v/>
      </c>
      <c r="S491" t="str">
        <f t="shared" si="201"/>
        <v/>
      </c>
      <c r="T491" t="str">
        <f t="shared" si="202"/>
        <v/>
      </c>
      <c r="U491">
        <f t="shared" si="203"/>
        <v>0</v>
      </c>
      <c r="V491">
        <f t="shared" si="221"/>
        <v>12</v>
      </c>
      <c r="W491" t="str">
        <f t="shared" si="204"/>
        <v/>
      </c>
      <c r="X491" t="str">
        <f t="shared" si="205"/>
        <v/>
      </c>
      <c r="Y491" t="str">
        <f t="shared" si="206"/>
        <v/>
      </c>
      <c r="Z491">
        <f t="shared" si="207"/>
        <v>0</v>
      </c>
      <c r="AA491">
        <f t="shared" si="222"/>
        <v>6</v>
      </c>
      <c r="AB491" t="str">
        <f t="shared" si="208"/>
        <v/>
      </c>
      <c r="AC491" t="str">
        <f t="shared" si="209"/>
        <v/>
      </c>
      <c r="AD491" t="str">
        <f t="shared" si="210"/>
        <v/>
      </c>
      <c r="AE491">
        <f t="shared" si="211"/>
        <v>0</v>
      </c>
      <c r="AF491">
        <f t="shared" si="223"/>
        <v>10</v>
      </c>
      <c r="AG491" t="str">
        <f t="shared" si="212"/>
        <v/>
      </c>
      <c r="AH491" t="str">
        <f t="shared" si="213"/>
        <v/>
      </c>
      <c r="AI491" t="str">
        <f t="shared" si="214"/>
        <v/>
      </c>
      <c r="AJ491">
        <f t="shared" si="215"/>
        <v>0</v>
      </c>
      <c r="AK491">
        <f t="shared" si="224"/>
        <v>4</v>
      </c>
      <c r="AL491" t="str">
        <f t="shared" si="216"/>
        <v/>
      </c>
      <c r="AM491" t="str">
        <f t="shared" si="217"/>
        <v/>
      </c>
      <c r="AN491" t="str">
        <f t="shared" si="218"/>
        <v/>
      </c>
      <c r="AO491">
        <f t="shared" si="219"/>
        <v>0</v>
      </c>
    </row>
    <row r="492" spans="1:41" x14ac:dyDescent="0.4">
      <c r="A492" t="str">
        <f>IF($CM$6=0,"",IF(INDEX('⑩ 원문 보관'!$A:$E,$CM$6+ROW()-9,COLUMN())="","",INDEX('⑩ 원문 보관'!$A:$E,$CM$6+ROW()-9,COLUMN())))</f>
        <v/>
      </c>
      <c r="B492" t="str">
        <f>IF($CM$6=0,"",IF(INDEX('⑩ 원문 보관'!$A:$E,$CM$6+ROW()-9,COLUMN())="","",INDEX('⑩ 원문 보관'!$A:$E,$CM$6+ROW()-9,COLUMN())))</f>
        <v/>
      </c>
      <c r="C492" t="str">
        <f>IF($CM$6=0,"",IF(INDEX('⑩ 원문 보관'!$A:$E,$CM$6+ROW()-9,COLUMN())="","",INDEX('⑩ 원문 보관'!$A:$E,$CM$6+ROW()-9,COLUMN())))</f>
        <v/>
      </c>
      <c r="D492" t="str">
        <f>IF($CM$6=0,"",IF(INDEX('⑩ 원문 보관'!$A:$E,$CM$6+ROW()-9,COLUMN())="","",INDEX('⑩ 원문 보관'!$A:$E,$CM$6+ROW()-9,COLUMN())))</f>
        <v/>
      </c>
      <c r="E492" t="str">
        <f>IF($CM$6=0,"",IF(INDEX('⑩ 원문 보관'!$A:$E,$CM$6+ROW()-9,COLUMN())="","",INDEX('⑩ 원문 보관'!$A:$E,$CM$6+ROW()-9,COLUMN())))</f>
        <v/>
      </c>
      <c r="Q492">
        <f t="shared" si="220"/>
        <v>8</v>
      </c>
      <c r="R492" t="str">
        <f t="shared" si="200"/>
        <v/>
      </c>
      <c r="S492" t="str">
        <f t="shared" si="201"/>
        <v/>
      </c>
      <c r="T492" t="str">
        <f t="shared" si="202"/>
        <v/>
      </c>
      <c r="U492">
        <f t="shared" si="203"/>
        <v>0</v>
      </c>
      <c r="V492">
        <f t="shared" si="221"/>
        <v>12</v>
      </c>
      <c r="W492" t="str">
        <f t="shared" si="204"/>
        <v/>
      </c>
      <c r="X492" t="str">
        <f t="shared" si="205"/>
        <v/>
      </c>
      <c r="Y492" t="str">
        <f t="shared" si="206"/>
        <v/>
      </c>
      <c r="Z492">
        <f t="shared" si="207"/>
        <v>0</v>
      </c>
      <c r="AA492">
        <f t="shared" si="222"/>
        <v>6</v>
      </c>
      <c r="AB492" t="str">
        <f t="shared" si="208"/>
        <v/>
      </c>
      <c r="AC492" t="str">
        <f t="shared" si="209"/>
        <v/>
      </c>
      <c r="AD492" t="str">
        <f t="shared" si="210"/>
        <v/>
      </c>
      <c r="AE492">
        <f t="shared" si="211"/>
        <v>0</v>
      </c>
      <c r="AF492">
        <f t="shared" si="223"/>
        <v>10</v>
      </c>
      <c r="AG492" t="str">
        <f t="shared" si="212"/>
        <v/>
      </c>
      <c r="AH492" t="str">
        <f t="shared" si="213"/>
        <v/>
      </c>
      <c r="AI492" t="str">
        <f t="shared" si="214"/>
        <v/>
      </c>
      <c r="AJ492">
        <f t="shared" si="215"/>
        <v>0</v>
      </c>
      <c r="AK492">
        <f t="shared" si="224"/>
        <v>4</v>
      </c>
      <c r="AL492" t="str">
        <f t="shared" si="216"/>
        <v/>
      </c>
      <c r="AM492" t="str">
        <f t="shared" si="217"/>
        <v/>
      </c>
      <c r="AN492" t="str">
        <f t="shared" si="218"/>
        <v/>
      </c>
      <c r="AO492">
        <f t="shared" si="219"/>
        <v>0</v>
      </c>
    </row>
    <row r="493" spans="1:41" x14ac:dyDescent="0.4">
      <c r="A493" t="str">
        <f>IF($CM$6=0,"",IF(INDEX('⑩ 원문 보관'!$A:$E,$CM$6+ROW()-9,COLUMN())="","",INDEX('⑩ 원문 보관'!$A:$E,$CM$6+ROW()-9,COLUMN())))</f>
        <v/>
      </c>
      <c r="B493" t="str">
        <f>IF($CM$6=0,"",IF(INDEX('⑩ 원문 보관'!$A:$E,$CM$6+ROW()-9,COLUMN())="","",INDEX('⑩ 원문 보관'!$A:$E,$CM$6+ROW()-9,COLUMN())))</f>
        <v/>
      </c>
      <c r="C493" t="str">
        <f>IF($CM$6=0,"",IF(INDEX('⑩ 원문 보관'!$A:$E,$CM$6+ROW()-9,COLUMN())="","",INDEX('⑩ 원문 보관'!$A:$E,$CM$6+ROW()-9,COLUMN())))</f>
        <v/>
      </c>
      <c r="D493" t="str">
        <f>IF($CM$6=0,"",IF(INDEX('⑩ 원문 보관'!$A:$E,$CM$6+ROW()-9,COLUMN())="","",INDEX('⑩ 원문 보관'!$A:$E,$CM$6+ROW()-9,COLUMN())))</f>
        <v/>
      </c>
      <c r="E493" t="str">
        <f>IF($CM$6=0,"",IF(INDEX('⑩ 원문 보관'!$A:$E,$CM$6+ROW()-9,COLUMN())="","",INDEX('⑩ 원문 보관'!$A:$E,$CM$6+ROW()-9,COLUMN())))</f>
        <v/>
      </c>
      <c r="Q493">
        <f t="shared" si="220"/>
        <v>8</v>
      </c>
      <c r="R493" t="str">
        <f t="shared" si="200"/>
        <v/>
      </c>
      <c r="S493" t="str">
        <f t="shared" si="201"/>
        <v/>
      </c>
      <c r="T493" t="str">
        <f t="shared" si="202"/>
        <v/>
      </c>
      <c r="U493">
        <f t="shared" si="203"/>
        <v>0</v>
      </c>
      <c r="V493">
        <f t="shared" si="221"/>
        <v>12</v>
      </c>
      <c r="W493" t="str">
        <f t="shared" si="204"/>
        <v/>
      </c>
      <c r="X493" t="str">
        <f t="shared" si="205"/>
        <v/>
      </c>
      <c r="Y493" t="str">
        <f t="shared" si="206"/>
        <v/>
      </c>
      <c r="Z493">
        <f t="shared" si="207"/>
        <v>0</v>
      </c>
      <c r="AA493">
        <f t="shared" si="222"/>
        <v>6</v>
      </c>
      <c r="AB493" t="str">
        <f t="shared" si="208"/>
        <v/>
      </c>
      <c r="AC493" t="str">
        <f t="shared" si="209"/>
        <v/>
      </c>
      <c r="AD493" t="str">
        <f t="shared" si="210"/>
        <v/>
      </c>
      <c r="AE493">
        <f t="shared" si="211"/>
        <v>0</v>
      </c>
      <c r="AF493">
        <f t="shared" si="223"/>
        <v>10</v>
      </c>
      <c r="AG493" t="str">
        <f t="shared" si="212"/>
        <v/>
      </c>
      <c r="AH493" t="str">
        <f t="shared" si="213"/>
        <v/>
      </c>
      <c r="AI493" t="str">
        <f t="shared" si="214"/>
        <v/>
      </c>
      <c r="AJ493">
        <f t="shared" si="215"/>
        <v>0</v>
      </c>
      <c r="AK493">
        <f t="shared" si="224"/>
        <v>4</v>
      </c>
      <c r="AL493" t="str">
        <f t="shared" si="216"/>
        <v/>
      </c>
      <c r="AM493" t="str">
        <f t="shared" si="217"/>
        <v/>
      </c>
      <c r="AN493" t="str">
        <f t="shared" si="218"/>
        <v/>
      </c>
      <c r="AO493">
        <f t="shared" si="219"/>
        <v>0</v>
      </c>
    </row>
    <row r="494" spans="1:41" x14ac:dyDescent="0.4">
      <c r="A494" t="str">
        <f>IF($CM$6=0,"",IF(INDEX('⑩ 원문 보관'!$A:$E,$CM$6+ROW()-9,COLUMN())="","",INDEX('⑩ 원문 보관'!$A:$E,$CM$6+ROW()-9,COLUMN())))</f>
        <v/>
      </c>
      <c r="B494" t="str">
        <f>IF($CM$6=0,"",IF(INDEX('⑩ 원문 보관'!$A:$E,$CM$6+ROW()-9,COLUMN())="","",INDEX('⑩ 원문 보관'!$A:$E,$CM$6+ROW()-9,COLUMN())))</f>
        <v/>
      </c>
      <c r="C494" t="str">
        <f>IF($CM$6=0,"",IF(INDEX('⑩ 원문 보관'!$A:$E,$CM$6+ROW()-9,COLUMN())="","",INDEX('⑩ 원문 보관'!$A:$E,$CM$6+ROW()-9,COLUMN())))</f>
        <v/>
      </c>
      <c r="D494" t="str">
        <f>IF($CM$6=0,"",IF(INDEX('⑩ 원문 보관'!$A:$E,$CM$6+ROW()-9,COLUMN())="","",INDEX('⑩ 원문 보관'!$A:$E,$CM$6+ROW()-9,COLUMN())))</f>
        <v/>
      </c>
      <c r="E494" t="str">
        <f>IF($CM$6=0,"",IF(INDEX('⑩ 원문 보관'!$A:$E,$CM$6+ROW()-9,COLUMN())="","",INDEX('⑩ 원문 보관'!$A:$E,$CM$6+ROW()-9,COLUMN())))</f>
        <v/>
      </c>
      <c r="Q494">
        <f t="shared" si="220"/>
        <v>8</v>
      </c>
      <c r="R494" t="str">
        <f t="shared" si="200"/>
        <v/>
      </c>
      <c r="S494" t="str">
        <f t="shared" si="201"/>
        <v/>
      </c>
      <c r="T494" t="str">
        <f t="shared" si="202"/>
        <v/>
      </c>
      <c r="U494">
        <f t="shared" si="203"/>
        <v>0</v>
      </c>
      <c r="V494">
        <f t="shared" si="221"/>
        <v>12</v>
      </c>
      <c r="W494" t="str">
        <f t="shared" si="204"/>
        <v/>
      </c>
      <c r="X494" t="str">
        <f t="shared" si="205"/>
        <v/>
      </c>
      <c r="Y494" t="str">
        <f t="shared" si="206"/>
        <v/>
      </c>
      <c r="Z494">
        <f t="shared" si="207"/>
        <v>0</v>
      </c>
      <c r="AA494">
        <f t="shared" si="222"/>
        <v>6</v>
      </c>
      <c r="AB494" t="str">
        <f t="shared" si="208"/>
        <v/>
      </c>
      <c r="AC494" t="str">
        <f t="shared" si="209"/>
        <v/>
      </c>
      <c r="AD494" t="str">
        <f t="shared" si="210"/>
        <v/>
      </c>
      <c r="AE494">
        <f t="shared" si="211"/>
        <v>0</v>
      </c>
      <c r="AF494">
        <f t="shared" si="223"/>
        <v>10</v>
      </c>
      <c r="AG494" t="str">
        <f t="shared" si="212"/>
        <v/>
      </c>
      <c r="AH494" t="str">
        <f t="shared" si="213"/>
        <v/>
      </c>
      <c r="AI494" t="str">
        <f t="shared" si="214"/>
        <v/>
      </c>
      <c r="AJ494">
        <f t="shared" si="215"/>
        <v>0</v>
      </c>
      <c r="AK494">
        <f t="shared" si="224"/>
        <v>4</v>
      </c>
      <c r="AL494" t="str">
        <f t="shared" si="216"/>
        <v/>
      </c>
      <c r="AM494" t="str">
        <f t="shared" si="217"/>
        <v/>
      </c>
      <c r="AN494" t="str">
        <f t="shared" si="218"/>
        <v/>
      </c>
      <c r="AO494">
        <f t="shared" si="219"/>
        <v>0</v>
      </c>
    </row>
    <row r="495" spans="1:41" x14ac:dyDescent="0.4">
      <c r="A495" t="str">
        <f>IF($CM$6=0,"",IF(INDEX('⑩ 원문 보관'!$A:$E,$CM$6+ROW()-9,COLUMN())="","",INDEX('⑩ 원문 보관'!$A:$E,$CM$6+ROW()-9,COLUMN())))</f>
        <v/>
      </c>
      <c r="B495" t="str">
        <f>IF($CM$6=0,"",IF(INDEX('⑩ 원문 보관'!$A:$E,$CM$6+ROW()-9,COLUMN())="","",INDEX('⑩ 원문 보관'!$A:$E,$CM$6+ROW()-9,COLUMN())))</f>
        <v/>
      </c>
      <c r="C495" t="str">
        <f>IF($CM$6=0,"",IF(INDEX('⑩ 원문 보관'!$A:$E,$CM$6+ROW()-9,COLUMN())="","",INDEX('⑩ 원문 보관'!$A:$E,$CM$6+ROW()-9,COLUMN())))</f>
        <v/>
      </c>
      <c r="D495" t="str">
        <f>IF($CM$6=0,"",IF(INDEX('⑩ 원문 보관'!$A:$E,$CM$6+ROW()-9,COLUMN())="","",INDEX('⑩ 원문 보관'!$A:$E,$CM$6+ROW()-9,COLUMN())))</f>
        <v/>
      </c>
      <c r="E495" t="str">
        <f>IF($CM$6=0,"",IF(INDEX('⑩ 원문 보관'!$A:$E,$CM$6+ROW()-9,COLUMN())="","",INDEX('⑩ 원문 보관'!$A:$E,$CM$6+ROW()-9,COLUMN())))</f>
        <v/>
      </c>
      <c r="Q495">
        <f t="shared" si="220"/>
        <v>8</v>
      </c>
      <c r="R495" t="str">
        <f t="shared" si="200"/>
        <v/>
      </c>
      <c r="S495" t="str">
        <f t="shared" si="201"/>
        <v/>
      </c>
      <c r="T495" t="str">
        <f t="shared" si="202"/>
        <v/>
      </c>
      <c r="U495">
        <f t="shared" si="203"/>
        <v>0</v>
      </c>
      <c r="V495">
        <f t="shared" si="221"/>
        <v>12</v>
      </c>
      <c r="W495" t="str">
        <f t="shared" si="204"/>
        <v/>
      </c>
      <c r="X495" t="str">
        <f t="shared" si="205"/>
        <v/>
      </c>
      <c r="Y495" t="str">
        <f t="shared" si="206"/>
        <v/>
      </c>
      <c r="Z495">
        <f t="shared" si="207"/>
        <v>0</v>
      </c>
      <c r="AA495">
        <f t="shared" si="222"/>
        <v>6</v>
      </c>
      <c r="AB495" t="str">
        <f t="shared" si="208"/>
        <v/>
      </c>
      <c r="AC495" t="str">
        <f t="shared" si="209"/>
        <v/>
      </c>
      <c r="AD495" t="str">
        <f t="shared" si="210"/>
        <v/>
      </c>
      <c r="AE495">
        <f t="shared" si="211"/>
        <v>0</v>
      </c>
      <c r="AF495">
        <f t="shared" si="223"/>
        <v>10</v>
      </c>
      <c r="AG495" t="str">
        <f t="shared" si="212"/>
        <v/>
      </c>
      <c r="AH495" t="str">
        <f t="shared" si="213"/>
        <v/>
      </c>
      <c r="AI495" t="str">
        <f t="shared" si="214"/>
        <v/>
      </c>
      <c r="AJ495">
        <f t="shared" si="215"/>
        <v>0</v>
      </c>
      <c r="AK495">
        <f t="shared" si="224"/>
        <v>4</v>
      </c>
      <c r="AL495" t="str">
        <f t="shared" si="216"/>
        <v/>
      </c>
      <c r="AM495" t="str">
        <f t="shared" si="217"/>
        <v/>
      </c>
      <c r="AN495" t="str">
        <f t="shared" si="218"/>
        <v/>
      </c>
      <c r="AO495">
        <f t="shared" si="219"/>
        <v>0</v>
      </c>
    </row>
    <row r="496" spans="1:41" x14ac:dyDescent="0.4">
      <c r="A496" t="str">
        <f>IF($CM$6=0,"",IF(INDEX('⑩ 원문 보관'!$A:$E,$CM$6+ROW()-9,COLUMN())="","",INDEX('⑩ 원문 보관'!$A:$E,$CM$6+ROW()-9,COLUMN())))</f>
        <v/>
      </c>
      <c r="B496" t="str">
        <f>IF($CM$6=0,"",IF(INDEX('⑩ 원문 보관'!$A:$E,$CM$6+ROW()-9,COLUMN())="","",INDEX('⑩ 원문 보관'!$A:$E,$CM$6+ROW()-9,COLUMN())))</f>
        <v/>
      </c>
      <c r="C496" t="str">
        <f>IF($CM$6=0,"",IF(INDEX('⑩ 원문 보관'!$A:$E,$CM$6+ROW()-9,COLUMN())="","",INDEX('⑩ 원문 보관'!$A:$E,$CM$6+ROW()-9,COLUMN())))</f>
        <v/>
      </c>
      <c r="D496" t="str">
        <f>IF($CM$6=0,"",IF(INDEX('⑩ 원문 보관'!$A:$E,$CM$6+ROW()-9,COLUMN())="","",INDEX('⑩ 원문 보관'!$A:$E,$CM$6+ROW()-9,COLUMN())))</f>
        <v/>
      </c>
      <c r="E496" t="str">
        <f>IF($CM$6=0,"",IF(INDEX('⑩ 원문 보관'!$A:$E,$CM$6+ROW()-9,COLUMN())="","",INDEX('⑩ 원문 보관'!$A:$E,$CM$6+ROW()-9,COLUMN())))</f>
        <v/>
      </c>
      <c r="Q496">
        <f t="shared" si="220"/>
        <v>8</v>
      </c>
      <c r="R496" t="str">
        <f t="shared" si="200"/>
        <v/>
      </c>
      <c r="S496" t="str">
        <f t="shared" si="201"/>
        <v/>
      </c>
      <c r="T496" t="str">
        <f t="shared" si="202"/>
        <v/>
      </c>
      <c r="U496">
        <f t="shared" si="203"/>
        <v>0</v>
      </c>
      <c r="V496">
        <f t="shared" si="221"/>
        <v>12</v>
      </c>
      <c r="W496" t="str">
        <f t="shared" si="204"/>
        <v/>
      </c>
      <c r="X496" t="str">
        <f t="shared" si="205"/>
        <v/>
      </c>
      <c r="Y496" t="str">
        <f t="shared" si="206"/>
        <v/>
      </c>
      <c r="Z496">
        <f t="shared" si="207"/>
        <v>0</v>
      </c>
      <c r="AA496">
        <f t="shared" si="222"/>
        <v>6</v>
      </c>
      <c r="AB496" t="str">
        <f t="shared" si="208"/>
        <v/>
      </c>
      <c r="AC496" t="str">
        <f t="shared" si="209"/>
        <v/>
      </c>
      <c r="AD496" t="str">
        <f t="shared" si="210"/>
        <v/>
      </c>
      <c r="AE496">
        <f t="shared" si="211"/>
        <v>0</v>
      </c>
      <c r="AF496">
        <f t="shared" si="223"/>
        <v>10</v>
      </c>
      <c r="AG496" t="str">
        <f t="shared" si="212"/>
        <v/>
      </c>
      <c r="AH496" t="str">
        <f t="shared" si="213"/>
        <v/>
      </c>
      <c r="AI496" t="str">
        <f t="shared" si="214"/>
        <v/>
      </c>
      <c r="AJ496">
        <f t="shared" si="215"/>
        <v>0</v>
      </c>
      <c r="AK496">
        <f t="shared" si="224"/>
        <v>4</v>
      </c>
      <c r="AL496" t="str">
        <f t="shared" si="216"/>
        <v/>
      </c>
      <c r="AM496" t="str">
        <f t="shared" si="217"/>
        <v/>
      </c>
      <c r="AN496" t="str">
        <f t="shared" si="218"/>
        <v/>
      </c>
      <c r="AO496">
        <f t="shared" si="219"/>
        <v>0</v>
      </c>
    </row>
    <row r="497" spans="1:41" x14ac:dyDescent="0.4">
      <c r="A497" t="str">
        <f>IF($CM$6=0,"",IF(INDEX('⑩ 원문 보관'!$A:$E,$CM$6+ROW()-9,COLUMN())="","",INDEX('⑩ 원문 보관'!$A:$E,$CM$6+ROW()-9,COLUMN())))</f>
        <v/>
      </c>
      <c r="B497" t="str">
        <f>IF($CM$6=0,"",IF(INDEX('⑩ 원문 보관'!$A:$E,$CM$6+ROW()-9,COLUMN())="","",INDEX('⑩ 원문 보관'!$A:$E,$CM$6+ROW()-9,COLUMN())))</f>
        <v/>
      </c>
      <c r="C497" t="str">
        <f>IF($CM$6=0,"",IF(INDEX('⑩ 원문 보관'!$A:$E,$CM$6+ROW()-9,COLUMN())="","",INDEX('⑩ 원문 보관'!$A:$E,$CM$6+ROW()-9,COLUMN())))</f>
        <v/>
      </c>
      <c r="D497" t="str">
        <f>IF($CM$6=0,"",IF(INDEX('⑩ 원문 보관'!$A:$E,$CM$6+ROW()-9,COLUMN())="","",INDEX('⑩ 원문 보관'!$A:$E,$CM$6+ROW()-9,COLUMN())))</f>
        <v/>
      </c>
      <c r="E497" t="str">
        <f>IF($CM$6=0,"",IF(INDEX('⑩ 원문 보관'!$A:$E,$CM$6+ROW()-9,COLUMN())="","",INDEX('⑩ 원문 보관'!$A:$E,$CM$6+ROW()-9,COLUMN())))</f>
        <v/>
      </c>
      <c r="Q497">
        <f t="shared" si="220"/>
        <v>8</v>
      </c>
      <c r="R497" t="str">
        <f t="shared" si="200"/>
        <v/>
      </c>
      <c r="S497" t="str">
        <f t="shared" si="201"/>
        <v/>
      </c>
      <c r="T497" t="str">
        <f t="shared" si="202"/>
        <v/>
      </c>
      <c r="U497">
        <f t="shared" si="203"/>
        <v>0</v>
      </c>
      <c r="V497">
        <f t="shared" si="221"/>
        <v>12</v>
      </c>
      <c r="W497" t="str">
        <f t="shared" si="204"/>
        <v/>
      </c>
      <c r="X497" t="str">
        <f t="shared" si="205"/>
        <v/>
      </c>
      <c r="Y497" t="str">
        <f t="shared" si="206"/>
        <v/>
      </c>
      <c r="Z497">
        <f t="shared" si="207"/>
        <v>0</v>
      </c>
      <c r="AA497">
        <f t="shared" si="222"/>
        <v>6</v>
      </c>
      <c r="AB497" t="str">
        <f t="shared" si="208"/>
        <v/>
      </c>
      <c r="AC497" t="str">
        <f t="shared" si="209"/>
        <v/>
      </c>
      <c r="AD497" t="str">
        <f t="shared" si="210"/>
        <v/>
      </c>
      <c r="AE497">
        <f t="shared" si="211"/>
        <v>0</v>
      </c>
      <c r="AF497">
        <f t="shared" si="223"/>
        <v>10</v>
      </c>
      <c r="AG497" t="str">
        <f t="shared" si="212"/>
        <v/>
      </c>
      <c r="AH497" t="str">
        <f t="shared" si="213"/>
        <v/>
      </c>
      <c r="AI497" t="str">
        <f t="shared" si="214"/>
        <v/>
      </c>
      <c r="AJ497">
        <f t="shared" si="215"/>
        <v>0</v>
      </c>
      <c r="AK497">
        <f t="shared" si="224"/>
        <v>4</v>
      </c>
      <c r="AL497" t="str">
        <f t="shared" si="216"/>
        <v/>
      </c>
      <c r="AM497" t="str">
        <f t="shared" si="217"/>
        <v/>
      </c>
      <c r="AN497" t="str">
        <f t="shared" si="218"/>
        <v/>
      </c>
      <c r="AO497">
        <f t="shared" si="219"/>
        <v>0</v>
      </c>
    </row>
    <row r="498" spans="1:41" x14ac:dyDescent="0.4">
      <c r="A498" t="str">
        <f>IF($CM$6=0,"",IF(INDEX('⑩ 원문 보관'!$A:$E,$CM$6+ROW()-9,COLUMN())="","",INDEX('⑩ 원문 보관'!$A:$E,$CM$6+ROW()-9,COLUMN())))</f>
        <v/>
      </c>
      <c r="B498" t="str">
        <f>IF($CM$6=0,"",IF(INDEX('⑩ 원문 보관'!$A:$E,$CM$6+ROW()-9,COLUMN())="","",INDEX('⑩ 원문 보관'!$A:$E,$CM$6+ROW()-9,COLUMN())))</f>
        <v/>
      </c>
      <c r="C498" t="str">
        <f>IF($CM$6=0,"",IF(INDEX('⑩ 원문 보관'!$A:$E,$CM$6+ROW()-9,COLUMN())="","",INDEX('⑩ 원문 보관'!$A:$E,$CM$6+ROW()-9,COLUMN())))</f>
        <v/>
      </c>
      <c r="D498" t="str">
        <f>IF($CM$6=0,"",IF(INDEX('⑩ 원문 보관'!$A:$E,$CM$6+ROW()-9,COLUMN())="","",INDEX('⑩ 원문 보관'!$A:$E,$CM$6+ROW()-9,COLUMN())))</f>
        <v/>
      </c>
      <c r="E498" t="str">
        <f>IF($CM$6=0,"",IF(INDEX('⑩ 원문 보관'!$A:$E,$CM$6+ROW()-9,COLUMN())="","",INDEX('⑩ 원문 보관'!$A:$E,$CM$6+ROW()-9,COLUMN())))</f>
        <v/>
      </c>
      <c r="Q498">
        <f t="shared" si="220"/>
        <v>8</v>
      </c>
      <c r="R498" t="str">
        <f t="shared" si="200"/>
        <v/>
      </c>
      <c r="S498" t="str">
        <f t="shared" si="201"/>
        <v/>
      </c>
      <c r="T498" t="str">
        <f t="shared" si="202"/>
        <v/>
      </c>
      <c r="U498">
        <f t="shared" si="203"/>
        <v>0</v>
      </c>
      <c r="V498">
        <f t="shared" si="221"/>
        <v>12</v>
      </c>
      <c r="W498" t="str">
        <f t="shared" si="204"/>
        <v/>
      </c>
      <c r="X498" t="str">
        <f t="shared" si="205"/>
        <v/>
      </c>
      <c r="Y498" t="str">
        <f t="shared" si="206"/>
        <v/>
      </c>
      <c r="Z498">
        <f t="shared" si="207"/>
        <v>0</v>
      </c>
      <c r="AA498">
        <f t="shared" si="222"/>
        <v>6</v>
      </c>
      <c r="AB498" t="str">
        <f t="shared" si="208"/>
        <v/>
      </c>
      <c r="AC498" t="str">
        <f t="shared" si="209"/>
        <v/>
      </c>
      <c r="AD498" t="str">
        <f t="shared" si="210"/>
        <v/>
      </c>
      <c r="AE498">
        <f t="shared" si="211"/>
        <v>0</v>
      </c>
      <c r="AF498">
        <f t="shared" si="223"/>
        <v>10</v>
      </c>
      <c r="AG498" t="str">
        <f t="shared" si="212"/>
        <v/>
      </c>
      <c r="AH498" t="str">
        <f t="shared" si="213"/>
        <v/>
      </c>
      <c r="AI498" t="str">
        <f t="shared" si="214"/>
        <v/>
      </c>
      <c r="AJ498">
        <f t="shared" si="215"/>
        <v>0</v>
      </c>
      <c r="AK498">
        <f t="shared" si="224"/>
        <v>4</v>
      </c>
      <c r="AL498" t="str">
        <f t="shared" si="216"/>
        <v/>
      </c>
      <c r="AM498" t="str">
        <f t="shared" si="217"/>
        <v/>
      </c>
      <c r="AN498" t="str">
        <f t="shared" si="218"/>
        <v/>
      </c>
      <c r="AO498">
        <f t="shared" si="219"/>
        <v>0</v>
      </c>
    </row>
    <row r="499" spans="1:41" x14ac:dyDescent="0.4">
      <c r="A499" t="str">
        <f>IF($CM$6=0,"",IF(INDEX('⑩ 원문 보관'!$A:$E,$CM$6+ROW()-9,COLUMN())="","",INDEX('⑩ 원문 보관'!$A:$E,$CM$6+ROW()-9,COLUMN())))</f>
        <v/>
      </c>
      <c r="B499" t="str">
        <f>IF($CM$6=0,"",IF(INDEX('⑩ 원문 보관'!$A:$E,$CM$6+ROW()-9,COLUMN())="","",INDEX('⑩ 원문 보관'!$A:$E,$CM$6+ROW()-9,COLUMN())))</f>
        <v/>
      </c>
      <c r="C499" t="str">
        <f>IF($CM$6=0,"",IF(INDEX('⑩ 원문 보관'!$A:$E,$CM$6+ROW()-9,COLUMN())="","",INDEX('⑩ 원문 보관'!$A:$E,$CM$6+ROW()-9,COLUMN())))</f>
        <v/>
      </c>
      <c r="D499" t="str">
        <f>IF($CM$6=0,"",IF(INDEX('⑩ 원문 보관'!$A:$E,$CM$6+ROW()-9,COLUMN())="","",INDEX('⑩ 원문 보관'!$A:$E,$CM$6+ROW()-9,COLUMN())))</f>
        <v/>
      </c>
      <c r="E499" t="str">
        <f>IF($CM$6=0,"",IF(INDEX('⑩ 원문 보관'!$A:$E,$CM$6+ROW()-9,COLUMN())="","",INDEX('⑩ 원문 보관'!$A:$E,$CM$6+ROW()-9,COLUMN())))</f>
        <v/>
      </c>
      <c r="Q499">
        <f t="shared" si="220"/>
        <v>8</v>
      </c>
      <c r="R499" t="str">
        <f t="shared" si="200"/>
        <v/>
      </c>
      <c r="S499" t="str">
        <f t="shared" si="201"/>
        <v/>
      </c>
      <c r="T499" t="str">
        <f t="shared" si="202"/>
        <v/>
      </c>
      <c r="U499">
        <f t="shared" si="203"/>
        <v>0</v>
      </c>
      <c r="V499">
        <f t="shared" si="221"/>
        <v>12</v>
      </c>
      <c r="W499" t="str">
        <f t="shared" si="204"/>
        <v/>
      </c>
      <c r="X499" t="str">
        <f t="shared" si="205"/>
        <v/>
      </c>
      <c r="Y499" t="str">
        <f t="shared" si="206"/>
        <v/>
      </c>
      <c r="Z499">
        <f t="shared" si="207"/>
        <v>0</v>
      </c>
      <c r="AA499">
        <f t="shared" si="222"/>
        <v>6</v>
      </c>
      <c r="AB499" t="str">
        <f t="shared" si="208"/>
        <v/>
      </c>
      <c r="AC499" t="str">
        <f t="shared" si="209"/>
        <v/>
      </c>
      <c r="AD499" t="str">
        <f t="shared" si="210"/>
        <v/>
      </c>
      <c r="AE499">
        <f t="shared" si="211"/>
        <v>0</v>
      </c>
      <c r="AF499">
        <f t="shared" si="223"/>
        <v>10</v>
      </c>
      <c r="AG499" t="str">
        <f t="shared" si="212"/>
        <v/>
      </c>
      <c r="AH499" t="str">
        <f t="shared" si="213"/>
        <v/>
      </c>
      <c r="AI499" t="str">
        <f t="shared" si="214"/>
        <v/>
      </c>
      <c r="AJ499">
        <f t="shared" si="215"/>
        <v>0</v>
      </c>
      <c r="AK499">
        <f t="shared" si="224"/>
        <v>4</v>
      </c>
      <c r="AL499" t="str">
        <f t="shared" si="216"/>
        <v/>
      </c>
      <c r="AM499" t="str">
        <f t="shared" si="217"/>
        <v/>
      </c>
      <c r="AN499" t="str">
        <f t="shared" si="218"/>
        <v/>
      </c>
      <c r="AO499">
        <f t="shared" si="219"/>
        <v>0</v>
      </c>
    </row>
    <row r="500" spans="1:41" x14ac:dyDescent="0.4">
      <c r="A500" t="str">
        <f>IF($CM$6=0,"",IF(INDEX('⑩ 원문 보관'!$A:$E,$CM$6+ROW()-9,COLUMN())="","",INDEX('⑩ 원문 보관'!$A:$E,$CM$6+ROW()-9,COLUMN())))</f>
        <v/>
      </c>
      <c r="B500" t="str">
        <f>IF($CM$6=0,"",IF(INDEX('⑩ 원문 보관'!$A:$E,$CM$6+ROW()-9,COLUMN())="","",INDEX('⑩ 원문 보관'!$A:$E,$CM$6+ROW()-9,COLUMN())))</f>
        <v/>
      </c>
      <c r="C500" t="str">
        <f>IF($CM$6=0,"",IF(INDEX('⑩ 원문 보관'!$A:$E,$CM$6+ROW()-9,COLUMN())="","",INDEX('⑩ 원문 보관'!$A:$E,$CM$6+ROW()-9,COLUMN())))</f>
        <v/>
      </c>
      <c r="D500" t="str">
        <f>IF($CM$6=0,"",IF(INDEX('⑩ 원문 보관'!$A:$E,$CM$6+ROW()-9,COLUMN())="","",INDEX('⑩ 원문 보관'!$A:$E,$CM$6+ROW()-9,COLUMN())))</f>
        <v/>
      </c>
      <c r="E500" t="str">
        <f>IF($CM$6=0,"",IF(INDEX('⑩ 원문 보관'!$A:$E,$CM$6+ROW()-9,COLUMN())="","",INDEX('⑩ 원문 보관'!$A:$E,$CM$6+ROW()-9,COLUMN())))</f>
        <v/>
      </c>
      <c r="Q500">
        <f t="shared" si="220"/>
        <v>8</v>
      </c>
      <c r="R500" t="str">
        <f t="shared" si="200"/>
        <v/>
      </c>
      <c r="S500" t="str">
        <f t="shared" si="201"/>
        <v/>
      </c>
      <c r="T500" t="str">
        <f t="shared" si="202"/>
        <v/>
      </c>
      <c r="U500">
        <f t="shared" si="203"/>
        <v>0</v>
      </c>
      <c r="V500">
        <f t="shared" si="221"/>
        <v>12</v>
      </c>
      <c r="W500" t="str">
        <f t="shared" si="204"/>
        <v/>
      </c>
      <c r="X500" t="str">
        <f t="shared" si="205"/>
        <v/>
      </c>
      <c r="Y500" t="str">
        <f t="shared" si="206"/>
        <v/>
      </c>
      <c r="Z500">
        <f t="shared" si="207"/>
        <v>0</v>
      </c>
      <c r="AA500">
        <f t="shared" si="222"/>
        <v>6</v>
      </c>
      <c r="AB500" t="str">
        <f t="shared" si="208"/>
        <v/>
      </c>
      <c r="AC500" t="str">
        <f t="shared" si="209"/>
        <v/>
      </c>
      <c r="AD500" t="str">
        <f t="shared" si="210"/>
        <v/>
      </c>
      <c r="AE500">
        <f t="shared" si="211"/>
        <v>0</v>
      </c>
      <c r="AF500">
        <f t="shared" si="223"/>
        <v>10</v>
      </c>
      <c r="AG500" t="str">
        <f t="shared" si="212"/>
        <v/>
      </c>
      <c r="AH500" t="str">
        <f t="shared" si="213"/>
        <v/>
      </c>
      <c r="AI500" t="str">
        <f t="shared" si="214"/>
        <v/>
      </c>
      <c r="AJ500">
        <f t="shared" si="215"/>
        <v>0</v>
      </c>
      <c r="AK500">
        <f t="shared" si="224"/>
        <v>4</v>
      </c>
      <c r="AL500" t="str">
        <f t="shared" si="216"/>
        <v/>
      </c>
      <c r="AM500" t="str">
        <f t="shared" si="217"/>
        <v/>
      </c>
      <c r="AN500" t="str">
        <f t="shared" si="218"/>
        <v/>
      </c>
      <c r="AO500">
        <f t="shared" si="219"/>
        <v>0</v>
      </c>
    </row>
    <row r="501" spans="1:41" x14ac:dyDescent="0.4">
      <c r="A501" t="str">
        <f>IF($CM$6=0,"",IF(INDEX('⑩ 원문 보관'!$A:$E,$CM$6+ROW()-9,COLUMN())="","",INDEX('⑩ 원문 보관'!$A:$E,$CM$6+ROW()-9,COLUMN())))</f>
        <v/>
      </c>
      <c r="B501" t="str">
        <f>IF($CM$6=0,"",IF(INDEX('⑩ 원문 보관'!$A:$E,$CM$6+ROW()-9,COLUMN())="","",INDEX('⑩ 원문 보관'!$A:$E,$CM$6+ROW()-9,COLUMN())))</f>
        <v/>
      </c>
      <c r="C501" t="str">
        <f>IF($CM$6=0,"",IF(INDEX('⑩ 원문 보관'!$A:$E,$CM$6+ROW()-9,COLUMN())="","",INDEX('⑩ 원문 보관'!$A:$E,$CM$6+ROW()-9,COLUMN())))</f>
        <v/>
      </c>
      <c r="D501" t="str">
        <f>IF($CM$6=0,"",IF(INDEX('⑩ 원문 보관'!$A:$E,$CM$6+ROW()-9,COLUMN())="","",INDEX('⑩ 원문 보관'!$A:$E,$CM$6+ROW()-9,COLUMN())))</f>
        <v/>
      </c>
      <c r="E501" t="str">
        <f>IF($CM$6=0,"",IF(INDEX('⑩ 원문 보관'!$A:$E,$CM$6+ROW()-9,COLUMN())="","",INDEX('⑩ 원문 보관'!$A:$E,$CM$6+ROW()-9,COLUMN())))</f>
        <v/>
      </c>
      <c r="Q501">
        <f t="shared" si="220"/>
        <v>8</v>
      </c>
      <c r="R501" t="str">
        <f t="shared" si="200"/>
        <v/>
      </c>
      <c r="S501" t="str">
        <f t="shared" si="201"/>
        <v/>
      </c>
      <c r="T501" t="str">
        <f t="shared" si="202"/>
        <v/>
      </c>
      <c r="U501">
        <f t="shared" si="203"/>
        <v>0</v>
      </c>
      <c r="V501">
        <f t="shared" si="221"/>
        <v>12</v>
      </c>
      <c r="W501" t="str">
        <f t="shared" si="204"/>
        <v/>
      </c>
      <c r="X501" t="str">
        <f t="shared" si="205"/>
        <v/>
      </c>
      <c r="Y501" t="str">
        <f t="shared" si="206"/>
        <v/>
      </c>
      <c r="Z501">
        <f t="shared" si="207"/>
        <v>0</v>
      </c>
      <c r="AA501">
        <f t="shared" si="222"/>
        <v>6</v>
      </c>
      <c r="AB501" t="str">
        <f t="shared" si="208"/>
        <v/>
      </c>
      <c r="AC501" t="str">
        <f t="shared" si="209"/>
        <v/>
      </c>
      <c r="AD501" t="str">
        <f t="shared" si="210"/>
        <v/>
      </c>
      <c r="AE501">
        <f t="shared" si="211"/>
        <v>0</v>
      </c>
      <c r="AF501">
        <f t="shared" si="223"/>
        <v>10</v>
      </c>
      <c r="AG501" t="str">
        <f t="shared" si="212"/>
        <v/>
      </c>
      <c r="AH501" t="str">
        <f t="shared" si="213"/>
        <v/>
      </c>
      <c r="AI501" t="str">
        <f t="shared" si="214"/>
        <v/>
      </c>
      <c r="AJ501">
        <f t="shared" si="215"/>
        <v>0</v>
      </c>
      <c r="AK501">
        <f t="shared" si="224"/>
        <v>4</v>
      </c>
      <c r="AL501" t="str">
        <f t="shared" si="216"/>
        <v/>
      </c>
      <c r="AM501" t="str">
        <f t="shared" si="217"/>
        <v/>
      </c>
      <c r="AN501" t="str">
        <f t="shared" si="218"/>
        <v/>
      </c>
      <c r="AO501">
        <f t="shared" si="219"/>
        <v>0</v>
      </c>
    </row>
    <row r="502" spans="1:41" x14ac:dyDescent="0.4">
      <c r="A502" t="str">
        <f>IF($CM$6=0,"",IF(INDEX('⑩ 원문 보관'!$A:$E,$CM$6+ROW()-9,COLUMN())="","",INDEX('⑩ 원문 보관'!$A:$E,$CM$6+ROW()-9,COLUMN())))</f>
        <v/>
      </c>
      <c r="B502" t="str">
        <f>IF($CM$6=0,"",IF(INDEX('⑩ 원문 보관'!$A:$E,$CM$6+ROW()-9,COLUMN())="","",INDEX('⑩ 원문 보관'!$A:$E,$CM$6+ROW()-9,COLUMN())))</f>
        <v/>
      </c>
      <c r="C502" t="str">
        <f>IF($CM$6=0,"",IF(INDEX('⑩ 원문 보관'!$A:$E,$CM$6+ROW()-9,COLUMN())="","",INDEX('⑩ 원문 보관'!$A:$E,$CM$6+ROW()-9,COLUMN())))</f>
        <v/>
      </c>
      <c r="D502" t="str">
        <f>IF($CM$6=0,"",IF(INDEX('⑩ 원문 보관'!$A:$E,$CM$6+ROW()-9,COLUMN())="","",INDEX('⑩ 원문 보관'!$A:$E,$CM$6+ROW()-9,COLUMN())))</f>
        <v/>
      </c>
      <c r="E502" t="str">
        <f>IF($CM$6=0,"",IF(INDEX('⑩ 원문 보관'!$A:$E,$CM$6+ROW()-9,COLUMN())="","",INDEX('⑩ 원문 보관'!$A:$E,$CM$6+ROW()-9,COLUMN())))</f>
        <v/>
      </c>
      <c r="Q502">
        <f t="shared" si="220"/>
        <v>8</v>
      </c>
      <c r="R502" t="str">
        <f t="shared" si="200"/>
        <v/>
      </c>
      <c r="S502" t="str">
        <f t="shared" si="201"/>
        <v/>
      </c>
      <c r="T502" t="str">
        <f t="shared" si="202"/>
        <v/>
      </c>
      <c r="U502">
        <f t="shared" si="203"/>
        <v>0</v>
      </c>
      <c r="V502">
        <f t="shared" si="221"/>
        <v>12</v>
      </c>
      <c r="W502" t="str">
        <f t="shared" si="204"/>
        <v/>
      </c>
      <c r="X502" t="str">
        <f t="shared" si="205"/>
        <v/>
      </c>
      <c r="Y502" t="str">
        <f t="shared" si="206"/>
        <v/>
      </c>
      <c r="Z502">
        <f t="shared" si="207"/>
        <v>0</v>
      </c>
      <c r="AA502">
        <f t="shared" si="222"/>
        <v>6</v>
      </c>
      <c r="AB502" t="str">
        <f t="shared" si="208"/>
        <v/>
      </c>
      <c r="AC502" t="str">
        <f t="shared" si="209"/>
        <v/>
      </c>
      <c r="AD502" t="str">
        <f t="shared" si="210"/>
        <v/>
      </c>
      <c r="AE502">
        <f t="shared" si="211"/>
        <v>0</v>
      </c>
      <c r="AF502">
        <f t="shared" si="223"/>
        <v>10</v>
      </c>
      <c r="AG502" t="str">
        <f t="shared" si="212"/>
        <v/>
      </c>
      <c r="AH502" t="str">
        <f t="shared" si="213"/>
        <v/>
      </c>
      <c r="AI502" t="str">
        <f t="shared" si="214"/>
        <v/>
      </c>
      <c r="AJ502">
        <f t="shared" si="215"/>
        <v>0</v>
      </c>
      <c r="AK502">
        <f t="shared" si="224"/>
        <v>4</v>
      </c>
      <c r="AL502" t="str">
        <f t="shared" si="216"/>
        <v/>
      </c>
      <c r="AM502" t="str">
        <f t="shared" si="217"/>
        <v/>
      </c>
      <c r="AN502" t="str">
        <f t="shared" si="218"/>
        <v/>
      </c>
      <c r="AO502">
        <f t="shared" si="219"/>
        <v>0</v>
      </c>
    </row>
    <row r="503" spans="1:41" x14ac:dyDescent="0.4">
      <c r="A503" t="str">
        <f>IF($CM$6=0,"",IF(INDEX('⑩ 원문 보관'!$A:$E,$CM$6+ROW()-9,COLUMN())="","",INDEX('⑩ 원문 보관'!$A:$E,$CM$6+ROW()-9,COLUMN())))</f>
        <v/>
      </c>
      <c r="B503" t="str">
        <f>IF($CM$6=0,"",IF(INDEX('⑩ 원문 보관'!$A:$E,$CM$6+ROW()-9,COLUMN())="","",INDEX('⑩ 원문 보관'!$A:$E,$CM$6+ROW()-9,COLUMN())))</f>
        <v/>
      </c>
      <c r="C503" t="str">
        <f>IF($CM$6=0,"",IF(INDEX('⑩ 원문 보관'!$A:$E,$CM$6+ROW()-9,COLUMN())="","",INDEX('⑩ 원문 보관'!$A:$E,$CM$6+ROW()-9,COLUMN())))</f>
        <v/>
      </c>
      <c r="D503" t="str">
        <f>IF($CM$6=0,"",IF(INDEX('⑩ 원문 보관'!$A:$E,$CM$6+ROW()-9,COLUMN())="","",INDEX('⑩ 원문 보관'!$A:$E,$CM$6+ROW()-9,COLUMN())))</f>
        <v/>
      </c>
      <c r="E503" t="str">
        <f>IF($CM$6=0,"",IF(INDEX('⑩ 원문 보관'!$A:$E,$CM$6+ROW()-9,COLUMN())="","",INDEX('⑩ 원문 보관'!$A:$E,$CM$6+ROW()-9,COLUMN())))</f>
        <v/>
      </c>
      <c r="Q503">
        <f t="shared" si="220"/>
        <v>8</v>
      </c>
      <c r="R503" t="str">
        <f t="shared" si="200"/>
        <v/>
      </c>
      <c r="S503" t="str">
        <f t="shared" si="201"/>
        <v/>
      </c>
      <c r="T503" t="str">
        <f t="shared" si="202"/>
        <v/>
      </c>
      <c r="U503">
        <f t="shared" si="203"/>
        <v>0</v>
      </c>
      <c r="V503">
        <f t="shared" si="221"/>
        <v>12</v>
      </c>
      <c r="W503" t="str">
        <f t="shared" si="204"/>
        <v/>
      </c>
      <c r="X503" t="str">
        <f t="shared" si="205"/>
        <v/>
      </c>
      <c r="Y503" t="str">
        <f t="shared" si="206"/>
        <v/>
      </c>
      <c r="Z503">
        <f t="shared" si="207"/>
        <v>0</v>
      </c>
      <c r="AA503">
        <f t="shared" si="222"/>
        <v>6</v>
      </c>
      <c r="AB503" t="str">
        <f t="shared" si="208"/>
        <v/>
      </c>
      <c r="AC503" t="str">
        <f t="shared" si="209"/>
        <v/>
      </c>
      <c r="AD503" t="str">
        <f t="shared" si="210"/>
        <v/>
      </c>
      <c r="AE503">
        <f t="shared" si="211"/>
        <v>0</v>
      </c>
      <c r="AF503">
        <f t="shared" si="223"/>
        <v>10</v>
      </c>
      <c r="AG503" t="str">
        <f t="shared" si="212"/>
        <v/>
      </c>
      <c r="AH503" t="str">
        <f t="shared" si="213"/>
        <v/>
      </c>
      <c r="AI503" t="str">
        <f t="shared" si="214"/>
        <v/>
      </c>
      <c r="AJ503">
        <f t="shared" si="215"/>
        <v>0</v>
      </c>
      <c r="AK503">
        <f t="shared" si="224"/>
        <v>4</v>
      </c>
      <c r="AL503" t="str">
        <f t="shared" si="216"/>
        <v/>
      </c>
      <c r="AM503" t="str">
        <f t="shared" si="217"/>
        <v/>
      </c>
      <c r="AN503" t="str">
        <f t="shared" si="218"/>
        <v/>
      </c>
      <c r="AO503">
        <f t="shared" si="219"/>
        <v>0</v>
      </c>
    </row>
    <row r="504" spans="1:41" x14ac:dyDescent="0.4">
      <c r="A504" t="str">
        <f>IF($CM$6=0,"",IF(INDEX('⑩ 원문 보관'!$A:$E,$CM$6+ROW()-9,COLUMN())="","",INDEX('⑩ 원문 보관'!$A:$E,$CM$6+ROW()-9,COLUMN())))</f>
        <v/>
      </c>
      <c r="B504" t="str">
        <f>IF($CM$6=0,"",IF(INDEX('⑩ 원문 보관'!$A:$E,$CM$6+ROW()-9,COLUMN())="","",INDEX('⑩ 원문 보관'!$A:$E,$CM$6+ROW()-9,COLUMN())))</f>
        <v/>
      </c>
      <c r="C504" t="str">
        <f>IF($CM$6=0,"",IF(INDEX('⑩ 원문 보관'!$A:$E,$CM$6+ROW()-9,COLUMN())="","",INDEX('⑩ 원문 보관'!$A:$E,$CM$6+ROW()-9,COLUMN())))</f>
        <v/>
      </c>
      <c r="D504" t="str">
        <f>IF($CM$6=0,"",IF(INDEX('⑩ 원문 보관'!$A:$E,$CM$6+ROW()-9,COLUMN())="","",INDEX('⑩ 원문 보관'!$A:$E,$CM$6+ROW()-9,COLUMN())))</f>
        <v/>
      </c>
      <c r="E504" t="str">
        <f>IF($CM$6=0,"",IF(INDEX('⑩ 원문 보관'!$A:$E,$CM$6+ROW()-9,COLUMN())="","",INDEX('⑩ 원문 보관'!$A:$E,$CM$6+ROW()-9,COLUMN())))</f>
        <v/>
      </c>
      <c r="Q504">
        <f t="shared" si="220"/>
        <v>8</v>
      </c>
      <c r="R504" t="str">
        <f t="shared" si="200"/>
        <v/>
      </c>
      <c r="S504" t="str">
        <f t="shared" si="201"/>
        <v/>
      </c>
      <c r="T504" t="str">
        <f t="shared" si="202"/>
        <v/>
      </c>
      <c r="U504">
        <f t="shared" si="203"/>
        <v>0</v>
      </c>
      <c r="V504">
        <f t="shared" si="221"/>
        <v>12</v>
      </c>
      <c r="W504" t="str">
        <f t="shared" si="204"/>
        <v/>
      </c>
      <c r="X504" t="str">
        <f t="shared" si="205"/>
        <v/>
      </c>
      <c r="Y504" t="str">
        <f t="shared" si="206"/>
        <v/>
      </c>
      <c r="Z504">
        <f t="shared" si="207"/>
        <v>0</v>
      </c>
      <c r="AA504">
        <f t="shared" si="222"/>
        <v>6</v>
      </c>
      <c r="AB504" t="str">
        <f t="shared" si="208"/>
        <v/>
      </c>
      <c r="AC504" t="str">
        <f t="shared" si="209"/>
        <v/>
      </c>
      <c r="AD504" t="str">
        <f t="shared" si="210"/>
        <v/>
      </c>
      <c r="AE504">
        <f t="shared" si="211"/>
        <v>0</v>
      </c>
      <c r="AF504">
        <f t="shared" si="223"/>
        <v>10</v>
      </c>
      <c r="AG504" t="str">
        <f t="shared" si="212"/>
        <v/>
      </c>
      <c r="AH504" t="str">
        <f t="shared" si="213"/>
        <v/>
      </c>
      <c r="AI504" t="str">
        <f t="shared" si="214"/>
        <v/>
      </c>
      <c r="AJ504">
        <f t="shared" si="215"/>
        <v>0</v>
      </c>
      <c r="AK504">
        <f t="shared" si="224"/>
        <v>4</v>
      </c>
      <c r="AL504" t="str">
        <f t="shared" si="216"/>
        <v/>
      </c>
      <c r="AM504" t="str">
        <f t="shared" si="217"/>
        <v/>
      </c>
      <c r="AN504" t="str">
        <f t="shared" si="218"/>
        <v/>
      </c>
      <c r="AO504">
        <f t="shared" si="219"/>
        <v>0</v>
      </c>
    </row>
    <row r="505" spans="1:41" x14ac:dyDescent="0.4">
      <c r="A505" t="str">
        <f>IF($CM$6=0,"",IF(INDEX('⑩ 원문 보관'!$A:$E,$CM$6+ROW()-9,COLUMN())="","",INDEX('⑩ 원문 보관'!$A:$E,$CM$6+ROW()-9,COLUMN())))</f>
        <v/>
      </c>
      <c r="B505" t="str">
        <f>IF($CM$6=0,"",IF(INDEX('⑩ 원문 보관'!$A:$E,$CM$6+ROW()-9,COLUMN())="","",INDEX('⑩ 원문 보관'!$A:$E,$CM$6+ROW()-9,COLUMN())))</f>
        <v/>
      </c>
      <c r="C505" t="str">
        <f>IF($CM$6=0,"",IF(INDEX('⑩ 원문 보관'!$A:$E,$CM$6+ROW()-9,COLUMN())="","",INDEX('⑩ 원문 보관'!$A:$E,$CM$6+ROW()-9,COLUMN())))</f>
        <v/>
      </c>
      <c r="D505" t="str">
        <f>IF($CM$6=0,"",IF(INDEX('⑩ 원문 보관'!$A:$E,$CM$6+ROW()-9,COLUMN())="","",INDEX('⑩ 원문 보관'!$A:$E,$CM$6+ROW()-9,COLUMN())))</f>
        <v/>
      </c>
      <c r="E505" t="str">
        <f>IF($CM$6=0,"",IF(INDEX('⑩ 원문 보관'!$A:$E,$CM$6+ROW()-9,COLUMN())="","",INDEX('⑩ 원문 보관'!$A:$E,$CM$6+ROW()-9,COLUMN())))</f>
        <v/>
      </c>
      <c r="Q505">
        <f t="shared" si="220"/>
        <v>8</v>
      </c>
      <c r="R505" t="str">
        <f t="shared" si="200"/>
        <v/>
      </c>
      <c r="S505" t="str">
        <f t="shared" si="201"/>
        <v/>
      </c>
      <c r="T505" t="str">
        <f t="shared" si="202"/>
        <v/>
      </c>
      <c r="U505">
        <f t="shared" si="203"/>
        <v>0</v>
      </c>
      <c r="V505">
        <f t="shared" si="221"/>
        <v>12</v>
      </c>
      <c r="W505" t="str">
        <f t="shared" si="204"/>
        <v/>
      </c>
      <c r="X505" t="str">
        <f t="shared" si="205"/>
        <v/>
      </c>
      <c r="Y505" t="str">
        <f t="shared" si="206"/>
        <v/>
      </c>
      <c r="Z505">
        <f t="shared" si="207"/>
        <v>0</v>
      </c>
      <c r="AA505">
        <f t="shared" si="222"/>
        <v>6</v>
      </c>
      <c r="AB505" t="str">
        <f t="shared" si="208"/>
        <v/>
      </c>
      <c r="AC505" t="str">
        <f t="shared" si="209"/>
        <v/>
      </c>
      <c r="AD505" t="str">
        <f t="shared" si="210"/>
        <v/>
      </c>
      <c r="AE505">
        <f t="shared" si="211"/>
        <v>0</v>
      </c>
      <c r="AF505">
        <f t="shared" si="223"/>
        <v>10</v>
      </c>
      <c r="AG505" t="str">
        <f t="shared" si="212"/>
        <v/>
      </c>
      <c r="AH505" t="str">
        <f t="shared" si="213"/>
        <v/>
      </c>
      <c r="AI505" t="str">
        <f t="shared" si="214"/>
        <v/>
      </c>
      <c r="AJ505">
        <f t="shared" si="215"/>
        <v>0</v>
      </c>
      <c r="AK505">
        <f t="shared" si="224"/>
        <v>4</v>
      </c>
      <c r="AL505" t="str">
        <f t="shared" si="216"/>
        <v/>
      </c>
      <c r="AM505" t="str">
        <f t="shared" si="217"/>
        <v/>
      </c>
      <c r="AN505" t="str">
        <f t="shared" si="218"/>
        <v/>
      </c>
      <c r="AO505">
        <f t="shared" si="219"/>
        <v>0</v>
      </c>
    </row>
    <row r="506" spans="1:41" x14ac:dyDescent="0.4">
      <c r="A506" t="str">
        <f>IF($CM$6=0,"",IF(INDEX('⑩ 원문 보관'!$A:$E,$CM$6+ROW()-9,COLUMN())="","",INDEX('⑩ 원문 보관'!$A:$E,$CM$6+ROW()-9,COLUMN())))</f>
        <v/>
      </c>
      <c r="B506" t="str">
        <f>IF($CM$6=0,"",IF(INDEX('⑩ 원문 보관'!$A:$E,$CM$6+ROW()-9,COLUMN())="","",INDEX('⑩ 원문 보관'!$A:$E,$CM$6+ROW()-9,COLUMN())))</f>
        <v/>
      </c>
      <c r="C506" t="str">
        <f>IF($CM$6=0,"",IF(INDEX('⑩ 원문 보관'!$A:$E,$CM$6+ROW()-9,COLUMN())="","",INDEX('⑩ 원문 보관'!$A:$E,$CM$6+ROW()-9,COLUMN())))</f>
        <v/>
      </c>
      <c r="D506" t="str">
        <f>IF($CM$6=0,"",IF(INDEX('⑩ 원문 보관'!$A:$E,$CM$6+ROW()-9,COLUMN())="","",INDEX('⑩ 원문 보관'!$A:$E,$CM$6+ROW()-9,COLUMN())))</f>
        <v/>
      </c>
      <c r="E506" t="str">
        <f>IF($CM$6=0,"",IF(INDEX('⑩ 원문 보관'!$A:$E,$CM$6+ROW()-9,COLUMN())="","",INDEX('⑩ 원문 보관'!$A:$E,$CM$6+ROW()-9,COLUMN())))</f>
        <v/>
      </c>
      <c r="Q506">
        <f t="shared" si="220"/>
        <v>8</v>
      </c>
      <c r="R506" t="str">
        <f t="shared" si="200"/>
        <v/>
      </c>
      <c r="S506" t="str">
        <f t="shared" si="201"/>
        <v/>
      </c>
      <c r="T506" t="str">
        <f t="shared" si="202"/>
        <v/>
      </c>
      <c r="U506">
        <f t="shared" si="203"/>
        <v>0</v>
      </c>
      <c r="V506">
        <f t="shared" si="221"/>
        <v>12</v>
      </c>
      <c r="W506" t="str">
        <f t="shared" si="204"/>
        <v/>
      </c>
      <c r="X506" t="str">
        <f t="shared" si="205"/>
        <v/>
      </c>
      <c r="Y506" t="str">
        <f t="shared" si="206"/>
        <v/>
      </c>
      <c r="Z506">
        <f t="shared" si="207"/>
        <v>0</v>
      </c>
      <c r="AA506">
        <f t="shared" si="222"/>
        <v>6</v>
      </c>
      <c r="AB506" t="str">
        <f t="shared" si="208"/>
        <v/>
      </c>
      <c r="AC506" t="str">
        <f t="shared" si="209"/>
        <v/>
      </c>
      <c r="AD506" t="str">
        <f t="shared" si="210"/>
        <v/>
      </c>
      <c r="AE506">
        <f t="shared" si="211"/>
        <v>0</v>
      </c>
      <c r="AF506">
        <f t="shared" si="223"/>
        <v>10</v>
      </c>
      <c r="AG506" t="str">
        <f t="shared" si="212"/>
        <v/>
      </c>
      <c r="AH506" t="str">
        <f t="shared" si="213"/>
        <v/>
      </c>
      <c r="AI506" t="str">
        <f t="shared" si="214"/>
        <v/>
      </c>
      <c r="AJ506">
        <f t="shared" si="215"/>
        <v>0</v>
      </c>
      <c r="AK506">
        <f t="shared" si="224"/>
        <v>4</v>
      </c>
      <c r="AL506" t="str">
        <f t="shared" si="216"/>
        <v/>
      </c>
      <c r="AM506" t="str">
        <f t="shared" si="217"/>
        <v/>
      </c>
      <c r="AN506" t="str">
        <f t="shared" si="218"/>
        <v/>
      </c>
      <c r="AO506">
        <f t="shared" si="219"/>
        <v>0</v>
      </c>
    </row>
    <row r="507" spans="1:41" x14ac:dyDescent="0.4">
      <c r="A507" t="str">
        <f>IF($CM$6=0,"",IF(INDEX('⑩ 원문 보관'!$A:$E,$CM$6+ROW()-9,COLUMN())="","",INDEX('⑩ 원문 보관'!$A:$E,$CM$6+ROW()-9,COLUMN())))</f>
        <v/>
      </c>
      <c r="B507" t="str">
        <f>IF($CM$6=0,"",IF(INDEX('⑩ 원문 보관'!$A:$E,$CM$6+ROW()-9,COLUMN())="","",INDEX('⑩ 원문 보관'!$A:$E,$CM$6+ROW()-9,COLUMN())))</f>
        <v/>
      </c>
      <c r="C507" t="str">
        <f>IF($CM$6=0,"",IF(INDEX('⑩ 원문 보관'!$A:$E,$CM$6+ROW()-9,COLUMN())="","",INDEX('⑩ 원문 보관'!$A:$E,$CM$6+ROW()-9,COLUMN())))</f>
        <v/>
      </c>
      <c r="D507" t="str">
        <f>IF($CM$6=0,"",IF(INDEX('⑩ 원문 보관'!$A:$E,$CM$6+ROW()-9,COLUMN())="","",INDEX('⑩ 원문 보관'!$A:$E,$CM$6+ROW()-9,COLUMN())))</f>
        <v/>
      </c>
      <c r="E507" t="str">
        <f>IF($CM$6=0,"",IF(INDEX('⑩ 원문 보관'!$A:$E,$CM$6+ROW()-9,COLUMN())="","",INDEX('⑩ 원문 보관'!$A:$E,$CM$6+ROW()-9,COLUMN())))</f>
        <v/>
      </c>
      <c r="Q507">
        <f t="shared" si="220"/>
        <v>8</v>
      </c>
      <c r="R507" t="str">
        <f t="shared" si="200"/>
        <v/>
      </c>
      <c r="S507" t="str">
        <f t="shared" si="201"/>
        <v/>
      </c>
      <c r="T507" t="str">
        <f t="shared" si="202"/>
        <v/>
      </c>
      <c r="U507">
        <f t="shared" si="203"/>
        <v>0</v>
      </c>
      <c r="V507">
        <f t="shared" si="221"/>
        <v>12</v>
      </c>
      <c r="W507" t="str">
        <f t="shared" si="204"/>
        <v/>
      </c>
      <c r="X507" t="str">
        <f t="shared" si="205"/>
        <v/>
      </c>
      <c r="Y507" t="str">
        <f t="shared" si="206"/>
        <v/>
      </c>
      <c r="Z507">
        <f t="shared" si="207"/>
        <v>0</v>
      </c>
      <c r="AA507">
        <f t="shared" si="222"/>
        <v>6</v>
      </c>
      <c r="AB507" t="str">
        <f t="shared" si="208"/>
        <v/>
      </c>
      <c r="AC507" t="str">
        <f t="shared" si="209"/>
        <v/>
      </c>
      <c r="AD507" t="str">
        <f t="shared" si="210"/>
        <v/>
      </c>
      <c r="AE507">
        <f t="shared" si="211"/>
        <v>0</v>
      </c>
      <c r="AF507">
        <f t="shared" si="223"/>
        <v>10</v>
      </c>
      <c r="AG507" t="str">
        <f t="shared" si="212"/>
        <v/>
      </c>
      <c r="AH507" t="str">
        <f t="shared" si="213"/>
        <v/>
      </c>
      <c r="AI507" t="str">
        <f t="shared" si="214"/>
        <v/>
      </c>
      <c r="AJ507">
        <f t="shared" si="215"/>
        <v>0</v>
      </c>
      <c r="AK507">
        <f t="shared" si="224"/>
        <v>4</v>
      </c>
      <c r="AL507" t="str">
        <f t="shared" si="216"/>
        <v/>
      </c>
      <c r="AM507" t="str">
        <f t="shared" si="217"/>
        <v/>
      </c>
      <c r="AN507" t="str">
        <f t="shared" si="218"/>
        <v/>
      </c>
      <c r="AO507">
        <f t="shared" si="219"/>
        <v>0</v>
      </c>
    </row>
    <row r="508" spans="1:41" x14ac:dyDescent="0.4">
      <c r="A508" t="str">
        <f>IF($CM$6=0,"",IF(INDEX('⑩ 원문 보관'!$A:$E,$CM$6+ROW()-9,COLUMN())="","",INDEX('⑩ 원문 보관'!$A:$E,$CM$6+ROW()-9,COLUMN())))</f>
        <v/>
      </c>
      <c r="B508" t="str">
        <f>IF($CM$6=0,"",IF(INDEX('⑩ 원문 보관'!$A:$E,$CM$6+ROW()-9,COLUMN())="","",INDEX('⑩ 원문 보관'!$A:$E,$CM$6+ROW()-9,COLUMN())))</f>
        <v/>
      </c>
      <c r="C508" t="str">
        <f>IF($CM$6=0,"",IF(INDEX('⑩ 원문 보관'!$A:$E,$CM$6+ROW()-9,COLUMN())="","",INDEX('⑩ 원문 보관'!$A:$E,$CM$6+ROW()-9,COLUMN())))</f>
        <v/>
      </c>
      <c r="D508" t="str">
        <f>IF($CM$6=0,"",IF(INDEX('⑩ 원문 보관'!$A:$E,$CM$6+ROW()-9,COLUMN())="","",INDEX('⑩ 원문 보관'!$A:$E,$CM$6+ROW()-9,COLUMN())))</f>
        <v/>
      </c>
      <c r="E508" t="str">
        <f>IF($CM$6=0,"",IF(INDEX('⑩ 원문 보관'!$A:$E,$CM$6+ROW()-9,COLUMN())="","",INDEX('⑩ 원문 보관'!$A:$E,$CM$6+ROW()-9,COLUMN())))</f>
        <v/>
      </c>
      <c r="Q508">
        <f t="shared" si="220"/>
        <v>8</v>
      </c>
      <c r="R508" t="str">
        <f t="shared" si="200"/>
        <v/>
      </c>
      <c r="S508" t="str">
        <f t="shared" si="201"/>
        <v/>
      </c>
      <c r="T508" t="str">
        <f t="shared" si="202"/>
        <v/>
      </c>
      <c r="U508">
        <f t="shared" si="203"/>
        <v>0</v>
      </c>
      <c r="V508">
        <f t="shared" si="221"/>
        <v>12</v>
      </c>
      <c r="W508" t="str">
        <f t="shared" si="204"/>
        <v/>
      </c>
      <c r="X508" t="str">
        <f t="shared" si="205"/>
        <v/>
      </c>
      <c r="Y508" t="str">
        <f t="shared" si="206"/>
        <v/>
      </c>
      <c r="Z508">
        <f t="shared" si="207"/>
        <v>0</v>
      </c>
      <c r="AA508">
        <f t="shared" si="222"/>
        <v>6</v>
      </c>
      <c r="AB508" t="str">
        <f t="shared" si="208"/>
        <v/>
      </c>
      <c r="AC508" t="str">
        <f t="shared" si="209"/>
        <v/>
      </c>
      <c r="AD508" t="str">
        <f t="shared" si="210"/>
        <v/>
      </c>
      <c r="AE508">
        <f t="shared" si="211"/>
        <v>0</v>
      </c>
      <c r="AF508">
        <f t="shared" si="223"/>
        <v>10</v>
      </c>
      <c r="AG508" t="str">
        <f t="shared" si="212"/>
        <v/>
      </c>
      <c r="AH508" t="str">
        <f t="shared" si="213"/>
        <v/>
      </c>
      <c r="AI508" t="str">
        <f t="shared" si="214"/>
        <v/>
      </c>
      <c r="AJ508">
        <f t="shared" si="215"/>
        <v>0</v>
      </c>
      <c r="AK508">
        <f t="shared" si="224"/>
        <v>4</v>
      </c>
      <c r="AL508" t="str">
        <f t="shared" si="216"/>
        <v/>
      </c>
      <c r="AM508" t="str">
        <f t="shared" si="217"/>
        <v/>
      </c>
      <c r="AN508" t="str">
        <f t="shared" si="218"/>
        <v/>
      </c>
      <c r="AO508">
        <f t="shared" si="219"/>
        <v>0</v>
      </c>
    </row>
    <row r="509" spans="1:41" x14ac:dyDescent="0.4">
      <c r="A509" t="str">
        <f>IF($CM$6=0,"",IF(INDEX('⑩ 원문 보관'!$A:$E,$CM$6+ROW()-9,COLUMN())="","",INDEX('⑩ 원문 보관'!$A:$E,$CM$6+ROW()-9,COLUMN())))</f>
        <v/>
      </c>
      <c r="B509" t="str">
        <f>IF($CM$6=0,"",IF(INDEX('⑩ 원문 보관'!$A:$E,$CM$6+ROW()-9,COLUMN())="","",INDEX('⑩ 원문 보관'!$A:$E,$CM$6+ROW()-9,COLUMN())))</f>
        <v/>
      </c>
      <c r="C509" t="str">
        <f>IF($CM$6=0,"",IF(INDEX('⑩ 원문 보관'!$A:$E,$CM$6+ROW()-9,COLUMN())="","",INDEX('⑩ 원문 보관'!$A:$E,$CM$6+ROW()-9,COLUMN())))</f>
        <v/>
      </c>
      <c r="D509" t="str">
        <f>IF($CM$6=0,"",IF(INDEX('⑩ 원문 보관'!$A:$E,$CM$6+ROW()-9,COLUMN())="","",INDEX('⑩ 원문 보관'!$A:$E,$CM$6+ROW()-9,COLUMN())))</f>
        <v/>
      </c>
      <c r="E509" t="str">
        <f>IF($CM$6=0,"",IF(INDEX('⑩ 원문 보관'!$A:$E,$CM$6+ROW()-9,COLUMN())="","",INDEX('⑩ 원문 보관'!$A:$E,$CM$6+ROW()-9,COLUMN())))</f>
        <v/>
      </c>
      <c r="Q509">
        <f t="shared" si="220"/>
        <v>8</v>
      </c>
      <c r="R509" t="str">
        <f t="shared" si="200"/>
        <v/>
      </c>
      <c r="S509" t="str">
        <f t="shared" si="201"/>
        <v/>
      </c>
      <c r="T509" t="str">
        <f t="shared" si="202"/>
        <v/>
      </c>
      <c r="U509">
        <f t="shared" si="203"/>
        <v>0</v>
      </c>
      <c r="V509">
        <f t="shared" si="221"/>
        <v>12</v>
      </c>
      <c r="W509" t="str">
        <f t="shared" si="204"/>
        <v/>
      </c>
      <c r="X509" t="str">
        <f t="shared" si="205"/>
        <v/>
      </c>
      <c r="Y509" t="str">
        <f t="shared" si="206"/>
        <v/>
      </c>
      <c r="Z509">
        <f t="shared" si="207"/>
        <v>0</v>
      </c>
      <c r="AA509">
        <f t="shared" si="222"/>
        <v>6</v>
      </c>
      <c r="AB509" t="str">
        <f t="shared" si="208"/>
        <v/>
      </c>
      <c r="AC509" t="str">
        <f t="shared" si="209"/>
        <v/>
      </c>
      <c r="AD509" t="str">
        <f t="shared" si="210"/>
        <v/>
      </c>
      <c r="AE509">
        <f t="shared" si="211"/>
        <v>0</v>
      </c>
      <c r="AF509">
        <f t="shared" si="223"/>
        <v>10</v>
      </c>
      <c r="AG509" t="str">
        <f t="shared" si="212"/>
        <v/>
      </c>
      <c r="AH509" t="str">
        <f t="shared" si="213"/>
        <v/>
      </c>
      <c r="AI509" t="str">
        <f t="shared" si="214"/>
        <v/>
      </c>
      <c r="AJ509">
        <f t="shared" si="215"/>
        <v>0</v>
      </c>
      <c r="AK509">
        <f t="shared" si="224"/>
        <v>4</v>
      </c>
      <c r="AL509" t="str">
        <f t="shared" si="216"/>
        <v/>
      </c>
      <c r="AM509" t="str">
        <f t="shared" si="217"/>
        <v/>
      </c>
      <c r="AN509" t="str">
        <f t="shared" si="218"/>
        <v/>
      </c>
      <c r="AO509">
        <f t="shared" si="219"/>
        <v>0</v>
      </c>
    </row>
    <row r="510" spans="1:41" x14ac:dyDescent="0.4">
      <c r="A510" t="str">
        <f>IF($CM$6=0,"",IF(INDEX('⑩ 원문 보관'!$A:$E,$CM$6+ROW()-9,COLUMN())="","",INDEX('⑩ 원문 보관'!$A:$E,$CM$6+ROW()-9,COLUMN())))</f>
        <v/>
      </c>
      <c r="B510" t="str">
        <f>IF($CM$6=0,"",IF(INDEX('⑩ 원문 보관'!$A:$E,$CM$6+ROW()-9,COLUMN())="","",INDEX('⑩ 원문 보관'!$A:$E,$CM$6+ROW()-9,COLUMN())))</f>
        <v/>
      </c>
      <c r="C510" t="str">
        <f>IF($CM$6=0,"",IF(INDEX('⑩ 원문 보관'!$A:$E,$CM$6+ROW()-9,COLUMN())="","",INDEX('⑩ 원문 보관'!$A:$E,$CM$6+ROW()-9,COLUMN())))</f>
        <v/>
      </c>
      <c r="D510" t="str">
        <f>IF($CM$6=0,"",IF(INDEX('⑩ 원문 보관'!$A:$E,$CM$6+ROW()-9,COLUMN())="","",INDEX('⑩ 원문 보관'!$A:$E,$CM$6+ROW()-9,COLUMN())))</f>
        <v/>
      </c>
      <c r="E510" t="str">
        <f>IF($CM$6=0,"",IF(INDEX('⑩ 원문 보관'!$A:$E,$CM$6+ROW()-9,COLUMN())="","",INDEX('⑩ 원문 보관'!$A:$E,$CM$6+ROW()-9,COLUMN())))</f>
        <v/>
      </c>
      <c r="Q510">
        <f t="shared" si="220"/>
        <v>8</v>
      </c>
      <c r="R510" t="str">
        <f t="shared" si="200"/>
        <v/>
      </c>
      <c r="S510" t="str">
        <f t="shared" si="201"/>
        <v/>
      </c>
      <c r="T510" t="str">
        <f t="shared" si="202"/>
        <v/>
      </c>
      <c r="U510">
        <f t="shared" si="203"/>
        <v>0</v>
      </c>
      <c r="V510">
        <f t="shared" si="221"/>
        <v>12</v>
      </c>
      <c r="W510" t="str">
        <f t="shared" si="204"/>
        <v/>
      </c>
      <c r="X510" t="str">
        <f t="shared" si="205"/>
        <v/>
      </c>
      <c r="Y510" t="str">
        <f t="shared" si="206"/>
        <v/>
      </c>
      <c r="Z510">
        <f t="shared" si="207"/>
        <v>0</v>
      </c>
      <c r="AA510">
        <f t="shared" si="222"/>
        <v>6</v>
      </c>
      <c r="AB510" t="str">
        <f t="shared" si="208"/>
        <v/>
      </c>
      <c r="AC510" t="str">
        <f t="shared" si="209"/>
        <v/>
      </c>
      <c r="AD510" t="str">
        <f t="shared" si="210"/>
        <v/>
      </c>
      <c r="AE510">
        <f t="shared" si="211"/>
        <v>0</v>
      </c>
      <c r="AF510">
        <f t="shared" si="223"/>
        <v>10</v>
      </c>
      <c r="AG510" t="str">
        <f t="shared" si="212"/>
        <v/>
      </c>
      <c r="AH510" t="str">
        <f t="shared" si="213"/>
        <v/>
      </c>
      <c r="AI510" t="str">
        <f t="shared" si="214"/>
        <v/>
      </c>
      <c r="AJ510">
        <f t="shared" si="215"/>
        <v>0</v>
      </c>
      <c r="AK510">
        <f t="shared" si="224"/>
        <v>4</v>
      </c>
      <c r="AL510" t="str">
        <f t="shared" si="216"/>
        <v/>
      </c>
      <c r="AM510" t="str">
        <f t="shared" si="217"/>
        <v/>
      </c>
      <c r="AN510" t="str">
        <f t="shared" si="218"/>
        <v/>
      </c>
      <c r="AO510">
        <f t="shared" si="219"/>
        <v>0</v>
      </c>
    </row>
    <row r="511" spans="1:41" x14ac:dyDescent="0.4">
      <c r="A511" t="str">
        <f>IF($CM$6=0,"",IF(INDEX('⑩ 원문 보관'!$A:$E,$CM$6+ROW()-9,COLUMN())="","",INDEX('⑩ 원문 보관'!$A:$E,$CM$6+ROW()-9,COLUMN())))</f>
        <v/>
      </c>
      <c r="B511" t="str">
        <f>IF($CM$6=0,"",IF(INDEX('⑩ 원문 보관'!$A:$E,$CM$6+ROW()-9,COLUMN())="","",INDEX('⑩ 원문 보관'!$A:$E,$CM$6+ROW()-9,COLUMN())))</f>
        <v/>
      </c>
      <c r="C511" t="str">
        <f>IF($CM$6=0,"",IF(INDEX('⑩ 원문 보관'!$A:$E,$CM$6+ROW()-9,COLUMN())="","",INDEX('⑩ 원문 보관'!$A:$E,$CM$6+ROW()-9,COLUMN())))</f>
        <v/>
      </c>
      <c r="D511" t="str">
        <f>IF($CM$6=0,"",IF(INDEX('⑩ 원문 보관'!$A:$E,$CM$6+ROW()-9,COLUMN())="","",INDEX('⑩ 원문 보관'!$A:$E,$CM$6+ROW()-9,COLUMN())))</f>
        <v/>
      </c>
      <c r="E511" t="str">
        <f>IF($CM$6=0,"",IF(INDEX('⑩ 원문 보관'!$A:$E,$CM$6+ROW()-9,COLUMN())="","",INDEX('⑩ 원문 보관'!$A:$E,$CM$6+ROW()-9,COLUMN())))</f>
        <v/>
      </c>
      <c r="Q511">
        <f t="shared" si="220"/>
        <v>8</v>
      </c>
      <c r="R511" t="str">
        <f t="shared" si="200"/>
        <v/>
      </c>
      <c r="S511" t="str">
        <f t="shared" si="201"/>
        <v/>
      </c>
      <c r="T511" t="str">
        <f t="shared" si="202"/>
        <v/>
      </c>
      <c r="U511">
        <f t="shared" si="203"/>
        <v>0</v>
      </c>
      <c r="V511">
        <f t="shared" si="221"/>
        <v>12</v>
      </c>
      <c r="W511" t="str">
        <f t="shared" si="204"/>
        <v/>
      </c>
      <c r="X511" t="str">
        <f t="shared" si="205"/>
        <v/>
      </c>
      <c r="Y511" t="str">
        <f t="shared" si="206"/>
        <v/>
      </c>
      <c r="Z511">
        <f t="shared" si="207"/>
        <v>0</v>
      </c>
      <c r="AA511">
        <f t="shared" si="222"/>
        <v>6</v>
      </c>
      <c r="AB511" t="str">
        <f t="shared" si="208"/>
        <v/>
      </c>
      <c r="AC511" t="str">
        <f t="shared" si="209"/>
        <v/>
      </c>
      <c r="AD511" t="str">
        <f t="shared" si="210"/>
        <v/>
      </c>
      <c r="AE511">
        <f t="shared" si="211"/>
        <v>0</v>
      </c>
      <c r="AF511">
        <f t="shared" si="223"/>
        <v>10</v>
      </c>
      <c r="AG511" t="str">
        <f t="shared" si="212"/>
        <v/>
      </c>
      <c r="AH511" t="str">
        <f t="shared" si="213"/>
        <v/>
      </c>
      <c r="AI511" t="str">
        <f t="shared" si="214"/>
        <v/>
      </c>
      <c r="AJ511">
        <f t="shared" si="215"/>
        <v>0</v>
      </c>
      <c r="AK511">
        <f t="shared" si="224"/>
        <v>4</v>
      </c>
      <c r="AL511" t="str">
        <f t="shared" si="216"/>
        <v/>
      </c>
      <c r="AM511" t="str">
        <f t="shared" si="217"/>
        <v/>
      </c>
      <c r="AN511" t="str">
        <f t="shared" si="218"/>
        <v/>
      </c>
      <c r="AO511">
        <f t="shared" si="219"/>
        <v>0</v>
      </c>
    </row>
    <row r="512" spans="1:41" x14ac:dyDescent="0.4">
      <c r="A512" t="str">
        <f>IF($CM$6=0,"",IF(INDEX('⑩ 원문 보관'!$A:$E,$CM$6+ROW()-9,COLUMN())="","",INDEX('⑩ 원문 보관'!$A:$E,$CM$6+ROW()-9,COLUMN())))</f>
        <v/>
      </c>
      <c r="B512" t="str">
        <f>IF($CM$6=0,"",IF(INDEX('⑩ 원문 보관'!$A:$E,$CM$6+ROW()-9,COLUMN())="","",INDEX('⑩ 원문 보관'!$A:$E,$CM$6+ROW()-9,COLUMN())))</f>
        <v/>
      </c>
      <c r="C512" t="str">
        <f>IF($CM$6=0,"",IF(INDEX('⑩ 원문 보관'!$A:$E,$CM$6+ROW()-9,COLUMN())="","",INDEX('⑩ 원문 보관'!$A:$E,$CM$6+ROW()-9,COLUMN())))</f>
        <v/>
      </c>
      <c r="D512" t="str">
        <f>IF($CM$6=0,"",IF(INDEX('⑩ 원문 보관'!$A:$E,$CM$6+ROW()-9,COLUMN())="","",INDEX('⑩ 원문 보관'!$A:$E,$CM$6+ROW()-9,COLUMN())))</f>
        <v/>
      </c>
      <c r="E512" t="str">
        <f>IF($CM$6=0,"",IF(INDEX('⑩ 원문 보관'!$A:$E,$CM$6+ROW()-9,COLUMN())="","",INDEX('⑩ 원문 보관'!$A:$E,$CM$6+ROW()-9,COLUMN())))</f>
        <v/>
      </c>
      <c r="Q512">
        <f t="shared" si="220"/>
        <v>8</v>
      </c>
      <c r="R512" t="str">
        <f t="shared" si="200"/>
        <v/>
      </c>
      <c r="S512" t="str">
        <f t="shared" si="201"/>
        <v/>
      </c>
      <c r="T512" t="str">
        <f t="shared" si="202"/>
        <v/>
      </c>
      <c r="U512">
        <f t="shared" si="203"/>
        <v>0</v>
      </c>
      <c r="V512">
        <f t="shared" si="221"/>
        <v>12</v>
      </c>
      <c r="W512" t="str">
        <f t="shared" si="204"/>
        <v/>
      </c>
      <c r="X512" t="str">
        <f t="shared" si="205"/>
        <v/>
      </c>
      <c r="Y512" t="str">
        <f t="shared" si="206"/>
        <v/>
      </c>
      <c r="Z512">
        <f t="shared" si="207"/>
        <v>0</v>
      </c>
      <c r="AA512">
        <f t="shared" si="222"/>
        <v>6</v>
      </c>
      <c r="AB512" t="str">
        <f t="shared" si="208"/>
        <v/>
      </c>
      <c r="AC512" t="str">
        <f t="shared" si="209"/>
        <v/>
      </c>
      <c r="AD512" t="str">
        <f t="shared" si="210"/>
        <v/>
      </c>
      <c r="AE512">
        <f t="shared" si="211"/>
        <v>0</v>
      </c>
      <c r="AF512">
        <f t="shared" si="223"/>
        <v>10</v>
      </c>
      <c r="AG512" t="str">
        <f t="shared" si="212"/>
        <v/>
      </c>
      <c r="AH512" t="str">
        <f t="shared" si="213"/>
        <v/>
      </c>
      <c r="AI512" t="str">
        <f t="shared" si="214"/>
        <v/>
      </c>
      <c r="AJ512">
        <f t="shared" si="215"/>
        <v>0</v>
      </c>
      <c r="AK512">
        <f t="shared" si="224"/>
        <v>4</v>
      </c>
      <c r="AL512" t="str">
        <f t="shared" si="216"/>
        <v/>
      </c>
      <c r="AM512" t="str">
        <f t="shared" si="217"/>
        <v/>
      </c>
      <c r="AN512" t="str">
        <f t="shared" si="218"/>
        <v/>
      </c>
      <c r="AO512">
        <f t="shared" si="219"/>
        <v>0</v>
      </c>
    </row>
    <row r="513" spans="1:41" x14ac:dyDescent="0.4">
      <c r="A513" t="str">
        <f>IF($CM$6=0,"",IF(INDEX('⑩ 원문 보관'!$A:$E,$CM$6+ROW()-9,COLUMN())="","",INDEX('⑩ 원문 보관'!$A:$E,$CM$6+ROW()-9,COLUMN())))</f>
        <v/>
      </c>
      <c r="B513" t="str">
        <f>IF($CM$6=0,"",IF(INDEX('⑩ 원문 보관'!$A:$E,$CM$6+ROW()-9,COLUMN())="","",INDEX('⑩ 원문 보관'!$A:$E,$CM$6+ROW()-9,COLUMN())))</f>
        <v/>
      </c>
      <c r="C513" t="str">
        <f>IF($CM$6=0,"",IF(INDEX('⑩ 원문 보관'!$A:$E,$CM$6+ROW()-9,COLUMN())="","",INDEX('⑩ 원문 보관'!$A:$E,$CM$6+ROW()-9,COLUMN())))</f>
        <v/>
      </c>
      <c r="D513" t="str">
        <f>IF($CM$6=0,"",IF(INDEX('⑩ 원문 보관'!$A:$E,$CM$6+ROW()-9,COLUMN())="","",INDEX('⑩ 원문 보관'!$A:$E,$CM$6+ROW()-9,COLUMN())))</f>
        <v/>
      </c>
      <c r="E513" t="str">
        <f>IF($CM$6=0,"",IF(INDEX('⑩ 원문 보관'!$A:$E,$CM$6+ROW()-9,COLUMN())="","",INDEX('⑩ 원문 보관'!$A:$E,$CM$6+ROW()-9,COLUMN())))</f>
        <v/>
      </c>
      <c r="Q513">
        <f t="shared" si="220"/>
        <v>8</v>
      </c>
      <c r="R513" t="str">
        <f t="shared" si="200"/>
        <v/>
      </c>
      <c r="S513" t="str">
        <f t="shared" si="201"/>
        <v/>
      </c>
      <c r="T513" t="str">
        <f t="shared" si="202"/>
        <v/>
      </c>
      <c r="U513">
        <f t="shared" si="203"/>
        <v>0</v>
      </c>
      <c r="V513">
        <f t="shared" si="221"/>
        <v>12</v>
      </c>
      <c r="W513" t="str">
        <f t="shared" si="204"/>
        <v/>
      </c>
      <c r="X513" t="str">
        <f t="shared" si="205"/>
        <v/>
      </c>
      <c r="Y513" t="str">
        <f t="shared" si="206"/>
        <v/>
      </c>
      <c r="Z513">
        <f t="shared" si="207"/>
        <v>0</v>
      </c>
      <c r="AA513">
        <f t="shared" si="222"/>
        <v>6</v>
      </c>
      <c r="AB513" t="str">
        <f t="shared" si="208"/>
        <v/>
      </c>
      <c r="AC513" t="str">
        <f t="shared" si="209"/>
        <v/>
      </c>
      <c r="AD513" t="str">
        <f t="shared" si="210"/>
        <v/>
      </c>
      <c r="AE513">
        <f t="shared" si="211"/>
        <v>0</v>
      </c>
      <c r="AF513">
        <f t="shared" si="223"/>
        <v>10</v>
      </c>
      <c r="AG513" t="str">
        <f t="shared" si="212"/>
        <v/>
      </c>
      <c r="AH513" t="str">
        <f t="shared" si="213"/>
        <v/>
      </c>
      <c r="AI513" t="str">
        <f t="shared" si="214"/>
        <v/>
      </c>
      <c r="AJ513">
        <f t="shared" si="215"/>
        <v>0</v>
      </c>
      <c r="AK513">
        <f t="shared" si="224"/>
        <v>4</v>
      </c>
      <c r="AL513" t="str">
        <f t="shared" si="216"/>
        <v/>
      </c>
      <c r="AM513" t="str">
        <f t="shared" si="217"/>
        <v/>
      </c>
      <c r="AN513" t="str">
        <f t="shared" si="218"/>
        <v/>
      </c>
      <c r="AO513">
        <f t="shared" si="219"/>
        <v>0</v>
      </c>
    </row>
    <row r="514" spans="1:41" x14ac:dyDescent="0.4">
      <c r="A514" t="str">
        <f>IF($CM$6=0,"",IF(INDEX('⑩ 원문 보관'!$A:$E,$CM$6+ROW()-9,COLUMN())="","",INDEX('⑩ 원문 보관'!$A:$E,$CM$6+ROW()-9,COLUMN())))</f>
        <v/>
      </c>
      <c r="B514" t="str">
        <f>IF($CM$6=0,"",IF(INDEX('⑩ 원문 보관'!$A:$E,$CM$6+ROW()-9,COLUMN())="","",INDEX('⑩ 원문 보관'!$A:$E,$CM$6+ROW()-9,COLUMN())))</f>
        <v/>
      </c>
      <c r="C514" t="str">
        <f>IF($CM$6=0,"",IF(INDEX('⑩ 원문 보관'!$A:$E,$CM$6+ROW()-9,COLUMN())="","",INDEX('⑩ 원문 보관'!$A:$E,$CM$6+ROW()-9,COLUMN())))</f>
        <v/>
      </c>
      <c r="D514" t="str">
        <f>IF($CM$6=0,"",IF(INDEX('⑩ 원문 보관'!$A:$E,$CM$6+ROW()-9,COLUMN())="","",INDEX('⑩ 원문 보관'!$A:$E,$CM$6+ROW()-9,COLUMN())))</f>
        <v/>
      </c>
      <c r="E514" t="str">
        <f>IF($CM$6=0,"",IF(INDEX('⑩ 원문 보관'!$A:$E,$CM$6+ROW()-9,COLUMN())="","",INDEX('⑩ 원문 보관'!$A:$E,$CM$6+ROW()-9,COLUMN())))</f>
        <v/>
      </c>
      <c r="Q514">
        <f t="shared" si="220"/>
        <v>8</v>
      </c>
      <c r="R514" t="str">
        <f t="shared" si="200"/>
        <v/>
      </c>
      <c r="S514" t="str">
        <f t="shared" si="201"/>
        <v/>
      </c>
      <c r="T514" t="str">
        <f t="shared" si="202"/>
        <v/>
      </c>
      <c r="U514">
        <f t="shared" si="203"/>
        <v>0</v>
      </c>
      <c r="V514">
        <f t="shared" si="221"/>
        <v>12</v>
      </c>
      <c r="W514" t="str">
        <f t="shared" si="204"/>
        <v/>
      </c>
      <c r="X514" t="str">
        <f t="shared" si="205"/>
        <v/>
      </c>
      <c r="Y514" t="str">
        <f t="shared" si="206"/>
        <v/>
      </c>
      <c r="Z514">
        <f t="shared" si="207"/>
        <v>0</v>
      </c>
      <c r="AA514">
        <f t="shared" si="222"/>
        <v>6</v>
      </c>
      <c r="AB514" t="str">
        <f t="shared" si="208"/>
        <v/>
      </c>
      <c r="AC514" t="str">
        <f t="shared" si="209"/>
        <v/>
      </c>
      <c r="AD514" t="str">
        <f t="shared" si="210"/>
        <v/>
      </c>
      <c r="AE514">
        <f t="shared" si="211"/>
        <v>0</v>
      </c>
      <c r="AF514">
        <f t="shared" si="223"/>
        <v>10</v>
      </c>
      <c r="AG514" t="str">
        <f t="shared" si="212"/>
        <v/>
      </c>
      <c r="AH514" t="str">
        <f t="shared" si="213"/>
        <v/>
      </c>
      <c r="AI514" t="str">
        <f t="shared" si="214"/>
        <v/>
      </c>
      <c r="AJ514">
        <f t="shared" si="215"/>
        <v>0</v>
      </c>
      <c r="AK514">
        <f t="shared" si="224"/>
        <v>4</v>
      </c>
      <c r="AL514" t="str">
        <f t="shared" si="216"/>
        <v/>
      </c>
      <c r="AM514" t="str">
        <f t="shared" si="217"/>
        <v/>
      </c>
      <c r="AN514" t="str">
        <f t="shared" si="218"/>
        <v/>
      </c>
      <c r="AO514">
        <f t="shared" si="219"/>
        <v>0</v>
      </c>
    </row>
    <row r="515" spans="1:41" x14ac:dyDescent="0.4">
      <c r="A515" t="str">
        <f>IF($CM$6=0,"",IF(INDEX('⑩ 원문 보관'!$A:$E,$CM$6+ROW()-9,COLUMN())="","",INDEX('⑩ 원문 보관'!$A:$E,$CM$6+ROW()-9,COLUMN())))</f>
        <v/>
      </c>
      <c r="B515" t="str">
        <f>IF($CM$6=0,"",IF(INDEX('⑩ 원문 보관'!$A:$E,$CM$6+ROW()-9,COLUMN())="","",INDEX('⑩ 원문 보관'!$A:$E,$CM$6+ROW()-9,COLUMN())))</f>
        <v/>
      </c>
      <c r="C515" t="str">
        <f>IF($CM$6=0,"",IF(INDEX('⑩ 원문 보관'!$A:$E,$CM$6+ROW()-9,COLUMN())="","",INDEX('⑩ 원문 보관'!$A:$E,$CM$6+ROW()-9,COLUMN())))</f>
        <v/>
      </c>
      <c r="D515" t="str">
        <f>IF($CM$6=0,"",IF(INDEX('⑩ 원문 보관'!$A:$E,$CM$6+ROW()-9,COLUMN())="","",INDEX('⑩ 원문 보관'!$A:$E,$CM$6+ROW()-9,COLUMN())))</f>
        <v/>
      </c>
      <c r="E515" t="str">
        <f>IF($CM$6=0,"",IF(INDEX('⑩ 원문 보관'!$A:$E,$CM$6+ROW()-9,COLUMN())="","",INDEX('⑩ 원문 보관'!$A:$E,$CM$6+ROW()-9,COLUMN())))</f>
        <v/>
      </c>
      <c r="Q515">
        <f t="shared" si="220"/>
        <v>8</v>
      </c>
      <c r="R515" t="str">
        <f t="shared" si="200"/>
        <v/>
      </c>
      <c r="S515" t="str">
        <f t="shared" si="201"/>
        <v/>
      </c>
      <c r="T515" t="str">
        <f t="shared" si="202"/>
        <v/>
      </c>
      <c r="U515">
        <f t="shared" si="203"/>
        <v>0</v>
      </c>
      <c r="V515">
        <f t="shared" si="221"/>
        <v>12</v>
      </c>
      <c r="W515" t="str">
        <f t="shared" si="204"/>
        <v/>
      </c>
      <c r="X515" t="str">
        <f t="shared" si="205"/>
        <v/>
      </c>
      <c r="Y515" t="str">
        <f t="shared" si="206"/>
        <v/>
      </c>
      <c r="Z515">
        <f t="shared" si="207"/>
        <v>0</v>
      </c>
      <c r="AA515">
        <f t="shared" si="222"/>
        <v>6</v>
      </c>
      <c r="AB515" t="str">
        <f t="shared" si="208"/>
        <v/>
      </c>
      <c r="AC515" t="str">
        <f t="shared" si="209"/>
        <v/>
      </c>
      <c r="AD515" t="str">
        <f t="shared" si="210"/>
        <v/>
      </c>
      <c r="AE515">
        <f t="shared" si="211"/>
        <v>0</v>
      </c>
      <c r="AF515">
        <f t="shared" si="223"/>
        <v>10</v>
      </c>
      <c r="AG515" t="str">
        <f t="shared" si="212"/>
        <v/>
      </c>
      <c r="AH515" t="str">
        <f t="shared" si="213"/>
        <v/>
      </c>
      <c r="AI515" t="str">
        <f t="shared" si="214"/>
        <v/>
      </c>
      <c r="AJ515">
        <f t="shared" si="215"/>
        <v>0</v>
      </c>
      <c r="AK515">
        <f t="shared" si="224"/>
        <v>4</v>
      </c>
      <c r="AL515" t="str">
        <f t="shared" si="216"/>
        <v/>
      </c>
      <c r="AM515" t="str">
        <f t="shared" si="217"/>
        <v/>
      </c>
      <c r="AN515" t="str">
        <f t="shared" si="218"/>
        <v/>
      </c>
      <c r="AO515">
        <f t="shared" si="219"/>
        <v>0</v>
      </c>
    </row>
    <row r="516" spans="1:41" x14ac:dyDescent="0.4">
      <c r="A516" t="str">
        <f>IF($CM$6=0,"",IF(INDEX('⑩ 원문 보관'!$A:$E,$CM$6+ROW()-9,COLUMN())="","",INDEX('⑩ 원문 보관'!$A:$E,$CM$6+ROW()-9,COLUMN())))</f>
        <v/>
      </c>
      <c r="B516" t="str">
        <f>IF($CM$6=0,"",IF(INDEX('⑩ 원문 보관'!$A:$E,$CM$6+ROW()-9,COLUMN())="","",INDEX('⑩ 원문 보관'!$A:$E,$CM$6+ROW()-9,COLUMN())))</f>
        <v/>
      </c>
      <c r="C516" t="str">
        <f>IF($CM$6=0,"",IF(INDEX('⑩ 원문 보관'!$A:$E,$CM$6+ROW()-9,COLUMN())="","",INDEX('⑩ 원문 보관'!$A:$E,$CM$6+ROW()-9,COLUMN())))</f>
        <v/>
      </c>
      <c r="D516" t="str">
        <f>IF($CM$6=0,"",IF(INDEX('⑩ 원문 보관'!$A:$E,$CM$6+ROW()-9,COLUMN())="","",INDEX('⑩ 원문 보관'!$A:$E,$CM$6+ROW()-9,COLUMN())))</f>
        <v/>
      </c>
      <c r="E516" t="str">
        <f>IF($CM$6=0,"",IF(INDEX('⑩ 원문 보관'!$A:$E,$CM$6+ROW()-9,COLUMN())="","",INDEX('⑩ 원문 보관'!$A:$E,$CM$6+ROW()-9,COLUMN())))</f>
        <v/>
      </c>
      <c r="Q516">
        <f t="shared" si="220"/>
        <v>8</v>
      </c>
      <c r="R516" t="str">
        <f t="shared" si="200"/>
        <v/>
      </c>
      <c r="S516" t="str">
        <f t="shared" si="201"/>
        <v/>
      </c>
      <c r="T516" t="str">
        <f t="shared" si="202"/>
        <v/>
      </c>
      <c r="U516">
        <f t="shared" si="203"/>
        <v>0</v>
      </c>
      <c r="V516">
        <f t="shared" si="221"/>
        <v>12</v>
      </c>
      <c r="W516" t="str">
        <f t="shared" si="204"/>
        <v/>
      </c>
      <c r="X516" t="str">
        <f t="shared" si="205"/>
        <v/>
      </c>
      <c r="Y516" t="str">
        <f t="shared" si="206"/>
        <v/>
      </c>
      <c r="Z516">
        <f t="shared" si="207"/>
        <v>0</v>
      </c>
      <c r="AA516">
        <f t="shared" si="222"/>
        <v>6</v>
      </c>
      <c r="AB516" t="str">
        <f t="shared" si="208"/>
        <v/>
      </c>
      <c r="AC516" t="str">
        <f t="shared" si="209"/>
        <v/>
      </c>
      <c r="AD516" t="str">
        <f t="shared" si="210"/>
        <v/>
      </c>
      <c r="AE516">
        <f t="shared" si="211"/>
        <v>0</v>
      </c>
      <c r="AF516">
        <f t="shared" si="223"/>
        <v>10</v>
      </c>
      <c r="AG516" t="str">
        <f t="shared" si="212"/>
        <v/>
      </c>
      <c r="AH516" t="str">
        <f t="shared" si="213"/>
        <v/>
      </c>
      <c r="AI516" t="str">
        <f t="shared" si="214"/>
        <v/>
      </c>
      <c r="AJ516">
        <f t="shared" si="215"/>
        <v>0</v>
      </c>
      <c r="AK516">
        <f t="shared" si="224"/>
        <v>4</v>
      </c>
      <c r="AL516" t="str">
        <f t="shared" si="216"/>
        <v/>
      </c>
      <c r="AM516" t="str">
        <f t="shared" si="217"/>
        <v/>
      </c>
      <c r="AN516" t="str">
        <f t="shared" si="218"/>
        <v/>
      </c>
      <c r="AO516">
        <f t="shared" si="219"/>
        <v>0</v>
      </c>
    </row>
    <row r="517" spans="1:41" x14ac:dyDescent="0.4">
      <c r="A517" t="str">
        <f>IF($CM$6=0,"",IF(INDEX('⑩ 원문 보관'!$A:$E,$CM$6+ROW()-9,COLUMN())="","",INDEX('⑩ 원문 보관'!$A:$E,$CM$6+ROW()-9,COLUMN())))</f>
        <v/>
      </c>
      <c r="B517" t="str">
        <f>IF($CM$6=0,"",IF(INDEX('⑩ 원문 보관'!$A:$E,$CM$6+ROW()-9,COLUMN())="","",INDEX('⑩ 원문 보관'!$A:$E,$CM$6+ROW()-9,COLUMN())))</f>
        <v/>
      </c>
      <c r="C517" t="str">
        <f>IF($CM$6=0,"",IF(INDEX('⑩ 원문 보관'!$A:$E,$CM$6+ROW()-9,COLUMN())="","",INDEX('⑩ 원문 보관'!$A:$E,$CM$6+ROW()-9,COLUMN())))</f>
        <v/>
      </c>
      <c r="D517" t="str">
        <f>IF($CM$6=0,"",IF(INDEX('⑩ 원문 보관'!$A:$E,$CM$6+ROW()-9,COLUMN())="","",INDEX('⑩ 원문 보관'!$A:$E,$CM$6+ROW()-9,COLUMN())))</f>
        <v/>
      </c>
      <c r="E517" t="str">
        <f>IF($CM$6=0,"",IF(INDEX('⑩ 원문 보관'!$A:$E,$CM$6+ROW()-9,COLUMN())="","",INDEX('⑩ 원문 보관'!$A:$E,$CM$6+ROW()-9,COLUMN())))</f>
        <v/>
      </c>
      <c r="Q517">
        <f t="shared" si="220"/>
        <v>8</v>
      </c>
      <c r="R517" t="str">
        <f t="shared" si="200"/>
        <v/>
      </c>
      <c r="S517" t="str">
        <f t="shared" si="201"/>
        <v/>
      </c>
      <c r="T517" t="str">
        <f t="shared" si="202"/>
        <v/>
      </c>
      <c r="U517">
        <f t="shared" si="203"/>
        <v>0</v>
      </c>
      <c r="V517">
        <f t="shared" si="221"/>
        <v>12</v>
      </c>
      <c r="W517" t="str">
        <f t="shared" si="204"/>
        <v/>
      </c>
      <c r="X517" t="str">
        <f t="shared" si="205"/>
        <v/>
      </c>
      <c r="Y517" t="str">
        <f t="shared" si="206"/>
        <v/>
      </c>
      <c r="Z517">
        <f t="shared" si="207"/>
        <v>0</v>
      </c>
      <c r="AA517">
        <f t="shared" si="222"/>
        <v>6</v>
      </c>
      <c r="AB517" t="str">
        <f t="shared" si="208"/>
        <v/>
      </c>
      <c r="AC517" t="str">
        <f t="shared" si="209"/>
        <v/>
      </c>
      <c r="AD517" t="str">
        <f t="shared" si="210"/>
        <v/>
      </c>
      <c r="AE517">
        <f t="shared" si="211"/>
        <v>0</v>
      </c>
      <c r="AF517">
        <f t="shared" si="223"/>
        <v>10</v>
      </c>
      <c r="AG517" t="str">
        <f t="shared" si="212"/>
        <v/>
      </c>
      <c r="AH517" t="str">
        <f t="shared" si="213"/>
        <v/>
      </c>
      <c r="AI517" t="str">
        <f t="shared" si="214"/>
        <v/>
      </c>
      <c r="AJ517">
        <f t="shared" si="215"/>
        <v>0</v>
      </c>
      <c r="AK517">
        <f t="shared" si="224"/>
        <v>4</v>
      </c>
      <c r="AL517" t="str">
        <f t="shared" si="216"/>
        <v/>
      </c>
      <c r="AM517" t="str">
        <f t="shared" si="217"/>
        <v/>
      </c>
      <c r="AN517" t="str">
        <f t="shared" si="218"/>
        <v/>
      </c>
      <c r="AO517">
        <f t="shared" si="219"/>
        <v>0</v>
      </c>
    </row>
    <row r="518" spans="1:41" x14ac:dyDescent="0.4">
      <c r="A518" t="str">
        <f>IF($CM$6=0,"",IF(INDEX('⑩ 원문 보관'!$A:$E,$CM$6+ROW()-9,COLUMN())="","",INDEX('⑩ 원문 보관'!$A:$E,$CM$6+ROW()-9,COLUMN())))</f>
        <v/>
      </c>
      <c r="B518" t="str">
        <f>IF($CM$6=0,"",IF(INDEX('⑩ 원문 보관'!$A:$E,$CM$6+ROW()-9,COLUMN())="","",INDEX('⑩ 원문 보관'!$A:$E,$CM$6+ROW()-9,COLUMN())))</f>
        <v/>
      </c>
      <c r="C518" t="str">
        <f>IF($CM$6=0,"",IF(INDEX('⑩ 원문 보관'!$A:$E,$CM$6+ROW()-9,COLUMN())="","",INDEX('⑩ 원문 보관'!$A:$E,$CM$6+ROW()-9,COLUMN())))</f>
        <v/>
      </c>
      <c r="D518" t="str">
        <f>IF($CM$6=0,"",IF(INDEX('⑩ 원문 보관'!$A:$E,$CM$6+ROW()-9,COLUMN())="","",INDEX('⑩ 원문 보관'!$A:$E,$CM$6+ROW()-9,COLUMN())))</f>
        <v/>
      </c>
      <c r="E518" t="str">
        <f>IF($CM$6=0,"",IF(INDEX('⑩ 원문 보관'!$A:$E,$CM$6+ROW()-9,COLUMN())="","",INDEX('⑩ 원문 보관'!$A:$E,$CM$6+ROW()-9,COLUMN())))</f>
        <v/>
      </c>
      <c r="Q518">
        <f t="shared" si="220"/>
        <v>8</v>
      </c>
      <c r="R518" t="str">
        <f t="shared" si="200"/>
        <v/>
      </c>
      <c r="S518" t="str">
        <f t="shared" si="201"/>
        <v/>
      </c>
      <c r="T518" t="str">
        <f t="shared" si="202"/>
        <v/>
      </c>
      <c r="U518">
        <f t="shared" si="203"/>
        <v>0</v>
      </c>
      <c r="V518">
        <f t="shared" si="221"/>
        <v>12</v>
      </c>
      <c r="W518" t="str">
        <f t="shared" si="204"/>
        <v/>
      </c>
      <c r="X518" t="str">
        <f t="shared" si="205"/>
        <v/>
      </c>
      <c r="Y518" t="str">
        <f t="shared" si="206"/>
        <v/>
      </c>
      <c r="Z518">
        <f t="shared" si="207"/>
        <v>0</v>
      </c>
      <c r="AA518">
        <f t="shared" si="222"/>
        <v>6</v>
      </c>
      <c r="AB518" t="str">
        <f t="shared" si="208"/>
        <v/>
      </c>
      <c r="AC518" t="str">
        <f t="shared" si="209"/>
        <v/>
      </c>
      <c r="AD518" t="str">
        <f t="shared" si="210"/>
        <v/>
      </c>
      <c r="AE518">
        <f t="shared" si="211"/>
        <v>0</v>
      </c>
      <c r="AF518">
        <f t="shared" si="223"/>
        <v>10</v>
      </c>
      <c r="AG518" t="str">
        <f t="shared" si="212"/>
        <v/>
      </c>
      <c r="AH518" t="str">
        <f t="shared" si="213"/>
        <v/>
      </c>
      <c r="AI518" t="str">
        <f t="shared" si="214"/>
        <v/>
      </c>
      <c r="AJ518">
        <f t="shared" si="215"/>
        <v>0</v>
      </c>
      <c r="AK518">
        <f t="shared" si="224"/>
        <v>4</v>
      </c>
      <c r="AL518" t="str">
        <f t="shared" si="216"/>
        <v/>
      </c>
      <c r="AM518" t="str">
        <f t="shared" si="217"/>
        <v/>
      </c>
      <c r="AN518" t="str">
        <f t="shared" si="218"/>
        <v/>
      </c>
      <c r="AO518">
        <f t="shared" si="219"/>
        <v>0</v>
      </c>
    </row>
    <row r="519" spans="1:41" x14ac:dyDescent="0.4">
      <c r="A519" t="str">
        <f>IF($CM$6=0,"",IF(INDEX('⑩ 원문 보관'!$A:$E,$CM$6+ROW()-9,COLUMN())="","",INDEX('⑩ 원문 보관'!$A:$E,$CM$6+ROW()-9,COLUMN())))</f>
        <v/>
      </c>
      <c r="B519" t="str">
        <f>IF($CM$6=0,"",IF(INDEX('⑩ 원문 보관'!$A:$E,$CM$6+ROW()-9,COLUMN())="","",INDEX('⑩ 원문 보관'!$A:$E,$CM$6+ROW()-9,COLUMN())))</f>
        <v/>
      </c>
      <c r="C519" t="str">
        <f>IF($CM$6=0,"",IF(INDEX('⑩ 원문 보관'!$A:$E,$CM$6+ROW()-9,COLUMN())="","",INDEX('⑩ 원문 보관'!$A:$E,$CM$6+ROW()-9,COLUMN())))</f>
        <v/>
      </c>
      <c r="D519" t="str">
        <f>IF($CM$6=0,"",IF(INDEX('⑩ 원문 보관'!$A:$E,$CM$6+ROW()-9,COLUMN())="","",INDEX('⑩ 원문 보관'!$A:$E,$CM$6+ROW()-9,COLUMN())))</f>
        <v/>
      </c>
      <c r="E519" t="str">
        <f>IF($CM$6=0,"",IF(INDEX('⑩ 원문 보관'!$A:$E,$CM$6+ROW()-9,COLUMN())="","",INDEX('⑩ 원문 보관'!$A:$E,$CM$6+ROW()-9,COLUMN())))</f>
        <v/>
      </c>
      <c r="Q519">
        <f t="shared" si="220"/>
        <v>8</v>
      </c>
      <c r="R519" t="str">
        <f t="shared" si="200"/>
        <v/>
      </c>
      <c r="S519" t="str">
        <f t="shared" si="201"/>
        <v/>
      </c>
      <c r="T519" t="str">
        <f t="shared" si="202"/>
        <v/>
      </c>
      <c r="U519">
        <f t="shared" si="203"/>
        <v>0</v>
      </c>
      <c r="V519">
        <f t="shared" si="221"/>
        <v>12</v>
      </c>
      <c r="W519" t="str">
        <f t="shared" si="204"/>
        <v/>
      </c>
      <c r="X519" t="str">
        <f t="shared" si="205"/>
        <v/>
      </c>
      <c r="Y519" t="str">
        <f t="shared" si="206"/>
        <v/>
      </c>
      <c r="Z519">
        <f t="shared" si="207"/>
        <v>0</v>
      </c>
      <c r="AA519">
        <f t="shared" si="222"/>
        <v>6</v>
      </c>
      <c r="AB519" t="str">
        <f t="shared" si="208"/>
        <v/>
      </c>
      <c r="AC519" t="str">
        <f t="shared" si="209"/>
        <v/>
      </c>
      <c r="AD519" t="str">
        <f t="shared" si="210"/>
        <v/>
      </c>
      <c r="AE519">
        <f t="shared" si="211"/>
        <v>0</v>
      </c>
      <c r="AF519">
        <f t="shared" si="223"/>
        <v>10</v>
      </c>
      <c r="AG519" t="str">
        <f t="shared" si="212"/>
        <v/>
      </c>
      <c r="AH519" t="str">
        <f t="shared" si="213"/>
        <v/>
      </c>
      <c r="AI519" t="str">
        <f t="shared" si="214"/>
        <v/>
      </c>
      <c r="AJ519">
        <f t="shared" si="215"/>
        <v>0</v>
      </c>
      <c r="AK519">
        <f t="shared" si="224"/>
        <v>4</v>
      </c>
      <c r="AL519" t="str">
        <f t="shared" si="216"/>
        <v/>
      </c>
      <c r="AM519" t="str">
        <f t="shared" si="217"/>
        <v/>
      </c>
      <c r="AN519" t="str">
        <f t="shared" si="218"/>
        <v/>
      </c>
      <c r="AO519">
        <f t="shared" si="219"/>
        <v>0</v>
      </c>
    </row>
    <row r="520" spans="1:41" x14ac:dyDescent="0.4">
      <c r="A520" t="str">
        <f>IF($CM$6=0,"",IF(INDEX('⑩ 원문 보관'!$A:$E,$CM$6+ROW()-9,COLUMN())="","",INDEX('⑩ 원문 보관'!$A:$E,$CM$6+ROW()-9,COLUMN())))</f>
        <v/>
      </c>
      <c r="B520" t="str">
        <f>IF($CM$6=0,"",IF(INDEX('⑩ 원문 보관'!$A:$E,$CM$6+ROW()-9,COLUMN())="","",INDEX('⑩ 원문 보관'!$A:$E,$CM$6+ROW()-9,COLUMN())))</f>
        <v/>
      </c>
      <c r="C520" t="str">
        <f>IF($CM$6=0,"",IF(INDEX('⑩ 원문 보관'!$A:$E,$CM$6+ROW()-9,COLUMN())="","",INDEX('⑩ 원문 보관'!$A:$E,$CM$6+ROW()-9,COLUMN())))</f>
        <v/>
      </c>
      <c r="D520" t="str">
        <f>IF($CM$6=0,"",IF(INDEX('⑩ 원문 보관'!$A:$E,$CM$6+ROW()-9,COLUMN())="","",INDEX('⑩ 원문 보관'!$A:$E,$CM$6+ROW()-9,COLUMN())))</f>
        <v/>
      </c>
      <c r="E520" t="str">
        <f>IF($CM$6=0,"",IF(INDEX('⑩ 원문 보관'!$A:$E,$CM$6+ROW()-9,COLUMN())="","",INDEX('⑩ 원문 보관'!$A:$E,$CM$6+ROW()-9,COLUMN())))</f>
        <v/>
      </c>
      <c r="Q520">
        <f t="shared" si="220"/>
        <v>8</v>
      </c>
      <c r="R520" t="str">
        <f t="shared" si="200"/>
        <v/>
      </c>
      <c r="S520" t="str">
        <f t="shared" si="201"/>
        <v/>
      </c>
      <c r="T520" t="str">
        <f t="shared" si="202"/>
        <v/>
      </c>
      <c r="U520">
        <f t="shared" si="203"/>
        <v>0</v>
      </c>
      <c r="V520">
        <f t="shared" si="221"/>
        <v>12</v>
      </c>
      <c r="W520" t="str">
        <f t="shared" si="204"/>
        <v/>
      </c>
      <c r="X520" t="str">
        <f t="shared" si="205"/>
        <v/>
      </c>
      <c r="Y520" t="str">
        <f t="shared" si="206"/>
        <v/>
      </c>
      <c r="Z520">
        <f t="shared" si="207"/>
        <v>0</v>
      </c>
      <c r="AA520">
        <f t="shared" si="222"/>
        <v>6</v>
      </c>
      <c r="AB520" t="str">
        <f t="shared" si="208"/>
        <v/>
      </c>
      <c r="AC520" t="str">
        <f t="shared" si="209"/>
        <v/>
      </c>
      <c r="AD520" t="str">
        <f t="shared" si="210"/>
        <v/>
      </c>
      <c r="AE520">
        <f t="shared" si="211"/>
        <v>0</v>
      </c>
      <c r="AF520">
        <f t="shared" si="223"/>
        <v>10</v>
      </c>
      <c r="AG520" t="str">
        <f t="shared" si="212"/>
        <v/>
      </c>
      <c r="AH520" t="str">
        <f t="shared" si="213"/>
        <v/>
      </c>
      <c r="AI520" t="str">
        <f t="shared" si="214"/>
        <v/>
      </c>
      <c r="AJ520">
        <f t="shared" si="215"/>
        <v>0</v>
      </c>
      <c r="AK520">
        <f t="shared" si="224"/>
        <v>4</v>
      </c>
      <c r="AL520" t="str">
        <f t="shared" si="216"/>
        <v/>
      </c>
      <c r="AM520" t="str">
        <f t="shared" si="217"/>
        <v/>
      </c>
      <c r="AN520" t="str">
        <f t="shared" si="218"/>
        <v/>
      </c>
      <c r="AO520">
        <f t="shared" si="219"/>
        <v>0</v>
      </c>
    </row>
    <row r="521" spans="1:41" x14ac:dyDescent="0.4">
      <c r="A521" t="str">
        <f>IF($CM$6=0,"",IF(INDEX('⑩ 원문 보관'!$A:$E,$CM$6+ROW()-9,COLUMN())="","",INDEX('⑩ 원문 보관'!$A:$E,$CM$6+ROW()-9,COLUMN())))</f>
        <v/>
      </c>
      <c r="B521" t="str">
        <f>IF($CM$6=0,"",IF(INDEX('⑩ 원문 보관'!$A:$E,$CM$6+ROW()-9,COLUMN())="","",INDEX('⑩ 원문 보관'!$A:$E,$CM$6+ROW()-9,COLUMN())))</f>
        <v/>
      </c>
      <c r="C521" t="str">
        <f>IF($CM$6=0,"",IF(INDEX('⑩ 원문 보관'!$A:$E,$CM$6+ROW()-9,COLUMN())="","",INDEX('⑩ 원문 보관'!$A:$E,$CM$6+ROW()-9,COLUMN())))</f>
        <v/>
      </c>
      <c r="D521" t="str">
        <f>IF($CM$6=0,"",IF(INDEX('⑩ 원문 보관'!$A:$E,$CM$6+ROW()-9,COLUMN())="","",INDEX('⑩ 원문 보관'!$A:$E,$CM$6+ROW()-9,COLUMN())))</f>
        <v/>
      </c>
      <c r="E521" t="str">
        <f>IF($CM$6=0,"",IF(INDEX('⑩ 원문 보관'!$A:$E,$CM$6+ROW()-9,COLUMN())="","",INDEX('⑩ 원문 보관'!$A:$E,$CM$6+ROW()-9,COLUMN())))</f>
        <v/>
      </c>
      <c r="Q521">
        <f t="shared" si="220"/>
        <v>8</v>
      </c>
      <c r="R521" t="str">
        <f t="shared" ref="R521:R584" si="225">IFERROR(IF(ISNUMBER(--LEFT(TRIM(A521),1)),VALUE(LEFT(TRIM(A521),6)),""),"")</f>
        <v/>
      </c>
      <c r="S521" t="str">
        <f t="shared" ref="S521:S584" si="226">IFERROR(VALUE(TRIM(MID(SUBSTITUTE(TRIM(A521)," ",REPT(" ",30)),31,30))),"")</f>
        <v/>
      </c>
      <c r="T521" t="str">
        <f t="shared" ref="T521:T584" si="227">IFERROR(TRIM(MID(SUBSTITUTE(TRIM(A521)," ",REPT(" ",30)),61,30)),"")</f>
        <v/>
      </c>
      <c r="U521">
        <f t="shared" ref="U521:U584" si="228">IF(OR(R521="",S521="",T521=""),0,IF(AND(S521&gt;1000,RIGHT(T521,1)&lt;&gt;"0"),1,0))</f>
        <v>0</v>
      </c>
      <c r="V521">
        <f t="shared" si="221"/>
        <v>12</v>
      </c>
      <c r="W521" t="str">
        <f t="shared" ref="W521:W584" si="229">IFERROR(IF(ISNUMBER(--LEFT(TRIM(B521),1)),VALUE(LEFT(TRIM(B521),6)),""),"")</f>
        <v/>
      </c>
      <c r="X521" t="str">
        <f t="shared" ref="X521:X584" si="230">IFERROR(VALUE(TRIM(MID(SUBSTITUTE(TRIM(B521)," ",REPT(" ",30)),31,30))),"")</f>
        <v/>
      </c>
      <c r="Y521" t="str">
        <f t="shared" ref="Y521:Y584" si="231">IFERROR(TRIM(MID(SUBSTITUTE(TRIM(B521)," ",REPT(" ",30)),61,30)),"")</f>
        <v/>
      </c>
      <c r="Z521">
        <f t="shared" ref="Z521:Z584" si="232">IF(OR(W521="",X521="",Y521=""),0,IF(AND(X521&gt;1000,RIGHT(Y521,1)&lt;&gt;"0"),1,0))</f>
        <v>0</v>
      </c>
      <c r="AA521">
        <f t="shared" si="222"/>
        <v>6</v>
      </c>
      <c r="AB521" t="str">
        <f t="shared" ref="AB521:AB584" si="233">IFERROR(IF(ISNUMBER(--LEFT(TRIM(C521),1)),VALUE(LEFT(TRIM(C521),6)),""),"")</f>
        <v/>
      </c>
      <c r="AC521" t="str">
        <f t="shared" ref="AC521:AC584" si="234">IFERROR(VALUE(TRIM(MID(SUBSTITUTE(TRIM(C521)," ",REPT(" ",30)),31,30))),"")</f>
        <v/>
      </c>
      <c r="AD521" t="str">
        <f t="shared" ref="AD521:AD584" si="235">IFERROR(TRIM(MID(SUBSTITUTE(TRIM(C521)," ",REPT(" ",30)),61,30)),"")</f>
        <v/>
      </c>
      <c r="AE521">
        <f t="shared" ref="AE521:AE584" si="236">IF(OR(AB521="",AC521="",AD521=""),0,IF(AND(AC521&gt;1000,RIGHT(AD521,1)&lt;&gt;"0"),1,0))</f>
        <v>0</v>
      </c>
      <c r="AF521">
        <f t="shared" si="223"/>
        <v>10</v>
      </c>
      <c r="AG521" t="str">
        <f t="shared" ref="AG521:AG584" si="237">IFERROR(IF(ISNUMBER(--LEFT(TRIM(D521),1)),VALUE(LEFT(TRIM(D521),6)),""),"")</f>
        <v/>
      </c>
      <c r="AH521" t="str">
        <f t="shared" ref="AH521:AH584" si="238">IFERROR(VALUE(TRIM(MID(SUBSTITUTE(TRIM(D521)," ",REPT(" ",30)),31,30))),"")</f>
        <v/>
      </c>
      <c r="AI521" t="str">
        <f t="shared" ref="AI521:AI584" si="239">IFERROR(TRIM(MID(SUBSTITUTE(TRIM(D521)," ",REPT(" ",30)),61,30)),"")</f>
        <v/>
      </c>
      <c r="AJ521">
        <f t="shared" ref="AJ521:AJ584" si="240">IF(OR(AG521="",AH521="",AI521=""),0,IF(AND(AH521&gt;1000,RIGHT(AI521,1)&lt;&gt;"0"),1,0))</f>
        <v>0</v>
      </c>
      <c r="AK521">
        <f t="shared" si="224"/>
        <v>4</v>
      </c>
      <c r="AL521" t="str">
        <f t="shared" ref="AL521:AL584" si="241">IFERROR(IF(ISNUMBER(--LEFT(TRIM(E521),1)),VALUE(LEFT(TRIM(E521),6)),""),"")</f>
        <v/>
      </c>
      <c r="AM521" t="str">
        <f t="shared" ref="AM521:AM584" si="242">IFERROR(VALUE(TRIM(MID(SUBSTITUTE(TRIM(E521)," ",REPT(" ",30)),31,30))),"")</f>
        <v/>
      </c>
      <c r="AN521" t="str">
        <f t="shared" ref="AN521:AN584" si="243">IFERROR(TRIM(MID(SUBSTITUTE(TRIM(E521)," ",REPT(" ",30)),61,30)),"")</f>
        <v/>
      </c>
      <c r="AO521">
        <f t="shared" ref="AO521:AO584" si="244">IF(OR(AL521="",AM521="",AN521=""),0,IF(AND(AM521&gt;1000,RIGHT(AN521,1)&lt;&gt;"0"),1,0))</f>
        <v>0</v>
      </c>
    </row>
    <row r="522" spans="1:41" x14ac:dyDescent="0.4">
      <c r="A522" t="str">
        <f>IF($CM$6=0,"",IF(INDEX('⑩ 원문 보관'!$A:$E,$CM$6+ROW()-9,COLUMN())="","",INDEX('⑩ 원문 보관'!$A:$E,$CM$6+ROW()-9,COLUMN())))</f>
        <v/>
      </c>
      <c r="B522" t="str">
        <f>IF($CM$6=0,"",IF(INDEX('⑩ 원문 보관'!$A:$E,$CM$6+ROW()-9,COLUMN())="","",INDEX('⑩ 원문 보관'!$A:$E,$CM$6+ROW()-9,COLUMN())))</f>
        <v/>
      </c>
      <c r="C522" t="str">
        <f>IF($CM$6=0,"",IF(INDEX('⑩ 원문 보관'!$A:$E,$CM$6+ROW()-9,COLUMN())="","",INDEX('⑩ 원문 보관'!$A:$E,$CM$6+ROW()-9,COLUMN())))</f>
        <v/>
      </c>
      <c r="D522" t="str">
        <f>IF($CM$6=0,"",IF(INDEX('⑩ 원문 보관'!$A:$E,$CM$6+ROW()-9,COLUMN())="","",INDEX('⑩ 원문 보관'!$A:$E,$CM$6+ROW()-9,COLUMN())))</f>
        <v/>
      </c>
      <c r="E522" t="str">
        <f>IF($CM$6=0,"",IF(INDEX('⑩ 원문 보관'!$A:$E,$CM$6+ROW()-9,COLUMN())="","",INDEX('⑩ 원문 보관'!$A:$E,$CM$6+ROW()-9,COLUMN())))</f>
        <v/>
      </c>
      <c r="Q522">
        <f t="shared" ref="Q522:Q585" si="245">IF(A522="",N(Q521),IF(LEFT(TRIM(A522),5)="/time",N(Q521)+1,N(Q521)))</f>
        <v>8</v>
      </c>
      <c r="R522" t="str">
        <f t="shared" si="225"/>
        <v/>
      </c>
      <c r="S522" t="str">
        <f t="shared" si="226"/>
        <v/>
      </c>
      <c r="T522" t="str">
        <f t="shared" si="227"/>
        <v/>
      </c>
      <c r="U522">
        <f t="shared" si="228"/>
        <v>0</v>
      </c>
      <c r="V522">
        <f t="shared" ref="V522:V585" si="246">IF(B522="",N(V521),IF(LEFT(TRIM(B522),5)="/time",N(V521)+1,N(V521)))</f>
        <v>12</v>
      </c>
      <c r="W522" t="str">
        <f t="shared" si="229"/>
        <v/>
      </c>
      <c r="X522" t="str">
        <f t="shared" si="230"/>
        <v/>
      </c>
      <c r="Y522" t="str">
        <f t="shared" si="231"/>
        <v/>
      </c>
      <c r="Z522">
        <f t="shared" si="232"/>
        <v>0</v>
      </c>
      <c r="AA522">
        <f t="shared" ref="AA522:AA585" si="247">IF(C522="",N(AA521),IF(LEFT(TRIM(C522),5)="/time",N(AA521)+1,N(AA521)))</f>
        <v>6</v>
      </c>
      <c r="AB522" t="str">
        <f t="shared" si="233"/>
        <v/>
      </c>
      <c r="AC522" t="str">
        <f t="shared" si="234"/>
        <v/>
      </c>
      <c r="AD522" t="str">
        <f t="shared" si="235"/>
        <v/>
      </c>
      <c r="AE522">
        <f t="shared" si="236"/>
        <v>0</v>
      </c>
      <c r="AF522">
        <f t="shared" ref="AF522:AF585" si="248">IF(D522="",N(AF521),IF(LEFT(TRIM(D522),5)="/time",N(AF521)+1,N(AF521)))</f>
        <v>10</v>
      </c>
      <c r="AG522" t="str">
        <f t="shared" si="237"/>
        <v/>
      </c>
      <c r="AH522" t="str">
        <f t="shared" si="238"/>
        <v/>
      </c>
      <c r="AI522" t="str">
        <f t="shared" si="239"/>
        <v/>
      </c>
      <c r="AJ522">
        <f t="shared" si="240"/>
        <v>0</v>
      </c>
      <c r="AK522">
        <f t="shared" ref="AK522:AK585" si="249">IF(E522="",N(AK521),IF(LEFT(TRIM(E522),5)="/time",N(AK521)+1,N(AK521)))</f>
        <v>4</v>
      </c>
      <c r="AL522" t="str">
        <f t="shared" si="241"/>
        <v/>
      </c>
      <c r="AM522" t="str">
        <f t="shared" si="242"/>
        <v/>
      </c>
      <c r="AN522" t="str">
        <f t="shared" si="243"/>
        <v/>
      </c>
      <c r="AO522">
        <f t="shared" si="244"/>
        <v>0</v>
      </c>
    </row>
    <row r="523" spans="1:41" x14ac:dyDescent="0.4">
      <c r="A523" t="str">
        <f>IF($CM$6=0,"",IF(INDEX('⑩ 원문 보관'!$A:$E,$CM$6+ROW()-9,COLUMN())="","",INDEX('⑩ 원문 보관'!$A:$E,$CM$6+ROW()-9,COLUMN())))</f>
        <v/>
      </c>
      <c r="B523" t="str">
        <f>IF($CM$6=0,"",IF(INDEX('⑩ 원문 보관'!$A:$E,$CM$6+ROW()-9,COLUMN())="","",INDEX('⑩ 원문 보관'!$A:$E,$CM$6+ROW()-9,COLUMN())))</f>
        <v/>
      </c>
      <c r="C523" t="str">
        <f>IF($CM$6=0,"",IF(INDEX('⑩ 원문 보관'!$A:$E,$CM$6+ROW()-9,COLUMN())="","",INDEX('⑩ 원문 보관'!$A:$E,$CM$6+ROW()-9,COLUMN())))</f>
        <v/>
      </c>
      <c r="D523" t="str">
        <f>IF($CM$6=0,"",IF(INDEX('⑩ 원문 보관'!$A:$E,$CM$6+ROW()-9,COLUMN())="","",INDEX('⑩ 원문 보관'!$A:$E,$CM$6+ROW()-9,COLUMN())))</f>
        <v/>
      </c>
      <c r="E523" t="str">
        <f>IF($CM$6=0,"",IF(INDEX('⑩ 원문 보관'!$A:$E,$CM$6+ROW()-9,COLUMN())="","",INDEX('⑩ 원문 보관'!$A:$E,$CM$6+ROW()-9,COLUMN())))</f>
        <v/>
      </c>
      <c r="Q523">
        <f t="shared" si="245"/>
        <v>8</v>
      </c>
      <c r="R523" t="str">
        <f t="shared" si="225"/>
        <v/>
      </c>
      <c r="S523" t="str">
        <f t="shared" si="226"/>
        <v/>
      </c>
      <c r="T523" t="str">
        <f t="shared" si="227"/>
        <v/>
      </c>
      <c r="U523">
        <f t="shared" si="228"/>
        <v>0</v>
      </c>
      <c r="V523">
        <f t="shared" si="246"/>
        <v>12</v>
      </c>
      <c r="W523" t="str">
        <f t="shared" si="229"/>
        <v/>
      </c>
      <c r="X523" t="str">
        <f t="shared" si="230"/>
        <v/>
      </c>
      <c r="Y523" t="str">
        <f t="shared" si="231"/>
        <v/>
      </c>
      <c r="Z523">
        <f t="shared" si="232"/>
        <v>0</v>
      </c>
      <c r="AA523">
        <f t="shared" si="247"/>
        <v>6</v>
      </c>
      <c r="AB523" t="str">
        <f t="shared" si="233"/>
        <v/>
      </c>
      <c r="AC523" t="str">
        <f t="shared" si="234"/>
        <v/>
      </c>
      <c r="AD523" t="str">
        <f t="shared" si="235"/>
        <v/>
      </c>
      <c r="AE523">
        <f t="shared" si="236"/>
        <v>0</v>
      </c>
      <c r="AF523">
        <f t="shared" si="248"/>
        <v>10</v>
      </c>
      <c r="AG523" t="str">
        <f t="shared" si="237"/>
        <v/>
      </c>
      <c r="AH523" t="str">
        <f t="shared" si="238"/>
        <v/>
      </c>
      <c r="AI523" t="str">
        <f t="shared" si="239"/>
        <v/>
      </c>
      <c r="AJ523">
        <f t="shared" si="240"/>
        <v>0</v>
      </c>
      <c r="AK523">
        <f t="shared" si="249"/>
        <v>4</v>
      </c>
      <c r="AL523" t="str">
        <f t="shared" si="241"/>
        <v/>
      </c>
      <c r="AM523" t="str">
        <f t="shared" si="242"/>
        <v/>
      </c>
      <c r="AN523" t="str">
        <f t="shared" si="243"/>
        <v/>
      </c>
      <c r="AO523">
        <f t="shared" si="244"/>
        <v>0</v>
      </c>
    </row>
    <row r="524" spans="1:41" x14ac:dyDescent="0.4">
      <c r="A524" t="str">
        <f>IF($CM$6=0,"",IF(INDEX('⑩ 원문 보관'!$A:$E,$CM$6+ROW()-9,COLUMN())="","",INDEX('⑩ 원문 보관'!$A:$E,$CM$6+ROW()-9,COLUMN())))</f>
        <v/>
      </c>
      <c r="B524" t="str">
        <f>IF($CM$6=0,"",IF(INDEX('⑩ 원문 보관'!$A:$E,$CM$6+ROW()-9,COLUMN())="","",INDEX('⑩ 원문 보관'!$A:$E,$CM$6+ROW()-9,COLUMN())))</f>
        <v/>
      </c>
      <c r="C524" t="str">
        <f>IF($CM$6=0,"",IF(INDEX('⑩ 원문 보관'!$A:$E,$CM$6+ROW()-9,COLUMN())="","",INDEX('⑩ 원문 보관'!$A:$E,$CM$6+ROW()-9,COLUMN())))</f>
        <v/>
      </c>
      <c r="D524" t="str">
        <f>IF($CM$6=0,"",IF(INDEX('⑩ 원문 보관'!$A:$E,$CM$6+ROW()-9,COLUMN())="","",INDEX('⑩ 원문 보관'!$A:$E,$CM$6+ROW()-9,COLUMN())))</f>
        <v/>
      </c>
      <c r="E524" t="str">
        <f>IF($CM$6=0,"",IF(INDEX('⑩ 원문 보관'!$A:$E,$CM$6+ROW()-9,COLUMN())="","",INDEX('⑩ 원문 보관'!$A:$E,$CM$6+ROW()-9,COLUMN())))</f>
        <v/>
      </c>
      <c r="Q524">
        <f t="shared" si="245"/>
        <v>8</v>
      </c>
      <c r="R524" t="str">
        <f t="shared" si="225"/>
        <v/>
      </c>
      <c r="S524" t="str">
        <f t="shared" si="226"/>
        <v/>
      </c>
      <c r="T524" t="str">
        <f t="shared" si="227"/>
        <v/>
      </c>
      <c r="U524">
        <f t="shared" si="228"/>
        <v>0</v>
      </c>
      <c r="V524">
        <f t="shared" si="246"/>
        <v>12</v>
      </c>
      <c r="W524" t="str">
        <f t="shared" si="229"/>
        <v/>
      </c>
      <c r="X524" t="str">
        <f t="shared" si="230"/>
        <v/>
      </c>
      <c r="Y524" t="str">
        <f t="shared" si="231"/>
        <v/>
      </c>
      <c r="Z524">
        <f t="shared" si="232"/>
        <v>0</v>
      </c>
      <c r="AA524">
        <f t="shared" si="247"/>
        <v>6</v>
      </c>
      <c r="AB524" t="str">
        <f t="shared" si="233"/>
        <v/>
      </c>
      <c r="AC524" t="str">
        <f t="shared" si="234"/>
        <v/>
      </c>
      <c r="AD524" t="str">
        <f t="shared" si="235"/>
        <v/>
      </c>
      <c r="AE524">
        <f t="shared" si="236"/>
        <v>0</v>
      </c>
      <c r="AF524">
        <f t="shared" si="248"/>
        <v>10</v>
      </c>
      <c r="AG524" t="str">
        <f t="shared" si="237"/>
        <v/>
      </c>
      <c r="AH524" t="str">
        <f t="shared" si="238"/>
        <v/>
      </c>
      <c r="AI524" t="str">
        <f t="shared" si="239"/>
        <v/>
      </c>
      <c r="AJ524">
        <f t="shared" si="240"/>
        <v>0</v>
      </c>
      <c r="AK524">
        <f t="shared" si="249"/>
        <v>4</v>
      </c>
      <c r="AL524" t="str">
        <f t="shared" si="241"/>
        <v/>
      </c>
      <c r="AM524" t="str">
        <f t="shared" si="242"/>
        <v/>
      </c>
      <c r="AN524" t="str">
        <f t="shared" si="243"/>
        <v/>
      </c>
      <c r="AO524">
        <f t="shared" si="244"/>
        <v>0</v>
      </c>
    </row>
    <row r="525" spans="1:41" x14ac:dyDescent="0.4">
      <c r="A525" t="str">
        <f>IF($CM$6=0,"",IF(INDEX('⑩ 원문 보관'!$A:$E,$CM$6+ROW()-9,COLUMN())="","",INDEX('⑩ 원문 보관'!$A:$E,$CM$6+ROW()-9,COLUMN())))</f>
        <v/>
      </c>
      <c r="B525" t="str">
        <f>IF($CM$6=0,"",IF(INDEX('⑩ 원문 보관'!$A:$E,$CM$6+ROW()-9,COLUMN())="","",INDEX('⑩ 원문 보관'!$A:$E,$CM$6+ROW()-9,COLUMN())))</f>
        <v/>
      </c>
      <c r="C525" t="str">
        <f>IF($CM$6=0,"",IF(INDEX('⑩ 원문 보관'!$A:$E,$CM$6+ROW()-9,COLUMN())="","",INDEX('⑩ 원문 보관'!$A:$E,$CM$6+ROW()-9,COLUMN())))</f>
        <v/>
      </c>
      <c r="D525" t="str">
        <f>IF($CM$6=0,"",IF(INDEX('⑩ 원문 보관'!$A:$E,$CM$6+ROW()-9,COLUMN())="","",INDEX('⑩ 원문 보관'!$A:$E,$CM$6+ROW()-9,COLUMN())))</f>
        <v/>
      </c>
      <c r="E525" t="str">
        <f>IF($CM$6=0,"",IF(INDEX('⑩ 원문 보관'!$A:$E,$CM$6+ROW()-9,COLUMN())="","",INDEX('⑩ 원문 보관'!$A:$E,$CM$6+ROW()-9,COLUMN())))</f>
        <v/>
      </c>
      <c r="Q525">
        <f t="shared" si="245"/>
        <v>8</v>
      </c>
      <c r="R525" t="str">
        <f t="shared" si="225"/>
        <v/>
      </c>
      <c r="S525" t="str">
        <f t="shared" si="226"/>
        <v/>
      </c>
      <c r="T525" t="str">
        <f t="shared" si="227"/>
        <v/>
      </c>
      <c r="U525">
        <f t="shared" si="228"/>
        <v>0</v>
      </c>
      <c r="V525">
        <f t="shared" si="246"/>
        <v>12</v>
      </c>
      <c r="W525" t="str">
        <f t="shared" si="229"/>
        <v/>
      </c>
      <c r="X525" t="str">
        <f t="shared" si="230"/>
        <v/>
      </c>
      <c r="Y525" t="str">
        <f t="shared" si="231"/>
        <v/>
      </c>
      <c r="Z525">
        <f t="shared" si="232"/>
        <v>0</v>
      </c>
      <c r="AA525">
        <f t="shared" si="247"/>
        <v>6</v>
      </c>
      <c r="AB525" t="str">
        <f t="shared" si="233"/>
        <v/>
      </c>
      <c r="AC525" t="str">
        <f t="shared" si="234"/>
        <v/>
      </c>
      <c r="AD525" t="str">
        <f t="shared" si="235"/>
        <v/>
      </c>
      <c r="AE525">
        <f t="shared" si="236"/>
        <v>0</v>
      </c>
      <c r="AF525">
        <f t="shared" si="248"/>
        <v>10</v>
      </c>
      <c r="AG525" t="str">
        <f t="shared" si="237"/>
        <v/>
      </c>
      <c r="AH525" t="str">
        <f t="shared" si="238"/>
        <v/>
      </c>
      <c r="AI525" t="str">
        <f t="shared" si="239"/>
        <v/>
      </c>
      <c r="AJ525">
        <f t="shared" si="240"/>
        <v>0</v>
      </c>
      <c r="AK525">
        <f t="shared" si="249"/>
        <v>4</v>
      </c>
      <c r="AL525" t="str">
        <f t="shared" si="241"/>
        <v/>
      </c>
      <c r="AM525" t="str">
        <f t="shared" si="242"/>
        <v/>
      </c>
      <c r="AN525" t="str">
        <f t="shared" si="243"/>
        <v/>
      </c>
      <c r="AO525">
        <f t="shared" si="244"/>
        <v>0</v>
      </c>
    </row>
    <row r="526" spans="1:41" x14ac:dyDescent="0.4">
      <c r="A526" t="str">
        <f>IF($CM$6=0,"",IF(INDEX('⑩ 원문 보관'!$A:$E,$CM$6+ROW()-9,COLUMN())="","",INDEX('⑩ 원문 보관'!$A:$E,$CM$6+ROW()-9,COLUMN())))</f>
        <v/>
      </c>
      <c r="B526" t="str">
        <f>IF($CM$6=0,"",IF(INDEX('⑩ 원문 보관'!$A:$E,$CM$6+ROW()-9,COLUMN())="","",INDEX('⑩ 원문 보관'!$A:$E,$CM$6+ROW()-9,COLUMN())))</f>
        <v/>
      </c>
      <c r="C526" t="str">
        <f>IF($CM$6=0,"",IF(INDEX('⑩ 원문 보관'!$A:$E,$CM$6+ROW()-9,COLUMN())="","",INDEX('⑩ 원문 보관'!$A:$E,$CM$6+ROW()-9,COLUMN())))</f>
        <v/>
      </c>
      <c r="D526" t="str">
        <f>IF($CM$6=0,"",IF(INDEX('⑩ 원문 보관'!$A:$E,$CM$6+ROW()-9,COLUMN())="","",INDEX('⑩ 원문 보관'!$A:$E,$CM$6+ROW()-9,COLUMN())))</f>
        <v/>
      </c>
      <c r="E526" t="str">
        <f>IF($CM$6=0,"",IF(INDEX('⑩ 원문 보관'!$A:$E,$CM$6+ROW()-9,COLUMN())="","",INDEX('⑩ 원문 보관'!$A:$E,$CM$6+ROW()-9,COLUMN())))</f>
        <v/>
      </c>
      <c r="Q526">
        <f t="shared" si="245"/>
        <v>8</v>
      </c>
      <c r="R526" t="str">
        <f t="shared" si="225"/>
        <v/>
      </c>
      <c r="S526" t="str">
        <f t="shared" si="226"/>
        <v/>
      </c>
      <c r="T526" t="str">
        <f t="shared" si="227"/>
        <v/>
      </c>
      <c r="U526">
        <f t="shared" si="228"/>
        <v>0</v>
      </c>
      <c r="V526">
        <f t="shared" si="246"/>
        <v>12</v>
      </c>
      <c r="W526" t="str">
        <f t="shared" si="229"/>
        <v/>
      </c>
      <c r="X526" t="str">
        <f t="shared" si="230"/>
        <v/>
      </c>
      <c r="Y526" t="str">
        <f t="shared" si="231"/>
        <v/>
      </c>
      <c r="Z526">
        <f t="shared" si="232"/>
        <v>0</v>
      </c>
      <c r="AA526">
        <f t="shared" si="247"/>
        <v>6</v>
      </c>
      <c r="AB526" t="str">
        <f t="shared" si="233"/>
        <v/>
      </c>
      <c r="AC526" t="str">
        <f t="shared" si="234"/>
        <v/>
      </c>
      <c r="AD526" t="str">
        <f t="shared" si="235"/>
        <v/>
      </c>
      <c r="AE526">
        <f t="shared" si="236"/>
        <v>0</v>
      </c>
      <c r="AF526">
        <f t="shared" si="248"/>
        <v>10</v>
      </c>
      <c r="AG526" t="str">
        <f t="shared" si="237"/>
        <v/>
      </c>
      <c r="AH526" t="str">
        <f t="shared" si="238"/>
        <v/>
      </c>
      <c r="AI526" t="str">
        <f t="shared" si="239"/>
        <v/>
      </c>
      <c r="AJ526">
        <f t="shared" si="240"/>
        <v>0</v>
      </c>
      <c r="AK526">
        <f t="shared" si="249"/>
        <v>4</v>
      </c>
      <c r="AL526" t="str">
        <f t="shared" si="241"/>
        <v/>
      </c>
      <c r="AM526" t="str">
        <f t="shared" si="242"/>
        <v/>
      </c>
      <c r="AN526" t="str">
        <f t="shared" si="243"/>
        <v/>
      </c>
      <c r="AO526">
        <f t="shared" si="244"/>
        <v>0</v>
      </c>
    </row>
    <row r="527" spans="1:41" x14ac:dyDescent="0.4">
      <c r="A527" t="str">
        <f>IF($CM$6=0,"",IF(INDEX('⑩ 원문 보관'!$A:$E,$CM$6+ROW()-9,COLUMN())="","",INDEX('⑩ 원문 보관'!$A:$E,$CM$6+ROW()-9,COLUMN())))</f>
        <v/>
      </c>
      <c r="B527" t="str">
        <f>IF($CM$6=0,"",IF(INDEX('⑩ 원문 보관'!$A:$E,$CM$6+ROW()-9,COLUMN())="","",INDEX('⑩ 원문 보관'!$A:$E,$CM$6+ROW()-9,COLUMN())))</f>
        <v/>
      </c>
      <c r="C527" t="str">
        <f>IF($CM$6=0,"",IF(INDEX('⑩ 원문 보관'!$A:$E,$CM$6+ROW()-9,COLUMN())="","",INDEX('⑩ 원문 보관'!$A:$E,$CM$6+ROW()-9,COLUMN())))</f>
        <v/>
      </c>
      <c r="D527" t="str">
        <f>IF($CM$6=0,"",IF(INDEX('⑩ 원문 보관'!$A:$E,$CM$6+ROW()-9,COLUMN())="","",INDEX('⑩ 원문 보관'!$A:$E,$CM$6+ROW()-9,COLUMN())))</f>
        <v/>
      </c>
      <c r="E527" t="str">
        <f>IF($CM$6=0,"",IF(INDEX('⑩ 원문 보관'!$A:$E,$CM$6+ROW()-9,COLUMN())="","",INDEX('⑩ 원문 보관'!$A:$E,$CM$6+ROW()-9,COLUMN())))</f>
        <v/>
      </c>
      <c r="Q527">
        <f t="shared" si="245"/>
        <v>8</v>
      </c>
      <c r="R527" t="str">
        <f t="shared" si="225"/>
        <v/>
      </c>
      <c r="S527" t="str">
        <f t="shared" si="226"/>
        <v/>
      </c>
      <c r="T527" t="str">
        <f t="shared" si="227"/>
        <v/>
      </c>
      <c r="U527">
        <f t="shared" si="228"/>
        <v>0</v>
      </c>
      <c r="V527">
        <f t="shared" si="246"/>
        <v>12</v>
      </c>
      <c r="W527" t="str">
        <f t="shared" si="229"/>
        <v/>
      </c>
      <c r="X527" t="str">
        <f t="shared" si="230"/>
        <v/>
      </c>
      <c r="Y527" t="str">
        <f t="shared" si="231"/>
        <v/>
      </c>
      <c r="Z527">
        <f t="shared" si="232"/>
        <v>0</v>
      </c>
      <c r="AA527">
        <f t="shared" si="247"/>
        <v>6</v>
      </c>
      <c r="AB527" t="str">
        <f t="shared" si="233"/>
        <v/>
      </c>
      <c r="AC527" t="str">
        <f t="shared" si="234"/>
        <v/>
      </c>
      <c r="AD527" t="str">
        <f t="shared" si="235"/>
        <v/>
      </c>
      <c r="AE527">
        <f t="shared" si="236"/>
        <v>0</v>
      </c>
      <c r="AF527">
        <f t="shared" si="248"/>
        <v>10</v>
      </c>
      <c r="AG527" t="str">
        <f t="shared" si="237"/>
        <v/>
      </c>
      <c r="AH527" t="str">
        <f t="shared" si="238"/>
        <v/>
      </c>
      <c r="AI527" t="str">
        <f t="shared" si="239"/>
        <v/>
      </c>
      <c r="AJ527">
        <f t="shared" si="240"/>
        <v>0</v>
      </c>
      <c r="AK527">
        <f t="shared" si="249"/>
        <v>4</v>
      </c>
      <c r="AL527" t="str">
        <f t="shared" si="241"/>
        <v/>
      </c>
      <c r="AM527" t="str">
        <f t="shared" si="242"/>
        <v/>
      </c>
      <c r="AN527" t="str">
        <f t="shared" si="243"/>
        <v/>
      </c>
      <c r="AO527">
        <f t="shared" si="244"/>
        <v>0</v>
      </c>
    </row>
    <row r="528" spans="1:41" x14ac:dyDescent="0.4">
      <c r="A528" t="str">
        <f>IF($CM$6=0,"",IF(INDEX('⑩ 원문 보관'!$A:$E,$CM$6+ROW()-9,COLUMN())="","",INDEX('⑩ 원문 보관'!$A:$E,$CM$6+ROW()-9,COLUMN())))</f>
        <v/>
      </c>
      <c r="B528" t="str">
        <f>IF($CM$6=0,"",IF(INDEX('⑩ 원문 보관'!$A:$E,$CM$6+ROW()-9,COLUMN())="","",INDEX('⑩ 원문 보관'!$A:$E,$CM$6+ROW()-9,COLUMN())))</f>
        <v/>
      </c>
      <c r="C528" t="str">
        <f>IF($CM$6=0,"",IF(INDEX('⑩ 원문 보관'!$A:$E,$CM$6+ROW()-9,COLUMN())="","",INDEX('⑩ 원문 보관'!$A:$E,$CM$6+ROW()-9,COLUMN())))</f>
        <v/>
      </c>
      <c r="D528" t="str">
        <f>IF($CM$6=0,"",IF(INDEX('⑩ 원문 보관'!$A:$E,$CM$6+ROW()-9,COLUMN())="","",INDEX('⑩ 원문 보관'!$A:$E,$CM$6+ROW()-9,COLUMN())))</f>
        <v/>
      </c>
      <c r="E528" t="str">
        <f>IF($CM$6=0,"",IF(INDEX('⑩ 원문 보관'!$A:$E,$CM$6+ROW()-9,COLUMN())="","",INDEX('⑩ 원문 보관'!$A:$E,$CM$6+ROW()-9,COLUMN())))</f>
        <v/>
      </c>
      <c r="Q528">
        <f t="shared" si="245"/>
        <v>8</v>
      </c>
      <c r="R528" t="str">
        <f t="shared" si="225"/>
        <v/>
      </c>
      <c r="S528" t="str">
        <f t="shared" si="226"/>
        <v/>
      </c>
      <c r="T528" t="str">
        <f t="shared" si="227"/>
        <v/>
      </c>
      <c r="U528">
        <f t="shared" si="228"/>
        <v>0</v>
      </c>
      <c r="V528">
        <f t="shared" si="246"/>
        <v>12</v>
      </c>
      <c r="W528" t="str">
        <f t="shared" si="229"/>
        <v/>
      </c>
      <c r="X528" t="str">
        <f t="shared" si="230"/>
        <v/>
      </c>
      <c r="Y528" t="str">
        <f t="shared" si="231"/>
        <v/>
      </c>
      <c r="Z528">
        <f t="shared" si="232"/>
        <v>0</v>
      </c>
      <c r="AA528">
        <f t="shared" si="247"/>
        <v>6</v>
      </c>
      <c r="AB528" t="str">
        <f t="shared" si="233"/>
        <v/>
      </c>
      <c r="AC528" t="str">
        <f t="shared" si="234"/>
        <v/>
      </c>
      <c r="AD528" t="str">
        <f t="shared" si="235"/>
        <v/>
      </c>
      <c r="AE528">
        <f t="shared" si="236"/>
        <v>0</v>
      </c>
      <c r="AF528">
        <f t="shared" si="248"/>
        <v>10</v>
      </c>
      <c r="AG528" t="str">
        <f t="shared" si="237"/>
        <v/>
      </c>
      <c r="AH528" t="str">
        <f t="shared" si="238"/>
        <v/>
      </c>
      <c r="AI528" t="str">
        <f t="shared" si="239"/>
        <v/>
      </c>
      <c r="AJ528">
        <f t="shared" si="240"/>
        <v>0</v>
      </c>
      <c r="AK528">
        <f t="shared" si="249"/>
        <v>4</v>
      </c>
      <c r="AL528" t="str">
        <f t="shared" si="241"/>
        <v/>
      </c>
      <c r="AM528" t="str">
        <f t="shared" si="242"/>
        <v/>
      </c>
      <c r="AN528" t="str">
        <f t="shared" si="243"/>
        <v/>
      </c>
      <c r="AO528">
        <f t="shared" si="244"/>
        <v>0</v>
      </c>
    </row>
    <row r="529" spans="1:41" x14ac:dyDescent="0.4">
      <c r="A529" t="str">
        <f>IF($CM$6=0,"",IF(INDEX('⑩ 원문 보관'!$A:$E,$CM$6+ROW()-9,COLUMN())="","",INDEX('⑩ 원문 보관'!$A:$E,$CM$6+ROW()-9,COLUMN())))</f>
        <v/>
      </c>
      <c r="B529" t="str">
        <f>IF($CM$6=0,"",IF(INDEX('⑩ 원문 보관'!$A:$E,$CM$6+ROW()-9,COLUMN())="","",INDEX('⑩ 원문 보관'!$A:$E,$CM$6+ROW()-9,COLUMN())))</f>
        <v/>
      </c>
      <c r="C529" t="str">
        <f>IF($CM$6=0,"",IF(INDEX('⑩ 원문 보관'!$A:$E,$CM$6+ROW()-9,COLUMN())="","",INDEX('⑩ 원문 보관'!$A:$E,$CM$6+ROW()-9,COLUMN())))</f>
        <v/>
      </c>
      <c r="D529" t="str">
        <f>IF($CM$6=0,"",IF(INDEX('⑩ 원문 보관'!$A:$E,$CM$6+ROW()-9,COLUMN())="","",INDEX('⑩ 원문 보관'!$A:$E,$CM$6+ROW()-9,COLUMN())))</f>
        <v/>
      </c>
      <c r="E529" t="str">
        <f>IF($CM$6=0,"",IF(INDEX('⑩ 원문 보관'!$A:$E,$CM$6+ROW()-9,COLUMN())="","",INDEX('⑩ 원문 보관'!$A:$E,$CM$6+ROW()-9,COLUMN())))</f>
        <v/>
      </c>
      <c r="Q529">
        <f t="shared" si="245"/>
        <v>8</v>
      </c>
      <c r="R529" t="str">
        <f t="shared" si="225"/>
        <v/>
      </c>
      <c r="S529" t="str">
        <f t="shared" si="226"/>
        <v/>
      </c>
      <c r="T529" t="str">
        <f t="shared" si="227"/>
        <v/>
      </c>
      <c r="U529">
        <f t="shared" si="228"/>
        <v>0</v>
      </c>
      <c r="V529">
        <f t="shared" si="246"/>
        <v>12</v>
      </c>
      <c r="W529" t="str">
        <f t="shared" si="229"/>
        <v/>
      </c>
      <c r="X529" t="str">
        <f t="shared" si="230"/>
        <v/>
      </c>
      <c r="Y529" t="str">
        <f t="shared" si="231"/>
        <v/>
      </c>
      <c r="Z529">
        <f t="shared" si="232"/>
        <v>0</v>
      </c>
      <c r="AA529">
        <f t="shared" si="247"/>
        <v>6</v>
      </c>
      <c r="AB529" t="str">
        <f t="shared" si="233"/>
        <v/>
      </c>
      <c r="AC529" t="str">
        <f t="shared" si="234"/>
        <v/>
      </c>
      <c r="AD529" t="str">
        <f t="shared" si="235"/>
        <v/>
      </c>
      <c r="AE529">
        <f t="shared" si="236"/>
        <v>0</v>
      </c>
      <c r="AF529">
        <f t="shared" si="248"/>
        <v>10</v>
      </c>
      <c r="AG529" t="str">
        <f t="shared" si="237"/>
        <v/>
      </c>
      <c r="AH529" t="str">
        <f t="shared" si="238"/>
        <v/>
      </c>
      <c r="AI529" t="str">
        <f t="shared" si="239"/>
        <v/>
      </c>
      <c r="AJ529">
        <f t="shared" si="240"/>
        <v>0</v>
      </c>
      <c r="AK529">
        <f t="shared" si="249"/>
        <v>4</v>
      </c>
      <c r="AL529" t="str">
        <f t="shared" si="241"/>
        <v/>
      </c>
      <c r="AM529" t="str">
        <f t="shared" si="242"/>
        <v/>
      </c>
      <c r="AN529" t="str">
        <f t="shared" si="243"/>
        <v/>
      </c>
      <c r="AO529">
        <f t="shared" si="244"/>
        <v>0</v>
      </c>
    </row>
    <row r="530" spans="1:41" x14ac:dyDescent="0.4">
      <c r="A530" t="str">
        <f>IF($CM$6=0,"",IF(INDEX('⑩ 원문 보관'!$A:$E,$CM$6+ROW()-9,COLUMN())="","",INDEX('⑩ 원문 보관'!$A:$E,$CM$6+ROW()-9,COLUMN())))</f>
        <v/>
      </c>
      <c r="B530" t="str">
        <f>IF($CM$6=0,"",IF(INDEX('⑩ 원문 보관'!$A:$E,$CM$6+ROW()-9,COLUMN())="","",INDEX('⑩ 원문 보관'!$A:$E,$CM$6+ROW()-9,COLUMN())))</f>
        <v/>
      </c>
      <c r="C530" t="str">
        <f>IF($CM$6=0,"",IF(INDEX('⑩ 원문 보관'!$A:$E,$CM$6+ROW()-9,COLUMN())="","",INDEX('⑩ 원문 보관'!$A:$E,$CM$6+ROW()-9,COLUMN())))</f>
        <v/>
      </c>
      <c r="D530" t="str">
        <f>IF($CM$6=0,"",IF(INDEX('⑩ 원문 보관'!$A:$E,$CM$6+ROW()-9,COLUMN())="","",INDEX('⑩ 원문 보관'!$A:$E,$CM$6+ROW()-9,COLUMN())))</f>
        <v/>
      </c>
      <c r="E530" t="str">
        <f>IF($CM$6=0,"",IF(INDEX('⑩ 원문 보관'!$A:$E,$CM$6+ROW()-9,COLUMN())="","",INDEX('⑩ 원문 보관'!$A:$E,$CM$6+ROW()-9,COLUMN())))</f>
        <v/>
      </c>
      <c r="Q530">
        <f t="shared" si="245"/>
        <v>8</v>
      </c>
      <c r="R530" t="str">
        <f t="shared" si="225"/>
        <v/>
      </c>
      <c r="S530" t="str">
        <f t="shared" si="226"/>
        <v/>
      </c>
      <c r="T530" t="str">
        <f t="shared" si="227"/>
        <v/>
      </c>
      <c r="U530">
        <f t="shared" si="228"/>
        <v>0</v>
      </c>
      <c r="V530">
        <f t="shared" si="246"/>
        <v>12</v>
      </c>
      <c r="W530" t="str">
        <f t="shared" si="229"/>
        <v/>
      </c>
      <c r="X530" t="str">
        <f t="shared" si="230"/>
        <v/>
      </c>
      <c r="Y530" t="str">
        <f t="shared" si="231"/>
        <v/>
      </c>
      <c r="Z530">
        <f t="shared" si="232"/>
        <v>0</v>
      </c>
      <c r="AA530">
        <f t="shared" si="247"/>
        <v>6</v>
      </c>
      <c r="AB530" t="str">
        <f t="shared" si="233"/>
        <v/>
      </c>
      <c r="AC530" t="str">
        <f t="shared" si="234"/>
        <v/>
      </c>
      <c r="AD530" t="str">
        <f t="shared" si="235"/>
        <v/>
      </c>
      <c r="AE530">
        <f t="shared" si="236"/>
        <v>0</v>
      </c>
      <c r="AF530">
        <f t="shared" si="248"/>
        <v>10</v>
      </c>
      <c r="AG530" t="str">
        <f t="shared" si="237"/>
        <v/>
      </c>
      <c r="AH530" t="str">
        <f t="shared" si="238"/>
        <v/>
      </c>
      <c r="AI530" t="str">
        <f t="shared" si="239"/>
        <v/>
      </c>
      <c r="AJ530">
        <f t="shared" si="240"/>
        <v>0</v>
      </c>
      <c r="AK530">
        <f t="shared" si="249"/>
        <v>4</v>
      </c>
      <c r="AL530" t="str">
        <f t="shared" si="241"/>
        <v/>
      </c>
      <c r="AM530" t="str">
        <f t="shared" si="242"/>
        <v/>
      </c>
      <c r="AN530" t="str">
        <f t="shared" si="243"/>
        <v/>
      </c>
      <c r="AO530">
        <f t="shared" si="244"/>
        <v>0</v>
      </c>
    </row>
    <row r="531" spans="1:41" x14ac:dyDescent="0.4">
      <c r="A531" t="str">
        <f>IF($CM$6=0,"",IF(INDEX('⑩ 원문 보관'!$A:$E,$CM$6+ROW()-9,COLUMN())="","",INDEX('⑩ 원문 보관'!$A:$E,$CM$6+ROW()-9,COLUMN())))</f>
        <v/>
      </c>
      <c r="B531" t="str">
        <f>IF($CM$6=0,"",IF(INDEX('⑩ 원문 보관'!$A:$E,$CM$6+ROW()-9,COLUMN())="","",INDEX('⑩ 원문 보관'!$A:$E,$CM$6+ROW()-9,COLUMN())))</f>
        <v/>
      </c>
      <c r="C531" t="str">
        <f>IF($CM$6=0,"",IF(INDEX('⑩ 원문 보관'!$A:$E,$CM$6+ROW()-9,COLUMN())="","",INDEX('⑩ 원문 보관'!$A:$E,$CM$6+ROW()-9,COLUMN())))</f>
        <v/>
      </c>
      <c r="D531" t="str">
        <f>IF($CM$6=0,"",IF(INDEX('⑩ 원문 보관'!$A:$E,$CM$6+ROW()-9,COLUMN())="","",INDEX('⑩ 원문 보관'!$A:$E,$CM$6+ROW()-9,COLUMN())))</f>
        <v/>
      </c>
      <c r="E531" t="str">
        <f>IF($CM$6=0,"",IF(INDEX('⑩ 원문 보관'!$A:$E,$CM$6+ROW()-9,COLUMN())="","",INDEX('⑩ 원문 보관'!$A:$E,$CM$6+ROW()-9,COLUMN())))</f>
        <v/>
      </c>
      <c r="Q531">
        <f t="shared" si="245"/>
        <v>8</v>
      </c>
      <c r="R531" t="str">
        <f t="shared" si="225"/>
        <v/>
      </c>
      <c r="S531" t="str">
        <f t="shared" si="226"/>
        <v/>
      </c>
      <c r="T531" t="str">
        <f t="shared" si="227"/>
        <v/>
      </c>
      <c r="U531">
        <f t="shared" si="228"/>
        <v>0</v>
      </c>
      <c r="V531">
        <f t="shared" si="246"/>
        <v>12</v>
      </c>
      <c r="W531" t="str">
        <f t="shared" si="229"/>
        <v/>
      </c>
      <c r="X531" t="str">
        <f t="shared" si="230"/>
        <v/>
      </c>
      <c r="Y531" t="str">
        <f t="shared" si="231"/>
        <v/>
      </c>
      <c r="Z531">
        <f t="shared" si="232"/>
        <v>0</v>
      </c>
      <c r="AA531">
        <f t="shared" si="247"/>
        <v>6</v>
      </c>
      <c r="AB531" t="str">
        <f t="shared" si="233"/>
        <v/>
      </c>
      <c r="AC531" t="str">
        <f t="shared" si="234"/>
        <v/>
      </c>
      <c r="AD531" t="str">
        <f t="shared" si="235"/>
        <v/>
      </c>
      <c r="AE531">
        <f t="shared" si="236"/>
        <v>0</v>
      </c>
      <c r="AF531">
        <f t="shared" si="248"/>
        <v>10</v>
      </c>
      <c r="AG531" t="str">
        <f t="shared" si="237"/>
        <v/>
      </c>
      <c r="AH531" t="str">
        <f t="shared" si="238"/>
        <v/>
      </c>
      <c r="AI531" t="str">
        <f t="shared" si="239"/>
        <v/>
      </c>
      <c r="AJ531">
        <f t="shared" si="240"/>
        <v>0</v>
      </c>
      <c r="AK531">
        <f t="shared" si="249"/>
        <v>4</v>
      </c>
      <c r="AL531" t="str">
        <f t="shared" si="241"/>
        <v/>
      </c>
      <c r="AM531" t="str">
        <f t="shared" si="242"/>
        <v/>
      </c>
      <c r="AN531" t="str">
        <f t="shared" si="243"/>
        <v/>
      </c>
      <c r="AO531">
        <f t="shared" si="244"/>
        <v>0</v>
      </c>
    </row>
    <row r="532" spans="1:41" x14ac:dyDescent="0.4">
      <c r="A532" t="str">
        <f>IF($CM$6=0,"",IF(INDEX('⑩ 원문 보관'!$A:$E,$CM$6+ROW()-9,COLUMN())="","",INDEX('⑩ 원문 보관'!$A:$E,$CM$6+ROW()-9,COLUMN())))</f>
        <v/>
      </c>
      <c r="B532" t="str">
        <f>IF($CM$6=0,"",IF(INDEX('⑩ 원문 보관'!$A:$E,$CM$6+ROW()-9,COLUMN())="","",INDEX('⑩ 원문 보관'!$A:$E,$CM$6+ROW()-9,COLUMN())))</f>
        <v/>
      </c>
      <c r="C532" t="str">
        <f>IF($CM$6=0,"",IF(INDEX('⑩ 원문 보관'!$A:$E,$CM$6+ROW()-9,COLUMN())="","",INDEX('⑩ 원문 보관'!$A:$E,$CM$6+ROW()-9,COLUMN())))</f>
        <v/>
      </c>
      <c r="D532" t="str">
        <f>IF($CM$6=0,"",IF(INDEX('⑩ 원문 보관'!$A:$E,$CM$6+ROW()-9,COLUMN())="","",INDEX('⑩ 원문 보관'!$A:$E,$CM$6+ROW()-9,COLUMN())))</f>
        <v/>
      </c>
      <c r="E532" t="str">
        <f>IF($CM$6=0,"",IF(INDEX('⑩ 원문 보관'!$A:$E,$CM$6+ROW()-9,COLUMN())="","",INDEX('⑩ 원문 보관'!$A:$E,$CM$6+ROW()-9,COLUMN())))</f>
        <v/>
      </c>
      <c r="Q532">
        <f t="shared" si="245"/>
        <v>8</v>
      </c>
      <c r="R532" t="str">
        <f t="shared" si="225"/>
        <v/>
      </c>
      <c r="S532" t="str">
        <f t="shared" si="226"/>
        <v/>
      </c>
      <c r="T532" t="str">
        <f t="shared" si="227"/>
        <v/>
      </c>
      <c r="U532">
        <f t="shared" si="228"/>
        <v>0</v>
      </c>
      <c r="V532">
        <f t="shared" si="246"/>
        <v>12</v>
      </c>
      <c r="W532" t="str">
        <f t="shared" si="229"/>
        <v/>
      </c>
      <c r="X532" t="str">
        <f t="shared" si="230"/>
        <v/>
      </c>
      <c r="Y532" t="str">
        <f t="shared" si="231"/>
        <v/>
      </c>
      <c r="Z532">
        <f t="shared" si="232"/>
        <v>0</v>
      </c>
      <c r="AA532">
        <f t="shared" si="247"/>
        <v>6</v>
      </c>
      <c r="AB532" t="str">
        <f t="shared" si="233"/>
        <v/>
      </c>
      <c r="AC532" t="str">
        <f t="shared" si="234"/>
        <v/>
      </c>
      <c r="AD532" t="str">
        <f t="shared" si="235"/>
        <v/>
      </c>
      <c r="AE532">
        <f t="shared" si="236"/>
        <v>0</v>
      </c>
      <c r="AF532">
        <f t="shared" si="248"/>
        <v>10</v>
      </c>
      <c r="AG532" t="str">
        <f t="shared" si="237"/>
        <v/>
      </c>
      <c r="AH532" t="str">
        <f t="shared" si="238"/>
        <v/>
      </c>
      <c r="AI532" t="str">
        <f t="shared" si="239"/>
        <v/>
      </c>
      <c r="AJ532">
        <f t="shared" si="240"/>
        <v>0</v>
      </c>
      <c r="AK532">
        <f t="shared" si="249"/>
        <v>4</v>
      </c>
      <c r="AL532" t="str">
        <f t="shared" si="241"/>
        <v/>
      </c>
      <c r="AM532" t="str">
        <f t="shared" si="242"/>
        <v/>
      </c>
      <c r="AN532" t="str">
        <f t="shared" si="243"/>
        <v/>
      </c>
      <c r="AO532">
        <f t="shared" si="244"/>
        <v>0</v>
      </c>
    </row>
    <row r="533" spans="1:41" x14ac:dyDescent="0.4">
      <c r="A533" t="str">
        <f>IF($CM$6=0,"",IF(INDEX('⑩ 원문 보관'!$A:$E,$CM$6+ROW()-9,COLUMN())="","",INDEX('⑩ 원문 보관'!$A:$E,$CM$6+ROW()-9,COLUMN())))</f>
        <v/>
      </c>
      <c r="B533" t="str">
        <f>IF($CM$6=0,"",IF(INDEX('⑩ 원문 보관'!$A:$E,$CM$6+ROW()-9,COLUMN())="","",INDEX('⑩ 원문 보관'!$A:$E,$CM$6+ROW()-9,COLUMN())))</f>
        <v/>
      </c>
      <c r="C533" t="str">
        <f>IF($CM$6=0,"",IF(INDEX('⑩ 원문 보관'!$A:$E,$CM$6+ROW()-9,COLUMN())="","",INDEX('⑩ 원문 보관'!$A:$E,$CM$6+ROW()-9,COLUMN())))</f>
        <v/>
      </c>
      <c r="D533" t="str">
        <f>IF($CM$6=0,"",IF(INDEX('⑩ 원문 보관'!$A:$E,$CM$6+ROW()-9,COLUMN())="","",INDEX('⑩ 원문 보관'!$A:$E,$CM$6+ROW()-9,COLUMN())))</f>
        <v/>
      </c>
      <c r="E533" t="str">
        <f>IF($CM$6=0,"",IF(INDEX('⑩ 원문 보관'!$A:$E,$CM$6+ROW()-9,COLUMN())="","",INDEX('⑩ 원문 보관'!$A:$E,$CM$6+ROW()-9,COLUMN())))</f>
        <v/>
      </c>
      <c r="Q533">
        <f t="shared" si="245"/>
        <v>8</v>
      </c>
      <c r="R533" t="str">
        <f t="shared" si="225"/>
        <v/>
      </c>
      <c r="S533" t="str">
        <f t="shared" si="226"/>
        <v/>
      </c>
      <c r="T533" t="str">
        <f t="shared" si="227"/>
        <v/>
      </c>
      <c r="U533">
        <f t="shared" si="228"/>
        <v>0</v>
      </c>
      <c r="V533">
        <f t="shared" si="246"/>
        <v>12</v>
      </c>
      <c r="W533" t="str">
        <f t="shared" si="229"/>
        <v/>
      </c>
      <c r="X533" t="str">
        <f t="shared" si="230"/>
        <v/>
      </c>
      <c r="Y533" t="str">
        <f t="shared" si="231"/>
        <v/>
      </c>
      <c r="Z533">
        <f t="shared" si="232"/>
        <v>0</v>
      </c>
      <c r="AA533">
        <f t="shared" si="247"/>
        <v>6</v>
      </c>
      <c r="AB533" t="str">
        <f t="shared" si="233"/>
        <v/>
      </c>
      <c r="AC533" t="str">
        <f t="shared" si="234"/>
        <v/>
      </c>
      <c r="AD533" t="str">
        <f t="shared" si="235"/>
        <v/>
      </c>
      <c r="AE533">
        <f t="shared" si="236"/>
        <v>0</v>
      </c>
      <c r="AF533">
        <f t="shared" si="248"/>
        <v>10</v>
      </c>
      <c r="AG533" t="str">
        <f t="shared" si="237"/>
        <v/>
      </c>
      <c r="AH533" t="str">
        <f t="shared" si="238"/>
        <v/>
      </c>
      <c r="AI533" t="str">
        <f t="shared" si="239"/>
        <v/>
      </c>
      <c r="AJ533">
        <f t="shared" si="240"/>
        <v>0</v>
      </c>
      <c r="AK533">
        <f t="shared" si="249"/>
        <v>4</v>
      </c>
      <c r="AL533" t="str">
        <f t="shared" si="241"/>
        <v/>
      </c>
      <c r="AM533" t="str">
        <f t="shared" si="242"/>
        <v/>
      </c>
      <c r="AN533" t="str">
        <f t="shared" si="243"/>
        <v/>
      </c>
      <c r="AO533">
        <f t="shared" si="244"/>
        <v>0</v>
      </c>
    </row>
    <row r="534" spans="1:41" x14ac:dyDescent="0.4">
      <c r="A534" t="str">
        <f>IF($CM$6=0,"",IF(INDEX('⑩ 원문 보관'!$A:$E,$CM$6+ROW()-9,COLUMN())="","",INDEX('⑩ 원문 보관'!$A:$E,$CM$6+ROW()-9,COLUMN())))</f>
        <v/>
      </c>
      <c r="B534" t="str">
        <f>IF($CM$6=0,"",IF(INDEX('⑩ 원문 보관'!$A:$E,$CM$6+ROW()-9,COLUMN())="","",INDEX('⑩ 원문 보관'!$A:$E,$CM$6+ROW()-9,COLUMN())))</f>
        <v/>
      </c>
      <c r="C534" t="str">
        <f>IF($CM$6=0,"",IF(INDEX('⑩ 원문 보관'!$A:$E,$CM$6+ROW()-9,COLUMN())="","",INDEX('⑩ 원문 보관'!$A:$E,$CM$6+ROW()-9,COLUMN())))</f>
        <v/>
      </c>
      <c r="D534" t="str">
        <f>IF($CM$6=0,"",IF(INDEX('⑩ 원문 보관'!$A:$E,$CM$6+ROW()-9,COLUMN())="","",INDEX('⑩ 원문 보관'!$A:$E,$CM$6+ROW()-9,COLUMN())))</f>
        <v/>
      </c>
      <c r="E534" t="str">
        <f>IF($CM$6=0,"",IF(INDEX('⑩ 원문 보관'!$A:$E,$CM$6+ROW()-9,COLUMN())="","",INDEX('⑩ 원문 보관'!$A:$E,$CM$6+ROW()-9,COLUMN())))</f>
        <v/>
      </c>
      <c r="Q534">
        <f t="shared" si="245"/>
        <v>8</v>
      </c>
      <c r="R534" t="str">
        <f t="shared" si="225"/>
        <v/>
      </c>
      <c r="S534" t="str">
        <f t="shared" si="226"/>
        <v/>
      </c>
      <c r="T534" t="str">
        <f t="shared" si="227"/>
        <v/>
      </c>
      <c r="U534">
        <f t="shared" si="228"/>
        <v>0</v>
      </c>
      <c r="V534">
        <f t="shared" si="246"/>
        <v>12</v>
      </c>
      <c r="W534" t="str">
        <f t="shared" si="229"/>
        <v/>
      </c>
      <c r="X534" t="str">
        <f t="shared" si="230"/>
        <v/>
      </c>
      <c r="Y534" t="str">
        <f t="shared" si="231"/>
        <v/>
      </c>
      <c r="Z534">
        <f t="shared" si="232"/>
        <v>0</v>
      </c>
      <c r="AA534">
        <f t="shared" si="247"/>
        <v>6</v>
      </c>
      <c r="AB534" t="str">
        <f t="shared" si="233"/>
        <v/>
      </c>
      <c r="AC534" t="str">
        <f t="shared" si="234"/>
        <v/>
      </c>
      <c r="AD534" t="str">
        <f t="shared" si="235"/>
        <v/>
      </c>
      <c r="AE534">
        <f t="shared" si="236"/>
        <v>0</v>
      </c>
      <c r="AF534">
        <f t="shared" si="248"/>
        <v>10</v>
      </c>
      <c r="AG534" t="str">
        <f t="shared" si="237"/>
        <v/>
      </c>
      <c r="AH534" t="str">
        <f t="shared" si="238"/>
        <v/>
      </c>
      <c r="AI534" t="str">
        <f t="shared" si="239"/>
        <v/>
      </c>
      <c r="AJ534">
        <f t="shared" si="240"/>
        <v>0</v>
      </c>
      <c r="AK534">
        <f t="shared" si="249"/>
        <v>4</v>
      </c>
      <c r="AL534" t="str">
        <f t="shared" si="241"/>
        <v/>
      </c>
      <c r="AM534" t="str">
        <f t="shared" si="242"/>
        <v/>
      </c>
      <c r="AN534" t="str">
        <f t="shared" si="243"/>
        <v/>
      </c>
      <c r="AO534">
        <f t="shared" si="244"/>
        <v>0</v>
      </c>
    </row>
    <row r="535" spans="1:41" x14ac:dyDescent="0.4">
      <c r="A535" t="str">
        <f>IF($CM$6=0,"",IF(INDEX('⑩ 원문 보관'!$A:$E,$CM$6+ROW()-9,COLUMN())="","",INDEX('⑩ 원문 보관'!$A:$E,$CM$6+ROW()-9,COLUMN())))</f>
        <v/>
      </c>
      <c r="B535" t="str">
        <f>IF($CM$6=0,"",IF(INDEX('⑩ 원문 보관'!$A:$E,$CM$6+ROW()-9,COLUMN())="","",INDEX('⑩ 원문 보관'!$A:$E,$CM$6+ROW()-9,COLUMN())))</f>
        <v/>
      </c>
      <c r="C535" t="str">
        <f>IF($CM$6=0,"",IF(INDEX('⑩ 원문 보관'!$A:$E,$CM$6+ROW()-9,COLUMN())="","",INDEX('⑩ 원문 보관'!$A:$E,$CM$6+ROW()-9,COLUMN())))</f>
        <v/>
      </c>
      <c r="D535" t="str">
        <f>IF($CM$6=0,"",IF(INDEX('⑩ 원문 보관'!$A:$E,$CM$6+ROW()-9,COLUMN())="","",INDEX('⑩ 원문 보관'!$A:$E,$CM$6+ROW()-9,COLUMN())))</f>
        <v/>
      </c>
      <c r="E535" t="str">
        <f>IF($CM$6=0,"",IF(INDEX('⑩ 원문 보관'!$A:$E,$CM$6+ROW()-9,COLUMN())="","",INDEX('⑩ 원문 보관'!$A:$E,$CM$6+ROW()-9,COLUMN())))</f>
        <v/>
      </c>
      <c r="Q535">
        <f t="shared" si="245"/>
        <v>8</v>
      </c>
      <c r="R535" t="str">
        <f t="shared" si="225"/>
        <v/>
      </c>
      <c r="S535" t="str">
        <f t="shared" si="226"/>
        <v/>
      </c>
      <c r="T535" t="str">
        <f t="shared" si="227"/>
        <v/>
      </c>
      <c r="U535">
        <f t="shared" si="228"/>
        <v>0</v>
      </c>
      <c r="V535">
        <f t="shared" si="246"/>
        <v>12</v>
      </c>
      <c r="W535" t="str">
        <f t="shared" si="229"/>
        <v/>
      </c>
      <c r="X535" t="str">
        <f t="shared" si="230"/>
        <v/>
      </c>
      <c r="Y535" t="str">
        <f t="shared" si="231"/>
        <v/>
      </c>
      <c r="Z535">
        <f t="shared" si="232"/>
        <v>0</v>
      </c>
      <c r="AA535">
        <f t="shared" si="247"/>
        <v>6</v>
      </c>
      <c r="AB535" t="str">
        <f t="shared" si="233"/>
        <v/>
      </c>
      <c r="AC535" t="str">
        <f t="shared" si="234"/>
        <v/>
      </c>
      <c r="AD535" t="str">
        <f t="shared" si="235"/>
        <v/>
      </c>
      <c r="AE535">
        <f t="shared" si="236"/>
        <v>0</v>
      </c>
      <c r="AF535">
        <f t="shared" si="248"/>
        <v>10</v>
      </c>
      <c r="AG535" t="str">
        <f t="shared" si="237"/>
        <v/>
      </c>
      <c r="AH535" t="str">
        <f t="shared" si="238"/>
        <v/>
      </c>
      <c r="AI535" t="str">
        <f t="shared" si="239"/>
        <v/>
      </c>
      <c r="AJ535">
        <f t="shared" si="240"/>
        <v>0</v>
      </c>
      <c r="AK535">
        <f t="shared" si="249"/>
        <v>4</v>
      </c>
      <c r="AL535" t="str">
        <f t="shared" si="241"/>
        <v/>
      </c>
      <c r="AM535" t="str">
        <f t="shared" si="242"/>
        <v/>
      </c>
      <c r="AN535" t="str">
        <f t="shared" si="243"/>
        <v/>
      </c>
      <c r="AO535">
        <f t="shared" si="244"/>
        <v>0</v>
      </c>
    </row>
    <row r="536" spans="1:41" x14ac:dyDescent="0.4">
      <c r="A536" t="str">
        <f>IF($CM$6=0,"",IF(INDEX('⑩ 원문 보관'!$A:$E,$CM$6+ROW()-9,COLUMN())="","",INDEX('⑩ 원문 보관'!$A:$E,$CM$6+ROW()-9,COLUMN())))</f>
        <v/>
      </c>
      <c r="B536" t="str">
        <f>IF($CM$6=0,"",IF(INDEX('⑩ 원문 보관'!$A:$E,$CM$6+ROW()-9,COLUMN())="","",INDEX('⑩ 원문 보관'!$A:$E,$CM$6+ROW()-9,COLUMN())))</f>
        <v/>
      </c>
      <c r="C536" t="str">
        <f>IF($CM$6=0,"",IF(INDEX('⑩ 원문 보관'!$A:$E,$CM$6+ROW()-9,COLUMN())="","",INDEX('⑩ 원문 보관'!$A:$E,$CM$6+ROW()-9,COLUMN())))</f>
        <v/>
      </c>
      <c r="D536" t="str">
        <f>IF($CM$6=0,"",IF(INDEX('⑩ 원문 보관'!$A:$E,$CM$6+ROW()-9,COLUMN())="","",INDEX('⑩ 원문 보관'!$A:$E,$CM$6+ROW()-9,COLUMN())))</f>
        <v/>
      </c>
      <c r="E536" t="str">
        <f>IF($CM$6=0,"",IF(INDEX('⑩ 원문 보관'!$A:$E,$CM$6+ROW()-9,COLUMN())="","",INDEX('⑩ 원문 보관'!$A:$E,$CM$6+ROW()-9,COLUMN())))</f>
        <v/>
      </c>
      <c r="Q536">
        <f t="shared" si="245"/>
        <v>8</v>
      </c>
      <c r="R536" t="str">
        <f t="shared" si="225"/>
        <v/>
      </c>
      <c r="S536" t="str">
        <f t="shared" si="226"/>
        <v/>
      </c>
      <c r="T536" t="str">
        <f t="shared" si="227"/>
        <v/>
      </c>
      <c r="U536">
        <f t="shared" si="228"/>
        <v>0</v>
      </c>
      <c r="V536">
        <f t="shared" si="246"/>
        <v>12</v>
      </c>
      <c r="W536" t="str">
        <f t="shared" si="229"/>
        <v/>
      </c>
      <c r="X536" t="str">
        <f t="shared" si="230"/>
        <v/>
      </c>
      <c r="Y536" t="str">
        <f t="shared" si="231"/>
        <v/>
      </c>
      <c r="Z536">
        <f t="shared" si="232"/>
        <v>0</v>
      </c>
      <c r="AA536">
        <f t="shared" si="247"/>
        <v>6</v>
      </c>
      <c r="AB536" t="str">
        <f t="shared" si="233"/>
        <v/>
      </c>
      <c r="AC536" t="str">
        <f t="shared" si="234"/>
        <v/>
      </c>
      <c r="AD536" t="str">
        <f t="shared" si="235"/>
        <v/>
      </c>
      <c r="AE536">
        <f t="shared" si="236"/>
        <v>0</v>
      </c>
      <c r="AF536">
        <f t="shared" si="248"/>
        <v>10</v>
      </c>
      <c r="AG536" t="str">
        <f t="shared" si="237"/>
        <v/>
      </c>
      <c r="AH536" t="str">
        <f t="shared" si="238"/>
        <v/>
      </c>
      <c r="AI536" t="str">
        <f t="shared" si="239"/>
        <v/>
      </c>
      <c r="AJ536">
        <f t="shared" si="240"/>
        <v>0</v>
      </c>
      <c r="AK536">
        <f t="shared" si="249"/>
        <v>4</v>
      </c>
      <c r="AL536" t="str">
        <f t="shared" si="241"/>
        <v/>
      </c>
      <c r="AM536" t="str">
        <f t="shared" si="242"/>
        <v/>
      </c>
      <c r="AN536" t="str">
        <f t="shared" si="243"/>
        <v/>
      </c>
      <c r="AO536">
        <f t="shared" si="244"/>
        <v>0</v>
      </c>
    </row>
    <row r="537" spans="1:41" x14ac:dyDescent="0.4">
      <c r="A537" t="str">
        <f>IF($CM$6=0,"",IF(INDEX('⑩ 원문 보관'!$A:$E,$CM$6+ROW()-9,COLUMN())="","",INDEX('⑩ 원문 보관'!$A:$E,$CM$6+ROW()-9,COLUMN())))</f>
        <v/>
      </c>
      <c r="B537" t="str">
        <f>IF($CM$6=0,"",IF(INDEX('⑩ 원문 보관'!$A:$E,$CM$6+ROW()-9,COLUMN())="","",INDEX('⑩ 원문 보관'!$A:$E,$CM$6+ROW()-9,COLUMN())))</f>
        <v/>
      </c>
      <c r="C537" t="str">
        <f>IF($CM$6=0,"",IF(INDEX('⑩ 원문 보관'!$A:$E,$CM$6+ROW()-9,COLUMN())="","",INDEX('⑩ 원문 보관'!$A:$E,$CM$6+ROW()-9,COLUMN())))</f>
        <v/>
      </c>
      <c r="D537" t="str">
        <f>IF($CM$6=0,"",IF(INDEX('⑩ 원문 보관'!$A:$E,$CM$6+ROW()-9,COLUMN())="","",INDEX('⑩ 원문 보관'!$A:$E,$CM$6+ROW()-9,COLUMN())))</f>
        <v/>
      </c>
      <c r="E537" t="str">
        <f>IF($CM$6=0,"",IF(INDEX('⑩ 원문 보관'!$A:$E,$CM$6+ROW()-9,COLUMN())="","",INDEX('⑩ 원문 보관'!$A:$E,$CM$6+ROW()-9,COLUMN())))</f>
        <v/>
      </c>
      <c r="Q537">
        <f t="shared" si="245"/>
        <v>8</v>
      </c>
      <c r="R537" t="str">
        <f t="shared" si="225"/>
        <v/>
      </c>
      <c r="S537" t="str">
        <f t="shared" si="226"/>
        <v/>
      </c>
      <c r="T537" t="str">
        <f t="shared" si="227"/>
        <v/>
      </c>
      <c r="U537">
        <f t="shared" si="228"/>
        <v>0</v>
      </c>
      <c r="V537">
        <f t="shared" si="246"/>
        <v>12</v>
      </c>
      <c r="W537" t="str">
        <f t="shared" si="229"/>
        <v/>
      </c>
      <c r="X537" t="str">
        <f t="shared" si="230"/>
        <v/>
      </c>
      <c r="Y537" t="str">
        <f t="shared" si="231"/>
        <v/>
      </c>
      <c r="Z537">
        <f t="shared" si="232"/>
        <v>0</v>
      </c>
      <c r="AA537">
        <f t="shared" si="247"/>
        <v>6</v>
      </c>
      <c r="AB537" t="str">
        <f t="shared" si="233"/>
        <v/>
      </c>
      <c r="AC537" t="str">
        <f t="shared" si="234"/>
        <v/>
      </c>
      <c r="AD537" t="str">
        <f t="shared" si="235"/>
        <v/>
      </c>
      <c r="AE537">
        <f t="shared" si="236"/>
        <v>0</v>
      </c>
      <c r="AF537">
        <f t="shared" si="248"/>
        <v>10</v>
      </c>
      <c r="AG537" t="str">
        <f t="shared" si="237"/>
        <v/>
      </c>
      <c r="AH537" t="str">
        <f t="shared" si="238"/>
        <v/>
      </c>
      <c r="AI537" t="str">
        <f t="shared" si="239"/>
        <v/>
      </c>
      <c r="AJ537">
        <f t="shared" si="240"/>
        <v>0</v>
      </c>
      <c r="AK537">
        <f t="shared" si="249"/>
        <v>4</v>
      </c>
      <c r="AL537" t="str">
        <f t="shared" si="241"/>
        <v/>
      </c>
      <c r="AM537" t="str">
        <f t="shared" si="242"/>
        <v/>
      </c>
      <c r="AN537" t="str">
        <f t="shared" si="243"/>
        <v/>
      </c>
      <c r="AO537">
        <f t="shared" si="244"/>
        <v>0</v>
      </c>
    </row>
    <row r="538" spans="1:41" x14ac:dyDescent="0.4">
      <c r="A538" t="str">
        <f>IF($CM$6=0,"",IF(INDEX('⑩ 원문 보관'!$A:$E,$CM$6+ROW()-9,COLUMN())="","",INDEX('⑩ 원문 보관'!$A:$E,$CM$6+ROW()-9,COLUMN())))</f>
        <v/>
      </c>
      <c r="B538" t="str">
        <f>IF($CM$6=0,"",IF(INDEX('⑩ 원문 보관'!$A:$E,$CM$6+ROW()-9,COLUMN())="","",INDEX('⑩ 원문 보관'!$A:$E,$CM$6+ROW()-9,COLUMN())))</f>
        <v/>
      </c>
      <c r="C538" t="str">
        <f>IF($CM$6=0,"",IF(INDEX('⑩ 원문 보관'!$A:$E,$CM$6+ROW()-9,COLUMN())="","",INDEX('⑩ 원문 보관'!$A:$E,$CM$6+ROW()-9,COLUMN())))</f>
        <v/>
      </c>
      <c r="D538" t="str">
        <f>IF($CM$6=0,"",IF(INDEX('⑩ 원문 보관'!$A:$E,$CM$6+ROW()-9,COLUMN())="","",INDEX('⑩ 원문 보관'!$A:$E,$CM$6+ROW()-9,COLUMN())))</f>
        <v/>
      </c>
      <c r="E538" t="str">
        <f>IF($CM$6=0,"",IF(INDEX('⑩ 원문 보관'!$A:$E,$CM$6+ROW()-9,COLUMN())="","",INDEX('⑩ 원문 보관'!$A:$E,$CM$6+ROW()-9,COLUMN())))</f>
        <v/>
      </c>
      <c r="Q538">
        <f t="shared" si="245"/>
        <v>8</v>
      </c>
      <c r="R538" t="str">
        <f t="shared" si="225"/>
        <v/>
      </c>
      <c r="S538" t="str">
        <f t="shared" si="226"/>
        <v/>
      </c>
      <c r="T538" t="str">
        <f t="shared" si="227"/>
        <v/>
      </c>
      <c r="U538">
        <f t="shared" si="228"/>
        <v>0</v>
      </c>
      <c r="V538">
        <f t="shared" si="246"/>
        <v>12</v>
      </c>
      <c r="W538" t="str">
        <f t="shared" si="229"/>
        <v/>
      </c>
      <c r="X538" t="str">
        <f t="shared" si="230"/>
        <v/>
      </c>
      <c r="Y538" t="str">
        <f t="shared" si="231"/>
        <v/>
      </c>
      <c r="Z538">
        <f t="shared" si="232"/>
        <v>0</v>
      </c>
      <c r="AA538">
        <f t="shared" si="247"/>
        <v>6</v>
      </c>
      <c r="AB538" t="str">
        <f t="shared" si="233"/>
        <v/>
      </c>
      <c r="AC538" t="str">
        <f t="shared" si="234"/>
        <v/>
      </c>
      <c r="AD538" t="str">
        <f t="shared" si="235"/>
        <v/>
      </c>
      <c r="AE538">
        <f t="shared" si="236"/>
        <v>0</v>
      </c>
      <c r="AF538">
        <f t="shared" si="248"/>
        <v>10</v>
      </c>
      <c r="AG538" t="str">
        <f t="shared" si="237"/>
        <v/>
      </c>
      <c r="AH538" t="str">
        <f t="shared" si="238"/>
        <v/>
      </c>
      <c r="AI538" t="str">
        <f t="shared" si="239"/>
        <v/>
      </c>
      <c r="AJ538">
        <f t="shared" si="240"/>
        <v>0</v>
      </c>
      <c r="AK538">
        <f t="shared" si="249"/>
        <v>4</v>
      </c>
      <c r="AL538" t="str">
        <f t="shared" si="241"/>
        <v/>
      </c>
      <c r="AM538" t="str">
        <f t="shared" si="242"/>
        <v/>
      </c>
      <c r="AN538" t="str">
        <f t="shared" si="243"/>
        <v/>
      </c>
      <c r="AO538">
        <f t="shared" si="244"/>
        <v>0</v>
      </c>
    </row>
    <row r="539" spans="1:41" x14ac:dyDescent="0.4">
      <c r="A539" t="str">
        <f>IF($CM$6=0,"",IF(INDEX('⑩ 원문 보관'!$A:$E,$CM$6+ROW()-9,COLUMN())="","",INDEX('⑩ 원문 보관'!$A:$E,$CM$6+ROW()-9,COLUMN())))</f>
        <v/>
      </c>
      <c r="B539" t="str">
        <f>IF($CM$6=0,"",IF(INDEX('⑩ 원문 보관'!$A:$E,$CM$6+ROW()-9,COLUMN())="","",INDEX('⑩ 원문 보관'!$A:$E,$CM$6+ROW()-9,COLUMN())))</f>
        <v/>
      </c>
      <c r="C539" t="str">
        <f>IF($CM$6=0,"",IF(INDEX('⑩ 원문 보관'!$A:$E,$CM$6+ROW()-9,COLUMN())="","",INDEX('⑩ 원문 보관'!$A:$E,$CM$6+ROW()-9,COLUMN())))</f>
        <v/>
      </c>
      <c r="D539" t="str">
        <f>IF($CM$6=0,"",IF(INDEX('⑩ 원문 보관'!$A:$E,$CM$6+ROW()-9,COLUMN())="","",INDEX('⑩ 원문 보관'!$A:$E,$CM$6+ROW()-9,COLUMN())))</f>
        <v/>
      </c>
      <c r="E539" t="str">
        <f>IF($CM$6=0,"",IF(INDEX('⑩ 원문 보관'!$A:$E,$CM$6+ROW()-9,COLUMN())="","",INDEX('⑩ 원문 보관'!$A:$E,$CM$6+ROW()-9,COLUMN())))</f>
        <v/>
      </c>
      <c r="Q539">
        <f t="shared" si="245"/>
        <v>8</v>
      </c>
      <c r="R539" t="str">
        <f t="shared" si="225"/>
        <v/>
      </c>
      <c r="S539" t="str">
        <f t="shared" si="226"/>
        <v/>
      </c>
      <c r="T539" t="str">
        <f t="shared" si="227"/>
        <v/>
      </c>
      <c r="U539">
        <f t="shared" si="228"/>
        <v>0</v>
      </c>
      <c r="V539">
        <f t="shared" si="246"/>
        <v>12</v>
      </c>
      <c r="W539" t="str">
        <f t="shared" si="229"/>
        <v/>
      </c>
      <c r="X539" t="str">
        <f t="shared" si="230"/>
        <v/>
      </c>
      <c r="Y539" t="str">
        <f t="shared" si="231"/>
        <v/>
      </c>
      <c r="Z539">
        <f t="shared" si="232"/>
        <v>0</v>
      </c>
      <c r="AA539">
        <f t="shared" si="247"/>
        <v>6</v>
      </c>
      <c r="AB539" t="str">
        <f t="shared" si="233"/>
        <v/>
      </c>
      <c r="AC539" t="str">
        <f t="shared" si="234"/>
        <v/>
      </c>
      <c r="AD539" t="str">
        <f t="shared" si="235"/>
        <v/>
      </c>
      <c r="AE539">
        <f t="shared" si="236"/>
        <v>0</v>
      </c>
      <c r="AF539">
        <f t="shared" si="248"/>
        <v>10</v>
      </c>
      <c r="AG539" t="str">
        <f t="shared" si="237"/>
        <v/>
      </c>
      <c r="AH539" t="str">
        <f t="shared" si="238"/>
        <v/>
      </c>
      <c r="AI539" t="str">
        <f t="shared" si="239"/>
        <v/>
      </c>
      <c r="AJ539">
        <f t="shared" si="240"/>
        <v>0</v>
      </c>
      <c r="AK539">
        <f t="shared" si="249"/>
        <v>4</v>
      </c>
      <c r="AL539" t="str">
        <f t="shared" si="241"/>
        <v/>
      </c>
      <c r="AM539" t="str">
        <f t="shared" si="242"/>
        <v/>
      </c>
      <c r="AN539" t="str">
        <f t="shared" si="243"/>
        <v/>
      </c>
      <c r="AO539">
        <f t="shared" si="244"/>
        <v>0</v>
      </c>
    </row>
    <row r="540" spans="1:41" x14ac:dyDescent="0.4">
      <c r="A540" t="str">
        <f>IF($CM$6=0,"",IF(INDEX('⑩ 원문 보관'!$A:$E,$CM$6+ROW()-9,COLUMN())="","",INDEX('⑩ 원문 보관'!$A:$E,$CM$6+ROW()-9,COLUMN())))</f>
        <v/>
      </c>
      <c r="B540" t="str">
        <f>IF($CM$6=0,"",IF(INDEX('⑩ 원문 보관'!$A:$E,$CM$6+ROW()-9,COLUMN())="","",INDEX('⑩ 원문 보관'!$A:$E,$CM$6+ROW()-9,COLUMN())))</f>
        <v/>
      </c>
      <c r="C540" t="str">
        <f>IF($CM$6=0,"",IF(INDEX('⑩ 원문 보관'!$A:$E,$CM$6+ROW()-9,COLUMN())="","",INDEX('⑩ 원문 보관'!$A:$E,$CM$6+ROW()-9,COLUMN())))</f>
        <v/>
      </c>
      <c r="D540" t="str">
        <f>IF($CM$6=0,"",IF(INDEX('⑩ 원문 보관'!$A:$E,$CM$6+ROW()-9,COLUMN())="","",INDEX('⑩ 원문 보관'!$A:$E,$CM$6+ROW()-9,COLUMN())))</f>
        <v/>
      </c>
      <c r="E540" t="str">
        <f>IF($CM$6=0,"",IF(INDEX('⑩ 원문 보관'!$A:$E,$CM$6+ROW()-9,COLUMN())="","",INDEX('⑩ 원문 보관'!$A:$E,$CM$6+ROW()-9,COLUMN())))</f>
        <v/>
      </c>
      <c r="Q540">
        <f t="shared" si="245"/>
        <v>8</v>
      </c>
      <c r="R540" t="str">
        <f t="shared" si="225"/>
        <v/>
      </c>
      <c r="S540" t="str">
        <f t="shared" si="226"/>
        <v/>
      </c>
      <c r="T540" t="str">
        <f t="shared" si="227"/>
        <v/>
      </c>
      <c r="U540">
        <f t="shared" si="228"/>
        <v>0</v>
      </c>
      <c r="V540">
        <f t="shared" si="246"/>
        <v>12</v>
      </c>
      <c r="W540" t="str">
        <f t="shared" si="229"/>
        <v/>
      </c>
      <c r="X540" t="str">
        <f t="shared" si="230"/>
        <v/>
      </c>
      <c r="Y540" t="str">
        <f t="shared" si="231"/>
        <v/>
      </c>
      <c r="Z540">
        <f t="shared" si="232"/>
        <v>0</v>
      </c>
      <c r="AA540">
        <f t="shared" si="247"/>
        <v>6</v>
      </c>
      <c r="AB540" t="str">
        <f t="shared" si="233"/>
        <v/>
      </c>
      <c r="AC540" t="str">
        <f t="shared" si="234"/>
        <v/>
      </c>
      <c r="AD540" t="str">
        <f t="shared" si="235"/>
        <v/>
      </c>
      <c r="AE540">
        <f t="shared" si="236"/>
        <v>0</v>
      </c>
      <c r="AF540">
        <f t="shared" si="248"/>
        <v>10</v>
      </c>
      <c r="AG540" t="str">
        <f t="shared" si="237"/>
        <v/>
      </c>
      <c r="AH540" t="str">
        <f t="shared" si="238"/>
        <v/>
      </c>
      <c r="AI540" t="str">
        <f t="shared" si="239"/>
        <v/>
      </c>
      <c r="AJ540">
        <f t="shared" si="240"/>
        <v>0</v>
      </c>
      <c r="AK540">
        <f t="shared" si="249"/>
        <v>4</v>
      </c>
      <c r="AL540" t="str">
        <f t="shared" si="241"/>
        <v/>
      </c>
      <c r="AM540" t="str">
        <f t="shared" si="242"/>
        <v/>
      </c>
      <c r="AN540" t="str">
        <f t="shared" si="243"/>
        <v/>
      </c>
      <c r="AO540">
        <f t="shared" si="244"/>
        <v>0</v>
      </c>
    </row>
    <row r="541" spans="1:41" x14ac:dyDescent="0.4">
      <c r="A541" t="str">
        <f>IF($CM$6=0,"",IF(INDEX('⑩ 원문 보관'!$A:$E,$CM$6+ROW()-9,COLUMN())="","",INDEX('⑩ 원문 보관'!$A:$E,$CM$6+ROW()-9,COLUMN())))</f>
        <v/>
      </c>
      <c r="B541" t="str">
        <f>IF($CM$6=0,"",IF(INDEX('⑩ 원문 보관'!$A:$E,$CM$6+ROW()-9,COLUMN())="","",INDEX('⑩ 원문 보관'!$A:$E,$CM$6+ROW()-9,COLUMN())))</f>
        <v/>
      </c>
      <c r="C541" t="str">
        <f>IF($CM$6=0,"",IF(INDEX('⑩ 원문 보관'!$A:$E,$CM$6+ROW()-9,COLUMN())="","",INDEX('⑩ 원문 보관'!$A:$E,$CM$6+ROW()-9,COLUMN())))</f>
        <v/>
      </c>
      <c r="D541" t="str">
        <f>IF($CM$6=0,"",IF(INDEX('⑩ 원문 보관'!$A:$E,$CM$6+ROW()-9,COLUMN())="","",INDEX('⑩ 원문 보관'!$A:$E,$CM$6+ROW()-9,COLUMN())))</f>
        <v/>
      </c>
      <c r="E541" t="str">
        <f>IF($CM$6=0,"",IF(INDEX('⑩ 원문 보관'!$A:$E,$CM$6+ROW()-9,COLUMN())="","",INDEX('⑩ 원문 보관'!$A:$E,$CM$6+ROW()-9,COLUMN())))</f>
        <v/>
      </c>
      <c r="Q541">
        <f t="shared" si="245"/>
        <v>8</v>
      </c>
      <c r="R541" t="str">
        <f t="shared" si="225"/>
        <v/>
      </c>
      <c r="S541" t="str">
        <f t="shared" si="226"/>
        <v/>
      </c>
      <c r="T541" t="str">
        <f t="shared" si="227"/>
        <v/>
      </c>
      <c r="U541">
        <f t="shared" si="228"/>
        <v>0</v>
      </c>
      <c r="V541">
        <f t="shared" si="246"/>
        <v>12</v>
      </c>
      <c r="W541" t="str">
        <f t="shared" si="229"/>
        <v/>
      </c>
      <c r="X541" t="str">
        <f t="shared" si="230"/>
        <v/>
      </c>
      <c r="Y541" t="str">
        <f t="shared" si="231"/>
        <v/>
      </c>
      <c r="Z541">
        <f t="shared" si="232"/>
        <v>0</v>
      </c>
      <c r="AA541">
        <f t="shared" si="247"/>
        <v>6</v>
      </c>
      <c r="AB541" t="str">
        <f t="shared" si="233"/>
        <v/>
      </c>
      <c r="AC541" t="str">
        <f t="shared" si="234"/>
        <v/>
      </c>
      <c r="AD541" t="str">
        <f t="shared" si="235"/>
        <v/>
      </c>
      <c r="AE541">
        <f t="shared" si="236"/>
        <v>0</v>
      </c>
      <c r="AF541">
        <f t="shared" si="248"/>
        <v>10</v>
      </c>
      <c r="AG541" t="str">
        <f t="shared" si="237"/>
        <v/>
      </c>
      <c r="AH541" t="str">
        <f t="shared" si="238"/>
        <v/>
      </c>
      <c r="AI541" t="str">
        <f t="shared" si="239"/>
        <v/>
      </c>
      <c r="AJ541">
        <f t="shared" si="240"/>
        <v>0</v>
      </c>
      <c r="AK541">
        <f t="shared" si="249"/>
        <v>4</v>
      </c>
      <c r="AL541" t="str">
        <f t="shared" si="241"/>
        <v/>
      </c>
      <c r="AM541" t="str">
        <f t="shared" si="242"/>
        <v/>
      </c>
      <c r="AN541" t="str">
        <f t="shared" si="243"/>
        <v/>
      </c>
      <c r="AO541">
        <f t="shared" si="244"/>
        <v>0</v>
      </c>
    </row>
    <row r="542" spans="1:41" x14ac:dyDescent="0.4">
      <c r="A542" t="str">
        <f>IF($CM$6=0,"",IF(INDEX('⑩ 원문 보관'!$A:$E,$CM$6+ROW()-9,COLUMN())="","",INDEX('⑩ 원문 보관'!$A:$E,$CM$6+ROW()-9,COLUMN())))</f>
        <v/>
      </c>
      <c r="B542" t="str">
        <f>IF($CM$6=0,"",IF(INDEX('⑩ 원문 보관'!$A:$E,$CM$6+ROW()-9,COLUMN())="","",INDEX('⑩ 원문 보관'!$A:$E,$CM$6+ROW()-9,COLUMN())))</f>
        <v/>
      </c>
      <c r="C542" t="str">
        <f>IF($CM$6=0,"",IF(INDEX('⑩ 원문 보관'!$A:$E,$CM$6+ROW()-9,COLUMN())="","",INDEX('⑩ 원문 보관'!$A:$E,$CM$6+ROW()-9,COLUMN())))</f>
        <v/>
      </c>
      <c r="D542" t="str">
        <f>IF($CM$6=0,"",IF(INDEX('⑩ 원문 보관'!$A:$E,$CM$6+ROW()-9,COLUMN())="","",INDEX('⑩ 원문 보관'!$A:$E,$CM$6+ROW()-9,COLUMN())))</f>
        <v/>
      </c>
      <c r="E542" t="str">
        <f>IF($CM$6=0,"",IF(INDEX('⑩ 원문 보관'!$A:$E,$CM$6+ROW()-9,COLUMN())="","",INDEX('⑩ 원문 보관'!$A:$E,$CM$6+ROW()-9,COLUMN())))</f>
        <v/>
      </c>
      <c r="Q542">
        <f t="shared" si="245"/>
        <v>8</v>
      </c>
      <c r="R542" t="str">
        <f t="shared" si="225"/>
        <v/>
      </c>
      <c r="S542" t="str">
        <f t="shared" si="226"/>
        <v/>
      </c>
      <c r="T542" t="str">
        <f t="shared" si="227"/>
        <v/>
      </c>
      <c r="U542">
        <f t="shared" si="228"/>
        <v>0</v>
      </c>
      <c r="V542">
        <f t="shared" si="246"/>
        <v>12</v>
      </c>
      <c r="W542" t="str">
        <f t="shared" si="229"/>
        <v/>
      </c>
      <c r="X542" t="str">
        <f t="shared" si="230"/>
        <v/>
      </c>
      <c r="Y542" t="str">
        <f t="shared" si="231"/>
        <v/>
      </c>
      <c r="Z542">
        <f t="shared" si="232"/>
        <v>0</v>
      </c>
      <c r="AA542">
        <f t="shared" si="247"/>
        <v>6</v>
      </c>
      <c r="AB542" t="str">
        <f t="shared" si="233"/>
        <v/>
      </c>
      <c r="AC542" t="str">
        <f t="shared" si="234"/>
        <v/>
      </c>
      <c r="AD542" t="str">
        <f t="shared" si="235"/>
        <v/>
      </c>
      <c r="AE542">
        <f t="shared" si="236"/>
        <v>0</v>
      </c>
      <c r="AF542">
        <f t="shared" si="248"/>
        <v>10</v>
      </c>
      <c r="AG542" t="str">
        <f t="shared" si="237"/>
        <v/>
      </c>
      <c r="AH542" t="str">
        <f t="shared" si="238"/>
        <v/>
      </c>
      <c r="AI542" t="str">
        <f t="shared" si="239"/>
        <v/>
      </c>
      <c r="AJ542">
        <f t="shared" si="240"/>
        <v>0</v>
      </c>
      <c r="AK542">
        <f t="shared" si="249"/>
        <v>4</v>
      </c>
      <c r="AL542" t="str">
        <f t="shared" si="241"/>
        <v/>
      </c>
      <c r="AM542" t="str">
        <f t="shared" si="242"/>
        <v/>
      </c>
      <c r="AN542" t="str">
        <f t="shared" si="243"/>
        <v/>
      </c>
      <c r="AO542">
        <f t="shared" si="244"/>
        <v>0</v>
      </c>
    </row>
    <row r="543" spans="1:41" x14ac:dyDescent="0.4">
      <c r="A543" t="str">
        <f>IF($CM$6=0,"",IF(INDEX('⑩ 원문 보관'!$A:$E,$CM$6+ROW()-9,COLUMN())="","",INDEX('⑩ 원문 보관'!$A:$E,$CM$6+ROW()-9,COLUMN())))</f>
        <v/>
      </c>
      <c r="B543" t="str">
        <f>IF($CM$6=0,"",IF(INDEX('⑩ 원문 보관'!$A:$E,$CM$6+ROW()-9,COLUMN())="","",INDEX('⑩ 원문 보관'!$A:$E,$CM$6+ROW()-9,COLUMN())))</f>
        <v/>
      </c>
      <c r="C543" t="str">
        <f>IF($CM$6=0,"",IF(INDEX('⑩ 원문 보관'!$A:$E,$CM$6+ROW()-9,COLUMN())="","",INDEX('⑩ 원문 보관'!$A:$E,$CM$6+ROW()-9,COLUMN())))</f>
        <v/>
      </c>
      <c r="D543" t="str">
        <f>IF($CM$6=0,"",IF(INDEX('⑩ 원문 보관'!$A:$E,$CM$6+ROW()-9,COLUMN())="","",INDEX('⑩ 원문 보관'!$A:$E,$CM$6+ROW()-9,COLUMN())))</f>
        <v/>
      </c>
      <c r="E543" t="str">
        <f>IF($CM$6=0,"",IF(INDEX('⑩ 원문 보관'!$A:$E,$CM$6+ROW()-9,COLUMN())="","",INDEX('⑩ 원문 보관'!$A:$E,$CM$6+ROW()-9,COLUMN())))</f>
        <v/>
      </c>
      <c r="Q543">
        <f t="shared" si="245"/>
        <v>8</v>
      </c>
      <c r="R543" t="str">
        <f t="shared" si="225"/>
        <v/>
      </c>
      <c r="S543" t="str">
        <f t="shared" si="226"/>
        <v/>
      </c>
      <c r="T543" t="str">
        <f t="shared" si="227"/>
        <v/>
      </c>
      <c r="U543">
        <f t="shared" si="228"/>
        <v>0</v>
      </c>
      <c r="V543">
        <f t="shared" si="246"/>
        <v>12</v>
      </c>
      <c r="W543" t="str">
        <f t="shared" si="229"/>
        <v/>
      </c>
      <c r="X543" t="str">
        <f t="shared" si="230"/>
        <v/>
      </c>
      <c r="Y543" t="str">
        <f t="shared" si="231"/>
        <v/>
      </c>
      <c r="Z543">
        <f t="shared" si="232"/>
        <v>0</v>
      </c>
      <c r="AA543">
        <f t="shared" si="247"/>
        <v>6</v>
      </c>
      <c r="AB543" t="str">
        <f t="shared" si="233"/>
        <v/>
      </c>
      <c r="AC543" t="str">
        <f t="shared" si="234"/>
        <v/>
      </c>
      <c r="AD543" t="str">
        <f t="shared" si="235"/>
        <v/>
      </c>
      <c r="AE543">
        <f t="shared" si="236"/>
        <v>0</v>
      </c>
      <c r="AF543">
        <f t="shared" si="248"/>
        <v>10</v>
      </c>
      <c r="AG543" t="str">
        <f t="shared" si="237"/>
        <v/>
      </c>
      <c r="AH543" t="str">
        <f t="shared" si="238"/>
        <v/>
      </c>
      <c r="AI543" t="str">
        <f t="shared" si="239"/>
        <v/>
      </c>
      <c r="AJ543">
        <f t="shared" si="240"/>
        <v>0</v>
      </c>
      <c r="AK543">
        <f t="shared" si="249"/>
        <v>4</v>
      </c>
      <c r="AL543" t="str">
        <f t="shared" si="241"/>
        <v/>
      </c>
      <c r="AM543" t="str">
        <f t="shared" si="242"/>
        <v/>
      </c>
      <c r="AN543" t="str">
        <f t="shared" si="243"/>
        <v/>
      </c>
      <c r="AO543">
        <f t="shared" si="244"/>
        <v>0</v>
      </c>
    </row>
    <row r="544" spans="1:41" x14ac:dyDescent="0.4">
      <c r="A544" t="str">
        <f>IF($CM$6=0,"",IF(INDEX('⑩ 원문 보관'!$A:$E,$CM$6+ROW()-9,COLUMN())="","",INDEX('⑩ 원문 보관'!$A:$E,$CM$6+ROW()-9,COLUMN())))</f>
        <v/>
      </c>
      <c r="B544" t="str">
        <f>IF($CM$6=0,"",IF(INDEX('⑩ 원문 보관'!$A:$E,$CM$6+ROW()-9,COLUMN())="","",INDEX('⑩ 원문 보관'!$A:$E,$CM$6+ROW()-9,COLUMN())))</f>
        <v/>
      </c>
      <c r="C544" t="str">
        <f>IF($CM$6=0,"",IF(INDEX('⑩ 원문 보관'!$A:$E,$CM$6+ROW()-9,COLUMN())="","",INDEX('⑩ 원문 보관'!$A:$E,$CM$6+ROW()-9,COLUMN())))</f>
        <v/>
      </c>
      <c r="D544" t="str">
        <f>IF($CM$6=0,"",IF(INDEX('⑩ 원문 보관'!$A:$E,$CM$6+ROW()-9,COLUMN())="","",INDEX('⑩ 원문 보관'!$A:$E,$CM$6+ROW()-9,COLUMN())))</f>
        <v/>
      </c>
      <c r="E544" t="str">
        <f>IF($CM$6=0,"",IF(INDEX('⑩ 원문 보관'!$A:$E,$CM$6+ROW()-9,COLUMN())="","",INDEX('⑩ 원문 보관'!$A:$E,$CM$6+ROW()-9,COLUMN())))</f>
        <v/>
      </c>
      <c r="Q544">
        <f t="shared" si="245"/>
        <v>8</v>
      </c>
      <c r="R544" t="str">
        <f t="shared" si="225"/>
        <v/>
      </c>
      <c r="S544" t="str">
        <f t="shared" si="226"/>
        <v/>
      </c>
      <c r="T544" t="str">
        <f t="shared" si="227"/>
        <v/>
      </c>
      <c r="U544">
        <f t="shared" si="228"/>
        <v>0</v>
      </c>
      <c r="V544">
        <f t="shared" si="246"/>
        <v>12</v>
      </c>
      <c r="W544" t="str">
        <f t="shared" si="229"/>
        <v/>
      </c>
      <c r="X544" t="str">
        <f t="shared" si="230"/>
        <v/>
      </c>
      <c r="Y544" t="str">
        <f t="shared" si="231"/>
        <v/>
      </c>
      <c r="Z544">
        <f t="shared" si="232"/>
        <v>0</v>
      </c>
      <c r="AA544">
        <f t="shared" si="247"/>
        <v>6</v>
      </c>
      <c r="AB544" t="str">
        <f t="shared" si="233"/>
        <v/>
      </c>
      <c r="AC544" t="str">
        <f t="shared" si="234"/>
        <v/>
      </c>
      <c r="AD544" t="str">
        <f t="shared" si="235"/>
        <v/>
      </c>
      <c r="AE544">
        <f t="shared" si="236"/>
        <v>0</v>
      </c>
      <c r="AF544">
        <f t="shared" si="248"/>
        <v>10</v>
      </c>
      <c r="AG544" t="str">
        <f t="shared" si="237"/>
        <v/>
      </c>
      <c r="AH544" t="str">
        <f t="shared" si="238"/>
        <v/>
      </c>
      <c r="AI544" t="str">
        <f t="shared" si="239"/>
        <v/>
      </c>
      <c r="AJ544">
        <f t="shared" si="240"/>
        <v>0</v>
      </c>
      <c r="AK544">
        <f t="shared" si="249"/>
        <v>4</v>
      </c>
      <c r="AL544" t="str">
        <f t="shared" si="241"/>
        <v/>
      </c>
      <c r="AM544" t="str">
        <f t="shared" si="242"/>
        <v/>
      </c>
      <c r="AN544" t="str">
        <f t="shared" si="243"/>
        <v/>
      </c>
      <c r="AO544">
        <f t="shared" si="244"/>
        <v>0</v>
      </c>
    </row>
    <row r="545" spans="1:41" x14ac:dyDescent="0.4">
      <c r="A545" t="str">
        <f>IF($CM$6=0,"",IF(INDEX('⑩ 원문 보관'!$A:$E,$CM$6+ROW()-9,COLUMN())="","",INDEX('⑩ 원문 보관'!$A:$E,$CM$6+ROW()-9,COLUMN())))</f>
        <v/>
      </c>
      <c r="B545" t="str">
        <f>IF($CM$6=0,"",IF(INDEX('⑩ 원문 보관'!$A:$E,$CM$6+ROW()-9,COLUMN())="","",INDEX('⑩ 원문 보관'!$A:$E,$CM$6+ROW()-9,COLUMN())))</f>
        <v/>
      </c>
      <c r="C545" t="str">
        <f>IF($CM$6=0,"",IF(INDEX('⑩ 원문 보관'!$A:$E,$CM$6+ROW()-9,COLUMN())="","",INDEX('⑩ 원문 보관'!$A:$E,$CM$6+ROW()-9,COLUMN())))</f>
        <v/>
      </c>
      <c r="D545" t="str">
        <f>IF($CM$6=0,"",IF(INDEX('⑩ 원문 보관'!$A:$E,$CM$6+ROW()-9,COLUMN())="","",INDEX('⑩ 원문 보관'!$A:$E,$CM$6+ROW()-9,COLUMN())))</f>
        <v/>
      </c>
      <c r="E545" t="str">
        <f>IF($CM$6=0,"",IF(INDEX('⑩ 원문 보관'!$A:$E,$CM$6+ROW()-9,COLUMN())="","",INDEX('⑩ 원문 보관'!$A:$E,$CM$6+ROW()-9,COLUMN())))</f>
        <v/>
      </c>
      <c r="Q545">
        <f t="shared" si="245"/>
        <v>8</v>
      </c>
      <c r="R545" t="str">
        <f t="shared" si="225"/>
        <v/>
      </c>
      <c r="S545" t="str">
        <f t="shared" si="226"/>
        <v/>
      </c>
      <c r="T545" t="str">
        <f t="shared" si="227"/>
        <v/>
      </c>
      <c r="U545">
        <f t="shared" si="228"/>
        <v>0</v>
      </c>
      <c r="V545">
        <f t="shared" si="246"/>
        <v>12</v>
      </c>
      <c r="W545" t="str">
        <f t="shared" si="229"/>
        <v/>
      </c>
      <c r="X545" t="str">
        <f t="shared" si="230"/>
        <v/>
      </c>
      <c r="Y545" t="str">
        <f t="shared" si="231"/>
        <v/>
      </c>
      <c r="Z545">
        <f t="shared" si="232"/>
        <v>0</v>
      </c>
      <c r="AA545">
        <f t="shared" si="247"/>
        <v>6</v>
      </c>
      <c r="AB545" t="str">
        <f t="shared" si="233"/>
        <v/>
      </c>
      <c r="AC545" t="str">
        <f t="shared" si="234"/>
        <v/>
      </c>
      <c r="AD545" t="str">
        <f t="shared" si="235"/>
        <v/>
      </c>
      <c r="AE545">
        <f t="shared" si="236"/>
        <v>0</v>
      </c>
      <c r="AF545">
        <f t="shared" si="248"/>
        <v>10</v>
      </c>
      <c r="AG545" t="str">
        <f t="shared" si="237"/>
        <v/>
      </c>
      <c r="AH545" t="str">
        <f t="shared" si="238"/>
        <v/>
      </c>
      <c r="AI545" t="str">
        <f t="shared" si="239"/>
        <v/>
      </c>
      <c r="AJ545">
        <f t="shared" si="240"/>
        <v>0</v>
      </c>
      <c r="AK545">
        <f t="shared" si="249"/>
        <v>4</v>
      </c>
      <c r="AL545" t="str">
        <f t="shared" si="241"/>
        <v/>
      </c>
      <c r="AM545" t="str">
        <f t="shared" si="242"/>
        <v/>
      </c>
      <c r="AN545" t="str">
        <f t="shared" si="243"/>
        <v/>
      </c>
      <c r="AO545">
        <f t="shared" si="244"/>
        <v>0</v>
      </c>
    </row>
    <row r="546" spans="1:41" x14ac:dyDescent="0.4">
      <c r="A546" t="str">
        <f>IF($CM$6=0,"",IF(INDEX('⑩ 원문 보관'!$A:$E,$CM$6+ROW()-9,COLUMN())="","",INDEX('⑩ 원문 보관'!$A:$E,$CM$6+ROW()-9,COLUMN())))</f>
        <v/>
      </c>
      <c r="B546" t="str">
        <f>IF($CM$6=0,"",IF(INDEX('⑩ 원문 보관'!$A:$E,$CM$6+ROW()-9,COLUMN())="","",INDEX('⑩ 원문 보관'!$A:$E,$CM$6+ROW()-9,COLUMN())))</f>
        <v/>
      </c>
      <c r="C546" t="str">
        <f>IF($CM$6=0,"",IF(INDEX('⑩ 원문 보관'!$A:$E,$CM$6+ROW()-9,COLUMN())="","",INDEX('⑩ 원문 보관'!$A:$E,$CM$6+ROW()-9,COLUMN())))</f>
        <v/>
      </c>
      <c r="D546" t="str">
        <f>IF($CM$6=0,"",IF(INDEX('⑩ 원문 보관'!$A:$E,$CM$6+ROW()-9,COLUMN())="","",INDEX('⑩ 원문 보관'!$A:$E,$CM$6+ROW()-9,COLUMN())))</f>
        <v/>
      </c>
      <c r="E546" t="str">
        <f>IF($CM$6=0,"",IF(INDEX('⑩ 원문 보관'!$A:$E,$CM$6+ROW()-9,COLUMN())="","",INDEX('⑩ 원문 보관'!$A:$E,$CM$6+ROW()-9,COLUMN())))</f>
        <v/>
      </c>
      <c r="Q546">
        <f t="shared" si="245"/>
        <v>8</v>
      </c>
      <c r="R546" t="str">
        <f t="shared" si="225"/>
        <v/>
      </c>
      <c r="S546" t="str">
        <f t="shared" si="226"/>
        <v/>
      </c>
      <c r="T546" t="str">
        <f t="shared" si="227"/>
        <v/>
      </c>
      <c r="U546">
        <f t="shared" si="228"/>
        <v>0</v>
      </c>
      <c r="V546">
        <f t="shared" si="246"/>
        <v>12</v>
      </c>
      <c r="W546" t="str">
        <f t="shared" si="229"/>
        <v/>
      </c>
      <c r="X546" t="str">
        <f t="shared" si="230"/>
        <v/>
      </c>
      <c r="Y546" t="str">
        <f t="shared" si="231"/>
        <v/>
      </c>
      <c r="Z546">
        <f t="shared" si="232"/>
        <v>0</v>
      </c>
      <c r="AA546">
        <f t="shared" si="247"/>
        <v>6</v>
      </c>
      <c r="AB546" t="str">
        <f t="shared" si="233"/>
        <v/>
      </c>
      <c r="AC546" t="str">
        <f t="shared" si="234"/>
        <v/>
      </c>
      <c r="AD546" t="str">
        <f t="shared" si="235"/>
        <v/>
      </c>
      <c r="AE546">
        <f t="shared" si="236"/>
        <v>0</v>
      </c>
      <c r="AF546">
        <f t="shared" si="248"/>
        <v>10</v>
      </c>
      <c r="AG546" t="str">
        <f t="shared" si="237"/>
        <v/>
      </c>
      <c r="AH546" t="str">
        <f t="shared" si="238"/>
        <v/>
      </c>
      <c r="AI546" t="str">
        <f t="shared" si="239"/>
        <v/>
      </c>
      <c r="AJ546">
        <f t="shared" si="240"/>
        <v>0</v>
      </c>
      <c r="AK546">
        <f t="shared" si="249"/>
        <v>4</v>
      </c>
      <c r="AL546" t="str">
        <f t="shared" si="241"/>
        <v/>
      </c>
      <c r="AM546" t="str">
        <f t="shared" si="242"/>
        <v/>
      </c>
      <c r="AN546" t="str">
        <f t="shared" si="243"/>
        <v/>
      </c>
      <c r="AO546">
        <f t="shared" si="244"/>
        <v>0</v>
      </c>
    </row>
    <row r="547" spans="1:41" x14ac:dyDescent="0.4">
      <c r="A547" t="str">
        <f>IF($CM$6=0,"",IF(INDEX('⑩ 원문 보관'!$A:$E,$CM$6+ROW()-9,COLUMN())="","",INDEX('⑩ 원문 보관'!$A:$E,$CM$6+ROW()-9,COLUMN())))</f>
        <v/>
      </c>
      <c r="B547" t="str">
        <f>IF($CM$6=0,"",IF(INDEX('⑩ 원문 보관'!$A:$E,$CM$6+ROW()-9,COLUMN())="","",INDEX('⑩ 원문 보관'!$A:$E,$CM$6+ROW()-9,COLUMN())))</f>
        <v/>
      </c>
      <c r="C547" t="str">
        <f>IF($CM$6=0,"",IF(INDEX('⑩ 원문 보관'!$A:$E,$CM$6+ROW()-9,COLUMN())="","",INDEX('⑩ 원문 보관'!$A:$E,$CM$6+ROW()-9,COLUMN())))</f>
        <v/>
      </c>
      <c r="D547" t="str">
        <f>IF($CM$6=0,"",IF(INDEX('⑩ 원문 보관'!$A:$E,$CM$6+ROW()-9,COLUMN())="","",INDEX('⑩ 원문 보관'!$A:$E,$CM$6+ROW()-9,COLUMN())))</f>
        <v/>
      </c>
      <c r="E547" t="str">
        <f>IF($CM$6=0,"",IF(INDEX('⑩ 원문 보관'!$A:$E,$CM$6+ROW()-9,COLUMN())="","",INDEX('⑩ 원문 보관'!$A:$E,$CM$6+ROW()-9,COLUMN())))</f>
        <v/>
      </c>
      <c r="Q547">
        <f t="shared" si="245"/>
        <v>8</v>
      </c>
      <c r="R547" t="str">
        <f t="shared" si="225"/>
        <v/>
      </c>
      <c r="S547" t="str">
        <f t="shared" si="226"/>
        <v/>
      </c>
      <c r="T547" t="str">
        <f t="shared" si="227"/>
        <v/>
      </c>
      <c r="U547">
        <f t="shared" si="228"/>
        <v>0</v>
      </c>
      <c r="V547">
        <f t="shared" si="246"/>
        <v>12</v>
      </c>
      <c r="W547" t="str">
        <f t="shared" si="229"/>
        <v/>
      </c>
      <c r="X547" t="str">
        <f t="shared" si="230"/>
        <v/>
      </c>
      <c r="Y547" t="str">
        <f t="shared" si="231"/>
        <v/>
      </c>
      <c r="Z547">
        <f t="shared" si="232"/>
        <v>0</v>
      </c>
      <c r="AA547">
        <f t="shared" si="247"/>
        <v>6</v>
      </c>
      <c r="AB547" t="str">
        <f t="shared" si="233"/>
        <v/>
      </c>
      <c r="AC547" t="str">
        <f t="shared" si="234"/>
        <v/>
      </c>
      <c r="AD547" t="str">
        <f t="shared" si="235"/>
        <v/>
      </c>
      <c r="AE547">
        <f t="shared" si="236"/>
        <v>0</v>
      </c>
      <c r="AF547">
        <f t="shared" si="248"/>
        <v>10</v>
      </c>
      <c r="AG547" t="str">
        <f t="shared" si="237"/>
        <v/>
      </c>
      <c r="AH547" t="str">
        <f t="shared" si="238"/>
        <v/>
      </c>
      <c r="AI547" t="str">
        <f t="shared" si="239"/>
        <v/>
      </c>
      <c r="AJ547">
        <f t="shared" si="240"/>
        <v>0</v>
      </c>
      <c r="AK547">
        <f t="shared" si="249"/>
        <v>4</v>
      </c>
      <c r="AL547" t="str">
        <f t="shared" si="241"/>
        <v/>
      </c>
      <c r="AM547" t="str">
        <f t="shared" si="242"/>
        <v/>
      </c>
      <c r="AN547" t="str">
        <f t="shared" si="243"/>
        <v/>
      </c>
      <c r="AO547">
        <f t="shared" si="244"/>
        <v>0</v>
      </c>
    </row>
    <row r="548" spans="1:41" x14ac:dyDescent="0.4">
      <c r="A548" t="str">
        <f>IF($CM$6=0,"",IF(INDEX('⑩ 원문 보관'!$A:$E,$CM$6+ROW()-9,COLUMN())="","",INDEX('⑩ 원문 보관'!$A:$E,$CM$6+ROW()-9,COLUMN())))</f>
        <v/>
      </c>
      <c r="B548" t="str">
        <f>IF($CM$6=0,"",IF(INDEX('⑩ 원문 보관'!$A:$E,$CM$6+ROW()-9,COLUMN())="","",INDEX('⑩ 원문 보관'!$A:$E,$CM$6+ROW()-9,COLUMN())))</f>
        <v/>
      </c>
      <c r="C548" t="str">
        <f>IF($CM$6=0,"",IF(INDEX('⑩ 원문 보관'!$A:$E,$CM$6+ROW()-9,COLUMN())="","",INDEX('⑩ 원문 보관'!$A:$E,$CM$6+ROW()-9,COLUMN())))</f>
        <v/>
      </c>
      <c r="D548" t="str">
        <f>IF($CM$6=0,"",IF(INDEX('⑩ 원문 보관'!$A:$E,$CM$6+ROW()-9,COLUMN())="","",INDEX('⑩ 원문 보관'!$A:$E,$CM$6+ROW()-9,COLUMN())))</f>
        <v/>
      </c>
      <c r="E548" t="str">
        <f>IF($CM$6=0,"",IF(INDEX('⑩ 원문 보관'!$A:$E,$CM$6+ROW()-9,COLUMN())="","",INDEX('⑩ 원문 보관'!$A:$E,$CM$6+ROW()-9,COLUMN())))</f>
        <v/>
      </c>
      <c r="Q548">
        <f t="shared" si="245"/>
        <v>8</v>
      </c>
      <c r="R548" t="str">
        <f t="shared" si="225"/>
        <v/>
      </c>
      <c r="S548" t="str">
        <f t="shared" si="226"/>
        <v/>
      </c>
      <c r="T548" t="str">
        <f t="shared" si="227"/>
        <v/>
      </c>
      <c r="U548">
        <f t="shared" si="228"/>
        <v>0</v>
      </c>
      <c r="V548">
        <f t="shared" si="246"/>
        <v>12</v>
      </c>
      <c r="W548" t="str">
        <f t="shared" si="229"/>
        <v/>
      </c>
      <c r="X548" t="str">
        <f t="shared" si="230"/>
        <v/>
      </c>
      <c r="Y548" t="str">
        <f t="shared" si="231"/>
        <v/>
      </c>
      <c r="Z548">
        <f t="shared" si="232"/>
        <v>0</v>
      </c>
      <c r="AA548">
        <f t="shared" si="247"/>
        <v>6</v>
      </c>
      <c r="AB548" t="str">
        <f t="shared" si="233"/>
        <v/>
      </c>
      <c r="AC548" t="str">
        <f t="shared" si="234"/>
        <v/>
      </c>
      <c r="AD548" t="str">
        <f t="shared" si="235"/>
        <v/>
      </c>
      <c r="AE548">
        <f t="shared" si="236"/>
        <v>0</v>
      </c>
      <c r="AF548">
        <f t="shared" si="248"/>
        <v>10</v>
      </c>
      <c r="AG548" t="str">
        <f t="shared" si="237"/>
        <v/>
      </c>
      <c r="AH548" t="str">
        <f t="shared" si="238"/>
        <v/>
      </c>
      <c r="AI548" t="str">
        <f t="shared" si="239"/>
        <v/>
      </c>
      <c r="AJ548">
        <f t="shared" si="240"/>
        <v>0</v>
      </c>
      <c r="AK548">
        <f t="shared" si="249"/>
        <v>4</v>
      </c>
      <c r="AL548" t="str">
        <f t="shared" si="241"/>
        <v/>
      </c>
      <c r="AM548" t="str">
        <f t="shared" si="242"/>
        <v/>
      </c>
      <c r="AN548" t="str">
        <f t="shared" si="243"/>
        <v/>
      </c>
      <c r="AO548">
        <f t="shared" si="244"/>
        <v>0</v>
      </c>
    </row>
    <row r="549" spans="1:41" x14ac:dyDescent="0.4">
      <c r="A549" t="str">
        <f>IF($CM$6=0,"",IF(INDEX('⑩ 원문 보관'!$A:$E,$CM$6+ROW()-9,COLUMN())="","",INDEX('⑩ 원문 보관'!$A:$E,$CM$6+ROW()-9,COLUMN())))</f>
        <v/>
      </c>
      <c r="B549" t="str">
        <f>IF($CM$6=0,"",IF(INDEX('⑩ 원문 보관'!$A:$E,$CM$6+ROW()-9,COLUMN())="","",INDEX('⑩ 원문 보관'!$A:$E,$CM$6+ROW()-9,COLUMN())))</f>
        <v/>
      </c>
      <c r="C549" t="str">
        <f>IF($CM$6=0,"",IF(INDEX('⑩ 원문 보관'!$A:$E,$CM$6+ROW()-9,COLUMN())="","",INDEX('⑩ 원문 보관'!$A:$E,$CM$6+ROW()-9,COLUMN())))</f>
        <v/>
      </c>
      <c r="D549" t="str">
        <f>IF($CM$6=0,"",IF(INDEX('⑩ 원문 보관'!$A:$E,$CM$6+ROW()-9,COLUMN())="","",INDEX('⑩ 원문 보관'!$A:$E,$CM$6+ROW()-9,COLUMN())))</f>
        <v/>
      </c>
      <c r="E549" t="str">
        <f>IF($CM$6=0,"",IF(INDEX('⑩ 원문 보관'!$A:$E,$CM$6+ROW()-9,COLUMN())="","",INDEX('⑩ 원문 보관'!$A:$E,$CM$6+ROW()-9,COLUMN())))</f>
        <v/>
      </c>
      <c r="Q549">
        <f t="shared" si="245"/>
        <v>8</v>
      </c>
      <c r="R549" t="str">
        <f t="shared" si="225"/>
        <v/>
      </c>
      <c r="S549" t="str">
        <f t="shared" si="226"/>
        <v/>
      </c>
      <c r="T549" t="str">
        <f t="shared" si="227"/>
        <v/>
      </c>
      <c r="U549">
        <f t="shared" si="228"/>
        <v>0</v>
      </c>
      <c r="V549">
        <f t="shared" si="246"/>
        <v>12</v>
      </c>
      <c r="W549" t="str">
        <f t="shared" si="229"/>
        <v/>
      </c>
      <c r="X549" t="str">
        <f t="shared" si="230"/>
        <v/>
      </c>
      <c r="Y549" t="str">
        <f t="shared" si="231"/>
        <v/>
      </c>
      <c r="Z549">
        <f t="shared" si="232"/>
        <v>0</v>
      </c>
      <c r="AA549">
        <f t="shared" si="247"/>
        <v>6</v>
      </c>
      <c r="AB549" t="str">
        <f t="shared" si="233"/>
        <v/>
      </c>
      <c r="AC549" t="str">
        <f t="shared" si="234"/>
        <v/>
      </c>
      <c r="AD549" t="str">
        <f t="shared" si="235"/>
        <v/>
      </c>
      <c r="AE549">
        <f t="shared" si="236"/>
        <v>0</v>
      </c>
      <c r="AF549">
        <f t="shared" si="248"/>
        <v>10</v>
      </c>
      <c r="AG549" t="str">
        <f t="shared" si="237"/>
        <v/>
      </c>
      <c r="AH549" t="str">
        <f t="shared" si="238"/>
        <v/>
      </c>
      <c r="AI549" t="str">
        <f t="shared" si="239"/>
        <v/>
      </c>
      <c r="AJ549">
        <f t="shared" si="240"/>
        <v>0</v>
      </c>
      <c r="AK549">
        <f t="shared" si="249"/>
        <v>4</v>
      </c>
      <c r="AL549" t="str">
        <f t="shared" si="241"/>
        <v/>
      </c>
      <c r="AM549" t="str">
        <f t="shared" si="242"/>
        <v/>
      </c>
      <c r="AN549" t="str">
        <f t="shared" si="243"/>
        <v/>
      </c>
      <c r="AO549">
        <f t="shared" si="244"/>
        <v>0</v>
      </c>
    </row>
    <row r="550" spans="1:41" x14ac:dyDescent="0.4">
      <c r="A550" t="str">
        <f>IF($CM$6=0,"",IF(INDEX('⑩ 원문 보관'!$A:$E,$CM$6+ROW()-9,COLUMN())="","",INDEX('⑩ 원문 보관'!$A:$E,$CM$6+ROW()-9,COLUMN())))</f>
        <v/>
      </c>
      <c r="B550" t="str">
        <f>IF($CM$6=0,"",IF(INDEX('⑩ 원문 보관'!$A:$E,$CM$6+ROW()-9,COLUMN())="","",INDEX('⑩ 원문 보관'!$A:$E,$CM$6+ROW()-9,COLUMN())))</f>
        <v/>
      </c>
      <c r="C550" t="str">
        <f>IF($CM$6=0,"",IF(INDEX('⑩ 원문 보관'!$A:$E,$CM$6+ROW()-9,COLUMN())="","",INDEX('⑩ 원문 보관'!$A:$E,$CM$6+ROW()-9,COLUMN())))</f>
        <v/>
      </c>
      <c r="D550" t="str">
        <f>IF($CM$6=0,"",IF(INDEX('⑩ 원문 보관'!$A:$E,$CM$6+ROW()-9,COLUMN())="","",INDEX('⑩ 원문 보관'!$A:$E,$CM$6+ROW()-9,COLUMN())))</f>
        <v/>
      </c>
      <c r="E550" t="str">
        <f>IF($CM$6=0,"",IF(INDEX('⑩ 원문 보관'!$A:$E,$CM$6+ROW()-9,COLUMN())="","",INDEX('⑩ 원문 보관'!$A:$E,$CM$6+ROW()-9,COLUMN())))</f>
        <v/>
      </c>
      <c r="Q550">
        <f t="shared" si="245"/>
        <v>8</v>
      </c>
      <c r="R550" t="str">
        <f t="shared" si="225"/>
        <v/>
      </c>
      <c r="S550" t="str">
        <f t="shared" si="226"/>
        <v/>
      </c>
      <c r="T550" t="str">
        <f t="shared" si="227"/>
        <v/>
      </c>
      <c r="U550">
        <f t="shared" si="228"/>
        <v>0</v>
      </c>
      <c r="V550">
        <f t="shared" si="246"/>
        <v>12</v>
      </c>
      <c r="W550" t="str">
        <f t="shared" si="229"/>
        <v/>
      </c>
      <c r="X550" t="str">
        <f t="shared" si="230"/>
        <v/>
      </c>
      <c r="Y550" t="str">
        <f t="shared" si="231"/>
        <v/>
      </c>
      <c r="Z550">
        <f t="shared" si="232"/>
        <v>0</v>
      </c>
      <c r="AA550">
        <f t="shared" si="247"/>
        <v>6</v>
      </c>
      <c r="AB550" t="str">
        <f t="shared" si="233"/>
        <v/>
      </c>
      <c r="AC550" t="str">
        <f t="shared" si="234"/>
        <v/>
      </c>
      <c r="AD550" t="str">
        <f t="shared" si="235"/>
        <v/>
      </c>
      <c r="AE550">
        <f t="shared" si="236"/>
        <v>0</v>
      </c>
      <c r="AF550">
        <f t="shared" si="248"/>
        <v>10</v>
      </c>
      <c r="AG550" t="str">
        <f t="shared" si="237"/>
        <v/>
      </c>
      <c r="AH550" t="str">
        <f t="shared" si="238"/>
        <v/>
      </c>
      <c r="AI550" t="str">
        <f t="shared" si="239"/>
        <v/>
      </c>
      <c r="AJ550">
        <f t="shared" si="240"/>
        <v>0</v>
      </c>
      <c r="AK550">
        <f t="shared" si="249"/>
        <v>4</v>
      </c>
      <c r="AL550" t="str">
        <f t="shared" si="241"/>
        <v/>
      </c>
      <c r="AM550" t="str">
        <f t="shared" si="242"/>
        <v/>
      </c>
      <c r="AN550" t="str">
        <f t="shared" si="243"/>
        <v/>
      </c>
      <c r="AO550">
        <f t="shared" si="244"/>
        <v>0</v>
      </c>
    </row>
    <row r="551" spans="1:41" x14ac:dyDescent="0.4">
      <c r="A551" t="str">
        <f>IF($CM$6=0,"",IF(INDEX('⑩ 원문 보관'!$A:$E,$CM$6+ROW()-9,COLUMN())="","",INDEX('⑩ 원문 보관'!$A:$E,$CM$6+ROW()-9,COLUMN())))</f>
        <v/>
      </c>
      <c r="B551" t="str">
        <f>IF($CM$6=0,"",IF(INDEX('⑩ 원문 보관'!$A:$E,$CM$6+ROW()-9,COLUMN())="","",INDEX('⑩ 원문 보관'!$A:$E,$CM$6+ROW()-9,COLUMN())))</f>
        <v/>
      </c>
      <c r="C551" t="str">
        <f>IF($CM$6=0,"",IF(INDEX('⑩ 원문 보관'!$A:$E,$CM$6+ROW()-9,COLUMN())="","",INDEX('⑩ 원문 보관'!$A:$E,$CM$6+ROW()-9,COLUMN())))</f>
        <v/>
      </c>
      <c r="D551" t="str">
        <f>IF($CM$6=0,"",IF(INDEX('⑩ 원문 보관'!$A:$E,$CM$6+ROW()-9,COLUMN())="","",INDEX('⑩ 원문 보관'!$A:$E,$CM$6+ROW()-9,COLUMN())))</f>
        <v/>
      </c>
      <c r="E551" t="str">
        <f>IF($CM$6=0,"",IF(INDEX('⑩ 원문 보관'!$A:$E,$CM$6+ROW()-9,COLUMN())="","",INDEX('⑩ 원문 보관'!$A:$E,$CM$6+ROW()-9,COLUMN())))</f>
        <v/>
      </c>
      <c r="Q551">
        <f t="shared" si="245"/>
        <v>8</v>
      </c>
      <c r="R551" t="str">
        <f t="shared" si="225"/>
        <v/>
      </c>
      <c r="S551" t="str">
        <f t="shared" si="226"/>
        <v/>
      </c>
      <c r="T551" t="str">
        <f t="shared" si="227"/>
        <v/>
      </c>
      <c r="U551">
        <f t="shared" si="228"/>
        <v>0</v>
      </c>
      <c r="V551">
        <f t="shared" si="246"/>
        <v>12</v>
      </c>
      <c r="W551" t="str">
        <f t="shared" si="229"/>
        <v/>
      </c>
      <c r="X551" t="str">
        <f t="shared" si="230"/>
        <v/>
      </c>
      <c r="Y551" t="str">
        <f t="shared" si="231"/>
        <v/>
      </c>
      <c r="Z551">
        <f t="shared" si="232"/>
        <v>0</v>
      </c>
      <c r="AA551">
        <f t="shared" si="247"/>
        <v>6</v>
      </c>
      <c r="AB551" t="str">
        <f t="shared" si="233"/>
        <v/>
      </c>
      <c r="AC551" t="str">
        <f t="shared" si="234"/>
        <v/>
      </c>
      <c r="AD551" t="str">
        <f t="shared" si="235"/>
        <v/>
      </c>
      <c r="AE551">
        <f t="shared" si="236"/>
        <v>0</v>
      </c>
      <c r="AF551">
        <f t="shared" si="248"/>
        <v>10</v>
      </c>
      <c r="AG551" t="str">
        <f t="shared" si="237"/>
        <v/>
      </c>
      <c r="AH551" t="str">
        <f t="shared" si="238"/>
        <v/>
      </c>
      <c r="AI551" t="str">
        <f t="shared" si="239"/>
        <v/>
      </c>
      <c r="AJ551">
        <f t="shared" si="240"/>
        <v>0</v>
      </c>
      <c r="AK551">
        <f t="shared" si="249"/>
        <v>4</v>
      </c>
      <c r="AL551" t="str">
        <f t="shared" si="241"/>
        <v/>
      </c>
      <c r="AM551" t="str">
        <f t="shared" si="242"/>
        <v/>
      </c>
      <c r="AN551" t="str">
        <f t="shared" si="243"/>
        <v/>
      </c>
      <c r="AO551">
        <f t="shared" si="244"/>
        <v>0</v>
      </c>
    </row>
    <row r="552" spans="1:41" x14ac:dyDescent="0.4">
      <c r="A552" t="str">
        <f>IF($CM$6=0,"",IF(INDEX('⑩ 원문 보관'!$A:$E,$CM$6+ROW()-9,COLUMN())="","",INDEX('⑩ 원문 보관'!$A:$E,$CM$6+ROW()-9,COLUMN())))</f>
        <v/>
      </c>
      <c r="B552" t="str">
        <f>IF($CM$6=0,"",IF(INDEX('⑩ 원문 보관'!$A:$E,$CM$6+ROW()-9,COLUMN())="","",INDEX('⑩ 원문 보관'!$A:$E,$CM$6+ROW()-9,COLUMN())))</f>
        <v/>
      </c>
      <c r="C552" t="str">
        <f>IF($CM$6=0,"",IF(INDEX('⑩ 원문 보관'!$A:$E,$CM$6+ROW()-9,COLUMN())="","",INDEX('⑩ 원문 보관'!$A:$E,$CM$6+ROW()-9,COLUMN())))</f>
        <v/>
      </c>
      <c r="D552" t="str">
        <f>IF($CM$6=0,"",IF(INDEX('⑩ 원문 보관'!$A:$E,$CM$6+ROW()-9,COLUMN())="","",INDEX('⑩ 원문 보관'!$A:$E,$CM$6+ROW()-9,COLUMN())))</f>
        <v/>
      </c>
      <c r="E552" t="str">
        <f>IF($CM$6=0,"",IF(INDEX('⑩ 원문 보관'!$A:$E,$CM$6+ROW()-9,COLUMN())="","",INDEX('⑩ 원문 보관'!$A:$E,$CM$6+ROW()-9,COLUMN())))</f>
        <v/>
      </c>
      <c r="Q552">
        <f t="shared" si="245"/>
        <v>8</v>
      </c>
      <c r="R552" t="str">
        <f t="shared" si="225"/>
        <v/>
      </c>
      <c r="S552" t="str">
        <f t="shared" si="226"/>
        <v/>
      </c>
      <c r="T552" t="str">
        <f t="shared" si="227"/>
        <v/>
      </c>
      <c r="U552">
        <f t="shared" si="228"/>
        <v>0</v>
      </c>
      <c r="V552">
        <f t="shared" si="246"/>
        <v>12</v>
      </c>
      <c r="W552" t="str">
        <f t="shared" si="229"/>
        <v/>
      </c>
      <c r="X552" t="str">
        <f t="shared" si="230"/>
        <v/>
      </c>
      <c r="Y552" t="str">
        <f t="shared" si="231"/>
        <v/>
      </c>
      <c r="Z552">
        <f t="shared" si="232"/>
        <v>0</v>
      </c>
      <c r="AA552">
        <f t="shared" si="247"/>
        <v>6</v>
      </c>
      <c r="AB552" t="str">
        <f t="shared" si="233"/>
        <v/>
      </c>
      <c r="AC552" t="str">
        <f t="shared" si="234"/>
        <v/>
      </c>
      <c r="AD552" t="str">
        <f t="shared" si="235"/>
        <v/>
      </c>
      <c r="AE552">
        <f t="shared" si="236"/>
        <v>0</v>
      </c>
      <c r="AF552">
        <f t="shared" si="248"/>
        <v>10</v>
      </c>
      <c r="AG552" t="str">
        <f t="shared" si="237"/>
        <v/>
      </c>
      <c r="AH552" t="str">
        <f t="shared" si="238"/>
        <v/>
      </c>
      <c r="AI552" t="str">
        <f t="shared" si="239"/>
        <v/>
      </c>
      <c r="AJ552">
        <f t="shared" si="240"/>
        <v>0</v>
      </c>
      <c r="AK552">
        <f t="shared" si="249"/>
        <v>4</v>
      </c>
      <c r="AL552" t="str">
        <f t="shared" si="241"/>
        <v/>
      </c>
      <c r="AM552" t="str">
        <f t="shared" si="242"/>
        <v/>
      </c>
      <c r="AN552" t="str">
        <f t="shared" si="243"/>
        <v/>
      </c>
      <c r="AO552">
        <f t="shared" si="244"/>
        <v>0</v>
      </c>
    </row>
    <row r="553" spans="1:41" x14ac:dyDescent="0.4">
      <c r="A553" t="str">
        <f>IF($CM$6=0,"",IF(INDEX('⑩ 원문 보관'!$A:$E,$CM$6+ROW()-9,COLUMN())="","",INDEX('⑩ 원문 보관'!$A:$E,$CM$6+ROW()-9,COLUMN())))</f>
        <v/>
      </c>
      <c r="B553" t="str">
        <f>IF($CM$6=0,"",IF(INDEX('⑩ 원문 보관'!$A:$E,$CM$6+ROW()-9,COLUMN())="","",INDEX('⑩ 원문 보관'!$A:$E,$CM$6+ROW()-9,COLUMN())))</f>
        <v/>
      </c>
      <c r="C553" t="str">
        <f>IF($CM$6=0,"",IF(INDEX('⑩ 원문 보관'!$A:$E,$CM$6+ROW()-9,COLUMN())="","",INDEX('⑩ 원문 보관'!$A:$E,$CM$6+ROW()-9,COLUMN())))</f>
        <v/>
      </c>
      <c r="D553" t="str">
        <f>IF($CM$6=0,"",IF(INDEX('⑩ 원문 보관'!$A:$E,$CM$6+ROW()-9,COLUMN())="","",INDEX('⑩ 원문 보관'!$A:$E,$CM$6+ROW()-9,COLUMN())))</f>
        <v/>
      </c>
      <c r="E553" t="str">
        <f>IF($CM$6=0,"",IF(INDEX('⑩ 원문 보관'!$A:$E,$CM$6+ROW()-9,COLUMN())="","",INDEX('⑩ 원문 보관'!$A:$E,$CM$6+ROW()-9,COLUMN())))</f>
        <v/>
      </c>
      <c r="Q553">
        <f t="shared" si="245"/>
        <v>8</v>
      </c>
      <c r="R553" t="str">
        <f t="shared" si="225"/>
        <v/>
      </c>
      <c r="S553" t="str">
        <f t="shared" si="226"/>
        <v/>
      </c>
      <c r="T553" t="str">
        <f t="shared" si="227"/>
        <v/>
      </c>
      <c r="U553">
        <f t="shared" si="228"/>
        <v>0</v>
      </c>
      <c r="V553">
        <f t="shared" si="246"/>
        <v>12</v>
      </c>
      <c r="W553" t="str">
        <f t="shared" si="229"/>
        <v/>
      </c>
      <c r="X553" t="str">
        <f t="shared" si="230"/>
        <v/>
      </c>
      <c r="Y553" t="str">
        <f t="shared" si="231"/>
        <v/>
      </c>
      <c r="Z553">
        <f t="shared" si="232"/>
        <v>0</v>
      </c>
      <c r="AA553">
        <f t="shared" si="247"/>
        <v>6</v>
      </c>
      <c r="AB553" t="str">
        <f t="shared" si="233"/>
        <v/>
      </c>
      <c r="AC553" t="str">
        <f t="shared" si="234"/>
        <v/>
      </c>
      <c r="AD553" t="str">
        <f t="shared" si="235"/>
        <v/>
      </c>
      <c r="AE553">
        <f t="shared" si="236"/>
        <v>0</v>
      </c>
      <c r="AF553">
        <f t="shared" si="248"/>
        <v>10</v>
      </c>
      <c r="AG553" t="str">
        <f t="shared" si="237"/>
        <v/>
      </c>
      <c r="AH553" t="str">
        <f t="shared" si="238"/>
        <v/>
      </c>
      <c r="AI553" t="str">
        <f t="shared" si="239"/>
        <v/>
      </c>
      <c r="AJ553">
        <f t="shared" si="240"/>
        <v>0</v>
      </c>
      <c r="AK553">
        <f t="shared" si="249"/>
        <v>4</v>
      </c>
      <c r="AL553" t="str">
        <f t="shared" si="241"/>
        <v/>
      </c>
      <c r="AM553" t="str">
        <f t="shared" si="242"/>
        <v/>
      </c>
      <c r="AN553" t="str">
        <f t="shared" si="243"/>
        <v/>
      </c>
      <c r="AO553">
        <f t="shared" si="244"/>
        <v>0</v>
      </c>
    </row>
    <row r="554" spans="1:41" x14ac:dyDescent="0.4">
      <c r="A554" t="str">
        <f>IF($CM$6=0,"",IF(INDEX('⑩ 원문 보관'!$A:$E,$CM$6+ROW()-9,COLUMN())="","",INDEX('⑩ 원문 보관'!$A:$E,$CM$6+ROW()-9,COLUMN())))</f>
        <v/>
      </c>
      <c r="B554" t="str">
        <f>IF($CM$6=0,"",IF(INDEX('⑩ 원문 보관'!$A:$E,$CM$6+ROW()-9,COLUMN())="","",INDEX('⑩ 원문 보관'!$A:$E,$CM$6+ROW()-9,COLUMN())))</f>
        <v/>
      </c>
      <c r="C554" t="str">
        <f>IF($CM$6=0,"",IF(INDEX('⑩ 원문 보관'!$A:$E,$CM$6+ROW()-9,COLUMN())="","",INDEX('⑩ 원문 보관'!$A:$E,$CM$6+ROW()-9,COLUMN())))</f>
        <v/>
      </c>
      <c r="D554" t="str">
        <f>IF($CM$6=0,"",IF(INDEX('⑩ 원문 보관'!$A:$E,$CM$6+ROW()-9,COLUMN())="","",INDEX('⑩ 원문 보관'!$A:$E,$CM$6+ROW()-9,COLUMN())))</f>
        <v/>
      </c>
      <c r="E554" t="str">
        <f>IF($CM$6=0,"",IF(INDEX('⑩ 원문 보관'!$A:$E,$CM$6+ROW()-9,COLUMN())="","",INDEX('⑩ 원문 보관'!$A:$E,$CM$6+ROW()-9,COLUMN())))</f>
        <v/>
      </c>
      <c r="Q554">
        <f t="shared" si="245"/>
        <v>8</v>
      </c>
      <c r="R554" t="str">
        <f t="shared" si="225"/>
        <v/>
      </c>
      <c r="S554" t="str">
        <f t="shared" si="226"/>
        <v/>
      </c>
      <c r="T554" t="str">
        <f t="shared" si="227"/>
        <v/>
      </c>
      <c r="U554">
        <f t="shared" si="228"/>
        <v>0</v>
      </c>
      <c r="V554">
        <f t="shared" si="246"/>
        <v>12</v>
      </c>
      <c r="W554" t="str">
        <f t="shared" si="229"/>
        <v/>
      </c>
      <c r="X554" t="str">
        <f t="shared" si="230"/>
        <v/>
      </c>
      <c r="Y554" t="str">
        <f t="shared" si="231"/>
        <v/>
      </c>
      <c r="Z554">
        <f t="shared" si="232"/>
        <v>0</v>
      </c>
      <c r="AA554">
        <f t="shared" si="247"/>
        <v>6</v>
      </c>
      <c r="AB554" t="str">
        <f t="shared" si="233"/>
        <v/>
      </c>
      <c r="AC554" t="str">
        <f t="shared" si="234"/>
        <v/>
      </c>
      <c r="AD554" t="str">
        <f t="shared" si="235"/>
        <v/>
      </c>
      <c r="AE554">
        <f t="shared" si="236"/>
        <v>0</v>
      </c>
      <c r="AF554">
        <f t="shared" si="248"/>
        <v>10</v>
      </c>
      <c r="AG554" t="str">
        <f t="shared" si="237"/>
        <v/>
      </c>
      <c r="AH554" t="str">
        <f t="shared" si="238"/>
        <v/>
      </c>
      <c r="AI554" t="str">
        <f t="shared" si="239"/>
        <v/>
      </c>
      <c r="AJ554">
        <f t="shared" si="240"/>
        <v>0</v>
      </c>
      <c r="AK554">
        <f t="shared" si="249"/>
        <v>4</v>
      </c>
      <c r="AL554" t="str">
        <f t="shared" si="241"/>
        <v/>
      </c>
      <c r="AM554" t="str">
        <f t="shared" si="242"/>
        <v/>
      </c>
      <c r="AN554" t="str">
        <f t="shared" si="243"/>
        <v/>
      </c>
      <c r="AO554">
        <f t="shared" si="244"/>
        <v>0</v>
      </c>
    </row>
    <row r="555" spans="1:41" x14ac:dyDescent="0.4">
      <c r="A555" t="str">
        <f>IF($CM$6=0,"",IF(INDEX('⑩ 원문 보관'!$A:$E,$CM$6+ROW()-9,COLUMN())="","",INDEX('⑩ 원문 보관'!$A:$E,$CM$6+ROW()-9,COLUMN())))</f>
        <v/>
      </c>
      <c r="B555" t="str">
        <f>IF($CM$6=0,"",IF(INDEX('⑩ 원문 보관'!$A:$E,$CM$6+ROW()-9,COLUMN())="","",INDEX('⑩ 원문 보관'!$A:$E,$CM$6+ROW()-9,COLUMN())))</f>
        <v/>
      </c>
      <c r="C555" t="str">
        <f>IF($CM$6=0,"",IF(INDEX('⑩ 원문 보관'!$A:$E,$CM$6+ROW()-9,COLUMN())="","",INDEX('⑩ 원문 보관'!$A:$E,$CM$6+ROW()-9,COLUMN())))</f>
        <v/>
      </c>
      <c r="D555" t="str">
        <f>IF($CM$6=0,"",IF(INDEX('⑩ 원문 보관'!$A:$E,$CM$6+ROW()-9,COLUMN())="","",INDEX('⑩ 원문 보관'!$A:$E,$CM$6+ROW()-9,COLUMN())))</f>
        <v/>
      </c>
      <c r="E555" t="str">
        <f>IF($CM$6=0,"",IF(INDEX('⑩ 원문 보관'!$A:$E,$CM$6+ROW()-9,COLUMN())="","",INDEX('⑩ 원문 보관'!$A:$E,$CM$6+ROW()-9,COLUMN())))</f>
        <v/>
      </c>
      <c r="Q555">
        <f t="shared" si="245"/>
        <v>8</v>
      </c>
      <c r="R555" t="str">
        <f t="shared" si="225"/>
        <v/>
      </c>
      <c r="S555" t="str">
        <f t="shared" si="226"/>
        <v/>
      </c>
      <c r="T555" t="str">
        <f t="shared" si="227"/>
        <v/>
      </c>
      <c r="U555">
        <f t="shared" si="228"/>
        <v>0</v>
      </c>
      <c r="V555">
        <f t="shared" si="246"/>
        <v>12</v>
      </c>
      <c r="W555" t="str">
        <f t="shared" si="229"/>
        <v/>
      </c>
      <c r="X555" t="str">
        <f t="shared" si="230"/>
        <v/>
      </c>
      <c r="Y555" t="str">
        <f t="shared" si="231"/>
        <v/>
      </c>
      <c r="Z555">
        <f t="shared" si="232"/>
        <v>0</v>
      </c>
      <c r="AA555">
        <f t="shared" si="247"/>
        <v>6</v>
      </c>
      <c r="AB555" t="str">
        <f t="shared" si="233"/>
        <v/>
      </c>
      <c r="AC555" t="str">
        <f t="shared" si="234"/>
        <v/>
      </c>
      <c r="AD555" t="str">
        <f t="shared" si="235"/>
        <v/>
      </c>
      <c r="AE555">
        <f t="shared" si="236"/>
        <v>0</v>
      </c>
      <c r="AF555">
        <f t="shared" si="248"/>
        <v>10</v>
      </c>
      <c r="AG555" t="str">
        <f t="shared" si="237"/>
        <v/>
      </c>
      <c r="AH555" t="str">
        <f t="shared" si="238"/>
        <v/>
      </c>
      <c r="AI555" t="str">
        <f t="shared" si="239"/>
        <v/>
      </c>
      <c r="AJ555">
        <f t="shared" si="240"/>
        <v>0</v>
      </c>
      <c r="AK555">
        <f t="shared" si="249"/>
        <v>4</v>
      </c>
      <c r="AL555" t="str">
        <f t="shared" si="241"/>
        <v/>
      </c>
      <c r="AM555" t="str">
        <f t="shared" si="242"/>
        <v/>
      </c>
      <c r="AN555" t="str">
        <f t="shared" si="243"/>
        <v/>
      </c>
      <c r="AO555">
        <f t="shared" si="244"/>
        <v>0</v>
      </c>
    </row>
    <row r="556" spans="1:41" x14ac:dyDescent="0.4">
      <c r="A556" t="str">
        <f>IF($CM$6=0,"",IF(INDEX('⑩ 원문 보관'!$A:$E,$CM$6+ROW()-9,COLUMN())="","",INDEX('⑩ 원문 보관'!$A:$E,$CM$6+ROW()-9,COLUMN())))</f>
        <v/>
      </c>
      <c r="B556" t="str">
        <f>IF($CM$6=0,"",IF(INDEX('⑩ 원문 보관'!$A:$E,$CM$6+ROW()-9,COLUMN())="","",INDEX('⑩ 원문 보관'!$A:$E,$CM$6+ROW()-9,COLUMN())))</f>
        <v/>
      </c>
      <c r="C556" t="str">
        <f>IF($CM$6=0,"",IF(INDEX('⑩ 원문 보관'!$A:$E,$CM$6+ROW()-9,COLUMN())="","",INDEX('⑩ 원문 보관'!$A:$E,$CM$6+ROW()-9,COLUMN())))</f>
        <v/>
      </c>
      <c r="D556" t="str">
        <f>IF($CM$6=0,"",IF(INDEX('⑩ 원문 보관'!$A:$E,$CM$6+ROW()-9,COLUMN())="","",INDEX('⑩ 원문 보관'!$A:$E,$CM$6+ROW()-9,COLUMN())))</f>
        <v/>
      </c>
      <c r="E556" t="str">
        <f>IF($CM$6=0,"",IF(INDEX('⑩ 원문 보관'!$A:$E,$CM$6+ROW()-9,COLUMN())="","",INDEX('⑩ 원문 보관'!$A:$E,$CM$6+ROW()-9,COLUMN())))</f>
        <v/>
      </c>
      <c r="Q556">
        <f t="shared" si="245"/>
        <v>8</v>
      </c>
      <c r="R556" t="str">
        <f t="shared" si="225"/>
        <v/>
      </c>
      <c r="S556" t="str">
        <f t="shared" si="226"/>
        <v/>
      </c>
      <c r="T556" t="str">
        <f t="shared" si="227"/>
        <v/>
      </c>
      <c r="U556">
        <f t="shared" si="228"/>
        <v>0</v>
      </c>
      <c r="V556">
        <f t="shared" si="246"/>
        <v>12</v>
      </c>
      <c r="W556" t="str">
        <f t="shared" si="229"/>
        <v/>
      </c>
      <c r="X556" t="str">
        <f t="shared" si="230"/>
        <v/>
      </c>
      <c r="Y556" t="str">
        <f t="shared" si="231"/>
        <v/>
      </c>
      <c r="Z556">
        <f t="shared" si="232"/>
        <v>0</v>
      </c>
      <c r="AA556">
        <f t="shared" si="247"/>
        <v>6</v>
      </c>
      <c r="AB556" t="str">
        <f t="shared" si="233"/>
        <v/>
      </c>
      <c r="AC556" t="str">
        <f t="shared" si="234"/>
        <v/>
      </c>
      <c r="AD556" t="str">
        <f t="shared" si="235"/>
        <v/>
      </c>
      <c r="AE556">
        <f t="shared" si="236"/>
        <v>0</v>
      </c>
      <c r="AF556">
        <f t="shared" si="248"/>
        <v>10</v>
      </c>
      <c r="AG556" t="str">
        <f t="shared" si="237"/>
        <v/>
      </c>
      <c r="AH556" t="str">
        <f t="shared" si="238"/>
        <v/>
      </c>
      <c r="AI556" t="str">
        <f t="shared" si="239"/>
        <v/>
      </c>
      <c r="AJ556">
        <f t="shared" si="240"/>
        <v>0</v>
      </c>
      <c r="AK556">
        <f t="shared" si="249"/>
        <v>4</v>
      </c>
      <c r="AL556" t="str">
        <f t="shared" si="241"/>
        <v/>
      </c>
      <c r="AM556" t="str">
        <f t="shared" si="242"/>
        <v/>
      </c>
      <c r="AN556" t="str">
        <f t="shared" si="243"/>
        <v/>
      </c>
      <c r="AO556">
        <f t="shared" si="244"/>
        <v>0</v>
      </c>
    </row>
    <row r="557" spans="1:41" x14ac:dyDescent="0.4">
      <c r="A557" t="str">
        <f>IF($CM$6=0,"",IF(INDEX('⑩ 원문 보관'!$A:$E,$CM$6+ROW()-9,COLUMN())="","",INDEX('⑩ 원문 보관'!$A:$E,$CM$6+ROW()-9,COLUMN())))</f>
        <v/>
      </c>
      <c r="B557" t="str">
        <f>IF($CM$6=0,"",IF(INDEX('⑩ 원문 보관'!$A:$E,$CM$6+ROW()-9,COLUMN())="","",INDEX('⑩ 원문 보관'!$A:$E,$CM$6+ROW()-9,COLUMN())))</f>
        <v/>
      </c>
      <c r="C557" t="str">
        <f>IF($CM$6=0,"",IF(INDEX('⑩ 원문 보관'!$A:$E,$CM$6+ROW()-9,COLUMN())="","",INDEX('⑩ 원문 보관'!$A:$E,$CM$6+ROW()-9,COLUMN())))</f>
        <v/>
      </c>
      <c r="D557" t="str">
        <f>IF($CM$6=0,"",IF(INDEX('⑩ 원문 보관'!$A:$E,$CM$6+ROW()-9,COLUMN())="","",INDEX('⑩ 원문 보관'!$A:$E,$CM$6+ROW()-9,COLUMN())))</f>
        <v/>
      </c>
      <c r="E557" t="str">
        <f>IF($CM$6=0,"",IF(INDEX('⑩ 원문 보관'!$A:$E,$CM$6+ROW()-9,COLUMN())="","",INDEX('⑩ 원문 보관'!$A:$E,$CM$6+ROW()-9,COLUMN())))</f>
        <v/>
      </c>
      <c r="Q557">
        <f t="shared" si="245"/>
        <v>8</v>
      </c>
      <c r="R557" t="str">
        <f t="shared" si="225"/>
        <v/>
      </c>
      <c r="S557" t="str">
        <f t="shared" si="226"/>
        <v/>
      </c>
      <c r="T557" t="str">
        <f t="shared" si="227"/>
        <v/>
      </c>
      <c r="U557">
        <f t="shared" si="228"/>
        <v>0</v>
      </c>
      <c r="V557">
        <f t="shared" si="246"/>
        <v>12</v>
      </c>
      <c r="W557" t="str">
        <f t="shared" si="229"/>
        <v/>
      </c>
      <c r="X557" t="str">
        <f t="shared" si="230"/>
        <v/>
      </c>
      <c r="Y557" t="str">
        <f t="shared" si="231"/>
        <v/>
      </c>
      <c r="Z557">
        <f t="shared" si="232"/>
        <v>0</v>
      </c>
      <c r="AA557">
        <f t="shared" si="247"/>
        <v>6</v>
      </c>
      <c r="AB557" t="str">
        <f t="shared" si="233"/>
        <v/>
      </c>
      <c r="AC557" t="str">
        <f t="shared" si="234"/>
        <v/>
      </c>
      <c r="AD557" t="str">
        <f t="shared" si="235"/>
        <v/>
      </c>
      <c r="AE557">
        <f t="shared" si="236"/>
        <v>0</v>
      </c>
      <c r="AF557">
        <f t="shared" si="248"/>
        <v>10</v>
      </c>
      <c r="AG557" t="str">
        <f t="shared" si="237"/>
        <v/>
      </c>
      <c r="AH557" t="str">
        <f t="shared" si="238"/>
        <v/>
      </c>
      <c r="AI557" t="str">
        <f t="shared" si="239"/>
        <v/>
      </c>
      <c r="AJ557">
        <f t="shared" si="240"/>
        <v>0</v>
      </c>
      <c r="AK557">
        <f t="shared" si="249"/>
        <v>4</v>
      </c>
      <c r="AL557" t="str">
        <f t="shared" si="241"/>
        <v/>
      </c>
      <c r="AM557" t="str">
        <f t="shared" si="242"/>
        <v/>
      </c>
      <c r="AN557" t="str">
        <f t="shared" si="243"/>
        <v/>
      </c>
      <c r="AO557">
        <f t="shared" si="244"/>
        <v>0</v>
      </c>
    </row>
    <row r="558" spans="1:41" x14ac:dyDescent="0.4">
      <c r="A558" t="str">
        <f>IF($CM$6=0,"",IF(INDEX('⑩ 원문 보관'!$A:$E,$CM$6+ROW()-9,COLUMN())="","",INDEX('⑩ 원문 보관'!$A:$E,$CM$6+ROW()-9,COLUMN())))</f>
        <v/>
      </c>
      <c r="B558" t="str">
        <f>IF($CM$6=0,"",IF(INDEX('⑩ 원문 보관'!$A:$E,$CM$6+ROW()-9,COLUMN())="","",INDEX('⑩ 원문 보관'!$A:$E,$CM$6+ROW()-9,COLUMN())))</f>
        <v/>
      </c>
      <c r="C558" t="str">
        <f>IF($CM$6=0,"",IF(INDEX('⑩ 원문 보관'!$A:$E,$CM$6+ROW()-9,COLUMN())="","",INDEX('⑩ 원문 보관'!$A:$E,$CM$6+ROW()-9,COLUMN())))</f>
        <v/>
      </c>
      <c r="D558" t="str">
        <f>IF($CM$6=0,"",IF(INDEX('⑩ 원문 보관'!$A:$E,$CM$6+ROW()-9,COLUMN())="","",INDEX('⑩ 원문 보관'!$A:$E,$CM$6+ROW()-9,COLUMN())))</f>
        <v/>
      </c>
      <c r="E558" t="str">
        <f>IF($CM$6=0,"",IF(INDEX('⑩ 원문 보관'!$A:$E,$CM$6+ROW()-9,COLUMN())="","",INDEX('⑩ 원문 보관'!$A:$E,$CM$6+ROW()-9,COLUMN())))</f>
        <v/>
      </c>
      <c r="Q558">
        <f t="shared" si="245"/>
        <v>8</v>
      </c>
      <c r="R558" t="str">
        <f t="shared" si="225"/>
        <v/>
      </c>
      <c r="S558" t="str">
        <f t="shared" si="226"/>
        <v/>
      </c>
      <c r="T558" t="str">
        <f t="shared" si="227"/>
        <v/>
      </c>
      <c r="U558">
        <f t="shared" si="228"/>
        <v>0</v>
      </c>
      <c r="V558">
        <f t="shared" si="246"/>
        <v>12</v>
      </c>
      <c r="W558" t="str">
        <f t="shared" si="229"/>
        <v/>
      </c>
      <c r="X558" t="str">
        <f t="shared" si="230"/>
        <v/>
      </c>
      <c r="Y558" t="str">
        <f t="shared" si="231"/>
        <v/>
      </c>
      <c r="Z558">
        <f t="shared" si="232"/>
        <v>0</v>
      </c>
      <c r="AA558">
        <f t="shared" si="247"/>
        <v>6</v>
      </c>
      <c r="AB558" t="str">
        <f t="shared" si="233"/>
        <v/>
      </c>
      <c r="AC558" t="str">
        <f t="shared" si="234"/>
        <v/>
      </c>
      <c r="AD558" t="str">
        <f t="shared" si="235"/>
        <v/>
      </c>
      <c r="AE558">
        <f t="shared" si="236"/>
        <v>0</v>
      </c>
      <c r="AF558">
        <f t="shared" si="248"/>
        <v>10</v>
      </c>
      <c r="AG558" t="str">
        <f t="shared" si="237"/>
        <v/>
      </c>
      <c r="AH558" t="str">
        <f t="shared" si="238"/>
        <v/>
      </c>
      <c r="AI558" t="str">
        <f t="shared" si="239"/>
        <v/>
      </c>
      <c r="AJ558">
        <f t="shared" si="240"/>
        <v>0</v>
      </c>
      <c r="AK558">
        <f t="shared" si="249"/>
        <v>4</v>
      </c>
      <c r="AL558" t="str">
        <f t="shared" si="241"/>
        <v/>
      </c>
      <c r="AM558" t="str">
        <f t="shared" si="242"/>
        <v/>
      </c>
      <c r="AN558" t="str">
        <f t="shared" si="243"/>
        <v/>
      </c>
      <c r="AO558">
        <f t="shared" si="244"/>
        <v>0</v>
      </c>
    </row>
    <row r="559" spans="1:41" x14ac:dyDescent="0.4">
      <c r="A559" t="str">
        <f>IF($CM$6=0,"",IF(INDEX('⑩ 원문 보관'!$A:$E,$CM$6+ROW()-9,COLUMN())="","",INDEX('⑩ 원문 보관'!$A:$E,$CM$6+ROW()-9,COLUMN())))</f>
        <v/>
      </c>
      <c r="B559" t="str">
        <f>IF($CM$6=0,"",IF(INDEX('⑩ 원문 보관'!$A:$E,$CM$6+ROW()-9,COLUMN())="","",INDEX('⑩ 원문 보관'!$A:$E,$CM$6+ROW()-9,COLUMN())))</f>
        <v/>
      </c>
      <c r="C559" t="str">
        <f>IF($CM$6=0,"",IF(INDEX('⑩ 원문 보관'!$A:$E,$CM$6+ROW()-9,COLUMN())="","",INDEX('⑩ 원문 보관'!$A:$E,$CM$6+ROW()-9,COLUMN())))</f>
        <v/>
      </c>
      <c r="D559" t="str">
        <f>IF($CM$6=0,"",IF(INDEX('⑩ 원문 보관'!$A:$E,$CM$6+ROW()-9,COLUMN())="","",INDEX('⑩ 원문 보관'!$A:$E,$CM$6+ROW()-9,COLUMN())))</f>
        <v/>
      </c>
      <c r="E559" t="str">
        <f>IF($CM$6=0,"",IF(INDEX('⑩ 원문 보관'!$A:$E,$CM$6+ROW()-9,COLUMN())="","",INDEX('⑩ 원문 보관'!$A:$E,$CM$6+ROW()-9,COLUMN())))</f>
        <v/>
      </c>
      <c r="Q559">
        <f t="shared" si="245"/>
        <v>8</v>
      </c>
      <c r="R559" t="str">
        <f t="shared" si="225"/>
        <v/>
      </c>
      <c r="S559" t="str">
        <f t="shared" si="226"/>
        <v/>
      </c>
      <c r="T559" t="str">
        <f t="shared" si="227"/>
        <v/>
      </c>
      <c r="U559">
        <f t="shared" si="228"/>
        <v>0</v>
      </c>
      <c r="V559">
        <f t="shared" si="246"/>
        <v>12</v>
      </c>
      <c r="W559" t="str">
        <f t="shared" si="229"/>
        <v/>
      </c>
      <c r="X559" t="str">
        <f t="shared" si="230"/>
        <v/>
      </c>
      <c r="Y559" t="str">
        <f t="shared" si="231"/>
        <v/>
      </c>
      <c r="Z559">
        <f t="shared" si="232"/>
        <v>0</v>
      </c>
      <c r="AA559">
        <f t="shared" si="247"/>
        <v>6</v>
      </c>
      <c r="AB559" t="str">
        <f t="shared" si="233"/>
        <v/>
      </c>
      <c r="AC559" t="str">
        <f t="shared" si="234"/>
        <v/>
      </c>
      <c r="AD559" t="str">
        <f t="shared" si="235"/>
        <v/>
      </c>
      <c r="AE559">
        <f t="shared" si="236"/>
        <v>0</v>
      </c>
      <c r="AF559">
        <f t="shared" si="248"/>
        <v>10</v>
      </c>
      <c r="AG559" t="str">
        <f t="shared" si="237"/>
        <v/>
      </c>
      <c r="AH559" t="str">
        <f t="shared" si="238"/>
        <v/>
      </c>
      <c r="AI559" t="str">
        <f t="shared" si="239"/>
        <v/>
      </c>
      <c r="AJ559">
        <f t="shared" si="240"/>
        <v>0</v>
      </c>
      <c r="AK559">
        <f t="shared" si="249"/>
        <v>4</v>
      </c>
      <c r="AL559" t="str">
        <f t="shared" si="241"/>
        <v/>
      </c>
      <c r="AM559" t="str">
        <f t="shared" si="242"/>
        <v/>
      </c>
      <c r="AN559" t="str">
        <f t="shared" si="243"/>
        <v/>
      </c>
      <c r="AO559">
        <f t="shared" si="244"/>
        <v>0</v>
      </c>
    </row>
    <row r="560" spans="1:41" x14ac:dyDescent="0.4">
      <c r="A560" t="str">
        <f>IF($CM$6=0,"",IF(INDEX('⑩ 원문 보관'!$A:$E,$CM$6+ROW()-9,COLUMN())="","",INDEX('⑩ 원문 보관'!$A:$E,$CM$6+ROW()-9,COLUMN())))</f>
        <v/>
      </c>
      <c r="B560" t="str">
        <f>IF($CM$6=0,"",IF(INDEX('⑩ 원문 보관'!$A:$E,$CM$6+ROW()-9,COLUMN())="","",INDEX('⑩ 원문 보관'!$A:$E,$CM$6+ROW()-9,COLUMN())))</f>
        <v/>
      </c>
      <c r="C560" t="str">
        <f>IF($CM$6=0,"",IF(INDEX('⑩ 원문 보관'!$A:$E,$CM$6+ROW()-9,COLUMN())="","",INDEX('⑩ 원문 보관'!$A:$E,$CM$6+ROW()-9,COLUMN())))</f>
        <v/>
      </c>
      <c r="D560" t="str">
        <f>IF($CM$6=0,"",IF(INDEX('⑩ 원문 보관'!$A:$E,$CM$6+ROW()-9,COLUMN())="","",INDEX('⑩ 원문 보관'!$A:$E,$CM$6+ROW()-9,COLUMN())))</f>
        <v/>
      </c>
      <c r="E560" t="str">
        <f>IF($CM$6=0,"",IF(INDEX('⑩ 원문 보관'!$A:$E,$CM$6+ROW()-9,COLUMN())="","",INDEX('⑩ 원문 보관'!$A:$E,$CM$6+ROW()-9,COLUMN())))</f>
        <v/>
      </c>
      <c r="Q560">
        <f t="shared" si="245"/>
        <v>8</v>
      </c>
      <c r="R560" t="str">
        <f t="shared" si="225"/>
        <v/>
      </c>
      <c r="S560" t="str">
        <f t="shared" si="226"/>
        <v/>
      </c>
      <c r="T560" t="str">
        <f t="shared" si="227"/>
        <v/>
      </c>
      <c r="U560">
        <f t="shared" si="228"/>
        <v>0</v>
      </c>
      <c r="V560">
        <f t="shared" si="246"/>
        <v>12</v>
      </c>
      <c r="W560" t="str">
        <f t="shared" si="229"/>
        <v/>
      </c>
      <c r="X560" t="str">
        <f t="shared" si="230"/>
        <v/>
      </c>
      <c r="Y560" t="str">
        <f t="shared" si="231"/>
        <v/>
      </c>
      <c r="Z560">
        <f t="shared" si="232"/>
        <v>0</v>
      </c>
      <c r="AA560">
        <f t="shared" si="247"/>
        <v>6</v>
      </c>
      <c r="AB560" t="str">
        <f t="shared" si="233"/>
        <v/>
      </c>
      <c r="AC560" t="str">
        <f t="shared" si="234"/>
        <v/>
      </c>
      <c r="AD560" t="str">
        <f t="shared" si="235"/>
        <v/>
      </c>
      <c r="AE560">
        <f t="shared" si="236"/>
        <v>0</v>
      </c>
      <c r="AF560">
        <f t="shared" si="248"/>
        <v>10</v>
      </c>
      <c r="AG560" t="str">
        <f t="shared" si="237"/>
        <v/>
      </c>
      <c r="AH560" t="str">
        <f t="shared" si="238"/>
        <v/>
      </c>
      <c r="AI560" t="str">
        <f t="shared" si="239"/>
        <v/>
      </c>
      <c r="AJ560">
        <f t="shared" si="240"/>
        <v>0</v>
      </c>
      <c r="AK560">
        <f t="shared" si="249"/>
        <v>4</v>
      </c>
      <c r="AL560" t="str">
        <f t="shared" si="241"/>
        <v/>
      </c>
      <c r="AM560" t="str">
        <f t="shared" si="242"/>
        <v/>
      </c>
      <c r="AN560" t="str">
        <f t="shared" si="243"/>
        <v/>
      </c>
      <c r="AO560">
        <f t="shared" si="244"/>
        <v>0</v>
      </c>
    </row>
    <row r="561" spans="1:41" x14ac:dyDescent="0.4">
      <c r="A561" t="str">
        <f>IF($CM$6=0,"",IF(INDEX('⑩ 원문 보관'!$A:$E,$CM$6+ROW()-9,COLUMN())="","",INDEX('⑩ 원문 보관'!$A:$E,$CM$6+ROW()-9,COLUMN())))</f>
        <v/>
      </c>
      <c r="B561" t="str">
        <f>IF($CM$6=0,"",IF(INDEX('⑩ 원문 보관'!$A:$E,$CM$6+ROW()-9,COLUMN())="","",INDEX('⑩ 원문 보관'!$A:$E,$CM$6+ROW()-9,COLUMN())))</f>
        <v/>
      </c>
      <c r="C561" t="str">
        <f>IF($CM$6=0,"",IF(INDEX('⑩ 원문 보관'!$A:$E,$CM$6+ROW()-9,COLUMN())="","",INDEX('⑩ 원문 보관'!$A:$E,$CM$6+ROW()-9,COLUMN())))</f>
        <v/>
      </c>
      <c r="D561" t="str">
        <f>IF($CM$6=0,"",IF(INDEX('⑩ 원문 보관'!$A:$E,$CM$6+ROW()-9,COLUMN())="","",INDEX('⑩ 원문 보관'!$A:$E,$CM$6+ROW()-9,COLUMN())))</f>
        <v/>
      </c>
      <c r="E561" t="str">
        <f>IF($CM$6=0,"",IF(INDEX('⑩ 원문 보관'!$A:$E,$CM$6+ROW()-9,COLUMN())="","",INDEX('⑩ 원문 보관'!$A:$E,$CM$6+ROW()-9,COLUMN())))</f>
        <v/>
      </c>
      <c r="Q561">
        <f t="shared" si="245"/>
        <v>8</v>
      </c>
      <c r="R561" t="str">
        <f t="shared" si="225"/>
        <v/>
      </c>
      <c r="S561" t="str">
        <f t="shared" si="226"/>
        <v/>
      </c>
      <c r="T561" t="str">
        <f t="shared" si="227"/>
        <v/>
      </c>
      <c r="U561">
        <f t="shared" si="228"/>
        <v>0</v>
      </c>
      <c r="V561">
        <f t="shared" si="246"/>
        <v>12</v>
      </c>
      <c r="W561" t="str">
        <f t="shared" si="229"/>
        <v/>
      </c>
      <c r="X561" t="str">
        <f t="shared" si="230"/>
        <v/>
      </c>
      <c r="Y561" t="str">
        <f t="shared" si="231"/>
        <v/>
      </c>
      <c r="Z561">
        <f t="shared" si="232"/>
        <v>0</v>
      </c>
      <c r="AA561">
        <f t="shared" si="247"/>
        <v>6</v>
      </c>
      <c r="AB561" t="str">
        <f t="shared" si="233"/>
        <v/>
      </c>
      <c r="AC561" t="str">
        <f t="shared" si="234"/>
        <v/>
      </c>
      <c r="AD561" t="str">
        <f t="shared" si="235"/>
        <v/>
      </c>
      <c r="AE561">
        <f t="shared" si="236"/>
        <v>0</v>
      </c>
      <c r="AF561">
        <f t="shared" si="248"/>
        <v>10</v>
      </c>
      <c r="AG561" t="str">
        <f t="shared" si="237"/>
        <v/>
      </c>
      <c r="AH561" t="str">
        <f t="shared" si="238"/>
        <v/>
      </c>
      <c r="AI561" t="str">
        <f t="shared" si="239"/>
        <v/>
      </c>
      <c r="AJ561">
        <f t="shared" si="240"/>
        <v>0</v>
      </c>
      <c r="AK561">
        <f t="shared" si="249"/>
        <v>4</v>
      </c>
      <c r="AL561" t="str">
        <f t="shared" si="241"/>
        <v/>
      </c>
      <c r="AM561" t="str">
        <f t="shared" si="242"/>
        <v/>
      </c>
      <c r="AN561" t="str">
        <f t="shared" si="243"/>
        <v/>
      </c>
      <c r="AO561">
        <f t="shared" si="244"/>
        <v>0</v>
      </c>
    </row>
    <row r="562" spans="1:41" x14ac:dyDescent="0.4">
      <c r="A562" t="str">
        <f>IF($CM$6=0,"",IF(INDEX('⑩ 원문 보관'!$A:$E,$CM$6+ROW()-9,COLUMN())="","",INDEX('⑩ 원문 보관'!$A:$E,$CM$6+ROW()-9,COLUMN())))</f>
        <v/>
      </c>
      <c r="B562" t="str">
        <f>IF($CM$6=0,"",IF(INDEX('⑩ 원문 보관'!$A:$E,$CM$6+ROW()-9,COLUMN())="","",INDEX('⑩ 원문 보관'!$A:$E,$CM$6+ROW()-9,COLUMN())))</f>
        <v/>
      </c>
      <c r="C562" t="str">
        <f>IF($CM$6=0,"",IF(INDEX('⑩ 원문 보관'!$A:$E,$CM$6+ROW()-9,COLUMN())="","",INDEX('⑩ 원문 보관'!$A:$E,$CM$6+ROW()-9,COLUMN())))</f>
        <v/>
      </c>
      <c r="D562" t="str">
        <f>IF($CM$6=0,"",IF(INDEX('⑩ 원문 보관'!$A:$E,$CM$6+ROW()-9,COLUMN())="","",INDEX('⑩ 원문 보관'!$A:$E,$CM$6+ROW()-9,COLUMN())))</f>
        <v/>
      </c>
      <c r="E562" t="str">
        <f>IF($CM$6=0,"",IF(INDEX('⑩ 원문 보관'!$A:$E,$CM$6+ROW()-9,COLUMN())="","",INDEX('⑩ 원문 보관'!$A:$E,$CM$6+ROW()-9,COLUMN())))</f>
        <v/>
      </c>
      <c r="Q562">
        <f t="shared" si="245"/>
        <v>8</v>
      </c>
      <c r="R562" t="str">
        <f t="shared" si="225"/>
        <v/>
      </c>
      <c r="S562" t="str">
        <f t="shared" si="226"/>
        <v/>
      </c>
      <c r="T562" t="str">
        <f t="shared" si="227"/>
        <v/>
      </c>
      <c r="U562">
        <f t="shared" si="228"/>
        <v>0</v>
      </c>
      <c r="V562">
        <f t="shared" si="246"/>
        <v>12</v>
      </c>
      <c r="W562" t="str">
        <f t="shared" si="229"/>
        <v/>
      </c>
      <c r="X562" t="str">
        <f t="shared" si="230"/>
        <v/>
      </c>
      <c r="Y562" t="str">
        <f t="shared" si="231"/>
        <v/>
      </c>
      <c r="Z562">
        <f t="shared" si="232"/>
        <v>0</v>
      </c>
      <c r="AA562">
        <f t="shared" si="247"/>
        <v>6</v>
      </c>
      <c r="AB562" t="str">
        <f t="shared" si="233"/>
        <v/>
      </c>
      <c r="AC562" t="str">
        <f t="shared" si="234"/>
        <v/>
      </c>
      <c r="AD562" t="str">
        <f t="shared" si="235"/>
        <v/>
      </c>
      <c r="AE562">
        <f t="shared" si="236"/>
        <v>0</v>
      </c>
      <c r="AF562">
        <f t="shared" si="248"/>
        <v>10</v>
      </c>
      <c r="AG562" t="str">
        <f t="shared" si="237"/>
        <v/>
      </c>
      <c r="AH562" t="str">
        <f t="shared" si="238"/>
        <v/>
      </c>
      <c r="AI562" t="str">
        <f t="shared" si="239"/>
        <v/>
      </c>
      <c r="AJ562">
        <f t="shared" si="240"/>
        <v>0</v>
      </c>
      <c r="AK562">
        <f t="shared" si="249"/>
        <v>4</v>
      </c>
      <c r="AL562" t="str">
        <f t="shared" si="241"/>
        <v/>
      </c>
      <c r="AM562" t="str">
        <f t="shared" si="242"/>
        <v/>
      </c>
      <c r="AN562" t="str">
        <f t="shared" si="243"/>
        <v/>
      </c>
      <c r="AO562">
        <f t="shared" si="244"/>
        <v>0</v>
      </c>
    </row>
    <row r="563" spans="1:41" x14ac:dyDescent="0.4">
      <c r="A563" t="str">
        <f>IF($CM$6=0,"",IF(INDEX('⑩ 원문 보관'!$A:$E,$CM$6+ROW()-9,COLUMN())="","",INDEX('⑩ 원문 보관'!$A:$E,$CM$6+ROW()-9,COLUMN())))</f>
        <v/>
      </c>
      <c r="B563" t="str">
        <f>IF($CM$6=0,"",IF(INDEX('⑩ 원문 보관'!$A:$E,$CM$6+ROW()-9,COLUMN())="","",INDEX('⑩ 원문 보관'!$A:$E,$CM$6+ROW()-9,COLUMN())))</f>
        <v/>
      </c>
      <c r="C563" t="str">
        <f>IF($CM$6=0,"",IF(INDEX('⑩ 원문 보관'!$A:$E,$CM$6+ROW()-9,COLUMN())="","",INDEX('⑩ 원문 보관'!$A:$E,$CM$6+ROW()-9,COLUMN())))</f>
        <v/>
      </c>
      <c r="D563" t="str">
        <f>IF($CM$6=0,"",IF(INDEX('⑩ 원문 보관'!$A:$E,$CM$6+ROW()-9,COLUMN())="","",INDEX('⑩ 원문 보관'!$A:$E,$CM$6+ROW()-9,COLUMN())))</f>
        <v/>
      </c>
      <c r="E563" t="str">
        <f>IF($CM$6=0,"",IF(INDEX('⑩ 원문 보관'!$A:$E,$CM$6+ROW()-9,COLUMN())="","",INDEX('⑩ 원문 보관'!$A:$E,$CM$6+ROW()-9,COLUMN())))</f>
        <v/>
      </c>
      <c r="Q563">
        <f t="shared" si="245"/>
        <v>8</v>
      </c>
      <c r="R563" t="str">
        <f t="shared" si="225"/>
        <v/>
      </c>
      <c r="S563" t="str">
        <f t="shared" si="226"/>
        <v/>
      </c>
      <c r="T563" t="str">
        <f t="shared" si="227"/>
        <v/>
      </c>
      <c r="U563">
        <f t="shared" si="228"/>
        <v>0</v>
      </c>
      <c r="V563">
        <f t="shared" si="246"/>
        <v>12</v>
      </c>
      <c r="W563" t="str">
        <f t="shared" si="229"/>
        <v/>
      </c>
      <c r="X563" t="str">
        <f t="shared" si="230"/>
        <v/>
      </c>
      <c r="Y563" t="str">
        <f t="shared" si="231"/>
        <v/>
      </c>
      <c r="Z563">
        <f t="shared" si="232"/>
        <v>0</v>
      </c>
      <c r="AA563">
        <f t="shared" si="247"/>
        <v>6</v>
      </c>
      <c r="AB563" t="str">
        <f t="shared" si="233"/>
        <v/>
      </c>
      <c r="AC563" t="str">
        <f t="shared" si="234"/>
        <v/>
      </c>
      <c r="AD563" t="str">
        <f t="shared" si="235"/>
        <v/>
      </c>
      <c r="AE563">
        <f t="shared" si="236"/>
        <v>0</v>
      </c>
      <c r="AF563">
        <f t="shared" si="248"/>
        <v>10</v>
      </c>
      <c r="AG563" t="str">
        <f t="shared" si="237"/>
        <v/>
      </c>
      <c r="AH563" t="str">
        <f t="shared" si="238"/>
        <v/>
      </c>
      <c r="AI563" t="str">
        <f t="shared" si="239"/>
        <v/>
      </c>
      <c r="AJ563">
        <f t="shared" si="240"/>
        <v>0</v>
      </c>
      <c r="AK563">
        <f t="shared" si="249"/>
        <v>4</v>
      </c>
      <c r="AL563" t="str">
        <f t="shared" si="241"/>
        <v/>
      </c>
      <c r="AM563" t="str">
        <f t="shared" si="242"/>
        <v/>
      </c>
      <c r="AN563" t="str">
        <f t="shared" si="243"/>
        <v/>
      </c>
      <c r="AO563">
        <f t="shared" si="244"/>
        <v>0</v>
      </c>
    </row>
    <row r="564" spans="1:41" x14ac:dyDescent="0.4">
      <c r="A564" t="str">
        <f>IF($CM$6=0,"",IF(INDEX('⑩ 원문 보관'!$A:$E,$CM$6+ROW()-9,COLUMN())="","",INDEX('⑩ 원문 보관'!$A:$E,$CM$6+ROW()-9,COLUMN())))</f>
        <v/>
      </c>
      <c r="B564" t="str">
        <f>IF($CM$6=0,"",IF(INDEX('⑩ 원문 보관'!$A:$E,$CM$6+ROW()-9,COLUMN())="","",INDEX('⑩ 원문 보관'!$A:$E,$CM$6+ROW()-9,COLUMN())))</f>
        <v/>
      </c>
      <c r="C564" t="str">
        <f>IF($CM$6=0,"",IF(INDEX('⑩ 원문 보관'!$A:$E,$CM$6+ROW()-9,COLUMN())="","",INDEX('⑩ 원문 보관'!$A:$E,$CM$6+ROW()-9,COLUMN())))</f>
        <v/>
      </c>
      <c r="D564" t="str">
        <f>IF($CM$6=0,"",IF(INDEX('⑩ 원문 보관'!$A:$E,$CM$6+ROW()-9,COLUMN())="","",INDEX('⑩ 원문 보관'!$A:$E,$CM$6+ROW()-9,COLUMN())))</f>
        <v/>
      </c>
      <c r="E564" t="str">
        <f>IF($CM$6=0,"",IF(INDEX('⑩ 원문 보관'!$A:$E,$CM$6+ROW()-9,COLUMN())="","",INDEX('⑩ 원문 보관'!$A:$E,$CM$6+ROW()-9,COLUMN())))</f>
        <v/>
      </c>
      <c r="Q564">
        <f t="shared" si="245"/>
        <v>8</v>
      </c>
      <c r="R564" t="str">
        <f t="shared" si="225"/>
        <v/>
      </c>
      <c r="S564" t="str">
        <f t="shared" si="226"/>
        <v/>
      </c>
      <c r="T564" t="str">
        <f t="shared" si="227"/>
        <v/>
      </c>
      <c r="U564">
        <f t="shared" si="228"/>
        <v>0</v>
      </c>
      <c r="V564">
        <f t="shared" si="246"/>
        <v>12</v>
      </c>
      <c r="W564" t="str">
        <f t="shared" si="229"/>
        <v/>
      </c>
      <c r="X564" t="str">
        <f t="shared" si="230"/>
        <v/>
      </c>
      <c r="Y564" t="str">
        <f t="shared" si="231"/>
        <v/>
      </c>
      <c r="Z564">
        <f t="shared" si="232"/>
        <v>0</v>
      </c>
      <c r="AA564">
        <f t="shared" si="247"/>
        <v>6</v>
      </c>
      <c r="AB564" t="str">
        <f t="shared" si="233"/>
        <v/>
      </c>
      <c r="AC564" t="str">
        <f t="shared" si="234"/>
        <v/>
      </c>
      <c r="AD564" t="str">
        <f t="shared" si="235"/>
        <v/>
      </c>
      <c r="AE564">
        <f t="shared" si="236"/>
        <v>0</v>
      </c>
      <c r="AF564">
        <f t="shared" si="248"/>
        <v>10</v>
      </c>
      <c r="AG564" t="str">
        <f t="shared" si="237"/>
        <v/>
      </c>
      <c r="AH564" t="str">
        <f t="shared" si="238"/>
        <v/>
      </c>
      <c r="AI564" t="str">
        <f t="shared" si="239"/>
        <v/>
      </c>
      <c r="AJ564">
        <f t="shared" si="240"/>
        <v>0</v>
      </c>
      <c r="AK564">
        <f t="shared" si="249"/>
        <v>4</v>
      </c>
      <c r="AL564" t="str">
        <f t="shared" si="241"/>
        <v/>
      </c>
      <c r="AM564" t="str">
        <f t="shared" si="242"/>
        <v/>
      </c>
      <c r="AN564" t="str">
        <f t="shared" si="243"/>
        <v/>
      </c>
      <c r="AO564">
        <f t="shared" si="244"/>
        <v>0</v>
      </c>
    </row>
    <row r="565" spans="1:41" x14ac:dyDescent="0.4">
      <c r="A565" t="str">
        <f>IF($CM$6=0,"",IF(INDEX('⑩ 원문 보관'!$A:$E,$CM$6+ROW()-9,COLUMN())="","",INDEX('⑩ 원문 보관'!$A:$E,$CM$6+ROW()-9,COLUMN())))</f>
        <v/>
      </c>
      <c r="B565" t="str">
        <f>IF($CM$6=0,"",IF(INDEX('⑩ 원문 보관'!$A:$E,$CM$6+ROW()-9,COLUMN())="","",INDEX('⑩ 원문 보관'!$A:$E,$CM$6+ROW()-9,COLUMN())))</f>
        <v/>
      </c>
      <c r="C565" t="str">
        <f>IF($CM$6=0,"",IF(INDEX('⑩ 원문 보관'!$A:$E,$CM$6+ROW()-9,COLUMN())="","",INDEX('⑩ 원문 보관'!$A:$E,$CM$6+ROW()-9,COLUMN())))</f>
        <v/>
      </c>
      <c r="D565" t="str">
        <f>IF($CM$6=0,"",IF(INDEX('⑩ 원문 보관'!$A:$E,$CM$6+ROW()-9,COLUMN())="","",INDEX('⑩ 원문 보관'!$A:$E,$CM$6+ROW()-9,COLUMN())))</f>
        <v/>
      </c>
      <c r="E565" t="str">
        <f>IF($CM$6=0,"",IF(INDEX('⑩ 원문 보관'!$A:$E,$CM$6+ROW()-9,COLUMN())="","",INDEX('⑩ 원문 보관'!$A:$E,$CM$6+ROW()-9,COLUMN())))</f>
        <v/>
      </c>
      <c r="Q565">
        <f t="shared" si="245"/>
        <v>8</v>
      </c>
      <c r="R565" t="str">
        <f t="shared" si="225"/>
        <v/>
      </c>
      <c r="S565" t="str">
        <f t="shared" si="226"/>
        <v/>
      </c>
      <c r="T565" t="str">
        <f t="shared" si="227"/>
        <v/>
      </c>
      <c r="U565">
        <f t="shared" si="228"/>
        <v>0</v>
      </c>
      <c r="V565">
        <f t="shared" si="246"/>
        <v>12</v>
      </c>
      <c r="W565" t="str">
        <f t="shared" si="229"/>
        <v/>
      </c>
      <c r="X565" t="str">
        <f t="shared" si="230"/>
        <v/>
      </c>
      <c r="Y565" t="str">
        <f t="shared" si="231"/>
        <v/>
      </c>
      <c r="Z565">
        <f t="shared" si="232"/>
        <v>0</v>
      </c>
      <c r="AA565">
        <f t="shared" si="247"/>
        <v>6</v>
      </c>
      <c r="AB565" t="str">
        <f t="shared" si="233"/>
        <v/>
      </c>
      <c r="AC565" t="str">
        <f t="shared" si="234"/>
        <v/>
      </c>
      <c r="AD565" t="str">
        <f t="shared" si="235"/>
        <v/>
      </c>
      <c r="AE565">
        <f t="shared" si="236"/>
        <v>0</v>
      </c>
      <c r="AF565">
        <f t="shared" si="248"/>
        <v>10</v>
      </c>
      <c r="AG565" t="str">
        <f t="shared" si="237"/>
        <v/>
      </c>
      <c r="AH565" t="str">
        <f t="shared" si="238"/>
        <v/>
      </c>
      <c r="AI565" t="str">
        <f t="shared" si="239"/>
        <v/>
      </c>
      <c r="AJ565">
        <f t="shared" si="240"/>
        <v>0</v>
      </c>
      <c r="AK565">
        <f t="shared" si="249"/>
        <v>4</v>
      </c>
      <c r="AL565" t="str">
        <f t="shared" si="241"/>
        <v/>
      </c>
      <c r="AM565" t="str">
        <f t="shared" si="242"/>
        <v/>
      </c>
      <c r="AN565" t="str">
        <f t="shared" si="243"/>
        <v/>
      </c>
      <c r="AO565">
        <f t="shared" si="244"/>
        <v>0</v>
      </c>
    </row>
    <row r="566" spans="1:41" x14ac:dyDescent="0.4">
      <c r="A566" t="str">
        <f>IF($CM$6=0,"",IF(INDEX('⑩ 원문 보관'!$A:$E,$CM$6+ROW()-9,COLUMN())="","",INDEX('⑩ 원문 보관'!$A:$E,$CM$6+ROW()-9,COLUMN())))</f>
        <v/>
      </c>
      <c r="B566" t="str">
        <f>IF($CM$6=0,"",IF(INDEX('⑩ 원문 보관'!$A:$E,$CM$6+ROW()-9,COLUMN())="","",INDEX('⑩ 원문 보관'!$A:$E,$CM$6+ROW()-9,COLUMN())))</f>
        <v/>
      </c>
      <c r="C566" t="str">
        <f>IF($CM$6=0,"",IF(INDEX('⑩ 원문 보관'!$A:$E,$CM$6+ROW()-9,COLUMN())="","",INDEX('⑩ 원문 보관'!$A:$E,$CM$6+ROW()-9,COLUMN())))</f>
        <v/>
      </c>
      <c r="D566" t="str">
        <f>IF($CM$6=0,"",IF(INDEX('⑩ 원문 보관'!$A:$E,$CM$6+ROW()-9,COLUMN())="","",INDEX('⑩ 원문 보관'!$A:$E,$CM$6+ROW()-9,COLUMN())))</f>
        <v/>
      </c>
      <c r="E566" t="str">
        <f>IF($CM$6=0,"",IF(INDEX('⑩ 원문 보관'!$A:$E,$CM$6+ROW()-9,COLUMN())="","",INDEX('⑩ 원문 보관'!$A:$E,$CM$6+ROW()-9,COLUMN())))</f>
        <v/>
      </c>
      <c r="Q566">
        <f t="shared" si="245"/>
        <v>8</v>
      </c>
      <c r="R566" t="str">
        <f t="shared" si="225"/>
        <v/>
      </c>
      <c r="S566" t="str">
        <f t="shared" si="226"/>
        <v/>
      </c>
      <c r="T566" t="str">
        <f t="shared" si="227"/>
        <v/>
      </c>
      <c r="U566">
        <f t="shared" si="228"/>
        <v>0</v>
      </c>
      <c r="V566">
        <f t="shared" si="246"/>
        <v>12</v>
      </c>
      <c r="W566" t="str">
        <f t="shared" si="229"/>
        <v/>
      </c>
      <c r="X566" t="str">
        <f t="shared" si="230"/>
        <v/>
      </c>
      <c r="Y566" t="str">
        <f t="shared" si="231"/>
        <v/>
      </c>
      <c r="Z566">
        <f t="shared" si="232"/>
        <v>0</v>
      </c>
      <c r="AA566">
        <f t="shared" si="247"/>
        <v>6</v>
      </c>
      <c r="AB566" t="str">
        <f t="shared" si="233"/>
        <v/>
      </c>
      <c r="AC566" t="str">
        <f t="shared" si="234"/>
        <v/>
      </c>
      <c r="AD566" t="str">
        <f t="shared" si="235"/>
        <v/>
      </c>
      <c r="AE566">
        <f t="shared" si="236"/>
        <v>0</v>
      </c>
      <c r="AF566">
        <f t="shared" si="248"/>
        <v>10</v>
      </c>
      <c r="AG566" t="str">
        <f t="shared" si="237"/>
        <v/>
      </c>
      <c r="AH566" t="str">
        <f t="shared" si="238"/>
        <v/>
      </c>
      <c r="AI566" t="str">
        <f t="shared" si="239"/>
        <v/>
      </c>
      <c r="AJ566">
        <f t="shared" si="240"/>
        <v>0</v>
      </c>
      <c r="AK566">
        <f t="shared" si="249"/>
        <v>4</v>
      </c>
      <c r="AL566" t="str">
        <f t="shared" si="241"/>
        <v/>
      </c>
      <c r="AM566" t="str">
        <f t="shared" si="242"/>
        <v/>
      </c>
      <c r="AN566" t="str">
        <f t="shared" si="243"/>
        <v/>
      </c>
      <c r="AO566">
        <f t="shared" si="244"/>
        <v>0</v>
      </c>
    </row>
    <row r="567" spans="1:41" x14ac:dyDescent="0.4">
      <c r="A567" t="str">
        <f>IF($CM$6=0,"",IF(INDEX('⑩ 원문 보관'!$A:$E,$CM$6+ROW()-9,COLUMN())="","",INDEX('⑩ 원문 보관'!$A:$E,$CM$6+ROW()-9,COLUMN())))</f>
        <v/>
      </c>
      <c r="B567" t="str">
        <f>IF($CM$6=0,"",IF(INDEX('⑩ 원문 보관'!$A:$E,$CM$6+ROW()-9,COLUMN())="","",INDEX('⑩ 원문 보관'!$A:$E,$CM$6+ROW()-9,COLUMN())))</f>
        <v/>
      </c>
      <c r="C567" t="str">
        <f>IF($CM$6=0,"",IF(INDEX('⑩ 원문 보관'!$A:$E,$CM$6+ROW()-9,COLUMN())="","",INDEX('⑩ 원문 보관'!$A:$E,$CM$6+ROW()-9,COLUMN())))</f>
        <v/>
      </c>
      <c r="D567" t="str">
        <f>IF($CM$6=0,"",IF(INDEX('⑩ 원문 보관'!$A:$E,$CM$6+ROW()-9,COLUMN())="","",INDEX('⑩ 원문 보관'!$A:$E,$CM$6+ROW()-9,COLUMN())))</f>
        <v/>
      </c>
      <c r="E567" t="str">
        <f>IF($CM$6=0,"",IF(INDEX('⑩ 원문 보관'!$A:$E,$CM$6+ROW()-9,COLUMN())="","",INDEX('⑩ 원문 보관'!$A:$E,$CM$6+ROW()-9,COLUMN())))</f>
        <v/>
      </c>
      <c r="Q567">
        <f t="shared" si="245"/>
        <v>8</v>
      </c>
      <c r="R567" t="str">
        <f t="shared" si="225"/>
        <v/>
      </c>
      <c r="S567" t="str">
        <f t="shared" si="226"/>
        <v/>
      </c>
      <c r="T567" t="str">
        <f t="shared" si="227"/>
        <v/>
      </c>
      <c r="U567">
        <f t="shared" si="228"/>
        <v>0</v>
      </c>
      <c r="V567">
        <f t="shared" si="246"/>
        <v>12</v>
      </c>
      <c r="W567" t="str">
        <f t="shared" si="229"/>
        <v/>
      </c>
      <c r="X567" t="str">
        <f t="shared" si="230"/>
        <v/>
      </c>
      <c r="Y567" t="str">
        <f t="shared" si="231"/>
        <v/>
      </c>
      <c r="Z567">
        <f t="shared" si="232"/>
        <v>0</v>
      </c>
      <c r="AA567">
        <f t="shared" si="247"/>
        <v>6</v>
      </c>
      <c r="AB567" t="str">
        <f t="shared" si="233"/>
        <v/>
      </c>
      <c r="AC567" t="str">
        <f t="shared" si="234"/>
        <v/>
      </c>
      <c r="AD567" t="str">
        <f t="shared" si="235"/>
        <v/>
      </c>
      <c r="AE567">
        <f t="shared" si="236"/>
        <v>0</v>
      </c>
      <c r="AF567">
        <f t="shared" si="248"/>
        <v>10</v>
      </c>
      <c r="AG567" t="str">
        <f t="shared" si="237"/>
        <v/>
      </c>
      <c r="AH567" t="str">
        <f t="shared" si="238"/>
        <v/>
      </c>
      <c r="AI567" t="str">
        <f t="shared" si="239"/>
        <v/>
      </c>
      <c r="AJ567">
        <f t="shared" si="240"/>
        <v>0</v>
      </c>
      <c r="AK567">
        <f t="shared" si="249"/>
        <v>4</v>
      </c>
      <c r="AL567" t="str">
        <f t="shared" si="241"/>
        <v/>
      </c>
      <c r="AM567" t="str">
        <f t="shared" si="242"/>
        <v/>
      </c>
      <c r="AN567" t="str">
        <f t="shared" si="243"/>
        <v/>
      </c>
      <c r="AO567">
        <f t="shared" si="244"/>
        <v>0</v>
      </c>
    </row>
    <row r="568" spans="1:41" x14ac:dyDescent="0.4">
      <c r="A568" t="str">
        <f>IF($CM$6=0,"",IF(INDEX('⑩ 원문 보관'!$A:$E,$CM$6+ROW()-9,COLUMN())="","",INDEX('⑩ 원문 보관'!$A:$E,$CM$6+ROW()-9,COLUMN())))</f>
        <v/>
      </c>
      <c r="B568" t="str">
        <f>IF($CM$6=0,"",IF(INDEX('⑩ 원문 보관'!$A:$E,$CM$6+ROW()-9,COLUMN())="","",INDEX('⑩ 원문 보관'!$A:$E,$CM$6+ROW()-9,COLUMN())))</f>
        <v/>
      </c>
      <c r="C568" t="str">
        <f>IF($CM$6=0,"",IF(INDEX('⑩ 원문 보관'!$A:$E,$CM$6+ROW()-9,COLUMN())="","",INDEX('⑩ 원문 보관'!$A:$E,$CM$6+ROW()-9,COLUMN())))</f>
        <v/>
      </c>
      <c r="D568" t="str">
        <f>IF($CM$6=0,"",IF(INDEX('⑩ 원문 보관'!$A:$E,$CM$6+ROW()-9,COLUMN())="","",INDEX('⑩ 원문 보관'!$A:$E,$CM$6+ROW()-9,COLUMN())))</f>
        <v/>
      </c>
      <c r="E568" t="str">
        <f>IF($CM$6=0,"",IF(INDEX('⑩ 원문 보관'!$A:$E,$CM$6+ROW()-9,COLUMN())="","",INDEX('⑩ 원문 보관'!$A:$E,$CM$6+ROW()-9,COLUMN())))</f>
        <v/>
      </c>
      <c r="Q568">
        <f t="shared" si="245"/>
        <v>8</v>
      </c>
      <c r="R568" t="str">
        <f t="shared" si="225"/>
        <v/>
      </c>
      <c r="S568" t="str">
        <f t="shared" si="226"/>
        <v/>
      </c>
      <c r="T568" t="str">
        <f t="shared" si="227"/>
        <v/>
      </c>
      <c r="U568">
        <f t="shared" si="228"/>
        <v>0</v>
      </c>
      <c r="V568">
        <f t="shared" si="246"/>
        <v>12</v>
      </c>
      <c r="W568" t="str">
        <f t="shared" si="229"/>
        <v/>
      </c>
      <c r="X568" t="str">
        <f t="shared" si="230"/>
        <v/>
      </c>
      <c r="Y568" t="str">
        <f t="shared" si="231"/>
        <v/>
      </c>
      <c r="Z568">
        <f t="shared" si="232"/>
        <v>0</v>
      </c>
      <c r="AA568">
        <f t="shared" si="247"/>
        <v>6</v>
      </c>
      <c r="AB568" t="str">
        <f t="shared" si="233"/>
        <v/>
      </c>
      <c r="AC568" t="str">
        <f t="shared" si="234"/>
        <v/>
      </c>
      <c r="AD568" t="str">
        <f t="shared" si="235"/>
        <v/>
      </c>
      <c r="AE568">
        <f t="shared" si="236"/>
        <v>0</v>
      </c>
      <c r="AF568">
        <f t="shared" si="248"/>
        <v>10</v>
      </c>
      <c r="AG568" t="str">
        <f t="shared" si="237"/>
        <v/>
      </c>
      <c r="AH568" t="str">
        <f t="shared" si="238"/>
        <v/>
      </c>
      <c r="AI568" t="str">
        <f t="shared" si="239"/>
        <v/>
      </c>
      <c r="AJ568">
        <f t="shared" si="240"/>
        <v>0</v>
      </c>
      <c r="AK568">
        <f t="shared" si="249"/>
        <v>4</v>
      </c>
      <c r="AL568" t="str">
        <f t="shared" si="241"/>
        <v/>
      </c>
      <c r="AM568" t="str">
        <f t="shared" si="242"/>
        <v/>
      </c>
      <c r="AN568" t="str">
        <f t="shared" si="243"/>
        <v/>
      </c>
      <c r="AO568">
        <f t="shared" si="244"/>
        <v>0</v>
      </c>
    </row>
    <row r="569" spans="1:41" x14ac:dyDescent="0.4">
      <c r="A569" t="str">
        <f>IF($CM$6=0,"",IF(INDEX('⑩ 원문 보관'!$A:$E,$CM$6+ROW()-9,COLUMN())="","",INDEX('⑩ 원문 보관'!$A:$E,$CM$6+ROW()-9,COLUMN())))</f>
        <v/>
      </c>
      <c r="B569" t="str">
        <f>IF($CM$6=0,"",IF(INDEX('⑩ 원문 보관'!$A:$E,$CM$6+ROW()-9,COLUMN())="","",INDEX('⑩ 원문 보관'!$A:$E,$CM$6+ROW()-9,COLUMN())))</f>
        <v/>
      </c>
      <c r="C569" t="str">
        <f>IF($CM$6=0,"",IF(INDEX('⑩ 원문 보관'!$A:$E,$CM$6+ROW()-9,COLUMN())="","",INDEX('⑩ 원문 보관'!$A:$E,$CM$6+ROW()-9,COLUMN())))</f>
        <v/>
      </c>
      <c r="D569" t="str">
        <f>IF($CM$6=0,"",IF(INDEX('⑩ 원문 보관'!$A:$E,$CM$6+ROW()-9,COLUMN())="","",INDEX('⑩ 원문 보관'!$A:$E,$CM$6+ROW()-9,COLUMN())))</f>
        <v/>
      </c>
      <c r="E569" t="str">
        <f>IF($CM$6=0,"",IF(INDEX('⑩ 원문 보관'!$A:$E,$CM$6+ROW()-9,COLUMN())="","",INDEX('⑩ 원문 보관'!$A:$E,$CM$6+ROW()-9,COLUMN())))</f>
        <v/>
      </c>
      <c r="Q569">
        <f t="shared" si="245"/>
        <v>8</v>
      </c>
      <c r="R569" t="str">
        <f t="shared" si="225"/>
        <v/>
      </c>
      <c r="S569" t="str">
        <f t="shared" si="226"/>
        <v/>
      </c>
      <c r="T569" t="str">
        <f t="shared" si="227"/>
        <v/>
      </c>
      <c r="U569">
        <f t="shared" si="228"/>
        <v>0</v>
      </c>
      <c r="V569">
        <f t="shared" si="246"/>
        <v>12</v>
      </c>
      <c r="W569" t="str">
        <f t="shared" si="229"/>
        <v/>
      </c>
      <c r="X569" t="str">
        <f t="shared" si="230"/>
        <v/>
      </c>
      <c r="Y569" t="str">
        <f t="shared" si="231"/>
        <v/>
      </c>
      <c r="Z569">
        <f t="shared" si="232"/>
        <v>0</v>
      </c>
      <c r="AA569">
        <f t="shared" si="247"/>
        <v>6</v>
      </c>
      <c r="AB569" t="str">
        <f t="shared" si="233"/>
        <v/>
      </c>
      <c r="AC569" t="str">
        <f t="shared" si="234"/>
        <v/>
      </c>
      <c r="AD569" t="str">
        <f t="shared" si="235"/>
        <v/>
      </c>
      <c r="AE569">
        <f t="shared" si="236"/>
        <v>0</v>
      </c>
      <c r="AF569">
        <f t="shared" si="248"/>
        <v>10</v>
      </c>
      <c r="AG569" t="str">
        <f t="shared" si="237"/>
        <v/>
      </c>
      <c r="AH569" t="str">
        <f t="shared" si="238"/>
        <v/>
      </c>
      <c r="AI569" t="str">
        <f t="shared" si="239"/>
        <v/>
      </c>
      <c r="AJ569">
        <f t="shared" si="240"/>
        <v>0</v>
      </c>
      <c r="AK569">
        <f t="shared" si="249"/>
        <v>4</v>
      </c>
      <c r="AL569" t="str">
        <f t="shared" si="241"/>
        <v/>
      </c>
      <c r="AM569" t="str">
        <f t="shared" si="242"/>
        <v/>
      </c>
      <c r="AN569" t="str">
        <f t="shared" si="243"/>
        <v/>
      </c>
      <c r="AO569">
        <f t="shared" si="244"/>
        <v>0</v>
      </c>
    </row>
    <row r="570" spans="1:41" x14ac:dyDescent="0.4">
      <c r="A570" t="str">
        <f>IF($CM$6=0,"",IF(INDEX('⑩ 원문 보관'!$A:$E,$CM$6+ROW()-9,COLUMN())="","",INDEX('⑩ 원문 보관'!$A:$E,$CM$6+ROW()-9,COLUMN())))</f>
        <v/>
      </c>
      <c r="B570" t="str">
        <f>IF($CM$6=0,"",IF(INDEX('⑩ 원문 보관'!$A:$E,$CM$6+ROW()-9,COLUMN())="","",INDEX('⑩ 원문 보관'!$A:$E,$CM$6+ROW()-9,COLUMN())))</f>
        <v/>
      </c>
      <c r="C570" t="str">
        <f>IF($CM$6=0,"",IF(INDEX('⑩ 원문 보관'!$A:$E,$CM$6+ROW()-9,COLUMN())="","",INDEX('⑩ 원문 보관'!$A:$E,$CM$6+ROW()-9,COLUMN())))</f>
        <v/>
      </c>
      <c r="D570" t="str">
        <f>IF($CM$6=0,"",IF(INDEX('⑩ 원문 보관'!$A:$E,$CM$6+ROW()-9,COLUMN())="","",INDEX('⑩ 원문 보관'!$A:$E,$CM$6+ROW()-9,COLUMN())))</f>
        <v/>
      </c>
      <c r="E570" t="str">
        <f>IF($CM$6=0,"",IF(INDEX('⑩ 원문 보관'!$A:$E,$CM$6+ROW()-9,COLUMN())="","",INDEX('⑩ 원문 보관'!$A:$E,$CM$6+ROW()-9,COLUMN())))</f>
        <v/>
      </c>
      <c r="Q570">
        <f t="shared" si="245"/>
        <v>8</v>
      </c>
      <c r="R570" t="str">
        <f t="shared" si="225"/>
        <v/>
      </c>
      <c r="S570" t="str">
        <f t="shared" si="226"/>
        <v/>
      </c>
      <c r="T570" t="str">
        <f t="shared" si="227"/>
        <v/>
      </c>
      <c r="U570">
        <f t="shared" si="228"/>
        <v>0</v>
      </c>
      <c r="V570">
        <f t="shared" si="246"/>
        <v>12</v>
      </c>
      <c r="W570" t="str">
        <f t="shared" si="229"/>
        <v/>
      </c>
      <c r="X570" t="str">
        <f t="shared" si="230"/>
        <v/>
      </c>
      <c r="Y570" t="str">
        <f t="shared" si="231"/>
        <v/>
      </c>
      <c r="Z570">
        <f t="shared" si="232"/>
        <v>0</v>
      </c>
      <c r="AA570">
        <f t="shared" si="247"/>
        <v>6</v>
      </c>
      <c r="AB570" t="str">
        <f t="shared" si="233"/>
        <v/>
      </c>
      <c r="AC570" t="str">
        <f t="shared" si="234"/>
        <v/>
      </c>
      <c r="AD570" t="str">
        <f t="shared" si="235"/>
        <v/>
      </c>
      <c r="AE570">
        <f t="shared" si="236"/>
        <v>0</v>
      </c>
      <c r="AF570">
        <f t="shared" si="248"/>
        <v>10</v>
      </c>
      <c r="AG570" t="str">
        <f t="shared" si="237"/>
        <v/>
      </c>
      <c r="AH570" t="str">
        <f t="shared" si="238"/>
        <v/>
      </c>
      <c r="AI570" t="str">
        <f t="shared" si="239"/>
        <v/>
      </c>
      <c r="AJ570">
        <f t="shared" si="240"/>
        <v>0</v>
      </c>
      <c r="AK570">
        <f t="shared" si="249"/>
        <v>4</v>
      </c>
      <c r="AL570" t="str">
        <f t="shared" si="241"/>
        <v/>
      </c>
      <c r="AM570" t="str">
        <f t="shared" si="242"/>
        <v/>
      </c>
      <c r="AN570" t="str">
        <f t="shared" si="243"/>
        <v/>
      </c>
      <c r="AO570">
        <f t="shared" si="244"/>
        <v>0</v>
      </c>
    </row>
    <row r="571" spans="1:41" x14ac:dyDescent="0.4">
      <c r="A571" t="str">
        <f>IF($CM$6=0,"",IF(INDEX('⑩ 원문 보관'!$A:$E,$CM$6+ROW()-9,COLUMN())="","",INDEX('⑩ 원문 보관'!$A:$E,$CM$6+ROW()-9,COLUMN())))</f>
        <v/>
      </c>
      <c r="B571" t="str">
        <f>IF($CM$6=0,"",IF(INDEX('⑩ 원문 보관'!$A:$E,$CM$6+ROW()-9,COLUMN())="","",INDEX('⑩ 원문 보관'!$A:$E,$CM$6+ROW()-9,COLUMN())))</f>
        <v/>
      </c>
      <c r="C571" t="str">
        <f>IF($CM$6=0,"",IF(INDEX('⑩ 원문 보관'!$A:$E,$CM$6+ROW()-9,COLUMN())="","",INDEX('⑩ 원문 보관'!$A:$E,$CM$6+ROW()-9,COLUMN())))</f>
        <v/>
      </c>
      <c r="D571" t="str">
        <f>IF($CM$6=0,"",IF(INDEX('⑩ 원문 보관'!$A:$E,$CM$6+ROW()-9,COLUMN())="","",INDEX('⑩ 원문 보관'!$A:$E,$CM$6+ROW()-9,COLUMN())))</f>
        <v/>
      </c>
      <c r="E571" t="str">
        <f>IF($CM$6=0,"",IF(INDEX('⑩ 원문 보관'!$A:$E,$CM$6+ROW()-9,COLUMN())="","",INDEX('⑩ 원문 보관'!$A:$E,$CM$6+ROW()-9,COLUMN())))</f>
        <v/>
      </c>
      <c r="Q571">
        <f t="shared" si="245"/>
        <v>8</v>
      </c>
      <c r="R571" t="str">
        <f t="shared" si="225"/>
        <v/>
      </c>
      <c r="S571" t="str">
        <f t="shared" si="226"/>
        <v/>
      </c>
      <c r="T571" t="str">
        <f t="shared" si="227"/>
        <v/>
      </c>
      <c r="U571">
        <f t="shared" si="228"/>
        <v>0</v>
      </c>
      <c r="V571">
        <f t="shared" si="246"/>
        <v>12</v>
      </c>
      <c r="W571" t="str">
        <f t="shared" si="229"/>
        <v/>
      </c>
      <c r="X571" t="str">
        <f t="shared" si="230"/>
        <v/>
      </c>
      <c r="Y571" t="str">
        <f t="shared" si="231"/>
        <v/>
      </c>
      <c r="Z571">
        <f t="shared" si="232"/>
        <v>0</v>
      </c>
      <c r="AA571">
        <f t="shared" si="247"/>
        <v>6</v>
      </c>
      <c r="AB571" t="str">
        <f t="shared" si="233"/>
        <v/>
      </c>
      <c r="AC571" t="str">
        <f t="shared" si="234"/>
        <v/>
      </c>
      <c r="AD571" t="str">
        <f t="shared" si="235"/>
        <v/>
      </c>
      <c r="AE571">
        <f t="shared" si="236"/>
        <v>0</v>
      </c>
      <c r="AF571">
        <f t="shared" si="248"/>
        <v>10</v>
      </c>
      <c r="AG571" t="str">
        <f t="shared" si="237"/>
        <v/>
      </c>
      <c r="AH571" t="str">
        <f t="shared" si="238"/>
        <v/>
      </c>
      <c r="AI571" t="str">
        <f t="shared" si="239"/>
        <v/>
      </c>
      <c r="AJ571">
        <f t="shared" si="240"/>
        <v>0</v>
      </c>
      <c r="AK571">
        <f t="shared" si="249"/>
        <v>4</v>
      </c>
      <c r="AL571" t="str">
        <f t="shared" si="241"/>
        <v/>
      </c>
      <c r="AM571" t="str">
        <f t="shared" si="242"/>
        <v/>
      </c>
      <c r="AN571" t="str">
        <f t="shared" si="243"/>
        <v/>
      </c>
      <c r="AO571">
        <f t="shared" si="244"/>
        <v>0</v>
      </c>
    </row>
    <row r="572" spans="1:41" x14ac:dyDescent="0.4">
      <c r="A572" t="str">
        <f>IF($CM$6=0,"",IF(INDEX('⑩ 원문 보관'!$A:$E,$CM$6+ROW()-9,COLUMN())="","",INDEX('⑩ 원문 보관'!$A:$E,$CM$6+ROW()-9,COLUMN())))</f>
        <v/>
      </c>
      <c r="B572" t="str">
        <f>IF($CM$6=0,"",IF(INDEX('⑩ 원문 보관'!$A:$E,$CM$6+ROW()-9,COLUMN())="","",INDEX('⑩ 원문 보관'!$A:$E,$CM$6+ROW()-9,COLUMN())))</f>
        <v/>
      </c>
      <c r="C572" t="str">
        <f>IF($CM$6=0,"",IF(INDEX('⑩ 원문 보관'!$A:$E,$CM$6+ROW()-9,COLUMN())="","",INDEX('⑩ 원문 보관'!$A:$E,$CM$6+ROW()-9,COLUMN())))</f>
        <v/>
      </c>
      <c r="D572" t="str">
        <f>IF($CM$6=0,"",IF(INDEX('⑩ 원문 보관'!$A:$E,$CM$6+ROW()-9,COLUMN())="","",INDEX('⑩ 원문 보관'!$A:$E,$CM$6+ROW()-9,COLUMN())))</f>
        <v/>
      </c>
      <c r="E572" t="str">
        <f>IF($CM$6=0,"",IF(INDEX('⑩ 원문 보관'!$A:$E,$CM$6+ROW()-9,COLUMN())="","",INDEX('⑩ 원문 보관'!$A:$E,$CM$6+ROW()-9,COLUMN())))</f>
        <v/>
      </c>
      <c r="Q572">
        <f t="shared" si="245"/>
        <v>8</v>
      </c>
      <c r="R572" t="str">
        <f t="shared" si="225"/>
        <v/>
      </c>
      <c r="S572" t="str">
        <f t="shared" si="226"/>
        <v/>
      </c>
      <c r="T572" t="str">
        <f t="shared" si="227"/>
        <v/>
      </c>
      <c r="U572">
        <f t="shared" si="228"/>
        <v>0</v>
      </c>
      <c r="V572">
        <f t="shared" si="246"/>
        <v>12</v>
      </c>
      <c r="W572" t="str">
        <f t="shared" si="229"/>
        <v/>
      </c>
      <c r="X572" t="str">
        <f t="shared" si="230"/>
        <v/>
      </c>
      <c r="Y572" t="str">
        <f t="shared" si="231"/>
        <v/>
      </c>
      <c r="Z572">
        <f t="shared" si="232"/>
        <v>0</v>
      </c>
      <c r="AA572">
        <f t="shared" si="247"/>
        <v>6</v>
      </c>
      <c r="AB572" t="str">
        <f t="shared" si="233"/>
        <v/>
      </c>
      <c r="AC572" t="str">
        <f t="shared" si="234"/>
        <v/>
      </c>
      <c r="AD572" t="str">
        <f t="shared" si="235"/>
        <v/>
      </c>
      <c r="AE572">
        <f t="shared" si="236"/>
        <v>0</v>
      </c>
      <c r="AF572">
        <f t="shared" si="248"/>
        <v>10</v>
      </c>
      <c r="AG572" t="str">
        <f t="shared" si="237"/>
        <v/>
      </c>
      <c r="AH572" t="str">
        <f t="shared" si="238"/>
        <v/>
      </c>
      <c r="AI572" t="str">
        <f t="shared" si="239"/>
        <v/>
      </c>
      <c r="AJ572">
        <f t="shared" si="240"/>
        <v>0</v>
      </c>
      <c r="AK572">
        <f t="shared" si="249"/>
        <v>4</v>
      </c>
      <c r="AL572" t="str">
        <f t="shared" si="241"/>
        <v/>
      </c>
      <c r="AM572" t="str">
        <f t="shared" si="242"/>
        <v/>
      </c>
      <c r="AN572" t="str">
        <f t="shared" si="243"/>
        <v/>
      </c>
      <c r="AO572">
        <f t="shared" si="244"/>
        <v>0</v>
      </c>
    </row>
    <row r="573" spans="1:41" x14ac:dyDescent="0.4">
      <c r="A573" t="str">
        <f>IF($CM$6=0,"",IF(INDEX('⑩ 원문 보관'!$A:$E,$CM$6+ROW()-9,COLUMN())="","",INDEX('⑩ 원문 보관'!$A:$E,$CM$6+ROW()-9,COLUMN())))</f>
        <v/>
      </c>
      <c r="B573" t="str">
        <f>IF($CM$6=0,"",IF(INDEX('⑩ 원문 보관'!$A:$E,$CM$6+ROW()-9,COLUMN())="","",INDEX('⑩ 원문 보관'!$A:$E,$CM$6+ROW()-9,COLUMN())))</f>
        <v/>
      </c>
      <c r="C573" t="str">
        <f>IF($CM$6=0,"",IF(INDEX('⑩ 원문 보관'!$A:$E,$CM$6+ROW()-9,COLUMN())="","",INDEX('⑩ 원문 보관'!$A:$E,$CM$6+ROW()-9,COLUMN())))</f>
        <v/>
      </c>
      <c r="D573" t="str">
        <f>IF($CM$6=0,"",IF(INDEX('⑩ 원문 보관'!$A:$E,$CM$6+ROW()-9,COLUMN())="","",INDEX('⑩ 원문 보관'!$A:$E,$CM$6+ROW()-9,COLUMN())))</f>
        <v/>
      </c>
      <c r="E573" t="str">
        <f>IF($CM$6=0,"",IF(INDEX('⑩ 원문 보관'!$A:$E,$CM$6+ROW()-9,COLUMN())="","",INDEX('⑩ 원문 보관'!$A:$E,$CM$6+ROW()-9,COLUMN())))</f>
        <v/>
      </c>
      <c r="Q573">
        <f t="shared" si="245"/>
        <v>8</v>
      </c>
      <c r="R573" t="str">
        <f t="shared" si="225"/>
        <v/>
      </c>
      <c r="S573" t="str">
        <f t="shared" si="226"/>
        <v/>
      </c>
      <c r="T573" t="str">
        <f t="shared" si="227"/>
        <v/>
      </c>
      <c r="U573">
        <f t="shared" si="228"/>
        <v>0</v>
      </c>
      <c r="V573">
        <f t="shared" si="246"/>
        <v>12</v>
      </c>
      <c r="W573" t="str">
        <f t="shared" si="229"/>
        <v/>
      </c>
      <c r="X573" t="str">
        <f t="shared" si="230"/>
        <v/>
      </c>
      <c r="Y573" t="str">
        <f t="shared" si="231"/>
        <v/>
      </c>
      <c r="Z573">
        <f t="shared" si="232"/>
        <v>0</v>
      </c>
      <c r="AA573">
        <f t="shared" si="247"/>
        <v>6</v>
      </c>
      <c r="AB573" t="str">
        <f t="shared" si="233"/>
        <v/>
      </c>
      <c r="AC573" t="str">
        <f t="shared" si="234"/>
        <v/>
      </c>
      <c r="AD573" t="str">
        <f t="shared" si="235"/>
        <v/>
      </c>
      <c r="AE573">
        <f t="shared" si="236"/>
        <v>0</v>
      </c>
      <c r="AF573">
        <f t="shared" si="248"/>
        <v>10</v>
      </c>
      <c r="AG573" t="str">
        <f t="shared" si="237"/>
        <v/>
      </c>
      <c r="AH573" t="str">
        <f t="shared" si="238"/>
        <v/>
      </c>
      <c r="AI573" t="str">
        <f t="shared" si="239"/>
        <v/>
      </c>
      <c r="AJ573">
        <f t="shared" si="240"/>
        <v>0</v>
      </c>
      <c r="AK573">
        <f t="shared" si="249"/>
        <v>4</v>
      </c>
      <c r="AL573" t="str">
        <f t="shared" si="241"/>
        <v/>
      </c>
      <c r="AM573" t="str">
        <f t="shared" si="242"/>
        <v/>
      </c>
      <c r="AN573" t="str">
        <f t="shared" si="243"/>
        <v/>
      </c>
      <c r="AO573">
        <f t="shared" si="244"/>
        <v>0</v>
      </c>
    </row>
    <row r="574" spans="1:41" x14ac:dyDescent="0.4">
      <c r="A574" t="str">
        <f>IF($CM$6=0,"",IF(INDEX('⑩ 원문 보관'!$A:$E,$CM$6+ROW()-9,COLUMN())="","",INDEX('⑩ 원문 보관'!$A:$E,$CM$6+ROW()-9,COLUMN())))</f>
        <v/>
      </c>
      <c r="B574" t="str">
        <f>IF($CM$6=0,"",IF(INDEX('⑩ 원문 보관'!$A:$E,$CM$6+ROW()-9,COLUMN())="","",INDEX('⑩ 원문 보관'!$A:$E,$CM$6+ROW()-9,COLUMN())))</f>
        <v/>
      </c>
      <c r="C574" t="str">
        <f>IF($CM$6=0,"",IF(INDEX('⑩ 원문 보관'!$A:$E,$CM$6+ROW()-9,COLUMN())="","",INDEX('⑩ 원문 보관'!$A:$E,$CM$6+ROW()-9,COLUMN())))</f>
        <v/>
      </c>
      <c r="D574" t="str">
        <f>IF($CM$6=0,"",IF(INDEX('⑩ 원문 보관'!$A:$E,$CM$6+ROW()-9,COLUMN())="","",INDEX('⑩ 원문 보관'!$A:$E,$CM$6+ROW()-9,COLUMN())))</f>
        <v/>
      </c>
      <c r="E574" t="str">
        <f>IF($CM$6=0,"",IF(INDEX('⑩ 원문 보관'!$A:$E,$CM$6+ROW()-9,COLUMN())="","",INDEX('⑩ 원문 보관'!$A:$E,$CM$6+ROW()-9,COLUMN())))</f>
        <v/>
      </c>
      <c r="Q574">
        <f t="shared" si="245"/>
        <v>8</v>
      </c>
      <c r="R574" t="str">
        <f t="shared" si="225"/>
        <v/>
      </c>
      <c r="S574" t="str">
        <f t="shared" si="226"/>
        <v/>
      </c>
      <c r="T574" t="str">
        <f t="shared" si="227"/>
        <v/>
      </c>
      <c r="U574">
        <f t="shared" si="228"/>
        <v>0</v>
      </c>
      <c r="V574">
        <f t="shared" si="246"/>
        <v>12</v>
      </c>
      <c r="W574" t="str">
        <f t="shared" si="229"/>
        <v/>
      </c>
      <c r="X574" t="str">
        <f t="shared" si="230"/>
        <v/>
      </c>
      <c r="Y574" t="str">
        <f t="shared" si="231"/>
        <v/>
      </c>
      <c r="Z574">
        <f t="shared" si="232"/>
        <v>0</v>
      </c>
      <c r="AA574">
        <f t="shared" si="247"/>
        <v>6</v>
      </c>
      <c r="AB574" t="str">
        <f t="shared" si="233"/>
        <v/>
      </c>
      <c r="AC574" t="str">
        <f t="shared" si="234"/>
        <v/>
      </c>
      <c r="AD574" t="str">
        <f t="shared" si="235"/>
        <v/>
      </c>
      <c r="AE574">
        <f t="shared" si="236"/>
        <v>0</v>
      </c>
      <c r="AF574">
        <f t="shared" si="248"/>
        <v>10</v>
      </c>
      <c r="AG574" t="str">
        <f t="shared" si="237"/>
        <v/>
      </c>
      <c r="AH574" t="str">
        <f t="shared" si="238"/>
        <v/>
      </c>
      <c r="AI574" t="str">
        <f t="shared" si="239"/>
        <v/>
      </c>
      <c r="AJ574">
        <f t="shared" si="240"/>
        <v>0</v>
      </c>
      <c r="AK574">
        <f t="shared" si="249"/>
        <v>4</v>
      </c>
      <c r="AL574" t="str">
        <f t="shared" si="241"/>
        <v/>
      </c>
      <c r="AM574" t="str">
        <f t="shared" si="242"/>
        <v/>
      </c>
      <c r="AN574" t="str">
        <f t="shared" si="243"/>
        <v/>
      </c>
      <c r="AO574">
        <f t="shared" si="244"/>
        <v>0</v>
      </c>
    </row>
    <row r="575" spans="1:41" x14ac:dyDescent="0.4">
      <c r="A575" t="str">
        <f>IF($CM$6=0,"",IF(INDEX('⑩ 원문 보관'!$A:$E,$CM$6+ROW()-9,COLUMN())="","",INDEX('⑩ 원문 보관'!$A:$E,$CM$6+ROW()-9,COLUMN())))</f>
        <v/>
      </c>
      <c r="B575" t="str">
        <f>IF($CM$6=0,"",IF(INDEX('⑩ 원문 보관'!$A:$E,$CM$6+ROW()-9,COLUMN())="","",INDEX('⑩ 원문 보관'!$A:$E,$CM$6+ROW()-9,COLUMN())))</f>
        <v/>
      </c>
      <c r="C575" t="str">
        <f>IF($CM$6=0,"",IF(INDEX('⑩ 원문 보관'!$A:$E,$CM$6+ROW()-9,COLUMN())="","",INDEX('⑩ 원문 보관'!$A:$E,$CM$6+ROW()-9,COLUMN())))</f>
        <v/>
      </c>
      <c r="D575" t="str">
        <f>IF($CM$6=0,"",IF(INDEX('⑩ 원문 보관'!$A:$E,$CM$6+ROW()-9,COLUMN())="","",INDEX('⑩ 원문 보관'!$A:$E,$CM$6+ROW()-9,COLUMN())))</f>
        <v/>
      </c>
      <c r="E575" t="str">
        <f>IF($CM$6=0,"",IF(INDEX('⑩ 원문 보관'!$A:$E,$CM$6+ROW()-9,COLUMN())="","",INDEX('⑩ 원문 보관'!$A:$E,$CM$6+ROW()-9,COLUMN())))</f>
        <v/>
      </c>
      <c r="Q575">
        <f t="shared" si="245"/>
        <v>8</v>
      </c>
      <c r="R575" t="str">
        <f t="shared" si="225"/>
        <v/>
      </c>
      <c r="S575" t="str">
        <f t="shared" si="226"/>
        <v/>
      </c>
      <c r="T575" t="str">
        <f t="shared" si="227"/>
        <v/>
      </c>
      <c r="U575">
        <f t="shared" si="228"/>
        <v>0</v>
      </c>
      <c r="V575">
        <f t="shared" si="246"/>
        <v>12</v>
      </c>
      <c r="W575" t="str">
        <f t="shared" si="229"/>
        <v/>
      </c>
      <c r="X575" t="str">
        <f t="shared" si="230"/>
        <v/>
      </c>
      <c r="Y575" t="str">
        <f t="shared" si="231"/>
        <v/>
      </c>
      <c r="Z575">
        <f t="shared" si="232"/>
        <v>0</v>
      </c>
      <c r="AA575">
        <f t="shared" si="247"/>
        <v>6</v>
      </c>
      <c r="AB575" t="str">
        <f t="shared" si="233"/>
        <v/>
      </c>
      <c r="AC575" t="str">
        <f t="shared" si="234"/>
        <v/>
      </c>
      <c r="AD575" t="str">
        <f t="shared" si="235"/>
        <v/>
      </c>
      <c r="AE575">
        <f t="shared" si="236"/>
        <v>0</v>
      </c>
      <c r="AF575">
        <f t="shared" si="248"/>
        <v>10</v>
      </c>
      <c r="AG575" t="str">
        <f t="shared" si="237"/>
        <v/>
      </c>
      <c r="AH575" t="str">
        <f t="shared" si="238"/>
        <v/>
      </c>
      <c r="AI575" t="str">
        <f t="shared" si="239"/>
        <v/>
      </c>
      <c r="AJ575">
        <f t="shared" si="240"/>
        <v>0</v>
      </c>
      <c r="AK575">
        <f t="shared" si="249"/>
        <v>4</v>
      </c>
      <c r="AL575" t="str">
        <f t="shared" si="241"/>
        <v/>
      </c>
      <c r="AM575" t="str">
        <f t="shared" si="242"/>
        <v/>
      </c>
      <c r="AN575" t="str">
        <f t="shared" si="243"/>
        <v/>
      </c>
      <c r="AO575">
        <f t="shared" si="244"/>
        <v>0</v>
      </c>
    </row>
    <row r="576" spans="1:41" x14ac:dyDescent="0.4">
      <c r="A576" t="str">
        <f>IF($CM$6=0,"",IF(INDEX('⑩ 원문 보관'!$A:$E,$CM$6+ROW()-9,COLUMN())="","",INDEX('⑩ 원문 보관'!$A:$E,$CM$6+ROW()-9,COLUMN())))</f>
        <v/>
      </c>
      <c r="B576" t="str">
        <f>IF($CM$6=0,"",IF(INDEX('⑩ 원문 보관'!$A:$E,$CM$6+ROW()-9,COLUMN())="","",INDEX('⑩ 원문 보관'!$A:$E,$CM$6+ROW()-9,COLUMN())))</f>
        <v/>
      </c>
      <c r="C576" t="str">
        <f>IF($CM$6=0,"",IF(INDEX('⑩ 원문 보관'!$A:$E,$CM$6+ROW()-9,COLUMN())="","",INDEX('⑩ 원문 보관'!$A:$E,$CM$6+ROW()-9,COLUMN())))</f>
        <v/>
      </c>
      <c r="D576" t="str">
        <f>IF($CM$6=0,"",IF(INDEX('⑩ 원문 보관'!$A:$E,$CM$6+ROW()-9,COLUMN())="","",INDEX('⑩ 원문 보관'!$A:$E,$CM$6+ROW()-9,COLUMN())))</f>
        <v/>
      </c>
      <c r="E576" t="str">
        <f>IF($CM$6=0,"",IF(INDEX('⑩ 원문 보관'!$A:$E,$CM$6+ROW()-9,COLUMN())="","",INDEX('⑩ 원문 보관'!$A:$E,$CM$6+ROW()-9,COLUMN())))</f>
        <v/>
      </c>
      <c r="Q576">
        <f t="shared" si="245"/>
        <v>8</v>
      </c>
      <c r="R576" t="str">
        <f t="shared" si="225"/>
        <v/>
      </c>
      <c r="S576" t="str">
        <f t="shared" si="226"/>
        <v/>
      </c>
      <c r="T576" t="str">
        <f t="shared" si="227"/>
        <v/>
      </c>
      <c r="U576">
        <f t="shared" si="228"/>
        <v>0</v>
      </c>
      <c r="V576">
        <f t="shared" si="246"/>
        <v>12</v>
      </c>
      <c r="W576" t="str">
        <f t="shared" si="229"/>
        <v/>
      </c>
      <c r="X576" t="str">
        <f t="shared" si="230"/>
        <v/>
      </c>
      <c r="Y576" t="str">
        <f t="shared" si="231"/>
        <v/>
      </c>
      <c r="Z576">
        <f t="shared" si="232"/>
        <v>0</v>
      </c>
      <c r="AA576">
        <f t="shared" si="247"/>
        <v>6</v>
      </c>
      <c r="AB576" t="str">
        <f t="shared" si="233"/>
        <v/>
      </c>
      <c r="AC576" t="str">
        <f t="shared" si="234"/>
        <v/>
      </c>
      <c r="AD576" t="str">
        <f t="shared" si="235"/>
        <v/>
      </c>
      <c r="AE576">
        <f t="shared" si="236"/>
        <v>0</v>
      </c>
      <c r="AF576">
        <f t="shared" si="248"/>
        <v>10</v>
      </c>
      <c r="AG576" t="str">
        <f t="shared" si="237"/>
        <v/>
      </c>
      <c r="AH576" t="str">
        <f t="shared" si="238"/>
        <v/>
      </c>
      <c r="AI576" t="str">
        <f t="shared" si="239"/>
        <v/>
      </c>
      <c r="AJ576">
        <f t="shared" si="240"/>
        <v>0</v>
      </c>
      <c r="AK576">
        <f t="shared" si="249"/>
        <v>4</v>
      </c>
      <c r="AL576" t="str">
        <f t="shared" si="241"/>
        <v/>
      </c>
      <c r="AM576" t="str">
        <f t="shared" si="242"/>
        <v/>
      </c>
      <c r="AN576" t="str">
        <f t="shared" si="243"/>
        <v/>
      </c>
      <c r="AO576">
        <f t="shared" si="244"/>
        <v>0</v>
      </c>
    </row>
    <row r="577" spans="1:41" x14ac:dyDescent="0.4">
      <c r="A577" t="str">
        <f>IF($CM$6=0,"",IF(INDEX('⑩ 원문 보관'!$A:$E,$CM$6+ROW()-9,COLUMN())="","",INDEX('⑩ 원문 보관'!$A:$E,$CM$6+ROW()-9,COLUMN())))</f>
        <v/>
      </c>
      <c r="B577" t="str">
        <f>IF($CM$6=0,"",IF(INDEX('⑩ 원문 보관'!$A:$E,$CM$6+ROW()-9,COLUMN())="","",INDEX('⑩ 원문 보관'!$A:$E,$CM$6+ROW()-9,COLUMN())))</f>
        <v/>
      </c>
      <c r="C577" t="str">
        <f>IF($CM$6=0,"",IF(INDEX('⑩ 원문 보관'!$A:$E,$CM$6+ROW()-9,COLUMN())="","",INDEX('⑩ 원문 보관'!$A:$E,$CM$6+ROW()-9,COLUMN())))</f>
        <v/>
      </c>
      <c r="D577" t="str">
        <f>IF($CM$6=0,"",IF(INDEX('⑩ 원문 보관'!$A:$E,$CM$6+ROW()-9,COLUMN())="","",INDEX('⑩ 원문 보관'!$A:$E,$CM$6+ROW()-9,COLUMN())))</f>
        <v/>
      </c>
      <c r="E577" t="str">
        <f>IF($CM$6=0,"",IF(INDEX('⑩ 원문 보관'!$A:$E,$CM$6+ROW()-9,COLUMN())="","",INDEX('⑩ 원문 보관'!$A:$E,$CM$6+ROW()-9,COLUMN())))</f>
        <v/>
      </c>
      <c r="Q577">
        <f t="shared" si="245"/>
        <v>8</v>
      </c>
      <c r="R577" t="str">
        <f t="shared" si="225"/>
        <v/>
      </c>
      <c r="S577" t="str">
        <f t="shared" si="226"/>
        <v/>
      </c>
      <c r="T577" t="str">
        <f t="shared" si="227"/>
        <v/>
      </c>
      <c r="U577">
        <f t="shared" si="228"/>
        <v>0</v>
      </c>
      <c r="V577">
        <f t="shared" si="246"/>
        <v>12</v>
      </c>
      <c r="W577" t="str">
        <f t="shared" si="229"/>
        <v/>
      </c>
      <c r="X577" t="str">
        <f t="shared" si="230"/>
        <v/>
      </c>
      <c r="Y577" t="str">
        <f t="shared" si="231"/>
        <v/>
      </c>
      <c r="Z577">
        <f t="shared" si="232"/>
        <v>0</v>
      </c>
      <c r="AA577">
        <f t="shared" si="247"/>
        <v>6</v>
      </c>
      <c r="AB577" t="str">
        <f t="shared" si="233"/>
        <v/>
      </c>
      <c r="AC577" t="str">
        <f t="shared" si="234"/>
        <v/>
      </c>
      <c r="AD577" t="str">
        <f t="shared" si="235"/>
        <v/>
      </c>
      <c r="AE577">
        <f t="shared" si="236"/>
        <v>0</v>
      </c>
      <c r="AF577">
        <f t="shared" si="248"/>
        <v>10</v>
      </c>
      <c r="AG577" t="str">
        <f t="shared" si="237"/>
        <v/>
      </c>
      <c r="AH577" t="str">
        <f t="shared" si="238"/>
        <v/>
      </c>
      <c r="AI577" t="str">
        <f t="shared" si="239"/>
        <v/>
      </c>
      <c r="AJ577">
        <f t="shared" si="240"/>
        <v>0</v>
      </c>
      <c r="AK577">
        <f t="shared" si="249"/>
        <v>4</v>
      </c>
      <c r="AL577" t="str">
        <f t="shared" si="241"/>
        <v/>
      </c>
      <c r="AM577" t="str">
        <f t="shared" si="242"/>
        <v/>
      </c>
      <c r="AN577" t="str">
        <f t="shared" si="243"/>
        <v/>
      </c>
      <c r="AO577">
        <f t="shared" si="244"/>
        <v>0</v>
      </c>
    </row>
    <row r="578" spans="1:41" x14ac:dyDescent="0.4">
      <c r="A578" t="str">
        <f>IF($CM$6=0,"",IF(INDEX('⑩ 원문 보관'!$A:$E,$CM$6+ROW()-9,COLUMN())="","",INDEX('⑩ 원문 보관'!$A:$E,$CM$6+ROW()-9,COLUMN())))</f>
        <v/>
      </c>
      <c r="B578" t="str">
        <f>IF($CM$6=0,"",IF(INDEX('⑩ 원문 보관'!$A:$E,$CM$6+ROW()-9,COLUMN())="","",INDEX('⑩ 원문 보관'!$A:$E,$CM$6+ROW()-9,COLUMN())))</f>
        <v/>
      </c>
      <c r="C578" t="str">
        <f>IF($CM$6=0,"",IF(INDEX('⑩ 원문 보관'!$A:$E,$CM$6+ROW()-9,COLUMN())="","",INDEX('⑩ 원문 보관'!$A:$E,$CM$6+ROW()-9,COLUMN())))</f>
        <v/>
      </c>
      <c r="D578" t="str">
        <f>IF($CM$6=0,"",IF(INDEX('⑩ 원문 보관'!$A:$E,$CM$6+ROW()-9,COLUMN())="","",INDEX('⑩ 원문 보관'!$A:$E,$CM$6+ROW()-9,COLUMN())))</f>
        <v/>
      </c>
      <c r="E578" t="str">
        <f>IF($CM$6=0,"",IF(INDEX('⑩ 원문 보관'!$A:$E,$CM$6+ROW()-9,COLUMN())="","",INDEX('⑩ 원문 보관'!$A:$E,$CM$6+ROW()-9,COLUMN())))</f>
        <v/>
      </c>
      <c r="Q578">
        <f t="shared" si="245"/>
        <v>8</v>
      </c>
      <c r="R578" t="str">
        <f t="shared" si="225"/>
        <v/>
      </c>
      <c r="S578" t="str">
        <f t="shared" si="226"/>
        <v/>
      </c>
      <c r="T578" t="str">
        <f t="shared" si="227"/>
        <v/>
      </c>
      <c r="U578">
        <f t="shared" si="228"/>
        <v>0</v>
      </c>
      <c r="V578">
        <f t="shared" si="246"/>
        <v>12</v>
      </c>
      <c r="W578" t="str">
        <f t="shared" si="229"/>
        <v/>
      </c>
      <c r="X578" t="str">
        <f t="shared" si="230"/>
        <v/>
      </c>
      <c r="Y578" t="str">
        <f t="shared" si="231"/>
        <v/>
      </c>
      <c r="Z578">
        <f t="shared" si="232"/>
        <v>0</v>
      </c>
      <c r="AA578">
        <f t="shared" si="247"/>
        <v>6</v>
      </c>
      <c r="AB578" t="str">
        <f t="shared" si="233"/>
        <v/>
      </c>
      <c r="AC578" t="str">
        <f t="shared" si="234"/>
        <v/>
      </c>
      <c r="AD578" t="str">
        <f t="shared" si="235"/>
        <v/>
      </c>
      <c r="AE578">
        <f t="shared" si="236"/>
        <v>0</v>
      </c>
      <c r="AF578">
        <f t="shared" si="248"/>
        <v>10</v>
      </c>
      <c r="AG578" t="str">
        <f t="shared" si="237"/>
        <v/>
      </c>
      <c r="AH578" t="str">
        <f t="shared" si="238"/>
        <v/>
      </c>
      <c r="AI578" t="str">
        <f t="shared" si="239"/>
        <v/>
      </c>
      <c r="AJ578">
        <f t="shared" si="240"/>
        <v>0</v>
      </c>
      <c r="AK578">
        <f t="shared" si="249"/>
        <v>4</v>
      </c>
      <c r="AL578" t="str">
        <f t="shared" si="241"/>
        <v/>
      </c>
      <c r="AM578" t="str">
        <f t="shared" si="242"/>
        <v/>
      </c>
      <c r="AN578" t="str">
        <f t="shared" si="243"/>
        <v/>
      </c>
      <c r="AO578">
        <f t="shared" si="244"/>
        <v>0</v>
      </c>
    </row>
    <row r="579" spans="1:41" x14ac:dyDescent="0.4">
      <c r="A579" t="str">
        <f>IF($CM$6=0,"",IF(INDEX('⑩ 원문 보관'!$A:$E,$CM$6+ROW()-9,COLUMN())="","",INDEX('⑩ 원문 보관'!$A:$E,$CM$6+ROW()-9,COLUMN())))</f>
        <v/>
      </c>
      <c r="B579" t="str">
        <f>IF($CM$6=0,"",IF(INDEX('⑩ 원문 보관'!$A:$E,$CM$6+ROW()-9,COLUMN())="","",INDEX('⑩ 원문 보관'!$A:$E,$CM$6+ROW()-9,COLUMN())))</f>
        <v/>
      </c>
      <c r="C579" t="str">
        <f>IF($CM$6=0,"",IF(INDEX('⑩ 원문 보관'!$A:$E,$CM$6+ROW()-9,COLUMN())="","",INDEX('⑩ 원문 보관'!$A:$E,$CM$6+ROW()-9,COLUMN())))</f>
        <v/>
      </c>
      <c r="D579" t="str">
        <f>IF($CM$6=0,"",IF(INDEX('⑩ 원문 보관'!$A:$E,$CM$6+ROW()-9,COLUMN())="","",INDEX('⑩ 원문 보관'!$A:$E,$CM$6+ROW()-9,COLUMN())))</f>
        <v/>
      </c>
      <c r="E579" t="str">
        <f>IF($CM$6=0,"",IF(INDEX('⑩ 원문 보관'!$A:$E,$CM$6+ROW()-9,COLUMN())="","",INDEX('⑩ 원문 보관'!$A:$E,$CM$6+ROW()-9,COLUMN())))</f>
        <v/>
      </c>
      <c r="Q579">
        <f t="shared" si="245"/>
        <v>8</v>
      </c>
      <c r="R579" t="str">
        <f t="shared" si="225"/>
        <v/>
      </c>
      <c r="S579" t="str">
        <f t="shared" si="226"/>
        <v/>
      </c>
      <c r="T579" t="str">
        <f t="shared" si="227"/>
        <v/>
      </c>
      <c r="U579">
        <f t="shared" si="228"/>
        <v>0</v>
      </c>
      <c r="V579">
        <f t="shared" si="246"/>
        <v>12</v>
      </c>
      <c r="W579" t="str">
        <f t="shared" si="229"/>
        <v/>
      </c>
      <c r="X579" t="str">
        <f t="shared" si="230"/>
        <v/>
      </c>
      <c r="Y579" t="str">
        <f t="shared" si="231"/>
        <v/>
      </c>
      <c r="Z579">
        <f t="shared" si="232"/>
        <v>0</v>
      </c>
      <c r="AA579">
        <f t="shared" si="247"/>
        <v>6</v>
      </c>
      <c r="AB579" t="str">
        <f t="shared" si="233"/>
        <v/>
      </c>
      <c r="AC579" t="str">
        <f t="shared" si="234"/>
        <v/>
      </c>
      <c r="AD579" t="str">
        <f t="shared" si="235"/>
        <v/>
      </c>
      <c r="AE579">
        <f t="shared" si="236"/>
        <v>0</v>
      </c>
      <c r="AF579">
        <f t="shared" si="248"/>
        <v>10</v>
      </c>
      <c r="AG579" t="str">
        <f t="shared" si="237"/>
        <v/>
      </c>
      <c r="AH579" t="str">
        <f t="shared" si="238"/>
        <v/>
      </c>
      <c r="AI579" t="str">
        <f t="shared" si="239"/>
        <v/>
      </c>
      <c r="AJ579">
        <f t="shared" si="240"/>
        <v>0</v>
      </c>
      <c r="AK579">
        <f t="shared" si="249"/>
        <v>4</v>
      </c>
      <c r="AL579" t="str">
        <f t="shared" si="241"/>
        <v/>
      </c>
      <c r="AM579" t="str">
        <f t="shared" si="242"/>
        <v/>
      </c>
      <c r="AN579" t="str">
        <f t="shared" si="243"/>
        <v/>
      </c>
      <c r="AO579">
        <f t="shared" si="244"/>
        <v>0</v>
      </c>
    </row>
    <row r="580" spans="1:41" x14ac:dyDescent="0.4">
      <c r="A580" t="str">
        <f>IF($CM$6=0,"",IF(INDEX('⑩ 원문 보관'!$A:$E,$CM$6+ROW()-9,COLUMN())="","",INDEX('⑩ 원문 보관'!$A:$E,$CM$6+ROW()-9,COLUMN())))</f>
        <v/>
      </c>
      <c r="B580" t="str">
        <f>IF($CM$6=0,"",IF(INDEX('⑩ 원문 보관'!$A:$E,$CM$6+ROW()-9,COLUMN())="","",INDEX('⑩ 원문 보관'!$A:$E,$CM$6+ROW()-9,COLUMN())))</f>
        <v/>
      </c>
      <c r="C580" t="str">
        <f>IF($CM$6=0,"",IF(INDEX('⑩ 원문 보관'!$A:$E,$CM$6+ROW()-9,COLUMN())="","",INDEX('⑩ 원문 보관'!$A:$E,$CM$6+ROW()-9,COLUMN())))</f>
        <v/>
      </c>
      <c r="D580" t="str">
        <f>IF($CM$6=0,"",IF(INDEX('⑩ 원문 보관'!$A:$E,$CM$6+ROW()-9,COLUMN())="","",INDEX('⑩ 원문 보관'!$A:$E,$CM$6+ROW()-9,COLUMN())))</f>
        <v/>
      </c>
      <c r="E580" t="str">
        <f>IF($CM$6=0,"",IF(INDEX('⑩ 원문 보관'!$A:$E,$CM$6+ROW()-9,COLUMN())="","",INDEX('⑩ 원문 보관'!$A:$E,$CM$6+ROW()-9,COLUMN())))</f>
        <v/>
      </c>
      <c r="Q580">
        <f t="shared" si="245"/>
        <v>8</v>
      </c>
      <c r="R580" t="str">
        <f t="shared" si="225"/>
        <v/>
      </c>
      <c r="S580" t="str">
        <f t="shared" si="226"/>
        <v/>
      </c>
      <c r="T580" t="str">
        <f t="shared" si="227"/>
        <v/>
      </c>
      <c r="U580">
        <f t="shared" si="228"/>
        <v>0</v>
      </c>
      <c r="V580">
        <f t="shared" si="246"/>
        <v>12</v>
      </c>
      <c r="W580" t="str">
        <f t="shared" si="229"/>
        <v/>
      </c>
      <c r="X580" t="str">
        <f t="shared" si="230"/>
        <v/>
      </c>
      <c r="Y580" t="str">
        <f t="shared" si="231"/>
        <v/>
      </c>
      <c r="Z580">
        <f t="shared" si="232"/>
        <v>0</v>
      </c>
      <c r="AA580">
        <f t="shared" si="247"/>
        <v>6</v>
      </c>
      <c r="AB580" t="str">
        <f t="shared" si="233"/>
        <v/>
      </c>
      <c r="AC580" t="str">
        <f t="shared" si="234"/>
        <v/>
      </c>
      <c r="AD580" t="str">
        <f t="shared" si="235"/>
        <v/>
      </c>
      <c r="AE580">
        <f t="shared" si="236"/>
        <v>0</v>
      </c>
      <c r="AF580">
        <f t="shared" si="248"/>
        <v>10</v>
      </c>
      <c r="AG580" t="str">
        <f t="shared" si="237"/>
        <v/>
      </c>
      <c r="AH580" t="str">
        <f t="shared" si="238"/>
        <v/>
      </c>
      <c r="AI580" t="str">
        <f t="shared" si="239"/>
        <v/>
      </c>
      <c r="AJ580">
        <f t="shared" si="240"/>
        <v>0</v>
      </c>
      <c r="AK580">
        <f t="shared" si="249"/>
        <v>4</v>
      </c>
      <c r="AL580" t="str">
        <f t="shared" si="241"/>
        <v/>
      </c>
      <c r="AM580" t="str">
        <f t="shared" si="242"/>
        <v/>
      </c>
      <c r="AN580" t="str">
        <f t="shared" si="243"/>
        <v/>
      </c>
      <c r="AO580">
        <f t="shared" si="244"/>
        <v>0</v>
      </c>
    </row>
    <row r="581" spans="1:41" x14ac:dyDescent="0.4">
      <c r="A581" t="str">
        <f>IF($CM$6=0,"",IF(INDEX('⑩ 원문 보관'!$A:$E,$CM$6+ROW()-9,COLUMN())="","",INDEX('⑩ 원문 보관'!$A:$E,$CM$6+ROW()-9,COLUMN())))</f>
        <v/>
      </c>
      <c r="B581" t="str">
        <f>IF($CM$6=0,"",IF(INDEX('⑩ 원문 보관'!$A:$E,$CM$6+ROW()-9,COLUMN())="","",INDEX('⑩ 원문 보관'!$A:$E,$CM$6+ROW()-9,COLUMN())))</f>
        <v/>
      </c>
      <c r="C581" t="str">
        <f>IF($CM$6=0,"",IF(INDEX('⑩ 원문 보관'!$A:$E,$CM$6+ROW()-9,COLUMN())="","",INDEX('⑩ 원문 보관'!$A:$E,$CM$6+ROW()-9,COLUMN())))</f>
        <v/>
      </c>
      <c r="D581" t="str">
        <f>IF($CM$6=0,"",IF(INDEX('⑩ 원문 보관'!$A:$E,$CM$6+ROW()-9,COLUMN())="","",INDEX('⑩ 원문 보관'!$A:$E,$CM$6+ROW()-9,COLUMN())))</f>
        <v/>
      </c>
      <c r="E581" t="str">
        <f>IF($CM$6=0,"",IF(INDEX('⑩ 원문 보관'!$A:$E,$CM$6+ROW()-9,COLUMN())="","",INDEX('⑩ 원문 보관'!$A:$E,$CM$6+ROW()-9,COLUMN())))</f>
        <v/>
      </c>
      <c r="Q581">
        <f t="shared" si="245"/>
        <v>8</v>
      </c>
      <c r="R581" t="str">
        <f t="shared" si="225"/>
        <v/>
      </c>
      <c r="S581" t="str">
        <f t="shared" si="226"/>
        <v/>
      </c>
      <c r="T581" t="str">
        <f t="shared" si="227"/>
        <v/>
      </c>
      <c r="U581">
        <f t="shared" si="228"/>
        <v>0</v>
      </c>
      <c r="V581">
        <f t="shared" si="246"/>
        <v>12</v>
      </c>
      <c r="W581" t="str">
        <f t="shared" si="229"/>
        <v/>
      </c>
      <c r="X581" t="str">
        <f t="shared" si="230"/>
        <v/>
      </c>
      <c r="Y581" t="str">
        <f t="shared" si="231"/>
        <v/>
      </c>
      <c r="Z581">
        <f t="shared" si="232"/>
        <v>0</v>
      </c>
      <c r="AA581">
        <f t="shared" si="247"/>
        <v>6</v>
      </c>
      <c r="AB581" t="str">
        <f t="shared" si="233"/>
        <v/>
      </c>
      <c r="AC581" t="str">
        <f t="shared" si="234"/>
        <v/>
      </c>
      <c r="AD581" t="str">
        <f t="shared" si="235"/>
        <v/>
      </c>
      <c r="AE581">
        <f t="shared" si="236"/>
        <v>0</v>
      </c>
      <c r="AF581">
        <f t="shared" si="248"/>
        <v>10</v>
      </c>
      <c r="AG581" t="str">
        <f t="shared" si="237"/>
        <v/>
      </c>
      <c r="AH581" t="str">
        <f t="shared" si="238"/>
        <v/>
      </c>
      <c r="AI581" t="str">
        <f t="shared" si="239"/>
        <v/>
      </c>
      <c r="AJ581">
        <f t="shared" si="240"/>
        <v>0</v>
      </c>
      <c r="AK581">
        <f t="shared" si="249"/>
        <v>4</v>
      </c>
      <c r="AL581" t="str">
        <f t="shared" si="241"/>
        <v/>
      </c>
      <c r="AM581" t="str">
        <f t="shared" si="242"/>
        <v/>
      </c>
      <c r="AN581" t="str">
        <f t="shared" si="243"/>
        <v/>
      </c>
      <c r="AO581">
        <f t="shared" si="244"/>
        <v>0</v>
      </c>
    </row>
    <row r="582" spans="1:41" x14ac:dyDescent="0.4">
      <c r="A582" t="str">
        <f>IF($CM$6=0,"",IF(INDEX('⑩ 원문 보관'!$A:$E,$CM$6+ROW()-9,COLUMN())="","",INDEX('⑩ 원문 보관'!$A:$E,$CM$6+ROW()-9,COLUMN())))</f>
        <v/>
      </c>
      <c r="B582" t="str">
        <f>IF($CM$6=0,"",IF(INDEX('⑩ 원문 보관'!$A:$E,$CM$6+ROW()-9,COLUMN())="","",INDEX('⑩ 원문 보관'!$A:$E,$CM$6+ROW()-9,COLUMN())))</f>
        <v/>
      </c>
      <c r="C582" t="str">
        <f>IF($CM$6=0,"",IF(INDEX('⑩ 원문 보관'!$A:$E,$CM$6+ROW()-9,COLUMN())="","",INDEX('⑩ 원문 보관'!$A:$E,$CM$6+ROW()-9,COLUMN())))</f>
        <v/>
      </c>
      <c r="D582" t="str">
        <f>IF($CM$6=0,"",IF(INDEX('⑩ 원문 보관'!$A:$E,$CM$6+ROW()-9,COLUMN())="","",INDEX('⑩ 원문 보관'!$A:$E,$CM$6+ROW()-9,COLUMN())))</f>
        <v/>
      </c>
      <c r="E582" t="str">
        <f>IF($CM$6=0,"",IF(INDEX('⑩ 원문 보관'!$A:$E,$CM$6+ROW()-9,COLUMN())="","",INDEX('⑩ 원문 보관'!$A:$E,$CM$6+ROW()-9,COLUMN())))</f>
        <v/>
      </c>
      <c r="Q582">
        <f t="shared" si="245"/>
        <v>8</v>
      </c>
      <c r="R582" t="str">
        <f t="shared" si="225"/>
        <v/>
      </c>
      <c r="S582" t="str">
        <f t="shared" si="226"/>
        <v/>
      </c>
      <c r="T582" t="str">
        <f t="shared" si="227"/>
        <v/>
      </c>
      <c r="U582">
        <f t="shared" si="228"/>
        <v>0</v>
      </c>
      <c r="V582">
        <f t="shared" si="246"/>
        <v>12</v>
      </c>
      <c r="W582" t="str">
        <f t="shared" si="229"/>
        <v/>
      </c>
      <c r="X582" t="str">
        <f t="shared" si="230"/>
        <v/>
      </c>
      <c r="Y582" t="str">
        <f t="shared" si="231"/>
        <v/>
      </c>
      <c r="Z582">
        <f t="shared" si="232"/>
        <v>0</v>
      </c>
      <c r="AA582">
        <f t="shared" si="247"/>
        <v>6</v>
      </c>
      <c r="AB582" t="str">
        <f t="shared" si="233"/>
        <v/>
      </c>
      <c r="AC582" t="str">
        <f t="shared" si="234"/>
        <v/>
      </c>
      <c r="AD582" t="str">
        <f t="shared" si="235"/>
        <v/>
      </c>
      <c r="AE582">
        <f t="shared" si="236"/>
        <v>0</v>
      </c>
      <c r="AF582">
        <f t="shared" si="248"/>
        <v>10</v>
      </c>
      <c r="AG582" t="str">
        <f t="shared" si="237"/>
        <v/>
      </c>
      <c r="AH582" t="str">
        <f t="shared" si="238"/>
        <v/>
      </c>
      <c r="AI582" t="str">
        <f t="shared" si="239"/>
        <v/>
      </c>
      <c r="AJ582">
        <f t="shared" si="240"/>
        <v>0</v>
      </c>
      <c r="AK582">
        <f t="shared" si="249"/>
        <v>4</v>
      </c>
      <c r="AL582" t="str">
        <f t="shared" si="241"/>
        <v/>
      </c>
      <c r="AM582" t="str">
        <f t="shared" si="242"/>
        <v/>
      </c>
      <c r="AN582" t="str">
        <f t="shared" si="243"/>
        <v/>
      </c>
      <c r="AO582">
        <f t="shared" si="244"/>
        <v>0</v>
      </c>
    </row>
    <row r="583" spans="1:41" x14ac:dyDescent="0.4">
      <c r="A583" t="str">
        <f>IF($CM$6=0,"",IF(INDEX('⑩ 원문 보관'!$A:$E,$CM$6+ROW()-9,COLUMN())="","",INDEX('⑩ 원문 보관'!$A:$E,$CM$6+ROW()-9,COLUMN())))</f>
        <v/>
      </c>
      <c r="B583" t="str">
        <f>IF($CM$6=0,"",IF(INDEX('⑩ 원문 보관'!$A:$E,$CM$6+ROW()-9,COLUMN())="","",INDEX('⑩ 원문 보관'!$A:$E,$CM$6+ROW()-9,COLUMN())))</f>
        <v/>
      </c>
      <c r="C583" t="str">
        <f>IF($CM$6=0,"",IF(INDEX('⑩ 원문 보관'!$A:$E,$CM$6+ROW()-9,COLUMN())="","",INDEX('⑩ 원문 보관'!$A:$E,$CM$6+ROW()-9,COLUMN())))</f>
        <v/>
      </c>
      <c r="D583" t="str">
        <f>IF($CM$6=0,"",IF(INDEX('⑩ 원문 보관'!$A:$E,$CM$6+ROW()-9,COLUMN())="","",INDEX('⑩ 원문 보관'!$A:$E,$CM$6+ROW()-9,COLUMN())))</f>
        <v/>
      </c>
      <c r="E583" t="str">
        <f>IF($CM$6=0,"",IF(INDEX('⑩ 원문 보관'!$A:$E,$CM$6+ROW()-9,COLUMN())="","",INDEX('⑩ 원문 보관'!$A:$E,$CM$6+ROW()-9,COLUMN())))</f>
        <v/>
      </c>
      <c r="Q583">
        <f t="shared" si="245"/>
        <v>8</v>
      </c>
      <c r="R583" t="str">
        <f t="shared" si="225"/>
        <v/>
      </c>
      <c r="S583" t="str">
        <f t="shared" si="226"/>
        <v/>
      </c>
      <c r="T583" t="str">
        <f t="shared" si="227"/>
        <v/>
      </c>
      <c r="U583">
        <f t="shared" si="228"/>
        <v>0</v>
      </c>
      <c r="V583">
        <f t="shared" si="246"/>
        <v>12</v>
      </c>
      <c r="W583" t="str">
        <f t="shared" si="229"/>
        <v/>
      </c>
      <c r="X583" t="str">
        <f t="shared" si="230"/>
        <v/>
      </c>
      <c r="Y583" t="str">
        <f t="shared" si="231"/>
        <v/>
      </c>
      <c r="Z583">
        <f t="shared" si="232"/>
        <v>0</v>
      </c>
      <c r="AA583">
        <f t="shared" si="247"/>
        <v>6</v>
      </c>
      <c r="AB583" t="str">
        <f t="shared" si="233"/>
        <v/>
      </c>
      <c r="AC583" t="str">
        <f t="shared" si="234"/>
        <v/>
      </c>
      <c r="AD583" t="str">
        <f t="shared" si="235"/>
        <v/>
      </c>
      <c r="AE583">
        <f t="shared" si="236"/>
        <v>0</v>
      </c>
      <c r="AF583">
        <f t="shared" si="248"/>
        <v>10</v>
      </c>
      <c r="AG583" t="str">
        <f t="shared" si="237"/>
        <v/>
      </c>
      <c r="AH583" t="str">
        <f t="shared" si="238"/>
        <v/>
      </c>
      <c r="AI583" t="str">
        <f t="shared" si="239"/>
        <v/>
      </c>
      <c r="AJ583">
        <f t="shared" si="240"/>
        <v>0</v>
      </c>
      <c r="AK583">
        <f t="shared" si="249"/>
        <v>4</v>
      </c>
      <c r="AL583" t="str">
        <f t="shared" si="241"/>
        <v/>
      </c>
      <c r="AM583" t="str">
        <f t="shared" si="242"/>
        <v/>
      </c>
      <c r="AN583" t="str">
        <f t="shared" si="243"/>
        <v/>
      </c>
      <c r="AO583">
        <f t="shared" si="244"/>
        <v>0</v>
      </c>
    </row>
    <row r="584" spans="1:41" x14ac:dyDescent="0.4">
      <c r="A584" t="str">
        <f>IF($CM$6=0,"",IF(INDEX('⑩ 원문 보관'!$A:$E,$CM$6+ROW()-9,COLUMN())="","",INDEX('⑩ 원문 보관'!$A:$E,$CM$6+ROW()-9,COLUMN())))</f>
        <v/>
      </c>
      <c r="B584" t="str">
        <f>IF($CM$6=0,"",IF(INDEX('⑩ 원문 보관'!$A:$E,$CM$6+ROW()-9,COLUMN())="","",INDEX('⑩ 원문 보관'!$A:$E,$CM$6+ROW()-9,COLUMN())))</f>
        <v/>
      </c>
      <c r="C584" t="str">
        <f>IF($CM$6=0,"",IF(INDEX('⑩ 원문 보관'!$A:$E,$CM$6+ROW()-9,COLUMN())="","",INDEX('⑩ 원문 보관'!$A:$E,$CM$6+ROW()-9,COLUMN())))</f>
        <v/>
      </c>
      <c r="D584" t="str">
        <f>IF($CM$6=0,"",IF(INDEX('⑩ 원문 보관'!$A:$E,$CM$6+ROW()-9,COLUMN())="","",INDEX('⑩ 원문 보관'!$A:$E,$CM$6+ROW()-9,COLUMN())))</f>
        <v/>
      </c>
      <c r="E584" t="str">
        <f>IF($CM$6=0,"",IF(INDEX('⑩ 원문 보관'!$A:$E,$CM$6+ROW()-9,COLUMN())="","",INDEX('⑩ 원문 보관'!$A:$E,$CM$6+ROW()-9,COLUMN())))</f>
        <v/>
      </c>
      <c r="Q584">
        <f t="shared" si="245"/>
        <v>8</v>
      </c>
      <c r="R584" t="str">
        <f t="shared" si="225"/>
        <v/>
      </c>
      <c r="S584" t="str">
        <f t="shared" si="226"/>
        <v/>
      </c>
      <c r="T584" t="str">
        <f t="shared" si="227"/>
        <v/>
      </c>
      <c r="U584">
        <f t="shared" si="228"/>
        <v>0</v>
      </c>
      <c r="V584">
        <f t="shared" si="246"/>
        <v>12</v>
      </c>
      <c r="W584" t="str">
        <f t="shared" si="229"/>
        <v/>
      </c>
      <c r="X584" t="str">
        <f t="shared" si="230"/>
        <v/>
      </c>
      <c r="Y584" t="str">
        <f t="shared" si="231"/>
        <v/>
      </c>
      <c r="Z584">
        <f t="shared" si="232"/>
        <v>0</v>
      </c>
      <c r="AA584">
        <f t="shared" si="247"/>
        <v>6</v>
      </c>
      <c r="AB584" t="str">
        <f t="shared" si="233"/>
        <v/>
      </c>
      <c r="AC584" t="str">
        <f t="shared" si="234"/>
        <v/>
      </c>
      <c r="AD584" t="str">
        <f t="shared" si="235"/>
        <v/>
      </c>
      <c r="AE584">
        <f t="shared" si="236"/>
        <v>0</v>
      </c>
      <c r="AF584">
        <f t="shared" si="248"/>
        <v>10</v>
      </c>
      <c r="AG584" t="str">
        <f t="shared" si="237"/>
        <v/>
      </c>
      <c r="AH584" t="str">
        <f t="shared" si="238"/>
        <v/>
      </c>
      <c r="AI584" t="str">
        <f t="shared" si="239"/>
        <v/>
      </c>
      <c r="AJ584">
        <f t="shared" si="240"/>
        <v>0</v>
      </c>
      <c r="AK584">
        <f t="shared" si="249"/>
        <v>4</v>
      </c>
      <c r="AL584" t="str">
        <f t="shared" si="241"/>
        <v/>
      </c>
      <c r="AM584" t="str">
        <f t="shared" si="242"/>
        <v/>
      </c>
      <c r="AN584" t="str">
        <f t="shared" si="243"/>
        <v/>
      </c>
      <c r="AO584">
        <f t="shared" si="244"/>
        <v>0</v>
      </c>
    </row>
    <row r="585" spans="1:41" x14ac:dyDescent="0.4">
      <c r="A585" t="str">
        <f>IF($CM$6=0,"",IF(INDEX('⑩ 원문 보관'!$A:$E,$CM$6+ROW()-9,COLUMN())="","",INDEX('⑩ 원문 보관'!$A:$E,$CM$6+ROW()-9,COLUMN())))</f>
        <v/>
      </c>
      <c r="B585" t="str">
        <f>IF($CM$6=0,"",IF(INDEX('⑩ 원문 보관'!$A:$E,$CM$6+ROW()-9,COLUMN())="","",INDEX('⑩ 원문 보관'!$A:$E,$CM$6+ROW()-9,COLUMN())))</f>
        <v/>
      </c>
      <c r="C585" t="str">
        <f>IF($CM$6=0,"",IF(INDEX('⑩ 원문 보관'!$A:$E,$CM$6+ROW()-9,COLUMN())="","",INDEX('⑩ 원문 보관'!$A:$E,$CM$6+ROW()-9,COLUMN())))</f>
        <v/>
      </c>
      <c r="D585" t="str">
        <f>IF($CM$6=0,"",IF(INDEX('⑩ 원문 보관'!$A:$E,$CM$6+ROW()-9,COLUMN())="","",INDEX('⑩ 원문 보관'!$A:$E,$CM$6+ROW()-9,COLUMN())))</f>
        <v/>
      </c>
      <c r="E585" t="str">
        <f>IF($CM$6=0,"",IF(INDEX('⑩ 원문 보관'!$A:$E,$CM$6+ROW()-9,COLUMN())="","",INDEX('⑩ 원문 보관'!$A:$E,$CM$6+ROW()-9,COLUMN())))</f>
        <v/>
      </c>
      <c r="Q585">
        <f t="shared" si="245"/>
        <v>8</v>
      </c>
      <c r="R585" t="str">
        <f t="shared" ref="R585:R648" si="250">IFERROR(IF(ISNUMBER(--LEFT(TRIM(A585),1)),VALUE(LEFT(TRIM(A585),6)),""),"")</f>
        <v/>
      </c>
      <c r="S585" t="str">
        <f t="shared" ref="S585:S648" si="251">IFERROR(VALUE(TRIM(MID(SUBSTITUTE(TRIM(A585)," ",REPT(" ",30)),31,30))),"")</f>
        <v/>
      </c>
      <c r="T585" t="str">
        <f t="shared" ref="T585:T648" si="252">IFERROR(TRIM(MID(SUBSTITUTE(TRIM(A585)," ",REPT(" ",30)),61,30)),"")</f>
        <v/>
      </c>
      <c r="U585">
        <f t="shared" ref="U585:U648" si="253">IF(OR(R585="",S585="",T585=""),0,IF(AND(S585&gt;1000,RIGHT(T585,1)&lt;&gt;"0"),1,0))</f>
        <v>0</v>
      </c>
      <c r="V585">
        <f t="shared" si="246"/>
        <v>12</v>
      </c>
      <c r="W585" t="str">
        <f t="shared" ref="W585:W648" si="254">IFERROR(IF(ISNUMBER(--LEFT(TRIM(B585),1)),VALUE(LEFT(TRIM(B585),6)),""),"")</f>
        <v/>
      </c>
      <c r="X585" t="str">
        <f t="shared" ref="X585:X648" si="255">IFERROR(VALUE(TRIM(MID(SUBSTITUTE(TRIM(B585)," ",REPT(" ",30)),31,30))),"")</f>
        <v/>
      </c>
      <c r="Y585" t="str">
        <f t="shared" ref="Y585:Y648" si="256">IFERROR(TRIM(MID(SUBSTITUTE(TRIM(B585)," ",REPT(" ",30)),61,30)),"")</f>
        <v/>
      </c>
      <c r="Z585">
        <f t="shared" ref="Z585:Z648" si="257">IF(OR(W585="",X585="",Y585=""),0,IF(AND(X585&gt;1000,RIGHT(Y585,1)&lt;&gt;"0"),1,0))</f>
        <v>0</v>
      </c>
      <c r="AA585">
        <f t="shared" si="247"/>
        <v>6</v>
      </c>
      <c r="AB585" t="str">
        <f t="shared" ref="AB585:AB648" si="258">IFERROR(IF(ISNUMBER(--LEFT(TRIM(C585),1)),VALUE(LEFT(TRIM(C585),6)),""),"")</f>
        <v/>
      </c>
      <c r="AC585" t="str">
        <f t="shared" ref="AC585:AC648" si="259">IFERROR(VALUE(TRIM(MID(SUBSTITUTE(TRIM(C585)," ",REPT(" ",30)),31,30))),"")</f>
        <v/>
      </c>
      <c r="AD585" t="str">
        <f t="shared" ref="AD585:AD648" si="260">IFERROR(TRIM(MID(SUBSTITUTE(TRIM(C585)," ",REPT(" ",30)),61,30)),"")</f>
        <v/>
      </c>
      <c r="AE585">
        <f t="shared" ref="AE585:AE648" si="261">IF(OR(AB585="",AC585="",AD585=""),0,IF(AND(AC585&gt;1000,RIGHT(AD585,1)&lt;&gt;"0"),1,0))</f>
        <v>0</v>
      </c>
      <c r="AF585">
        <f t="shared" si="248"/>
        <v>10</v>
      </c>
      <c r="AG585" t="str">
        <f t="shared" ref="AG585:AG648" si="262">IFERROR(IF(ISNUMBER(--LEFT(TRIM(D585),1)),VALUE(LEFT(TRIM(D585),6)),""),"")</f>
        <v/>
      </c>
      <c r="AH585" t="str">
        <f t="shared" ref="AH585:AH648" si="263">IFERROR(VALUE(TRIM(MID(SUBSTITUTE(TRIM(D585)," ",REPT(" ",30)),31,30))),"")</f>
        <v/>
      </c>
      <c r="AI585" t="str">
        <f t="shared" ref="AI585:AI648" si="264">IFERROR(TRIM(MID(SUBSTITUTE(TRIM(D585)," ",REPT(" ",30)),61,30)),"")</f>
        <v/>
      </c>
      <c r="AJ585">
        <f t="shared" ref="AJ585:AJ648" si="265">IF(OR(AG585="",AH585="",AI585=""),0,IF(AND(AH585&gt;1000,RIGHT(AI585,1)&lt;&gt;"0"),1,0))</f>
        <v>0</v>
      </c>
      <c r="AK585">
        <f t="shared" si="249"/>
        <v>4</v>
      </c>
      <c r="AL585" t="str">
        <f t="shared" ref="AL585:AL648" si="266">IFERROR(IF(ISNUMBER(--LEFT(TRIM(E585),1)),VALUE(LEFT(TRIM(E585),6)),""),"")</f>
        <v/>
      </c>
      <c r="AM585" t="str">
        <f t="shared" ref="AM585:AM648" si="267">IFERROR(VALUE(TRIM(MID(SUBSTITUTE(TRIM(E585)," ",REPT(" ",30)),31,30))),"")</f>
        <v/>
      </c>
      <c r="AN585" t="str">
        <f t="shared" ref="AN585:AN648" si="268">IFERROR(TRIM(MID(SUBSTITUTE(TRIM(E585)," ",REPT(" ",30)),61,30)),"")</f>
        <v/>
      </c>
      <c r="AO585">
        <f t="shared" ref="AO585:AO648" si="269">IF(OR(AL585="",AM585="",AN585=""),0,IF(AND(AM585&gt;1000,RIGHT(AN585,1)&lt;&gt;"0"),1,0))</f>
        <v>0</v>
      </c>
    </row>
    <row r="586" spans="1:41" x14ac:dyDescent="0.4">
      <c r="A586" t="str">
        <f>IF($CM$6=0,"",IF(INDEX('⑩ 원문 보관'!$A:$E,$CM$6+ROW()-9,COLUMN())="","",INDEX('⑩ 원문 보관'!$A:$E,$CM$6+ROW()-9,COLUMN())))</f>
        <v/>
      </c>
      <c r="B586" t="str">
        <f>IF($CM$6=0,"",IF(INDEX('⑩ 원문 보관'!$A:$E,$CM$6+ROW()-9,COLUMN())="","",INDEX('⑩ 원문 보관'!$A:$E,$CM$6+ROW()-9,COLUMN())))</f>
        <v/>
      </c>
      <c r="C586" t="str">
        <f>IF($CM$6=0,"",IF(INDEX('⑩ 원문 보관'!$A:$E,$CM$6+ROW()-9,COLUMN())="","",INDEX('⑩ 원문 보관'!$A:$E,$CM$6+ROW()-9,COLUMN())))</f>
        <v/>
      </c>
      <c r="D586" t="str">
        <f>IF($CM$6=0,"",IF(INDEX('⑩ 원문 보관'!$A:$E,$CM$6+ROW()-9,COLUMN())="","",INDEX('⑩ 원문 보관'!$A:$E,$CM$6+ROW()-9,COLUMN())))</f>
        <v/>
      </c>
      <c r="E586" t="str">
        <f>IF($CM$6=0,"",IF(INDEX('⑩ 원문 보관'!$A:$E,$CM$6+ROW()-9,COLUMN())="","",INDEX('⑩ 원문 보관'!$A:$E,$CM$6+ROW()-9,COLUMN())))</f>
        <v/>
      </c>
      <c r="Q586">
        <f t="shared" ref="Q586:Q649" si="270">IF(A586="",N(Q585),IF(LEFT(TRIM(A586),5)="/time",N(Q585)+1,N(Q585)))</f>
        <v>8</v>
      </c>
      <c r="R586" t="str">
        <f t="shared" si="250"/>
        <v/>
      </c>
      <c r="S586" t="str">
        <f t="shared" si="251"/>
        <v/>
      </c>
      <c r="T586" t="str">
        <f t="shared" si="252"/>
        <v/>
      </c>
      <c r="U586">
        <f t="shared" si="253"/>
        <v>0</v>
      </c>
      <c r="V586">
        <f t="shared" ref="V586:V649" si="271">IF(B586="",N(V585),IF(LEFT(TRIM(B586),5)="/time",N(V585)+1,N(V585)))</f>
        <v>12</v>
      </c>
      <c r="W586" t="str">
        <f t="shared" si="254"/>
        <v/>
      </c>
      <c r="X586" t="str">
        <f t="shared" si="255"/>
        <v/>
      </c>
      <c r="Y586" t="str">
        <f t="shared" si="256"/>
        <v/>
      </c>
      <c r="Z586">
        <f t="shared" si="257"/>
        <v>0</v>
      </c>
      <c r="AA586">
        <f t="shared" ref="AA586:AA649" si="272">IF(C586="",N(AA585),IF(LEFT(TRIM(C586),5)="/time",N(AA585)+1,N(AA585)))</f>
        <v>6</v>
      </c>
      <c r="AB586" t="str">
        <f t="shared" si="258"/>
        <v/>
      </c>
      <c r="AC586" t="str">
        <f t="shared" si="259"/>
        <v/>
      </c>
      <c r="AD586" t="str">
        <f t="shared" si="260"/>
        <v/>
      </c>
      <c r="AE586">
        <f t="shared" si="261"/>
        <v>0</v>
      </c>
      <c r="AF586">
        <f t="shared" ref="AF586:AF649" si="273">IF(D586="",N(AF585),IF(LEFT(TRIM(D586),5)="/time",N(AF585)+1,N(AF585)))</f>
        <v>10</v>
      </c>
      <c r="AG586" t="str">
        <f t="shared" si="262"/>
        <v/>
      </c>
      <c r="AH586" t="str">
        <f t="shared" si="263"/>
        <v/>
      </c>
      <c r="AI586" t="str">
        <f t="shared" si="264"/>
        <v/>
      </c>
      <c r="AJ586">
        <f t="shared" si="265"/>
        <v>0</v>
      </c>
      <c r="AK586">
        <f t="shared" ref="AK586:AK649" si="274">IF(E586="",N(AK585),IF(LEFT(TRIM(E586),5)="/time",N(AK585)+1,N(AK585)))</f>
        <v>4</v>
      </c>
      <c r="AL586" t="str">
        <f t="shared" si="266"/>
        <v/>
      </c>
      <c r="AM586" t="str">
        <f t="shared" si="267"/>
        <v/>
      </c>
      <c r="AN586" t="str">
        <f t="shared" si="268"/>
        <v/>
      </c>
      <c r="AO586">
        <f t="shared" si="269"/>
        <v>0</v>
      </c>
    </row>
    <row r="587" spans="1:41" x14ac:dyDescent="0.4">
      <c r="A587" t="str">
        <f>IF($CM$6=0,"",IF(INDEX('⑩ 원문 보관'!$A:$E,$CM$6+ROW()-9,COLUMN())="","",INDEX('⑩ 원문 보관'!$A:$E,$CM$6+ROW()-9,COLUMN())))</f>
        <v/>
      </c>
      <c r="B587" t="str">
        <f>IF($CM$6=0,"",IF(INDEX('⑩ 원문 보관'!$A:$E,$CM$6+ROW()-9,COLUMN())="","",INDEX('⑩ 원문 보관'!$A:$E,$CM$6+ROW()-9,COLUMN())))</f>
        <v/>
      </c>
      <c r="C587" t="str">
        <f>IF($CM$6=0,"",IF(INDEX('⑩ 원문 보관'!$A:$E,$CM$6+ROW()-9,COLUMN())="","",INDEX('⑩ 원문 보관'!$A:$E,$CM$6+ROW()-9,COLUMN())))</f>
        <v/>
      </c>
      <c r="D587" t="str">
        <f>IF($CM$6=0,"",IF(INDEX('⑩ 원문 보관'!$A:$E,$CM$6+ROW()-9,COLUMN())="","",INDEX('⑩ 원문 보관'!$A:$E,$CM$6+ROW()-9,COLUMN())))</f>
        <v/>
      </c>
      <c r="E587" t="str">
        <f>IF($CM$6=0,"",IF(INDEX('⑩ 원문 보관'!$A:$E,$CM$6+ROW()-9,COLUMN())="","",INDEX('⑩ 원문 보관'!$A:$E,$CM$6+ROW()-9,COLUMN())))</f>
        <v/>
      </c>
      <c r="Q587">
        <f t="shared" si="270"/>
        <v>8</v>
      </c>
      <c r="R587" t="str">
        <f t="shared" si="250"/>
        <v/>
      </c>
      <c r="S587" t="str">
        <f t="shared" si="251"/>
        <v/>
      </c>
      <c r="T587" t="str">
        <f t="shared" si="252"/>
        <v/>
      </c>
      <c r="U587">
        <f t="shared" si="253"/>
        <v>0</v>
      </c>
      <c r="V587">
        <f t="shared" si="271"/>
        <v>12</v>
      </c>
      <c r="W587" t="str">
        <f t="shared" si="254"/>
        <v/>
      </c>
      <c r="X587" t="str">
        <f t="shared" si="255"/>
        <v/>
      </c>
      <c r="Y587" t="str">
        <f t="shared" si="256"/>
        <v/>
      </c>
      <c r="Z587">
        <f t="shared" si="257"/>
        <v>0</v>
      </c>
      <c r="AA587">
        <f t="shared" si="272"/>
        <v>6</v>
      </c>
      <c r="AB587" t="str">
        <f t="shared" si="258"/>
        <v/>
      </c>
      <c r="AC587" t="str">
        <f t="shared" si="259"/>
        <v/>
      </c>
      <c r="AD587" t="str">
        <f t="shared" si="260"/>
        <v/>
      </c>
      <c r="AE587">
        <f t="shared" si="261"/>
        <v>0</v>
      </c>
      <c r="AF587">
        <f t="shared" si="273"/>
        <v>10</v>
      </c>
      <c r="AG587" t="str">
        <f t="shared" si="262"/>
        <v/>
      </c>
      <c r="AH587" t="str">
        <f t="shared" si="263"/>
        <v/>
      </c>
      <c r="AI587" t="str">
        <f t="shared" si="264"/>
        <v/>
      </c>
      <c r="AJ587">
        <f t="shared" si="265"/>
        <v>0</v>
      </c>
      <c r="AK587">
        <f t="shared" si="274"/>
        <v>4</v>
      </c>
      <c r="AL587" t="str">
        <f t="shared" si="266"/>
        <v/>
      </c>
      <c r="AM587" t="str">
        <f t="shared" si="267"/>
        <v/>
      </c>
      <c r="AN587" t="str">
        <f t="shared" si="268"/>
        <v/>
      </c>
      <c r="AO587">
        <f t="shared" si="269"/>
        <v>0</v>
      </c>
    </row>
    <row r="588" spans="1:41" x14ac:dyDescent="0.4">
      <c r="A588" t="str">
        <f>IF($CM$6=0,"",IF(INDEX('⑩ 원문 보관'!$A:$E,$CM$6+ROW()-9,COLUMN())="","",INDEX('⑩ 원문 보관'!$A:$E,$CM$6+ROW()-9,COLUMN())))</f>
        <v/>
      </c>
      <c r="B588" t="str">
        <f>IF($CM$6=0,"",IF(INDEX('⑩ 원문 보관'!$A:$E,$CM$6+ROW()-9,COLUMN())="","",INDEX('⑩ 원문 보관'!$A:$E,$CM$6+ROW()-9,COLUMN())))</f>
        <v/>
      </c>
      <c r="C588" t="str">
        <f>IF($CM$6=0,"",IF(INDEX('⑩ 원문 보관'!$A:$E,$CM$6+ROW()-9,COLUMN())="","",INDEX('⑩ 원문 보관'!$A:$E,$CM$6+ROW()-9,COLUMN())))</f>
        <v/>
      </c>
      <c r="D588" t="str">
        <f>IF($CM$6=0,"",IF(INDEX('⑩ 원문 보관'!$A:$E,$CM$6+ROW()-9,COLUMN())="","",INDEX('⑩ 원문 보관'!$A:$E,$CM$6+ROW()-9,COLUMN())))</f>
        <v/>
      </c>
      <c r="E588" t="str">
        <f>IF($CM$6=0,"",IF(INDEX('⑩ 원문 보관'!$A:$E,$CM$6+ROW()-9,COLUMN())="","",INDEX('⑩ 원문 보관'!$A:$E,$CM$6+ROW()-9,COLUMN())))</f>
        <v/>
      </c>
      <c r="Q588">
        <f t="shared" si="270"/>
        <v>8</v>
      </c>
      <c r="R588" t="str">
        <f t="shared" si="250"/>
        <v/>
      </c>
      <c r="S588" t="str">
        <f t="shared" si="251"/>
        <v/>
      </c>
      <c r="T588" t="str">
        <f t="shared" si="252"/>
        <v/>
      </c>
      <c r="U588">
        <f t="shared" si="253"/>
        <v>0</v>
      </c>
      <c r="V588">
        <f t="shared" si="271"/>
        <v>12</v>
      </c>
      <c r="W588" t="str">
        <f t="shared" si="254"/>
        <v/>
      </c>
      <c r="X588" t="str">
        <f t="shared" si="255"/>
        <v/>
      </c>
      <c r="Y588" t="str">
        <f t="shared" si="256"/>
        <v/>
      </c>
      <c r="Z588">
        <f t="shared" si="257"/>
        <v>0</v>
      </c>
      <c r="AA588">
        <f t="shared" si="272"/>
        <v>6</v>
      </c>
      <c r="AB588" t="str">
        <f t="shared" si="258"/>
        <v/>
      </c>
      <c r="AC588" t="str">
        <f t="shared" si="259"/>
        <v/>
      </c>
      <c r="AD588" t="str">
        <f t="shared" si="260"/>
        <v/>
      </c>
      <c r="AE588">
        <f t="shared" si="261"/>
        <v>0</v>
      </c>
      <c r="AF588">
        <f t="shared" si="273"/>
        <v>10</v>
      </c>
      <c r="AG588" t="str">
        <f t="shared" si="262"/>
        <v/>
      </c>
      <c r="AH588" t="str">
        <f t="shared" si="263"/>
        <v/>
      </c>
      <c r="AI588" t="str">
        <f t="shared" si="264"/>
        <v/>
      </c>
      <c r="AJ588">
        <f t="shared" si="265"/>
        <v>0</v>
      </c>
      <c r="AK588">
        <f t="shared" si="274"/>
        <v>4</v>
      </c>
      <c r="AL588" t="str">
        <f t="shared" si="266"/>
        <v/>
      </c>
      <c r="AM588" t="str">
        <f t="shared" si="267"/>
        <v/>
      </c>
      <c r="AN588" t="str">
        <f t="shared" si="268"/>
        <v/>
      </c>
      <c r="AO588">
        <f t="shared" si="269"/>
        <v>0</v>
      </c>
    </row>
    <row r="589" spans="1:41" x14ac:dyDescent="0.4">
      <c r="A589" t="str">
        <f>IF($CM$6=0,"",IF(INDEX('⑩ 원문 보관'!$A:$E,$CM$6+ROW()-9,COLUMN())="","",INDEX('⑩ 원문 보관'!$A:$E,$CM$6+ROW()-9,COLUMN())))</f>
        <v/>
      </c>
      <c r="B589" t="str">
        <f>IF($CM$6=0,"",IF(INDEX('⑩ 원문 보관'!$A:$E,$CM$6+ROW()-9,COLUMN())="","",INDEX('⑩ 원문 보관'!$A:$E,$CM$6+ROW()-9,COLUMN())))</f>
        <v/>
      </c>
      <c r="C589" t="str">
        <f>IF($CM$6=0,"",IF(INDEX('⑩ 원문 보관'!$A:$E,$CM$6+ROW()-9,COLUMN())="","",INDEX('⑩ 원문 보관'!$A:$E,$CM$6+ROW()-9,COLUMN())))</f>
        <v/>
      </c>
      <c r="D589" t="str">
        <f>IF($CM$6=0,"",IF(INDEX('⑩ 원문 보관'!$A:$E,$CM$6+ROW()-9,COLUMN())="","",INDEX('⑩ 원문 보관'!$A:$E,$CM$6+ROW()-9,COLUMN())))</f>
        <v/>
      </c>
      <c r="E589" t="str">
        <f>IF($CM$6=0,"",IF(INDEX('⑩ 원문 보관'!$A:$E,$CM$6+ROW()-9,COLUMN())="","",INDEX('⑩ 원문 보관'!$A:$E,$CM$6+ROW()-9,COLUMN())))</f>
        <v/>
      </c>
      <c r="Q589">
        <f t="shared" si="270"/>
        <v>8</v>
      </c>
      <c r="R589" t="str">
        <f t="shared" si="250"/>
        <v/>
      </c>
      <c r="S589" t="str">
        <f t="shared" si="251"/>
        <v/>
      </c>
      <c r="T589" t="str">
        <f t="shared" si="252"/>
        <v/>
      </c>
      <c r="U589">
        <f t="shared" si="253"/>
        <v>0</v>
      </c>
      <c r="V589">
        <f t="shared" si="271"/>
        <v>12</v>
      </c>
      <c r="W589" t="str">
        <f t="shared" si="254"/>
        <v/>
      </c>
      <c r="X589" t="str">
        <f t="shared" si="255"/>
        <v/>
      </c>
      <c r="Y589" t="str">
        <f t="shared" si="256"/>
        <v/>
      </c>
      <c r="Z589">
        <f t="shared" si="257"/>
        <v>0</v>
      </c>
      <c r="AA589">
        <f t="shared" si="272"/>
        <v>6</v>
      </c>
      <c r="AB589" t="str">
        <f t="shared" si="258"/>
        <v/>
      </c>
      <c r="AC589" t="str">
        <f t="shared" si="259"/>
        <v/>
      </c>
      <c r="AD589" t="str">
        <f t="shared" si="260"/>
        <v/>
      </c>
      <c r="AE589">
        <f t="shared" si="261"/>
        <v>0</v>
      </c>
      <c r="AF589">
        <f t="shared" si="273"/>
        <v>10</v>
      </c>
      <c r="AG589" t="str">
        <f t="shared" si="262"/>
        <v/>
      </c>
      <c r="AH589" t="str">
        <f t="shared" si="263"/>
        <v/>
      </c>
      <c r="AI589" t="str">
        <f t="shared" si="264"/>
        <v/>
      </c>
      <c r="AJ589">
        <f t="shared" si="265"/>
        <v>0</v>
      </c>
      <c r="AK589">
        <f t="shared" si="274"/>
        <v>4</v>
      </c>
      <c r="AL589" t="str">
        <f t="shared" si="266"/>
        <v/>
      </c>
      <c r="AM589" t="str">
        <f t="shared" si="267"/>
        <v/>
      </c>
      <c r="AN589" t="str">
        <f t="shared" si="268"/>
        <v/>
      </c>
      <c r="AO589">
        <f t="shared" si="269"/>
        <v>0</v>
      </c>
    </row>
    <row r="590" spans="1:41" x14ac:dyDescent="0.4">
      <c r="A590" t="str">
        <f>IF($CM$6=0,"",IF(INDEX('⑩ 원문 보관'!$A:$E,$CM$6+ROW()-9,COLUMN())="","",INDEX('⑩ 원문 보관'!$A:$E,$CM$6+ROW()-9,COLUMN())))</f>
        <v/>
      </c>
      <c r="B590" t="str">
        <f>IF($CM$6=0,"",IF(INDEX('⑩ 원문 보관'!$A:$E,$CM$6+ROW()-9,COLUMN())="","",INDEX('⑩ 원문 보관'!$A:$E,$CM$6+ROW()-9,COLUMN())))</f>
        <v/>
      </c>
      <c r="C590" t="str">
        <f>IF($CM$6=0,"",IF(INDEX('⑩ 원문 보관'!$A:$E,$CM$6+ROW()-9,COLUMN())="","",INDEX('⑩ 원문 보관'!$A:$E,$CM$6+ROW()-9,COLUMN())))</f>
        <v/>
      </c>
      <c r="D590" t="str">
        <f>IF($CM$6=0,"",IF(INDEX('⑩ 원문 보관'!$A:$E,$CM$6+ROW()-9,COLUMN())="","",INDEX('⑩ 원문 보관'!$A:$E,$CM$6+ROW()-9,COLUMN())))</f>
        <v/>
      </c>
      <c r="E590" t="str">
        <f>IF($CM$6=0,"",IF(INDEX('⑩ 원문 보관'!$A:$E,$CM$6+ROW()-9,COLUMN())="","",INDEX('⑩ 원문 보관'!$A:$E,$CM$6+ROW()-9,COLUMN())))</f>
        <v/>
      </c>
      <c r="Q590">
        <f t="shared" si="270"/>
        <v>8</v>
      </c>
      <c r="R590" t="str">
        <f t="shared" si="250"/>
        <v/>
      </c>
      <c r="S590" t="str">
        <f t="shared" si="251"/>
        <v/>
      </c>
      <c r="T590" t="str">
        <f t="shared" si="252"/>
        <v/>
      </c>
      <c r="U590">
        <f t="shared" si="253"/>
        <v>0</v>
      </c>
      <c r="V590">
        <f t="shared" si="271"/>
        <v>12</v>
      </c>
      <c r="W590" t="str">
        <f t="shared" si="254"/>
        <v/>
      </c>
      <c r="X590" t="str">
        <f t="shared" si="255"/>
        <v/>
      </c>
      <c r="Y590" t="str">
        <f t="shared" si="256"/>
        <v/>
      </c>
      <c r="Z590">
        <f t="shared" si="257"/>
        <v>0</v>
      </c>
      <c r="AA590">
        <f t="shared" si="272"/>
        <v>6</v>
      </c>
      <c r="AB590" t="str">
        <f t="shared" si="258"/>
        <v/>
      </c>
      <c r="AC590" t="str">
        <f t="shared" si="259"/>
        <v/>
      </c>
      <c r="AD590" t="str">
        <f t="shared" si="260"/>
        <v/>
      </c>
      <c r="AE590">
        <f t="shared" si="261"/>
        <v>0</v>
      </c>
      <c r="AF590">
        <f t="shared" si="273"/>
        <v>10</v>
      </c>
      <c r="AG590" t="str">
        <f t="shared" si="262"/>
        <v/>
      </c>
      <c r="AH590" t="str">
        <f t="shared" si="263"/>
        <v/>
      </c>
      <c r="AI590" t="str">
        <f t="shared" si="264"/>
        <v/>
      </c>
      <c r="AJ590">
        <f t="shared" si="265"/>
        <v>0</v>
      </c>
      <c r="AK590">
        <f t="shared" si="274"/>
        <v>4</v>
      </c>
      <c r="AL590" t="str">
        <f t="shared" si="266"/>
        <v/>
      </c>
      <c r="AM590" t="str">
        <f t="shared" si="267"/>
        <v/>
      </c>
      <c r="AN590" t="str">
        <f t="shared" si="268"/>
        <v/>
      </c>
      <c r="AO590">
        <f t="shared" si="269"/>
        <v>0</v>
      </c>
    </row>
    <row r="591" spans="1:41" x14ac:dyDescent="0.4">
      <c r="A591" t="str">
        <f>IF($CM$6=0,"",IF(INDEX('⑩ 원문 보관'!$A:$E,$CM$6+ROW()-9,COLUMN())="","",INDEX('⑩ 원문 보관'!$A:$E,$CM$6+ROW()-9,COLUMN())))</f>
        <v/>
      </c>
      <c r="B591" t="str">
        <f>IF($CM$6=0,"",IF(INDEX('⑩ 원문 보관'!$A:$E,$CM$6+ROW()-9,COLUMN())="","",INDEX('⑩ 원문 보관'!$A:$E,$CM$6+ROW()-9,COLUMN())))</f>
        <v/>
      </c>
      <c r="C591" t="str">
        <f>IF($CM$6=0,"",IF(INDEX('⑩ 원문 보관'!$A:$E,$CM$6+ROW()-9,COLUMN())="","",INDEX('⑩ 원문 보관'!$A:$E,$CM$6+ROW()-9,COLUMN())))</f>
        <v/>
      </c>
      <c r="D591" t="str">
        <f>IF($CM$6=0,"",IF(INDEX('⑩ 원문 보관'!$A:$E,$CM$6+ROW()-9,COLUMN())="","",INDEX('⑩ 원문 보관'!$A:$E,$CM$6+ROW()-9,COLUMN())))</f>
        <v/>
      </c>
      <c r="E591" t="str">
        <f>IF($CM$6=0,"",IF(INDEX('⑩ 원문 보관'!$A:$E,$CM$6+ROW()-9,COLUMN())="","",INDEX('⑩ 원문 보관'!$A:$E,$CM$6+ROW()-9,COLUMN())))</f>
        <v/>
      </c>
      <c r="Q591">
        <f t="shared" si="270"/>
        <v>8</v>
      </c>
      <c r="R591" t="str">
        <f t="shared" si="250"/>
        <v/>
      </c>
      <c r="S591" t="str">
        <f t="shared" si="251"/>
        <v/>
      </c>
      <c r="T591" t="str">
        <f t="shared" si="252"/>
        <v/>
      </c>
      <c r="U591">
        <f t="shared" si="253"/>
        <v>0</v>
      </c>
      <c r="V591">
        <f t="shared" si="271"/>
        <v>12</v>
      </c>
      <c r="W591" t="str">
        <f t="shared" si="254"/>
        <v/>
      </c>
      <c r="X591" t="str">
        <f t="shared" si="255"/>
        <v/>
      </c>
      <c r="Y591" t="str">
        <f t="shared" si="256"/>
        <v/>
      </c>
      <c r="Z591">
        <f t="shared" si="257"/>
        <v>0</v>
      </c>
      <c r="AA591">
        <f t="shared" si="272"/>
        <v>6</v>
      </c>
      <c r="AB591" t="str">
        <f t="shared" si="258"/>
        <v/>
      </c>
      <c r="AC591" t="str">
        <f t="shared" si="259"/>
        <v/>
      </c>
      <c r="AD591" t="str">
        <f t="shared" si="260"/>
        <v/>
      </c>
      <c r="AE591">
        <f t="shared" si="261"/>
        <v>0</v>
      </c>
      <c r="AF591">
        <f t="shared" si="273"/>
        <v>10</v>
      </c>
      <c r="AG591" t="str">
        <f t="shared" si="262"/>
        <v/>
      </c>
      <c r="AH591" t="str">
        <f t="shared" si="263"/>
        <v/>
      </c>
      <c r="AI591" t="str">
        <f t="shared" si="264"/>
        <v/>
      </c>
      <c r="AJ591">
        <f t="shared" si="265"/>
        <v>0</v>
      </c>
      <c r="AK591">
        <f t="shared" si="274"/>
        <v>4</v>
      </c>
      <c r="AL591" t="str">
        <f t="shared" si="266"/>
        <v/>
      </c>
      <c r="AM591" t="str">
        <f t="shared" si="267"/>
        <v/>
      </c>
      <c r="AN591" t="str">
        <f t="shared" si="268"/>
        <v/>
      </c>
      <c r="AO591">
        <f t="shared" si="269"/>
        <v>0</v>
      </c>
    </row>
    <row r="592" spans="1:41" x14ac:dyDescent="0.4">
      <c r="A592" t="str">
        <f>IF($CM$6=0,"",IF(INDEX('⑩ 원문 보관'!$A:$E,$CM$6+ROW()-9,COLUMN())="","",INDEX('⑩ 원문 보관'!$A:$E,$CM$6+ROW()-9,COLUMN())))</f>
        <v/>
      </c>
      <c r="B592" t="str">
        <f>IF($CM$6=0,"",IF(INDEX('⑩ 원문 보관'!$A:$E,$CM$6+ROW()-9,COLUMN())="","",INDEX('⑩ 원문 보관'!$A:$E,$CM$6+ROW()-9,COLUMN())))</f>
        <v/>
      </c>
      <c r="C592" t="str">
        <f>IF($CM$6=0,"",IF(INDEX('⑩ 원문 보관'!$A:$E,$CM$6+ROW()-9,COLUMN())="","",INDEX('⑩ 원문 보관'!$A:$E,$CM$6+ROW()-9,COLUMN())))</f>
        <v/>
      </c>
      <c r="D592" t="str">
        <f>IF($CM$6=0,"",IF(INDEX('⑩ 원문 보관'!$A:$E,$CM$6+ROW()-9,COLUMN())="","",INDEX('⑩ 원문 보관'!$A:$E,$CM$6+ROW()-9,COLUMN())))</f>
        <v/>
      </c>
      <c r="E592" t="str">
        <f>IF($CM$6=0,"",IF(INDEX('⑩ 원문 보관'!$A:$E,$CM$6+ROW()-9,COLUMN())="","",INDEX('⑩ 원문 보관'!$A:$E,$CM$6+ROW()-9,COLUMN())))</f>
        <v/>
      </c>
      <c r="Q592">
        <f t="shared" si="270"/>
        <v>8</v>
      </c>
      <c r="R592" t="str">
        <f t="shared" si="250"/>
        <v/>
      </c>
      <c r="S592" t="str">
        <f t="shared" si="251"/>
        <v/>
      </c>
      <c r="T592" t="str">
        <f t="shared" si="252"/>
        <v/>
      </c>
      <c r="U592">
        <f t="shared" si="253"/>
        <v>0</v>
      </c>
      <c r="V592">
        <f t="shared" si="271"/>
        <v>12</v>
      </c>
      <c r="W592" t="str">
        <f t="shared" si="254"/>
        <v/>
      </c>
      <c r="X592" t="str">
        <f t="shared" si="255"/>
        <v/>
      </c>
      <c r="Y592" t="str">
        <f t="shared" si="256"/>
        <v/>
      </c>
      <c r="Z592">
        <f t="shared" si="257"/>
        <v>0</v>
      </c>
      <c r="AA592">
        <f t="shared" si="272"/>
        <v>6</v>
      </c>
      <c r="AB592" t="str">
        <f t="shared" si="258"/>
        <v/>
      </c>
      <c r="AC592" t="str">
        <f t="shared" si="259"/>
        <v/>
      </c>
      <c r="AD592" t="str">
        <f t="shared" si="260"/>
        <v/>
      </c>
      <c r="AE592">
        <f t="shared" si="261"/>
        <v>0</v>
      </c>
      <c r="AF592">
        <f t="shared" si="273"/>
        <v>10</v>
      </c>
      <c r="AG592" t="str">
        <f t="shared" si="262"/>
        <v/>
      </c>
      <c r="AH592" t="str">
        <f t="shared" si="263"/>
        <v/>
      </c>
      <c r="AI592" t="str">
        <f t="shared" si="264"/>
        <v/>
      </c>
      <c r="AJ592">
        <f t="shared" si="265"/>
        <v>0</v>
      </c>
      <c r="AK592">
        <f t="shared" si="274"/>
        <v>4</v>
      </c>
      <c r="AL592" t="str">
        <f t="shared" si="266"/>
        <v/>
      </c>
      <c r="AM592" t="str">
        <f t="shared" si="267"/>
        <v/>
      </c>
      <c r="AN592" t="str">
        <f t="shared" si="268"/>
        <v/>
      </c>
      <c r="AO592">
        <f t="shared" si="269"/>
        <v>0</v>
      </c>
    </row>
    <row r="593" spans="1:41" x14ac:dyDescent="0.4">
      <c r="A593" t="str">
        <f>IF($CM$6=0,"",IF(INDEX('⑩ 원문 보관'!$A:$E,$CM$6+ROW()-9,COLUMN())="","",INDEX('⑩ 원문 보관'!$A:$E,$CM$6+ROW()-9,COLUMN())))</f>
        <v/>
      </c>
      <c r="B593" t="str">
        <f>IF($CM$6=0,"",IF(INDEX('⑩ 원문 보관'!$A:$E,$CM$6+ROW()-9,COLUMN())="","",INDEX('⑩ 원문 보관'!$A:$E,$CM$6+ROW()-9,COLUMN())))</f>
        <v/>
      </c>
      <c r="C593" t="str">
        <f>IF($CM$6=0,"",IF(INDEX('⑩ 원문 보관'!$A:$E,$CM$6+ROW()-9,COLUMN())="","",INDEX('⑩ 원문 보관'!$A:$E,$CM$6+ROW()-9,COLUMN())))</f>
        <v/>
      </c>
      <c r="D593" t="str">
        <f>IF($CM$6=0,"",IF(INDEX('⑩ 원문 보관'!$A:$E,$CM$6+ROW()-9,COLUMN())="","",INDEX('⑩ 원문 보관'!$A:$E,$CM$6+ROW()-9,COLUMN())))</f>
        <v/>
      </c>
      <c r="E593" t="str">
        <f>IF($CM$6=0,"",IF(INDEX('⑩ 원문 보관'!$A:$E,$CM$6+ROW()-9,COLUMN())="","",INDEX('⑩ 원문 보관'!$A:$E,$CM$6+ROW()-9,COLUMN())))</f>
        <v/>
      </c>
      <c r="Q593">
        <f t="shared" si="270"/>
        <v>8</v>
      </c>
      <c r="R593" t="str">
        <f t="shared" si="250"/>
        <v/>
      </c>
      <c r="S593" t="str">
        <f t="shared" si="251"/>
        <v/>
      </c>
      <c r="T593" t="str">
        <f t="shared" si="252"/>
        <v/>
      </c>
      <c r="U593">
        <f t="shared" si="253"/>
        <v>0</v>
      </c>
      <c r="V593">
        <f t="shared" si="271"/>
        <v>12</v>
      </c>
      <c r="W593" t="str">
        <f t="shared" si="254"/>
        <v/>
      </c>
      <c r="X593" t="str">
        <f t="shared" si="255"/>
        <v/>
      </c>
      <c r="Y593" t="str">
        <f t="shared" si="256"/>
        <v/>
      </c>
      <c r="Z593">
        <f t="shared" si="257"/>
        <v>0</v>
      </c>
      <c r="AA593">
        <f t="shared" si="272"/>
        <v>6</v>
      </c>
      <c r="AB593" t="str">
        <f t="shared" si="258"/>
        <v/>
      </c>
      <c r="AC593" t="str">
        <f t="shared" si="259"/>
        <v/>
      </c>
      <c r="AD593" t="str">
        <f t="shared" si="260"/>
        <v/>
      </c>
      <c r="AE593">
        <f t="shared" si="261"/>
        <v>0</v>
      </c>
      <c r="AF593">
        <f t="shared" si="273"/>
        <v>10</v>
      </c>
      <c r="AG593" t="str">
        <f t="shared" si="262"/>
        <v/>
      </c>
      <c r="AH593" t="str">
        <f t="shared" si="263"/>
        <v/>
      </c>
      <c r="AI593" t="str">
        <f t="shared" si="264"/>
        <v/>
      </c>
      <c r="AJ593">
        <f t="shared" si="265"/>
        <v>0</v>
      </c>
      <c r="AK593">
        <f t="shared" si="274"/>
        <v>4</v>
      </c>
      <c r="AL593" t="str">
        <f t="shared" si="266"/>
        <v/>
      </c>
      <c r="AM593" t="str">
        <f t="shared" si="267"/>
        <v/>
      </c>
      <c r="AN593" t="str">
        <f t="shared" si="268"/>
        <v/>
      </c>
      <c r="AO593">
        <f t="shared" si="269"/>
        <v>0</v>
      </c>
    </row>
    <row r="594" spans="1:41" x14ac:dyDescent="0.4">
      <c r="A594" t="str">
        <f>IF($CM$6=0,"",IF(INDEX('⑩ 원문 보관'!$A:$E,$CM$6+ROW()-9,COLUMN())="","",INDEX('⑩ 원문 보관'!$A:$E,$CM$6+ROW()-9,COLUMN())))</f>
        <v/>
      </c>
      <c r="B594" t="str">
        <f>IF($CM$6=0,"",IF(INDEX('⑩ 원문 보관'!$A:$E,$CM$6+ROW()-9,COLUMN())="","",INDEX('⑩ 원문 보관'!$A:$E,$CM$6+ROW()-9,COLUMN())))</f>
        <v/>
      </c>
      <c r="C594" t="str">
        <f>IF($CM$6=0,"",IF(INDEX('⑩ 원문 보관'!$A:$E,$CM$6+ROW()-9,COLUMN())="","",INDEX('⑩ 원문 보관'!$A:$E,$CM$6+ROW()-9,COLUMN())))</f>
        <v/>
      </c>
      <c r="D594" t="str">
        <f>IF($CM$6=0,"",IF(INDEX('⑩ 원문 보관'!$A:$E,$CM$6+ROW()-9,COLUMN())="","",INDEX('⑩ 원문 보관'!$A:$E,$CM$6+ROW()-9,COLUMN())))</f>
        <v/>
      </c>
      <c r="E594" t="str">
        <f>IF($CM$6=0,"",IF(INDEX('⑩ 원문 보관'!$A:$E,$CM$6+ROW()-9,COLUMN())="","",INDEX('⑩ 원문 보관'!$A:$E,$CM$6+ROW()-9,COLUMN())))</f>
        <v/>
      </c>
      <c r="Q594">
        <f t="shared" si="270"/>
        <v>8</v>
      </c>
      <c r="R594" t="str">
        <f t="shared" si="250"/>
        <v/>
      </c>
      <c r="S594" t="str">
        <f t="shared" si="251"/>
        <v/>
      </c>
      <c r="T594" t="str">
        <f t="shared" si="252"/>
        <v/>
      </c>
      <c r="U594">
        <f t="shared" si="253"/>
        <v>0</v>
      </c>
      <c r="V594">
        <f t="shared" si="271"/>
        <v>12</v>
      </c>
      <c r="W594" t="str">
        <f t="shared" si="254"/>
        <v/>
      </c>
      <c r="X594" t="str">
        <f t="shared" si="255"/>
        <v/>
      </c>
      <c r="Y594" t="str">
        <f t="shared" si="256"/>
        <v/>
      </c>
      <c r="Z594">
        <f t="shared" si="257"/>
        <v>0</v>
      </c>
      <c r="AA594">
        <f t="shared" si="272"/>
        <v>6</v>
      </c>
      <c r="AB594" t="str">
        <f t="shared" si="258"/>
        <v/>
      </c>
      <c r="AC594" t="str">
        <f t="shared" si="259"/>
        <v/>
      </c>
      <c r="AD594" t="str">
        <f t="shared" si="260"/>
        <v/>
      </c>
      <c r="AE594">
        <f t="shared" si="261"/>
        <v>0</v>
      </c>
      <c r="AF594">
        <f t="shared" si="273"/>
        <v>10</v>
      </c>
      <c r="AG594" t="str">
        <f t="shared" si="262"/>
        <v/>
      </c>
      <c r="AH594" t="str">
        <f t="shared" si="263"/>
        <v/>
      </c>
      <c r="AI594" t="str">
        <f t="shared" si="264"/>
        <v/>
      </c>
      <c r="AJ594">
        <f t="shared" si="265"/>
        <v>0</v>
      </c>
      <c r="AK594">
        <f t="shared" si="274"/>
        <v>4</v>
      </c>
      <c r="AL594" t="str">
        <f t="shared" si="266"/>
        <v/>
      </c>
      <c r="AM594" t="str">
        <f t="shared" si="267"/>
        <v/>
      </c>
      <c r="AN594" t="str">
        <f t="shared" si="268"/>
        <v/>
      </c>
      <c r="AO594">
        <f t="shared" si="269"/>
        <v>0</v>
      </c>
    </row>
    <row r="595" spans="1:41" x14ac:dyDescent="0.4">
      <c r="A595" t="str">
        <f>IF($CM$6=0,"",IF(INDEX('⑩ 원문 보관'!$A:$E,$CM$6+ROW()-9,COLUMN())="","",INDEX('⑩ 원문 보관'!$A:$E,$CM$6+ROW()-9,COLUMN())))</f>
        <v/>
      </c>
      <c r="B595" t="str">
        <f>IF($CM$6=0,"",IF(INDEX('⑩ 원문 보관'!$A:$E,$CM$6+ROW()-9,COLUMN())="","",INDEX('⑩ 원문 보관'!$A:$E,$CM$6+ROW()-9,COLUMN())))</f>
        <v/>
      </c>
      <c r="C595" t="str">
        <f>IF($CM$6=0,"",IF(INDEX('⑩ 원문 보관'!$A:$E,$CM$6+ROW()-9,COLUMN())="","",INDEX('⑩ 원문 보관'!$A:$E,$CM$6+ROW()-9,COLUMN())))</f>
        <v/>
      </c>
      <c r="D595" t="str">
        <f>IF($CM$6=0,"",IF(INDEX('⑩ 원문 보관'!$A:$E,$CM$6+ROW()-9,COLUMN())="","",INDEX('⑩ 원문 보관'!$A:$E,$CM$6+ROW()-9,COLUMN())))</f>
        <v/>
      </c>
      <c r="E595" t="str">
        <f>IF($CM$6=0,"",IF(INDEX('⑩ 원문 보관'!$A:$E,$CM$6+ROW()-9,COLUMN())="","",INDEX('⑩ 원문 보관'!$A:$E,$CM$6+ROW()-9,COLUMN())))</f>
        <v/>
      </c>
      <c r="Q595">
        <f t="shared" si="270"/>
        <v>8</v>
      </c>
      <c r="R595" t="str">
        <f t="shared" si="250"/>
        <v/>
      </c>
      <c r="S595" t="str">
        <f t="shared" si="251"/>
        <v/>
      </c>
      <c r="T595" t="str">
        <f t="shared" si="252"/>
        <v/>
      </c>
      <c r="U595">
        <f t="shared" si="253"/>
        <v>0</v>
      </c>
      <c r="V595">
        <f t="shared" si="271"/>
        <v>12</v>
      </c>
      <c r="W595" t="str">
        <f t="shared" si="254"/>
        <v/>
      </c>
      <c r="X595" t="str">
        <f t="shared" si="255"/>
        <v/>
      </c>
      <c r="Y595" t="str">
        <f t="shared" si="256"/>
        <v/>
      </c>
      <c r="Z595">
        <f t="shared" si="257"/>
        <v>0</v>
      </c>
      <c r="AA595">
        <f t="shared" si="272"/>
        <v>6</v>
      </c>
      <c r="AB595" t="str">
        <f t="shared" si="258"/>
        <v/>
      </c>
      <c r="AC595" t="str">
        <f t="shared" si="259"/>
        <v/>
      </c>
      <c r="AD595" t="str">
        <f t="shared" si="260"/>
        <v/>
      </c>
      <c r="AE595">
        <f t="shared" si="261"/>
        <v>0</v>
      </c>
      <c r="AF595">
        <f t="shared" si="273"/>
        <v>10</v>
      </c>
      <c r="AG595" t="str">
        <f t="shared" si="262"/>
        <v/>
      </c>
      <c r="AH595" t="str">
        <f t="shared" si="263"/>
        <v/>
      </c>
      <c r="AI595" t="str">
        <f t="shared" si="264"/>
        <v/>
      </c>
      <c r="AJ595">
        <f t="shared" si="265"/>
        <v>0</v>
      </c>
      <c r="AK595">
        <f t="shared" si="274"/>
        <v>4</v>
      </c>
      <c r="AL595" t="str">
        <f t="shared" si="266"/>
        <v/>
      </c>
      <c r="AM595" t="str">
        <f t="shared" si="267"/>
        <v/>
      </c>
      <c r="AN595" t="str">
        <f t="shared" si="268"/>
        <v/>
      </c>
      <c r="AO595">
        <f t="shared" si="269"/>
        <v>0</v>
      </c>
    </row>
    <row r="596" spans="1:41" x14ac:dyDescent="0.4">
      <c r="A596" t="str">
        <f>IF($CM$6=0,"",IF(INDEX('⑩ 원문 보관'!$A:$E,$CM$6+ROW()-9,COLUMN())="","",INDEX('⑩ 원문 보관'!$A:$E,$CM$6+ROW()-9,COLUMN())))</f>
        <v/>
      </c>
      <c r="B596" t="str">
        <f>IF($CM$6=0,"",IF(INDEX('⑩ 원문 보관'!$A:$E,$CM$6+ROW()-9,COLUMN())="","",INDEX('⑩ 원문 보관'!$A:$E,$CM$6+ROW()-9,COLUMN())))</f>
        <v/>
      </c>
      <c r="C596" t="str">
        <f>IF($CM$6=0,"",IF(INDEX('⑩ 원문 보관'!$A:$E,$CM$6+ROW()-9,COLUMN())="","",INDEX('⑩ 원문 보관'!$A:$E,$CM$6+ROW()-9,COLUMN())))</f>
        <v/>
      </c>
      <c r="D596" t="str">
        <f>IF($CM$6=0,"",IF(INDEX('⑩ 원문 보관'!$A:$E,$CM$6+ROW()-9,COLUMN())="","",INDEX('⑩ 원문 보관'!$A:$E,$CM$6+ROW()-9,COLUMN())))</f>
        <v/>
      </c>
      <c r="E596" t="str">
        <f>IF($CM$6=0,"",IF(INDEX('⑩ 원문 보관'!$A:$E,$CM$6+ROW()-9,COLUMN())="","",INDEX('⑩ 원문 보관'!$A:$E,$CM$6+ROW()-9,COLUMN())))</f>
        <v/>
      </c>
      <c r="Q596">
        <f t="shared" si="270"/>
        <v>8</v>
      </c>
      <c r="R596" t="str">
        <f t="shared" si="250"/>
        <v/>
      </c>
      <c r="S596" t="str">
        <f t="shared" si="251"/>
        <v/>
      </c>
      <c r="T596" t="str">
        <f t="shared" si="252"/>
        <v/>
      </c>
      <c r="U596">
        <f t="shared" si="253"/>
        <v>0</v>
      </c>
      <c r="V596">
        <f t="shared" si="271"/>
        <v>12</v>
      </c>
      <c r="W596" t="str">
        <f t="shared" si="254"/>
        <v/>
      </c>
      <c r="X596" t="str">
        <f t="shared" si="255"/>
        <v/>
      </c>
      <c r="Y596" t="str">
        <f t="shared" si="256"/>
        <v/>
      </c>
      <c r="Z596">
        <f t="shared" si="257"/>
        <v>0</v>
      </c>
      <c r="AA596">
        <f t="shared" si="272"/>
        <v>6</v>
      </c>
      <c r="AB596" t="str">
        <f t="shared" si="258"/>
        <v/>
      </c>
      <c r="AC596" t="str">
        <f t="shared" si="259"/>
        <v/>
      </c>
      <c r="AD596" t="str">
        <f t="shared" si="260"/>
        <v/>
      </c>
      <c r="AE596">
        <f t="shared" si="261"/>
        <v>0</v>
      </c>
      <c r="AF596">
        <f t="shared" si="273"/>
        <v>10</v>
      </c>
      <c r="AG596" t="str">
        <f t="shared" si="262"/>
        <v/>
      </c>
      <c r="AH596" t="str">
        <f t="shared" si="263"/>
        <v/>
      </c>
      <c r="AI596" t="str">
        <f t="shared" si="264"/>
        <v/>
      </c>
      <c r="AJ596">
        <f t="shared" si="265"/>
        <v>0</v>
      </c>
      <c r="AK596">
        <f t="shared" si="274"/>
        <v>4</v>
      </c>
      <c r="AL596" t="str">
        <f t="shared" si="266"/>
        <v/>
      </c>
      <c r="AM596" t="str">
        <f t="shared" si="267"/>
        <v/>
      </c>
      <c r="AN596" t="str">
        <f t="shared" si="268"/>
        <v/>
      </c>
      <c r="AO596">
        <f t="shared" si="269"/>
        <v>0</v>
      </c>
    </row>
    <row r="597" spans="1:41" x14ac:dyDescent="0.4">
      <c r="A597" t="str">
        <f>IF($CM$6=0,"",IF(INDEX('⑩ 원문 보관'!$A:$E,$CM$6+ROW()-9,COLUMN())="","",INDEX('⑩ 원문 보관'!$A:$E,$CM$6+ROW()-9,COLUMN())))</f>
        <v/>
      </c>
      <c r="B597" t="str">
        <f>IF($CM$6=0,"",IF(INDEX('⑩ 원문 보관'!$A:$E,$CM$6+ROW()-9,COLUMN())="","",INDEX('⑩ 원문 보관'!$A:$E,$CM$6+ROW()-9,COLUMN())))</f>
        <v/>
      </c>
      <c r="C597" t="str">
        <f>IF($CM$6=0,"",IF(INDEX('⑩ 원문 보관'!$A:$E,$CM$6+ROW()-9,COLUMN())="","",INDEX('⑩ 원문 보관'!$A:$E,$CM$6+ROW()-9,COLUMN())))</f>
        <v/>
      </c>
      <c r="D597" t="str">
        <f>IF($CM$6=0,"",IF(INDEX('⑩ 원문 보관'!$A:$E,$CM$6+ROW()-9,COLUMN())="","",INDEX('⑩ 원문 보관'!$A:$E,$CM$6+ROW()-9,COLUMN())))</f>
        <v/>
      </c>
      <c r="E597" t="str">
        <f>IF($CM$6=0,"",IF(INDEX('⑩ 원문 보관'!$A:$E,$CM$6+ROW()-9,COLUMN())="","",INDEX('⑩ 원문 보관'!$A:$E,$CM$6+ROW()-9,COLUMN())))</f>
        <v/>
      </c>
      <c r="Q597">
        <f t="shared" si="270"/>
        <v>8</v>
      </c>
      <c r="R597" t="str">
        <f t="shared" si="250"/>
        <v/>
      </c>
      <c r="S597" t="str">
        <f t="shared" si="251"/>
        <v/>
      </c>
      <c r="T597" t="str">
        <f t="shared" si="252"/>
        <v/>
      </c>
      <c r="U597">
        <f t="shared" si="253"/>
        <v>0</v>
      </c>
      <c r="V597">
        <f t="shared" si="271"/>
        <v>12</v>
      </c>
      <c r="W597" t="str">
        <f t="shared" si="254"/>
        <v/>
      </c>
      <c r="X597" t="str">
        <f t="shared" si="255"/>
        <v/>
      </c>
      <c r="Y597" t="str">
        <f t="shared" si="256"/>
        <v/>
      </c>
      <c r="Z597">
        <f t="shared" si="257"/>
        <v>0</v>
      </c>
      <c r="AA597">
        <f t="shared" si="272"/>
        <v>6</v>
      </c>
      <c r="AB597" t="str">
        <f t="shared" si="258"/>
        <v/>
      </c>
      <c r="AC597" t="str">
        <f t="shared" si="259"/>
        <v/>
      </c>
      <c r="AD597" t="str">
        <f t="shared" si="260"/>
        <v/>
      </c>
      <c r="AE597">
        <f t="shared" si="261"/>
        <v>0</v>
      </c>
      <c r="AF597">
        <f t="shared" si="273"/>
        <v>10</v>
      </c>
      <c r="AG597" t="str">
        <f t="shared" si="262"/>
        <v/>
      </c>
      <c r="AH597" t="str">
        <f t="shared" si="263"/>
        <v/>
      </c>
      <c r="AI597" t="str">
        <f t="shared" si="264"/>
        <v/>
      </c>
      <c r="AJ597">
        <f t="shared" si="265"/>
        <v>0</v>
      </c>
      <c r="AK597">
        <f t="shared" si="274"/>
        <v>4</v>
      </c>
      <c r="AL597" t="str">
        <f t="shared" si="266"/>
        <v/>
      </c>
      <c r="AM597" t="str">
        <f t="shared" si="267"/>
        <v/>
      </c>
      <c r="AN597" t="str">
        <f t="shared" si="268"/>
        <v/>
      </c>
      <c r="AO597">
        <f t="shared" si="269"/>
        <v>0</v>
      </c>
    </row>
    <row r="598" spans="1:41" x14ac:dyDescent="0.4">
      <c r="A598" t="str">
        <f>IF($CM$6=0,"",IF(INDEX('⑩ 원문 보관'!$A:$E,$CM$6+ROW()-9,COLUMN())="","",INDEX('⑩ 원문 보관'!$A:$E,$CM$6+ROW()-9,COLUMN())))</f>
        <v/>
      </c>
      <c r="B598" t="str">
        <f>IF($CM$6=0,"",IF(INDEX('⑩ 원문 보관'!$A:$E,$CM$6+ROW()-9,COLUMN())="","",INDEX('⑩ 원문 보관'!$A:$E,$CM$6+ROW()-9,COLUMN())))</f>
        <v/>
      </c>
      <c r="C598" t="str">
        <f>IF($CM$6=0,"",IF(INDEX('⑩ 원문 보관'!$A:$E,$CM$6+ROW()-9,COLUMN())="","",INDEX('⑩ 원문 보관'!$A:$E,$CM$6+ROW()-9,COLUMN())))</f>
        <v/>
      </c>
      <c r="D598" t="str">
        <f>IF($CM$6=0,"",IF(INDEX('⑩ 원문 보관'!$A:$E,$CM$6+ROW()-9,COLUMN())="","",INDEX('⑩ 원문 보관'!$A:$E,$CM$6+ROW()-9,COLUMN())))</f>
        <v/>
      </c>
      <c r="E598" t="str">
        <f>IF($CM$6=0,"",IF(INDEX('⑩ 원문 보관'!$A:$E,$CM$6+ROW()-9,COLUMN())="","",INDEX('⑩ 원문 보관'!$A:$E,$CM$6+ROW()-9,COLUMN())))</f>
        <v/>
      </c>
      <c r="Q598">
        <f t="shared" si="270"/>
        <v>8</v>
      </c>
      <c r="R598" t="str">
        <f t="shared" si="250"/>
        <v/>
      </c>
      <c r="S598" t="str">
        <f t="shared" si="251"/>
        <v/>
      </c>
      <c r="T598" t="str">
        <f t="shared" si="252"/>
        <v/>
      </c>
      <c r="U598">
        <f t="shared" si="253"/>
        <v>0</v>
      </c>
      <c r="V598">
        <f t="shared" si="271"/>
        <v>12</v>
      </c>
      <c r="W598" t="str">
        <f t="shared" si="254"/>
        <v/>
      </c>
      <c r="X598" t="str">
        <f t="shared" si="255"/>
        <v/>
      </c>
      <c r="Y598" t="str">
        <f t="shared" si="256"/>
        <v/>
      </c>
      <c r="Z598">
        <f t="shared" si="257"/>
        <v>0</v>
      </c>
      <c r="AA598">
        <f t="shared" si="272"/>
        <v>6</v>
      </c>
      <c r="AB598" t="str">
        <f t="shared" si="258"/>
        <v/>
      </c>
      <c r="AC598" t="str">
        <f t="shared" si="259"/>
        <v/>
      </c>
      <c r="AD598" t="str">
        <f t="shared" si="260"/>
        <v/>
      </c>
      <c r="AE598">
        <f t="shared" si="261"/>
        <v>0</v>
      </c>
      <c r="AF598">
        <f t="shared" si="273"/>
        <v>10</v>
      </c>
      <c r="AG598" t="str">
        <f t="shared" si="262"/>
        <v/>
      </c>
      <c r="AH598" t="str">
        <f t="shared" si="263"/>
        <v/>
      </c>
      <c r="AI598" t="str">
        <f t="shared" si="264"/>
        <v/>
      </c>
      <c r="AJ598">
        <f t="shared" si="265"/>
        <v>0</v>
      </c>
      <c r="AK598">
        <f t="shared" si="274"/>
        <v>4</v>
      </c>
      <c r="AL598" t="str">
        <f t="shared" si="266"/>
        <v/>
      </c>
      <c r="AM598" t="str">
        <f t="shared" si="267"/>
        <v/>
      </c>
      <c r="AN598" t="str">
        <f t="shared" si="268"/>
        <v/>
      </c>
      <c r="AO598">
        <f t="shared" si="269"/>
        <v>0</v>
      </c>
    </row>
    <row r="599" spans="1:41" x14ac:dyDescent="0.4">
      <c r="A599" t="str">
        <f>IF($CM$6=0,"",IF(INDEX('⑩ 원문 보관'!$A:$E,$CM$6+ROW()-9,COLUMN())="","",INDEX('⑩ 원문 보관'!$A:$E,$CM$6+ROW()-9,COLUMN())))</f>
        <v/>
      </c>
      <c r="B599" t="str">
        <f>IF($CM$6=0,"",IF(INDEX('⑩ 원문 보관'!$A:$E,$CM$6+ROW()-9,COLUMN())="","",INDEX('⑩ 원문 보관'!$A:$E,$CM$6+ROW()-9,COLUMN())))</f>
        <v/>
      </c>
      <c r="C599" t="str">
        <f>IF($CM$6=0,"",IF(INDEX('⑩ 원문 보관'!$A:$E,$CM$6+ROW()-9,COLUMN())="","",INDEX('⑩ 원문 보관'!$A:$E,$CM$6+ROW()-9,COLUMN())))</f>
        <v/>
      </c>
      <c r="D599" t="str">
        <f>IF($CM$6=0,"",IF(INDEX('⑩ 원문 보관'!$A:$E,$CM$6+ROW()-9,COLUMN())="","",INDEX('⑩ 원문 보관'!$A:$E,$CM$6+ROW()-9,COLUMN())))</f>
        <v/>
      </c>
      <c r="E599" t="str">
        <f>IF($CM$6=0,"",IF(INDEX('⑩ 원문 보관'!$A:$E,$CM$6+ROW()-9,COLUMN())="","",INDEX('⑩ 원문 보관'!$A:$E,$CM$6+ROW()-9,COLUMN())))</f>
        <v/>
      </c>
      <c r="Q599">
        <f t="shared" si="270"/>
        <v>8</v>
      </c>
      <c r="R599" t="str">
        <f t="shared" si="250"/>
        <v/>
      </c>
      <c r="S599" t="str">
        <f t="shared" si="251"/>
        <v/>
      </c>
      <c r="T599" t="str">
        <f t="shared" si="252"/>
        <v/>
      </c>
      <c r="U599">
        <f t="shared" si="253"/>
        <v>0</v>
      </c>
      <c r="V599">
        <f t="shared" si="271"/>
        <v>12</v>
      </c>
      <c r="W599" t="str">
        <f t="shared" si="254"/>
        <v/>
      </c>
      <c r="X599" t="str">
        <f t="shared" si="255"/>
        <v/>
      </c>
      <c r="Y599" t="str">
        <f t="shared" si="256"/>
        <v/>
      </c>
      <c r="Z599">
        <f t="shared" si="257"/>
        <v>0</v>
      </c>
      <c r="AA599">
        <f t="shared" si="272"/>
        <v>6</v>
      </c>
      <c r="AB599" t="str">
        <f t="shared" si="258"/>
        <v/>
      </c>
      <c r="AC599" t="str">
        <f t="shared" si="259"/>
        <v/>
      </c>
      <c r="AD599" t="str">
        <f t="shared" si="260"/>
        <v/>
      </c>
      <c r="AE599">
        <f t="shared" si="261"/>
        <v>0</v>
      </c>
      <c r="AF599">
        <f t="shared" si="273"/>
        <v>10</v>
      </c>
      <c r="AG599" t="str">
        <f t="shared" si="262"/>
        <v/>
      </c>
      <c r="AH599" t="str">
        <f t="shared" si="263"/>
        <v/>
      </c>
      <c r="AI599" t="str">
        <f t="shared" si="264"/>
        <v/>
      </c>
      <c r="AJ599">
        <f t="shared" si="265"/>
        <v>0</v>
      </c>
      <c r="AK599">
        <f t="shared" si="274"/>
        <v>4</v>
      </c>
      <c r="AL599" t="str">
        <f t="shared" si="266"/>
        <v/>
      </c>
      <c r="AM599" t="str">
        <f t="shared" si="267"/>
        <v/>
      </c>
      <c r="AN599" t="str">
        <f t="shared" si="268"/>
        <v/>
      </c>
      <c r="AO599">
        <f t="shared" si="269"/>
        <v>0</v>
      </c>
    </row>
    <row r="600" spans="1:41" x14ac:dyDescent="0.4">
      <c r="A600" t="str">
        <f>IF($CM$6=0,"",IF(INDEX('⑩ 원문 보관'!$A:$E,$CM$6+ROW()-9,COLUMN())="","",INDEX('⑩ 원문 보관'!$A:$E,$CM$6+ROW()-9,COLUMN())))</f>
        <v/>
      </c>
      <c r="B600" t="str">
        <f>IF($CM$6=0,"",IF(INDEX('⑩ 원문 보관'!$A:$E,$CM$6+ROW()-9,COLUMN())="","",INDEX('⑩ 원문 보관'!$A:$E,$CM$6+ROW()-9,COLUMN())))</f>
        <v/>
      </c>
      <c r="C600" t="str">
        <f>IF($CM$6=0,"",IF(INDEX('⑩ 원문 보관'!$A:$E,$CM$6+ROW()-9,COLUMN())="","",INDEX('⑩ 원문 보관'!$A:$E,$CM$6+ROW()-9,COLUMN())))</f>
        <v/>
      </c>
      <c r="D600" t="str">
        <f>IF($CM$6=0,"",IF(INDEX('⑩ 원문 보관'!$A:$E,$CM$6+ROW()-9,COLUMN())="","",INDEX('⑩ 원문 보관'!$A:$E,$CM$6+ROW()-9,COLUMN())))</f>
        <v/>
      </c>
      <c r="E600" t="str">
        <f>IF($CM$6=0,"",IF(INDEX('⑩ 원문 보관'!$A:$E,$CM$6+ROW()-9,COLUMN())="","",INDEX('⑩ 원문 보관'!$A:$E,$CM$6+ROW()-9,COLUMN())))</f>
        <v/>
      </c>
      <c r="Q600">
        <f t="shared" si="270"/>
        <v>8</v>
      </c>
      <c r="R600" t="str">
        <f t="shared" si="250"/>
        <v/>
      </c>
      <c r="S600" t="str">
        <f t="shared" si="251"/>
        <v/>
      </c>
      <c r="T600" t="str">
        <f t="shared" si="252"/>
        <v/>
      </c>
      <c r="U600">
        <f t="shared" si="253"/>
        <v>0</v>
      </c>
      <c r="V600">
        <f t="shared" si="271"/>
        <v>12</v>
      </c>
      <c r="W600" t="str">
        <f t="shared" si="254"/>
        <v/>
      </c>
      <c r="X600" t="str">
        <f t="shared" si="255"/>
        <v/>
      </c>
      <c r="Y600" t="str">
        <f t="shared" si="256"/>
        <v/>
      </c>
      <c r="Z600">
        <f t="shared" si="257"/>
        <v>0</v>
      </c>
      <c r="AA600">
        <f t="shared" si="272"/>
        <v>6</v>
      </c>
      <c r="AB600" t="str">
        <f t="shared" si="258"/>
        <v/>
      </c>
      <c r="AC600" t="str">
        <f t="shared" si="259"/>
        <v/>
      </c>
      <c r="AD600" t="str">
        <f t="shared" si="260"/>
        <v/>
      </c>
      <c r="AE600">
        <f t="shared" si="261"/>
        <v>0</v>
      </c>
      <c r="AF600">
        <f t="shared" si="273"/>
        <v>10</v>
      </c>
      <c r="AG600" t="str">
        <f t="shared" si="262"/>
        <v/>
      </c>
      <c r="AH600" t="str">
        <f t="shared" si="263"/>
        <v/>
      </c>
      <c r="AI600" t="str">
        <f t="shared" si="264"/>
        <v/>
      </c>
      <c r="AJ600">
        <f t="shared" si="265"/>
        <v>0</v>
      </c>
      <c r="AK600">
        <f t="shared" si="274"/>
        <v>4</v>
      </c>
      <c r="AL600" t="str">
        <f t="shared" si="266"/>
        <v/>
      </c>
      <c r="AM600" t="str">
        <f t="shared" si="267"/>
        <v/>
      </c>
      <c r="AN600" t="str">
        <f t="shared" si="268"/>
        <v/>
      </c>
      <c r="AO600">
        <f t="shared" si="269"/>
        <v>0</v>
      </c>
    </row>
    <row r="601" spans="1:41" x14ac:dyDescent="0.4">
      <c r="A601" t="str">
        <f>IF($CM$6=0,"",IF(INDEX('⑩ 원문 보관'!$A:$E,$CM$6+ROW()-9,COLUMN())="","",INDEX('⑩ 원문 보관'!$A:$E,$CM$6+ROW()-9,COLUMN())))</f>
        <v/>
      </c>
      <c r="B601" t="str">
        <f>IF($CM$6=0,"",IF(INDEX('⑩ 원문 보관'!$A:$E,$CM$6+ROW()-9,COLUMN())="","",INDEX('⑩ 원문 보관'!$A:$E,$CM$6+ROW()-9,COLUMN())))</f>
        <v/>
      </c>
      <c r="C601" t="str">
        <f>IF($CM$6=0,"",IF(INDEX('⑩ 원문 보관'!$A:$E,$CM$6+ROW()-9,COLUMN())="","",INDEX('⑩ 원문 보관'!$A:$E,$CM$6+ROW()-9,COLUMN())))</f>
        <v/>
      </c>
      <c r="D601" t="str">
        <f>IF($CM$6=0,"",IF(INDEX('⑩ 원문 보관'!$A:$E,$CM$6+ROW()-9,COLUMN())="","",INDEX('⑩ 원문 보관'!$A:$E,$CM$6+ROW()-9,COLUMN())))</f>
        <v/>
      </c>
      <c r="E601" t="str">
        <f>IF($CM$6=0,"",IF(INDEX('⑩ 원문 보관'!$A:$E,$CM$6+ROW()-9,COLUMN())="","",INDEX('⑩ 원문 보관'!$A:$E,$CM$6+ROW()-9,COLUMN())))</f>
        <v/>
      </c>
      <c r="Q601">
        <f t="shared" si="270"/>
        <v>8</v>
      </c>
      <c r="R601" t="str">
        <f t="shared" si="250"/>
        <v/>
      </c>
      <c r="S601" t="str">
        <f t="shared" si="251"/>
        <v/>
      </c>
      <c r="T601" t="str">
        <f t="shared" si="252"/>
        <v/>
      </c>
      <c r="U601">
        <f t="shared" si="253"/>
        <v>0</v>
      </c>
      <c r="V601">
        <f t="shared" si="271"/>
        <v>12</v>
      </c>
      <c r="W601" t="str">
        <f t="shared" si="254"/>
        <v/>
      </c>
      <c r="X601" t="str">
        <f t="shared" si="255"/>
        <v/>
      </c>
      <c r="Y601" t="str">
        <f t="shared" si="256"/>
        <v/>
      </c>
      <c r="Z601">
        <f t="shared" si="257"/>
        <v>0</v>
      </c>
      <c r="AA601">
        <f t="shared" si="272"/>
        <v>6</v>
      </c>
      <c r="AB601" t="str">
        <f t="shared" si="258"/>
        <v/>
      </c>
      <c r="AC601" t="str">
        <f t="shared" si="259"/>
        <v/>
      </c>
      <c r="AD601" t="str">
        <f t="shared" si="260"/>
        <v/>
      </c>
      <c r="AE601">
        <f t="shared" si="261"/>
        <v>0</v>
      </c>
      <c r="AF601">
        <f t="shared" si="273"/>
        <v>10</v>
      </c>
      <c r="AG601" t="str">
        <f t="shared" si="262"/>
        <v/>
      </c>
      <c r="AH601" t="str">
        <f t="shared" si="263"/>
        <v/>
      </c>
      <c r="AI601" t="str">
        <f t="shared" si="264"/>
        <v/>
      </c>
      <c r="AJ601">
        <f t="shared" si="265"/>
        <v>0</v>
      </c>
      <c r="AK601">
        <f t="shared" si="274"/>
        <v>4</v>
      </c>
      <c r="AL601" t="str">
        <f t="shared" si="266"/>
        <v/>
      </c>
      <c r="AM601" t="str">
        <f t="shared" si="267"/>
        <v/>
      </c>
      <c r="AN601" t="str">
        <f t="shared" si="268"/>
        <v/>
      </c>
      <c r="AO601">
        <f t="shared" si="269"/>
        <v>0</v>
      </c>
    </row>
    <row r="602" spans="1:41" x14ac:dyDescent="0.4">
      <c r="A602" t="str">
        <f>IF($CM$6=0,"",IF(INDEX('⑩ 원문 보관'!$A:$E,$CM$6+ROW()-9,COLUMN())="","",INDEX('⑩ 원문 보관'!$A:$E,$CM$6+ROW()-9,COLUMN())))</f>
        <v/>
      </c>
      <c r="B602" t="str">
        <f>IF($CM$6=0,"",IF(INDEX('⑩ 원문 보관'!$A:$E,$CM$6+ROW()-9,COLUMN())="","",INDEX('⑩ 원문 보관'!$A:$E,$CM$6+ROW()-9,COLUMN())))</f>
        <v/>
      </c>
      <c r="C602" t="str">
        <f>IF($CM$6=0,"",IF(INDEX('⑩ 원문 보관'!$A:$E,$CM$6+ROW()-9,COLUMN())="","",INDEX('⑩ 원문 보관'!$A:$E,$CM$6+ROW()-9,COLUMN())))</f>
        <v/>
      </c>
      <c r="D602" t="str">
        <f>IF($CM$6=0,"",IF(INDEX('⑩ 원문 보관'!$A:$E,$CM$6+ROW()-9,COLUMN())="","",INDEX('⑩ 원문 보관'!$A:$E,$CM$6+ROW()-9,COLUMN())))</f>
        <v/>
      </c>
      <c r="E602" t="str">
        <f>IF($CM$6=0,"",IF(INDEX('⑩ 원문 보관'!$A:$E,$CM$6+ROW()-9,COLUMN())="","",INDEX('⑩ 원문 보관'!$A:$E,$CM$6+ROW()-9,COLUMN())))</f>
        <v/>
      </c>
      <c r="Q602">
        <f t="shared" si="270"/>
        <v>8</v>
      </c>
      <c r="R602" t="str">
        <f t="shared" si="250"/>
        <v/>
      </c>
      <c r="S602" t="str">
        <f t="shared" si="251"/>
        <v/>
      </c>
      <c r="T602" t="str">
        <f t="shared" si="252"/>
        <v/>
      </c>
      <c r="U602">
        <f t="shared" si="253"/>
        <v>0</v>
      </c>
      <c r="V602">
        <f t="shared" si="271"/>
        <v>12</v>
      </c>
      <c r="W602" t="str">
        <f t="shared" si="254"/>
        <v/>
      </c>
      <c r="X602" t="str">
        <f t="shared" si="255"/>
        <v/>
      </c>
      <c r="Y602" t="str">
        <f t="shared" si="256"/>
        <v/>
      </c>
      <c r="Z602">
        <f t="shared" si="257"/>
        <v>0</v>
      </c>
      <c r="AA602">
        <f t="shared" si="272"/>
        <v>6</v>
      </c>
      <c r="AB602" t="str">
        <f t="shared" si="258"/>
        <v/>
      </c>
      <c r="AC602" t="str">
        <f t="shared" si="259"/>
        <v/>
      </c>
      <c r="AD602" t="str">
        <f t="shared" si="260"/>
        <v/>
      </c>
      <c r="AE602">
        <f t="shared" si="261"/>
        <v>0</v>
      </c>
      <c r="AF602">
        <f t="shared" si="273"/>
        <v>10</v>
      </c>
      <c r="AG602" t="str">
        <f t="shared" si="262"/>
        <v/>
      </c>
      <c r="AH602" t="str">
        <f t="shared" si="263"/>
        <v/>
      </c>
      <c r="AI602" t="str">
        <f t="shared" si="264"/>
        <v/>
      </c>
      <c r="AJ602">
        <f t="shared" si="265"/>
        <v>0</v>
      </c>
      <c r="AK602">
        <f t="shared" si="274"/>
        <v>4</v>
      </c>
      <c r="AL602" t="str">
        <f t="shared" si="266"/>
        <v/>
      </c>
      <c r="AM602" t="str">
        <f t="shared" si="267"/>
        <v/>
      </c>
      <c r="AN602" t="str">
        <f t="shared" si="268"/>
        <v/>
      </c>
      <c r="AO602">
        <f t="shared" si="269"/>
        <v>0</v>
      </c>
    </row>
    <row r="603" spans="1:41" x14ac:dyDescent="0.4">
      <c r="A603" t="str">
        <f>IF($CM$6=0,"",IF(INDEX('⑩ 원문 보관'!$A:$E,$CM$6+ROW()-9,COLUMN())="","",INDEX('⑩ 원문 보관'!$A:$E,$CM$6+ROW()-9,COLUMN())))</f>
        <v/>
      </c>
      <c r="B603" t="str">
        <f>IF($CM$6=0,"",IF(INDEX('⑩ 원문 보관'!$A:$E,$CM$6+ROW()-9,COLUMN())="","",INDEX('⑩ 원문 보관'!$A:$E,$CM$6+ROW()-9,COLUMN())))</f>
        <v/>
      </c>
      <c r="C603" t="str">
        <f>IF($CM$6=0,"",IF(INDEX('⑩ 원문 보관'!$A:$E,$CM$6+ROW()-9,COLUMN())="","",INDEX('⑩ 원문 보관'!$A:$E,$CM$6+ROW()-9,COLUMN())))</f>
        <v/>
      </c>
      <c r="D603" t="str">
        <f>IF($CM$6=0,"",IF(INDEX('⑩ 원문 보관'!$A:$E,$CM$6+ROW()-9,COLUMN())="","",INDEX('⑩ 원문 보관'!$A:$E,$CM$6+ROW()-9,COLUMN())))</f>
        <v/>
      </c>
      <c r="E603" t="str">
        <f>IF($CM$6=0,"",IF(INDEX('⑩ 원문 보관'!$A:$E,$CM$6+ROW()-9,COLUMN())="","",INDEX('⑩ 원문 보관'!$A:$E,$CM$6+ROW()-9,COLUMN())))</f>
        <v/>
      </c>
      <c r="Q603">
        <f t="shared" si="270"/>
        <v>8</v>
      </c>
      <c r="R603" t="str">
        <f t="shared" si="250"/>
        <v/>
      </c>
      <c r="S603" t="str">
        <f t="shared" si="251"/>
        <v/>
      </c>
      <c r="T603" t="str">
        <f t="shared" si="252"/>
        <v/>
      </c>
      <c r="U603">
        <f t="shared" si="253"/>
        <v>0</v>
      </c>
      <c r="V603">
        <f t="shared" si="271"/>
        <v>12</v>
      </c>
      <c r="W603" t="str">
        <f t="shared" si="254"/>
        <v/>
      </c>
      <c r="X603" t="str">
        <f t="shared" si="255"/>
        <v/>
      </c>
      <c r="Y603" t="str">
        <f t="shared" si="256"/>
        <v/>
      </c>
      <c r="Z603">
        <f t="shared" si="257"/>
        <v>0</v>
      </c>
      <c r="AA603">
        <f t="shared" si="272"/>
        <v>6</v>
      </c>
      <c r="AB603" t="str">
        <f t="shared" si="258"/>
        <v/>
      </c>
      <c r="AC603" t="str">
        <f t="shared" si="259"/>
        <v/>
      </c>
      <c r="AD603" t="str">
        <f t="shared" si="260"/>
        <v/>
      </c>
      <c r="AE603">
        <f t="shared" si="261"/>
        <v>0</v>
      </c>
      <c r="AF603">
        <f t="shared" si="273"/>
        <v>10</v>
      </c>
      <c r="AG603" t="str">
        <f t="shared" si="262"/>
        <v/>
      </c>
      <c r="AH603" t="str">
        <f t="shared" si="263"/>
        <v/>
      </c>
      <c r="AI603" t="str">
        <f t="shared" si="264"/>
        <v/>
      </c>
      <c r="AJ603">
        <f t="shared" si="265"/>
        <v>0</v>
      </c>
      <c r="AK603">
        <f t="shared" si="274"/>
        <v>4</v>
      </c>
      <c r="AL603" t="str">
        <f t="shared" si="266"/>
        <v/>
      </c>
      <c r="AM603" t="str">
        <f t="shared" si="267"/>
        <v/>
      </c>
      <c r="AN603" t="str">
        <f t="shared" si="268"/>
        <v/>
      </c>
      <c r="AO603">
        <f t="shared" si="269"/>
        <v>0</v>
      </c>
    </row>
    <row r="604" spans="1:41" x14ac:dyDescent="0.4">
      <c r="A604" t="str">
        <f>IF($CM$6=0,"",IF(INDEX('⑩ 원문 보관'!$A:$E,$CM$6+ROW()-9,COLUMN())="","",INDEX('⑩ 원문 보관'!$A:$E,$CM$6+ROW()-9,COLUMN())))</f>
        <v/>
      </c>
      <c r="B604" t="str">
        <f>IF($CM$6=0,"",IF(INDEX('⑩ 원문 보관'!$A:$E,$CM$6+ROW()-9,COLUMN())="","",INDEX('⑩ 원문 보관'!$A:$E,$CM$6+ROW()-9,COLUMN())))</f>
        <v/>
      </c>
      <c r="C604" t="str">
        <f>IF($CM$6=0,"",IF(INDEX('⑩ 원문 보관'!$A:$E,$CM$6+ROW()-9,COLUMN())="","",INDEX('⑩ 원문 보관'!$A:$E,$CM$6+ROW()-9,COLUMN())))</f>
        <v/>
      </c>
      <c r="D604" t="str">
        <f>IF($CM$6=0,"",IF(INDEX('⑩ 원문 보관'!$A:$E,$CM$6+ROW()-9,COLUMN())="","",INDEX('⑩ 원문 보관'!$A:$E,$CM$6+ROW()-9,COLUMN())))</f>
        <v/>
      </c>
      <c r="E604" t="str">
        <f>IF($CM$6=0,"",IF(INDEX('⑩ 원문 보관'!$A:$E,$CM$6+ROW()-9,COLUMN())="","",INDEX('⑩ 원문 보관'!$A:$E,$CM$6+ROW()-9,COLUMN())))</f>
        <v/>
      </c>
      <c r="Q604">
        <f t="shared" si="270"/>
        <v>8</v>
      </c>
      <c r="R604" t="str">
        <f t="shared" si="250"/>
        <v/>
      </c>
      <c r="S604" t="str">
        <f t="shared" si="251"/>
        <v/>
      </c>
      <c r="T604" t="str">
        <f t="shared" si="252"/>
        <v/>
      </c>
      <c r="U604">
        <f t="shared" si="253"/>
        <v>0</v>
      </c>
      <c r="V604">
        <f t="shared" si="271"/>
        <v>12</v>
      </c>
      <c r="W604" t="str">
        <f t="shared" si="254"/>
        <v/>
      </c>
      <c r="X604" t="str">
        <f t="shared" si="255"/>
        <v/>
      </c>
      <c r="Y604" t="str">
        <f t="shared" si="256"/>
        <v/>
      </c>
      <c r="Z604">
        <f t="shared" si="257"/>
        <v>0</v>
      </c>
      <c r="AA604">
        <f t="shared" si="272"/>
        <v>6</v>
      </c>
      <c r="AB604" t="str">
        <f t="shared" si="258"/>
        <v/>
      </c>
      <c r="AC604" t="str">
        <f t="shared" si="259"/>
        <v/>
      </c>
      <c r="AD604" t="str">
        <f t="shared" si="260"/>
        <v/>
      </c>
      <c r="AE604">
        <f t="shared" si="261"/>
        <v>0</v>
      </c>
      <c r="AF604">
        <f t="shared" si="273"/>
        <v>10</v>
      </c>
      <c r="AG604" t="str">
        <f t="shared" si="262"/>
        <v/>
      </c>
      <c r="AH604" t="str">
        <f t="shared" si="263"/>
        <v/>
      </c>
      <c r="AI604" t="str">
        <f t="shared" si="264"/>
        <v/>
      </c>
      <c r="AJ604">
        <f t="shared" si="265"/>
        <v>0</v>
      </c>
      <c r="AK604">
        <f t="shared" si="274"/>
        <v>4</v>
      </c>
      <c r="AL604" t="str">
        <f t="shared" si="266"/>
        <v/>
      </c>
      <c r="AM604" t="str">
        <f t="shared" si="267"/>
        <v/>
      </c>
      <c r="AN604" t="str">
        <f t="shared" si="268"/>
        <v/>
      </c>
      <c r="AO604">
        <f t="shared" si="269"/>
        <v>0</v>
      </c>
    </row>
    <row r="605" spans="1:41" x14ac:dyDescent="0.4">
      <c r="A605" t="str">
        <f>IF($CM$6=0,"",IF(INDEX('⑩ 원문 보관'!$A:$E,$CM$6+ROW()-9,COLUMN())="","",INDEX('⑩ 원문 보관'!$A:$E,$CM$6+ROW()-9,COLUMN())))</f>
        <v/>
      </c>
      <c r="B605" t="str">
        <f>IF($CM$6=0,"",IF(INDEX('⑩ 원문 보관'!$A:$E,$CM$6+ROW()-9,COLUMN())="","",INDEX('⑩ 원문 보관'!$A:$E,$CM$6+ROW()-9,COLUMN())))</f>
        <v/>
      </c>
      <c r="C605" t="str">
        <f>IF($CM$6=0,"",IF(INDEX('⑩ 원문 보관'!$A:$E,$CM$6+ROW()-9,COLUMN())="","",INDEX('⑩ 원문 보관'!$A:$E,$CM$6+ROW()-9,COLUMN())))</f>
        <v/>
      </c>
      <c r="D605" t="str">
        <f>IF($CM$6=0,"",IF(INDEX('⑩ 원문 보관'!$A:$E,$CM$6+ROW()-9,COLUMN())="","",INDEX('⑩ 원문 보관'!$A:$E,$CM$6+ROW()-9,COLUMN())))</f>
        <v/>
      </c>
      <c r="E605" t="str">
        <f>IF($CM$6=0,"",IF(INDEX('⑩ 원문 보관'!$A:$E,$CM$6+ROW()-9,COLUMN())="","",INDEX('⑩ 원문 보관'!$A:$E,$CM$6+ROW()-9,COLUMN())))</f>
        <v/>
      </c>
      <c r="Q605">
        <f t="shared" si="270"/>
        <v>8</v>
      </c>
      <c r="R605" t="str">
        <f t="shared" si="250"/>
        <v/>
      </c>
      <c r="S605" t="str">
        <f t="shared" si="251"/>
        <v/>
      </c>
      <c r="T605" t="str">
        <f t="shared" si="252"/>
        <v/>
      </c>
      <c r="U605">
        <f t="shared" si="253"/>
        <v>0</v>
      </c>
      <c r="V605">
        <f t="shared" si="271"/>
        <v>12</v>
      </c>
      <c r="W605" t="str">
        <f t="shared" si="254"/>
        <v/>
      </c>
      <c r="X605" t="str">
        <f t="shared" si="255"/>
        <v/>
      </c>
      <c r="Y605" t="str">
        <f t="shared" si="256"/>
        <v/>
      </c>
      <c r="Z605">
        <f t="shared" si="257"/>
        <v>0</v>
      </c>
      <c r="AA605">
        <f t="shared" si="272"/>
        <v>6</v>
      </c>
      <c r="AB605" t="str">
        <f t="shared" si="258"/>
        <v/>
      </c>
      <c r="AC605" t="str">
        <f t="shared" si="259"/>
        <v/>
      </c>
      <c r="AD605" t="str">
        <f t="shared" si="260"/>
        <v/>
      </c>
      <c r="AE605">
        <f t="shared" si="261"/>
        <v>0</v>
      </c>
      <c r="AF605">
        <f t="shared" si="273"/>
        <v>10</v>
      </c>
      <c r="AG605" t="str">
        <f t="shared" si="262"/>
        <v/>
      </c>
      <c r="AH605" t="str">
        <f t="shared" si="263"/>
        <v/>
      </c>
      <c r="AI605" t="str">
        <f t="shared" si="264"/>
        <v/>
      </c>
      <c r="AJ605">
        <f t="shared" si="265"/>
        <v>0</v>
      </c>
      <c r="AK605">
        <f t="shared" si="274"/>
        <v>4</v>
      </c>
      <c r="AL605" t="str">
        <f t="shared" si="266"/>
        <v/>
      </c>
      <c r="AM605" t="str">
        <f t="shared" si="267"/>
        <v/>
      </c>
      <c r="AN605" t="str">
        <f t="shared" si="268"/>
        <v/>
      </c>
      <c r="AO605">
        <f t="shared" si="269"/>
        <v>0</v>
      </c>
    </row>
    <row r="606" spans="1:41" x14ac:dyDescent="0.4">
      <c r="A606" t="str">
        <f>IF($CM$6=0,"",IF(INDEX('⑩ 원문 보관'!$A:$E,$CM$6+ROW()-9,COLUMN())="","",INDEX('⑩ 원문 보관'!$A:$E,$CM$6+ROW()-9,COLUMN())))</f>
        <v/>
      </c>
      <c r="B606" t="str">
        <f>IF($CM$6=0,"",IF(INDEX('⑩ 원문 보관'!$A:$E,$CM$6+ROW()-9,COLUMN())="","",INDEX('⑩ 원문 보관'!$A:$E,$CM$6+ROW()-9,COLUMN())))</f>
        <v/>
      </c>
      <c r="C606" t="str">
        <f>IF($CM$6=0,"",IF(INDEX('⑩ 원문 보관'!$A:$E,$CM$6+ROW()-9,COLUMN())="","",INDEX('⑩ 원문 보관'!$A:$E,$CM$6+ROW()-9,COLUMN())))</f>
        <v/>
      </c>
      <c r="D606" t="str">
        <f>IF($CM$6=0,"",IF(INDEX('⑩ 원문 보관'!$A:$E,$CM$6+ROW()-9,COLUMN())="","",INDEX('⑩ 원문 보관'!$A:$E,$CM$6+ROW()-9,COLUMN())))</f>
        <v/>
      </c>
      <c r="E606" t="str">
        <f>IF($CM$6=0,"",IF(INDEX('⑩ 원문 보관'!$A:$E,$CM$6+ROW()-9,COLUMN())="","",INDEX('⑩ 원문 보관'!$A:$E,$CM$6+ROW()-9,COLUMN())))</f>
        <v/>
      </c>
      <c r="Q606">
        <f t="shared" si="270"/>
        <v>8</v>
      </c>
      <c r="R606" t="str">
        <f t="shared" si="250"/>
        <v/>
      </c>
      <c r="S606" t="str">
        <f t="shared" si="251"/>
        <v/>
      </c>
      <c r="T606" t="str">
        <f t="shared" si="252"/>
        <v/>
      </c>
      <c r="U606">
        <f t="shared" si="253"/>
        <v>0</v>
      </c>
      <c r="V606">
        <f t="shared" si="271"/>
        <v>12</v>
      </c>
      <c r="W606" t="str">
        <f t="shared" si="254"/>
        <v/>
      </c>
      <c r="X606" t="str">
        <f t="shared" si="255"/>
        <v/>
      </c>
      <c r="Y606" t="str">
        <f t="shared" si="256"/>
        <v/>
      </c>
      <c r="Z606">
        <f t="shared" si="257"/>
        <v>0</v>
      </c>
      <c r="AA606">
        <f t="shared" si="272"/>
        <v>6</v>
      </c>
      <c r="AB606" t="str">
        <f t="shared" si="258"/>
        <v/>
      </c>
      <c r="AC606" t="str">
        <f t="shared" si="259"/>
        <v/>
      </c>
      <c r="AD606" t="str">
        <f t="shared" si="260"/>
        <v/>
      </c>
      <c r="AE606">
        <f t="shared" si="261"/>
        <v>0</v>
      </c>
      <c r="AF606">
        <f t="shared" si="273"/>
        <v>10</v>
      </c>
      <c r="AG606" t="str">
        <f t="shared" si="262"/>
        <v/>
      </c>
      <c r="AH606" t="str">
        <f t="shared" si="263"/>
        <v/>
      </c>
      <c r="AI606" t="str">
        <f t="shared" si="264"/>
        <v/>
      </c>
      <c r="AJ606">
        <f t="shared" si="265"/>
        <v>0</v>
      </c>
      <c r="AK606">
        <f t="shared" si="274"/>
        <v>4</v>
      </c>
      <c r="AL606" t="str">
        <f t="shared" si="266"/>
        <v/>
      </c>
      <c r="AM606" t="str">
        <f t="shared" si="267"/>
        <v/>
      </c>
      <c r="AN606" t="str">
        <f t="shared" si="268"/>
        <v/>
      </c>
      <c r="AO606">
        <f t="shared" si="269"/>
        <v>0</v>
      </c>
    </row>
    <row r="607" spans="1:41" x14ac:dyDescent="0.4">
      <c r="A607" t="str">
        <f>IF($CM$6=0,"",IF(INDEX('⑩ 원문 보관'!$A:$E,$CM$6+ROW()-9,COLUMN())="","",INDEX('⑩ 원문 보관'!$A:$E,$CM$6+ROW()-9,COLUMN())))</f>
        <v/>
      </c>
      <c r="B607" t="str">
        <f>IF($CM$6=0,"",IF(INDEX('⑩ 원문 보관'!$A:$E,$CM$6+ROW()-9,COLUMN())="","",INDEX('⑩ 원문 보관'!$A:$E,$CM$6+ROW()-9,COLUMN())))</f>
        <v/>
      </c>
      <c r="C607" t="str">
        <f>IF($CM$6=0,"",IF(INDEX('⑩ 원문 보관'!$A:$E,$CM$6+ROW()-9,COLUMN())="","",INDEX('⑩ 원문 보관'!$A:$E,$CM$6+ROW()-9,COLUMN())))</f>
        <v/>
      </c>
      <c r="D607" t="str">
        <f>IF($CM$6=0,"",IF(INDEX('⑩ 원문 보관'!$A:$E,$CM$6+ROW()-9,COLUMN())="","",INDEX('⑩ 원문 보관'!$A:$E,$CM$6+ROW()-9,COLUMN())))</f>
        <v/>
      </c>
      <c r="E607" t="str">
        <f>IF($CM$6=0,"",IF(INDEX('⑩ 원문 보관'!$A:$E,$CM$6+ROW()-9,COLUMN())="","",INDEX('⑩ 원문 보관'!$A:$E,$CM$6+ROW()-9,COLUMN())))</f>
        <v/>
      </c>
      <c r="Q607">
        <f t="shared" si="270"/>
        <v>8</v>
      </c>
      <c r="R607" t="str">
        <f t="shared" si="250"/>
        <v/>
      </c>
      <c r="S607" t="str">
        <f t="shared" si="251"/>
        <v/>
      </c>
      <c r="T607" t="str">
        <f t="shared" si="252"/>
        <v/>
      </c>
      <c r="U607">
        <f t="shared" si="253"/>
        <v>0</v>
      </c>
      <c r="V607">
        <f t="shared" si="271"/>
        <v>12</v>
      </c>
      <c r="W607" t="str">
        <f t="shared" si="254"/>
        <v/>
      </c>
      <c r="X607" t="str">
        <f t="shared" si="255"/>
        <v/>
      </c>
      <c r="Y607" t="str">
        <f t="shared" si="256"/>
        <v/>
      </c>
      <c r="Z607">
        <f t="shared" si="257"/>
        <v>0</v>
      </c>
      <c r="AA607">
        <f t="shared" si="272"/>
        <v>6</v>
      </c>
      <c r="AB607" t="str">
        <f t="shared" si="258"/>
        <v/>
      </c>
      <c r="AC607" t="str">
        <f t="shared" si="259"/>
        <v/>
      </c>
      <c r="AD607" t="str">
        <f t="shared" si="260"/>
        <v/>
      </c>
      <c r="AE607">
        <f t="shared" si="261"/>
        <v>0</v>
      </c>
      <c r="AF607">
        <f t="shared" si="273"/>
        <v>10</v>
      </c>
      <c r="AG607" t="str">
        <f t="shared" si="262"/>
        <v/>
      </c>
      <c r="AH607" t="str">
        <f t="shared" si="263"/>
        <v/>
      </c>
      <c r="AI607" t="str">
        <f t="shared" si="264"/>
        <v/>
      </c>
      <c r="AJ607">
        <f t="shared" si="265"/>
        <v>0</v>
      </c>
      <c r="AK607">
        <f t="shared" si="274"/>
        <v>4</v>
      </c>
      <c r="AL607" t="str">
        <f t="shared" si="266"/>
        <v/>
      </c>
      <c r="AM607" t="str">
        <f t="shared" si="267"/>
        <v/>
      </c>
      <c r="AN607" t="str">
        <f t="shared" si="268"/>
        <v/>
      </c>
      <c r="AO607">
        <f t="shared" si="269"/>
        <v>0</v>
      </c>
    </row>
    <row r="608" spans="1:41" x14ac:dyDescent="0.4">
      <c r="A608" t="str">
        <f>IF($CM$6=0,"",IF(INDEX('⑩ 원문 보관'!$A:$E,$CM$6+ROW()-9,COLUMN())="","",INDEX('⑩ 원문 보관'!$A:$E,$CM$6+ROW()-9,COLUMN())))</f>
        <v/>
      </c>
      <c r="B608" t="str">
        <f>IF($CM$6=0,"",IF(INDEX('⑩ 원문 보관'!$A:$E,$CM$6+ROW()-9,COLUMN())="","",INDEX('⑩ 원문 보관'!$A:$E,$CM$6+ROW()-9,COLUMN())))</f>
        <v/>
      </c>
      <c r="C608" t="str">
        <f>IF($CM$6=0,"",IF(INDEX('⑩ 원문 보관'!$A:$E,$CM$6+ROW()-9,COLUMN())="","",INDEX('⑩ 원문 보관'!$A:$E,$CM$6+ROW()-9,COLUMN())))</f>
        <v/>
      </c>
      <c r="D608" t="str">
        <f>IF($CM$6=0,"",IF(INDEX('⑩ 원문 보관'!$A:$E,$CM$6+ROW()-9,COLUMN())="","",INDEX('⑩ 원문 보관'!$A:$E,$CM$6+ROW()-9,COLUMN())))</f>
        <v/>
      </c>
      <c r="E608" t="str">
        <f>IF($CM$6=0,"",IF(INDEX('⑩ 원문 보관'!$A:$E,$CM$6+ROW()-9,COLUMN())="","",INDEX('⑩ 원문 보관'!$A:$E,$CM$6+ROW()-9,COLUMN())))</f>
        <v/>
      </c>
      <c r="Q608">
        <f t="shared" si="270"/>
        <v>8</v>
      </c>
      <c r="R608" t="str">
        <f t="shared" si="250"/>
        <v/>
      </c>
      <c r="S608" t="str">
        <f t="shared" si="251"/>
        <v/>
      </c>
      <c r="T608" t="str">
        <f t="shared" si="252"/>
        <v/>
      </c>
      <c r="U608">
        <f t="shared" si="253"/>
        <v>0</v>
      </c>
      <c r="V608">
        <f t="shared" si="271"/>
        <v>12</v>
      </c>
      <c r="W608" t="str">
        <f t="shared" si="254"/>
        <v/>
      </c>
      <c r="X608" t="str">
        <f t="shared" si="255"/>
        <v/>
      </c>
      <c r="Y608" t="str">
        <f t="shared" si="256"/>
        <v/>
      </c>
      <c r="Z608">
        <f t="shared" si="257"/>
        <v>0</v>
      </c>
      <c r="AA608">
        <f t="shared" si="272"/>
        <v>6</v>
      </c>
      <c r="AB608" t="str">
        <f t="shared" si="258"/>
        <v/>
      </c>
      <c r="AC608" t="str">
        <f t="shared" si="259"/>
        <v/>
      </c>
      <c r="AD608" t="str">
        <f t="shared" si="260"/>
        <v/>
      </c>
      <c r="AE608">
        <f t="shared" si="261"/>
        <v>0</v>
      </c>
      <c r="AF608">
        <f t="shared" si="273"/>
        <v>10</v>
      </c>
      <c r="AG608" t="str">
        <f t="shared" si="262"/>
        <v/>
      </c>
      <c r="AH608" t="str">
        <f t="shared" si="263"/>
        <v/>
      </c>
      <c r="AI608" t="str">
        <f t="shared" si="264"/>
        <v/>
      </c>
      <c r="AJ608">
        <f t="shared" si="265"/>
        <v>0</v>
      </c>
      <c r="AK608">
        <f t="shared" si="274"/>
        <v>4</v>
      </c>
      <c r="AL608" t="str">
        <f t="shared" si="266"/>
        <v/>
      </c>
      <c r="AM608" t="str">
        <f t="shared" si="267"/>
        <v/>
      </c>
      <c r="AN608" t="str">
        <f t="shared" si="268"/>
        <v/>
      </c>
      <c r="AO608">
        <f t="shared" si="269"/>
        <v>0</v>
      </c>
    </row>
    <row r="609" spans="1:41" x14ac:dyDescent="0.4">
      <c r="A609" t="str">
        <f>IF($CM$6=0,"",IF(INDEX('⑩ 원문 보관'!$A:$E,$CM$6+ROW()-9,COLUMN())="","",INDEX('⑩ 원문 보관'!$A:$E,$CM$6+ROW()-9,COLUMN())))</f>
        <v/>
      </c>
      <c r="B609" t="str">
        <f>IF($CM$6=0,"",IF(INDEX('⑩ 원문 보관'!$A:$E,$CM$6+ROW()-9,COLUMN())="","",INDEX('⑩ 원문 보관'!$A:$E,$CM$6+ROW()-9,COLUMN())))</f>
        <v/>
      </c>
      <c r="C609" t="str">
        <f>IF($CM$6=0,"",IF(INDEX('⑩ 원문 보관'!$A:$E,$CM$6+ROW()-9,COLUMN())="","",INDEX('⑩ 원문 보관'!$A:$E,$CM$6+ROW()-9,COLUMN())))</f>
        <v/>
      </c>
      <c r="D609" t="str">
        <f>IF($CM$6=0,"",IF(INDEX('⑩ 원문 보관'!$A:$E,$CM$6+ROW()-9,COLUMN())="","",INDEX('⑩ 원문 보관'!$A:$E,$CM$6+ROW()-9,COLUMN())))</f>
        <v/>
      </c>
      <c r="E609" t="str">
        <f>IF($CM$6=0,"",IF(INDEX('⑩ 원문 보관'!$A:$E,$CM$6+ROW()-9,COLUMN())="","",INDEX('⑩ 원문 보관'!$A:$E,$CM$6+ROW()-9,COLUMN())))</f>
        <v/>
      </c>
      <c r="Q609">
        <f t="shared" si="270"/>
        <v>8</v>
      </c>
      <c r="R609" t="str">
        <f t="shared" si="250"/>
        <v/>
      </c>
      <c r="S609" t="str">
        <f t="shared" si="251"/>
        <v/>
      </c>
      <c r="T609" t="str">
        <f t="shared" si="252"/>
        <v/>
      </c>
      <c r="U609">
        <f t="shared" si="253"/>
        <v>0</v>
      </c>
      <c r="V609">
        <f t="shared" si="271"/>
        <v>12</v>
      </c>
      <c r="W609" t="str">
        <f t="shared" si="254"/>
        <v/>
      </c>
      <c r="X609" t="str">
        <f t="shared" si="255"/>
        <v/>
      </c>
      <c r="Y609" t="str">
        <f t="shared" si="256"/>
        <v/>
      </c>
      <c r="Z609">
        <f t="shared" si="257"/>
        <v>0</v>
      </c>
      <c r="AA609">
        <f t="shared" si="272"/>
        <v>6</v>
      </c>
      <c r="AB609" t="str">
        <f t="shared" si="258"/>
        <v/>
      </c>
      <c r="AC609" t="str">
        <f t="shared" si="259"/>
        <v/>
      </c>
      <c r="AD609" t="str">
        <f t="shared" si="260"/>
        <v/>
      </c>
      <c r="AE609">
        <f t="shared" si="261"/>
        <v>0</v>
      </c>
      <c r="AF609">
        <f t="shared" si="273"/>
        <v>10</v>
      </c>
      <c r="AG609" t="str">
        <f t="shared" si="262"/>
        <v/>
      </c>
      <c r="AH609" t="str">
        <f t="shared" si="263"/>
        <v/>
      </c>
      <c r="AI609" t="str">
        <f t="shared" si="264"/>
        <v/>
      </c>
      <c r="AJ609">
        <f t="shared" si="265"/>
        <v>0</v>
      </c>
      <c r="AK609">
        <f t="shared" si="274"/>
        <v>4</v>
      </c>
      <c r="AL609" t="str">
        <f t="shared" si="266"/>
        <v/>
      </c>
      <c r="AM609" t="str">
        <f t="shared" si="267"/>
        <v/>
      </c>
      <c r="AN609" t="str">
        <f t="shared" si="268"/>
        <v/>
      </c>
      <c r="AO609">
        <f t="shared" si="269"/>
        <v>0</v>
      </c>
    </row>
    <row r="610" spans="1:41" x14ac:dyDescent="0.4">
      <c r="A610" t="str">
        <f>IF($CM$6=0,"",IF(INDEX('⑩ 원문 보관'!$A:$E,$CM$6+ROW()-9,COLUMN())="","",INDEX('⑩ 원문 보관'!$A:$E,$CM$6+ROW()-9,COLUMN())))</f>
        <v/>
      </c>
      <c r="B610" t="str">
        <f>IF($CM$6=0,"",IF(INDEX('⑩ 원문 보관'!$A:$E,$CM$6+ROW()-9,COLUMN())="","",INDEX('⑩ 원문 보관'!$A:$E,$CM$6+ROW()-9,COLUMN())))</f>
        <v/>
      </c>
      <c r="C610" t="str">
        <f>IF($CM$6=0,"",IF(INDEX('⑩ 원문 보관'!$A:$E,$CM$6+ROW()-9,COLUMN())="","",INDEX('⑩ 원문 보관'!$A:$E,$CM$6+ROW()-9,COLUMN())))</f>
        <v/>
      </c>
      <c r="D610" t="str">
        <f>IF($CM$6=0,"",IF(INDEX('⑩ 원문 보관'!$A:$E,$CM$6+ROW()-9,COLUMN())="","",INDEX('⑩ 원문 보관'!$A:$E,$CM$6+ROW()-9,COLUMN())))</f>
        <v/>
      </c>
      <c r="E610" t="str">
        <f>IF($CM$6=0,"",IF(INDEX('⑩ 원문 보관'!$A:$E,$CM$6+ROW()-9,COLUMN())="","",INDEX('⑩ 원문 보관'!$A:$E,$CM$6+ROW()-9,COLUMN())))</f>
        <v/>
      </c>
      <c r="Q610">
        <f t="shared" si="270"/>
        <v>8</v>
      </c>
      <c r="R610" t="str">
        <f t="shared" si="250"/>
        <v/>
      </c>
      <c r="S610" t="str">
        <f t="shared" si="251"/>
        <v/>
      </c>
      <c r="T610" t="str">
        <f t="shared" si="252"/>
        <v/>
      </c>
      <c r="U610">
        <f t="shared" si="253"/>
        <v>0</v>
      </c>
      <c r="V610">
        <f t="shared" si="271"/>
        <v>12</v>
      </c>
      <c r="W610" t="str">
        <f t="shared" si="254"/>
        <v/>
      </c>
      <c r="X610" t="str">
        <f t="shared" si="255"/>
        <v/>
      </c>
      <c r="Y610" t="str">
        <f t="shared" si="256"/>
        <v/>
      </c>
      <c r="Z610">
        <f t="shared" si="257"/>
        <v>0</v>
      </c>
      <c r="AA610">
        <f t="shared" si="272"/>
        <v>6</v>
      </c>
      <c r="AB610" t="str">
        <f t="shared" si="258"/>
        <v/>
      </c>
      <c r="AC610" t="str">
        <f t="shared" si="259"/>
        <v/>
      </c>
      <c r="AD610" t="str">
        <f t="shared" si="260"/>
        <v/>
      </c>
      <c r="AE610">
        <f t="shared" si="261"/>
        <v>0</v>
      </c>
      <c r="AF610">
        <f t="shared" si="273"/>
        <v>10</v>
      </c>
      <c r="AG610" t="str">
        <f t="shared" si="262"/>
        <v/>
      </c>
      <c r="AH610" t="str">
        <f t="shared" si="263"/>
        <v/>
      </c>
      <c r="AI610" t="str">
        <f t="shared" si="264"/>
        <v/>
      </c>
      <c r="AJ610">
        <f t="shared" si="265"/>
        <v>0</v>
      </c>
      <c r="AK610">
        <f t="shared" si="274"/>
        <v>4</v>
      </c>
      <c r="AL610" t="str">
        <f t="shared" si="266"/>
        <v/>
      </c>
      <c r="AM610" t="str">
        <f t="shared" si="267"/>
        <v/>
      </c>
      <c r="AN610" t="str">
        <f t="shared" si="268"/>
        <v/>
      </c>
      <c r="AO610">
        <f t="shared" si="269"/>
        <v>0</v>
      </c>
    </row>
    <row r="611" spans="1:41" x14ac:dyDescent="0.4">
      <c r="A611" t="str">
        <f>IF($CM$6=0,"",IF(INDEX('⑩ 원문 보관'!$A:$E,$CM$6+ROW()-9,COLUMN())="","",INDEX('⑩ 원문 보관'!$A:$E,$CM$6+ROW()-9,COLUMN())))</f>
        <v/>
      </c>
      <c r="B611" t="str">
        <f>IF($CM$6=0,"",IF(INDEX('⑩ 원문 보관'!$A:$E,$CM$6+ROW()-9,COLUMN())="","",INDEX('⑩ 원문 보관'!$A:$E,$CM$6+ROW()-9,COLUMN())))</f>
        <v/>
      </c>
      <c r="C611" t="str">
        <f>IF($CM$6=0,"",IF(INDEX('⑩ 원문 보관'!$A:$E,$CM$6+ROW()-9,COLUMN())="","",INDEX('⑩ 원문 보관'!$A:$E,$CM$6+ROW()-9,COLUMN())))</f>
        <v/>
      </c>
      <c r="D611" t="str">
        <f>IF($CM$6=0,"",IF(INDEX('⑩ 원문 보관'!$A:$E,$CM$6+ROW()-9,COLUMN())="","",INDEX('⑩ 원문 보관'!$A:$E,$CM$6+ROW()-9,COLUMN())))</f>
        <v/>
      </c>
      <c r="E611" t="str">
        <f>IF($CM$6=0,"",IF(INDEX('⑩ 원문 보관'!$A:$E,$CM$6+ROW()-9,COLUMN())="","",INDEX('⑩ 원문 보관'!$A:$E,$CM$6+ROW()-9,COLUMN())))</f>
        <v/>
      </c>
      <c r="Q611">
        <f t="shared" si="270"/>
        <v>8</v>
      </c>
      <c r="R611" t="str">
        <f t="shared" si="250"/>
        <v/>
      </c>
      <c r="S611" t="str">
        <f t="shared" si="251"/>
        <v/>
      </c>
      <c r="T611" t="str">
        <f t="shared" si="252"/>
        <v/>
      </c>
      <c r="U611">
        <f t="shared" si="253"/>
        <v>0</v>
      </c>
      <c r="V611">
        <f t="shared" si="271"/>
        <v>12</v>
      </c>
      <c r="W611" t="str">
        <f t="shared" si="254"/>
        <v/>
      </c>
      <c r="X611" t="str">
        <f t="shared" si="255"/>
        <v/>
      </c>
      <c r="Y611" t="str">
        <f t="shared" si="256"/>
        <v/>
      </c>
      <c r="Z611">
        <f t="shared" si="257"/>
        <v>0</v>
      </c>
      <c r="AA611">
        <f t="shared" si="272"/>
        <v>6</v>
      </c>
      <c r="AB611" t="str">
        <f t="shared" si="258"/>
        <v/>
      </c>
      <c r="AC611" t="str">
        <f t="shared" si="259"/>
        <v/>
      </c>
      <c r="AD611" t="str">
        <f t="shared" si="260"/>
        <v/>
      </c>
      <c r="AE611">
        <f t="shared" si="261"/>
        <v>0</v>
      </c>
      <c r="AF611">
        <f t="shared" si="273"/>
        <v>10</v>
      </c>
      <c r="AG611" t="str">
        <f t="shared" si="262"/>
        <v/>
      </c>
      <c r="AH611" t="str">
        <f t="shared" si="263"/>
        <v/>
      </c>
      <c r="AI611" t="str">
        <f t="shared" si="264"/>
        <v/>
      </c>
      <c r="AJ611">
        <f t="shared" si="265"/>
        <v>0</v>
      </c>
      <c r="AK611">
        <f t="shared" si="274"/>
        <v>4</v>
      </c>
      <c r="AL611" t="str">
        <f t="shared" si="266"/>
        <v/>
      </c>
      <c r="AM611" t="str">
        <f t="shared" si="267"/>
        <v/>
      </c>
      <c r="AN611" t="str">
        <f t="shared" si="268"/>
        <v/>
      </c>
      <c r="AO611">
        <f t="shared" si="269"/>
        <v>0</v>
      </c>
    </row>
    <row r="612" spans="1:41" x14ac:dyDescent="0.4">
      <c r="A612" t="str">
        <f>IF($CM$6=0,"",IF(INDEX('⑩ 원문 보관'!$A:$E,$CM$6+ROW()-9,COLUMN())="","",INDEX('⑩ 원문 보관'!$A:$E,$CM$6+ROW()-9,COLUMN())))</f>
        <v/>
      </c>
      <c r="B612" t="str">
        <f>IF($CM$6=0,"",IF(INDEX('⑩ 원문 보관'!$A:$E,$CM$6+ROW()-9,COLUMN())="","",INDEX('⑩ 원문 보관'!$A:$E,$CM$6+ROW()-9,COLUMN())))</f>
        <v/>
      </c>
      <c r="C612" t="str">
        <f>IF($CM$6=0,"",IF(INDEX('⑩ 원문 보관'!$A:$E,$CM$6+ROW()-9,COLUMN())="","",INDEX('⑩ 원문 보관'!$A:$E,$CM$6+ROW()-9,COLUMN())))</f>
        <v/>
      </c>
      <c r="D612" t="str">
        <f>IF($CM$6=0,"",IF(INDEX('⑩ 원문 보관'!$A:$E,$CM$6+ROW()-9,COLUMN())="","",INDEX('⑩ 원문 보관'!$A:$E,$CM$6+ROW()-9,COLUMN())))</f>
        <v/>
      </c>
      <c r="E612" t="str">
        <f>IF($CM$6=0,"",IF(INDEX('⑩ 원문 보관'!$A:$E,$CM$6+ROW()-9,COLUMN())="","",INDEX('⑩ 원문 보관'!$A:$E,$CM$6+ROW()-9,COLUMN())))</f>
        <v/>
      </c>
      <c r="Q612">
        <f t="shared" si="270"/>
        <v>8</v>
      </c>
      <c r="R612" t="str">
        <f t="shared" si="250"/>
        <v/>
      </c>
      <c r="S612" t="str">
        <f t="shared" si="251"/>
        <v/>
      </c>
      <c r="T612" t="str">
        <f t="shared" si="252"/>
        <v/>
      </c>
      <c r="U612">
        <f t="shared" si="253"/>
        <v>0</v>
      </c>
      <c r="V612">
        <f t="shared" si="271"/>
        <v>12</v>
      </c>
      <c r="W612" t="str">
        <f t="shared" si="254"/>
        <v/>
      </c>
      <c r="X612" t="str">
        <f t="shared" si="255"/>
        <v/>
      </c>
      <c r="Y612" t="str">
        <f t="shared" si="256"/>
        <v/>
      </c>
      <c r="Z612">
        <f t="shared" si="257"/>
        <v>0</v>
      </c>
      <c r="AA612">
        <f t="shared" si="272"/>
        <v>6</v>
      </c>
      <c r="AB612" t="str">
        <f t="shared" si="258"/>
        <v/>
      </c>
      <c r="AC612" t="str">
        <f t="shared" si="259"/>
        <v/>
      </c>
      <c r="AD612" t="str">
        <f t="shared" si="260"/>
        <v/>
      </c>
      <c r="AE612">
        <f t="shared" si="261"/>
        <v>0</v>
      </c>
      <c r="AF612">
        <f t="shared" si="273"/>
        <v>10</v>
      </c>
      <c r="AG612" t="str">
        <f t="shared" si="262"/>
        <v/>
      </c>
      <c r="AH612" t="str">
        <f t="shared" si="263"/>
        <v/>
      </c>
      <c r="AI612" t="str">
        <f t="shared" si="264"/>
        <v/>
      </c>
      <c r="AJ612">
        <f t="shared" si="265"/>
        <v>0</v>
      </c>
      <c r="AK612">
        <f t="shared" si="274"/>
        <v>4</v>
      </c>
      <c r="AL612" t="str">
        <f t="shared" si="266"/>
        <v/>
      </c>
      <c r="AM612" t="str">
        <f t="shared" si="267"/>
        <v/>
      </c>
      <c r="AN612" t="str">
        <f t="shared" si="268"/>
        <v/>
      </c>
      <c r="AO612">
        <f t="shared" si="269"/>
        <v>0</v>
      </c>
    </row>
    <row r="613" spans="1:41" x14ac:dyDescent="0.4">
      <c r="A613" t="str">
        <f>IF($CM$6=0,"",IF(INDEX('⑩ 원문 보관'!$A:$E,$CM$6+ROW()-9,COLUMN())="","",INDEX('⑩ 원문 보관'!$A:$E,$CM$6+ROW()-9,COLUMN())))</f>
        <v/>
      </c>
      <c r="B613" t="str">
        <f>IF($CM$6=0,"",IF(INDEX('⑩ 원문 보관'!$A:$E,$CM$6+ROW()-9,COLUMN())="","",INDEX('⑩ 원문 보관'!$A:$E,$CM$6+ROW()-9,COLUMN())))</f>
        <v/>
      </c>
      <c r="C613" t="str">
        <f>IF($CM$6=0,"",IF(INDEX('⑩ 원문 보관'!$A:$E,$CM$6+ROW()-9,COLUMN())="","",INDEX('⑩ 원문 보관'!$A:$E,$CM$6+ROW()-9,COLUMN())))</f>
        <v/>
      </c>
      <c r="D613" t="str">
        <f>IF($CM$6=0,"",IF(INDEX('⑩ 원문 보관'!$A:$E,$CM$6+ROW()-9,COLUMN())="","",INDEX('⑩ 원문 보관'!$A:$E,$CM$6+ROW()-9,COLUMN())))</f>
        <v/>
      </c>
      <c r="E613" t="str">
        <f>IF($CM$6=0,"",IF(INDEX('⑩ 원문 보관'!$A:$E,$CM$6+ROW()-9,COLUMN())="","",INDEX('⑩ 원문 보관'!$A:$E,$CM$6+ROW()-9,COLUMN())))</f>
        <v/>
      </c>
      <c r="Q613">
        <f t="shared" si="270"/>
        <v>8</v>
      </c>
      <c r="R613" t="str">
        <f t="shared" si="250"/>
        <v/>
      </c>
      <c r="S613" t="str">
        <f t="shared" si="251"/>
        <v/>
      </c>
      <c r="T613" t="str">
        <f t="shared" si="252"/>
        <v/>
      </c>
      <c r="U613">
        <f t="shared" si="253"/>
        <v>0</v>
      </c>
      <c r="V613">
        <f t="shared" si="271"/>
        <v>12</v>
      </c>
      <c r="W613" t="str">
        <f t="shared" si="254"/>
        <v/>
      </c>
      <c r="X613" t="str">
        <f t="shared" si="255"/>
        <v/>
      </c>
      <c r="Y613" t="str">
        <f t="shared" si="256"/>
        <v/>
      </c>
      <c r="Z613">
        <f t="shared" si="257"/>
        <v>0</v>
      </c>
      <c r="AA613">
        <f t="shared" si="272"/>
        <v>6</v>
      </c>
      <c r="AB613" t="str">
        <f t="shared" si="258"/>
        <v/>
      </c>
      <c r="AC613" t="str">
        <f t="shared" si="259"/>
        <v/>
      </c>
      <c r="AD613" t="str">
        <f t="shared" si="260"/>
        <v/>
      </c>
      <c r="AE613">
        <f t="shared" si="261"/>
        <v>0</v>
      </c>
      <c r="AF613">
        <f t="shared" si="273"/>
        <v>10</v>
      </c>
      <c r="AG613" t="str">
        <f t="shared" si="262"/>
        <v/>
      </c>
      <c r="AH613" t="str">
        <f t="shared" si="263"/>
        <v/>
      </c>
      <c r="AI613" t="str">
        <f t="shared" si="264"/>
        <v/>
      </c>
      <c r="AJ613">
        <f t="shared" si="265"/>
        <v>0</v>
      </c>
      <c r="AK613">
        <f t="shared" si="274"/>
        <v>4</v>
      </c>
      <c r="AL613" t="str">
        <f t="shared" si="266"/>
        <v/>
      </c>
      <c r="AM613" t="str">
        <f t="shared" si="267"/>
        <v/>
      </c>
      <c r="AN613" t="str">
        <f t="shared" si="268"/>
        <v/>
      </c>
      <c r="AO613">
        <f t="shared" si="269"/>
        <v>0</v>
      </c>
    </row>
    <row r="614" spans="1:41" x14ac:dyDescent="0.4">
      <c r="A614" t="str">
        <f>IF($CM$6=0,"",IF(INDEX('⑩ 원문 보관'!$A:$E,$CM$6+ROW()-9,COLUMN())="","",INDEX('⑩ 원문 보관'!$A:$E,$CM$6+ROW()-9,COLUMN())))</f>
        <v/>
      </c>
      <c r="B614" t="str">
        <f>IF($CM$6=0,"",IF(INDEX('⑩ 원문 보관'!$A:$E,$CM$6+ROW()-9,COLUMN())="","",INDEX('⑩ 원문 보관'!$A:$E,$CM$6+ROW()-9,COLUMN())))</f>
        <v/>
      </c>
      <c r="C614" t="str">
        <f>IF($CM$6=0,"",IF(INDEX('⑩ 원문 보관'!$A:$E,$CM$6+ROW()-9,COLUMN())="","",INDEX('⑩ 원문 보관'!$A:$E,$CM$6+ROW()-9,COLUMN())))</f>
        <v/>
      </c>
      <c r="D614" t="str">
        <f>IF($CM$6=0,"",IF(INDEX('⑩ 원문 보관'!$A:$E,$CM$6+ROW()-9,COLUMN())="","",INDEX('⑩ 원문 보관'!$A:$E,$CM$6+ROW()-9,COLUMN())))</f>
        <v/>
      </c>
      <c r="E614" t="str">
        <f>IF($CM$6=0,"",IF(INDEX('⑩ 원문 보관'!$A:$E,$CM$6+ROW()-9,COLUMN())="","",INDEX('⑩ 원문 보관'!$A:$E,$CM$6+ROW()-9,COLUMN())))</f>
        <v/>
      </c>
      <c r="Q614">
        <f t="shared" si="270"/>
        <v>8</v>
      </c>
      <c r="R614" t="str">
        <f t="shared" si="250"/>
        <v/>
      </c>
      <c r="S614" t="str">
        <f t="shared" si="251"/>
        <v/>
      </c>
      <c r="T614" t="str">
        <f t="shared" si="252"/>
        <v/>
      </c>
      <c r="U614">
        <f t="shared" si="253"/>
        <v>0</v>
      </c>
      <c r="V614">
        <f t="shared" si="271"/>
        <v>12</v>
      </c>
      <c r="W614" t="str">
        <f t="shared" si="254"/>
        <v/>
      </c>
      <c r="X614" t="str">
        <f t="shared" si="255"/>
        <v/>
      </c>
      <c r="Y614" t="str">
        <f t="shared" si="256"/>
        <v/>
      </c>
      <c r="Z614">
        <f t="shared" si="257"/>
        <v>0</v>
      </c>
      <c r="AA614">
        <f t="shared" si="272"/>
        <v>6</v>
      </c>
      <c r="AB614" t="str">
        <f t="shared" si="258"/>
        <v/>
      </c>
      <c r="AC614" t="str">
        <f t="shared" si="259"/>
        <v/>
      </c>
      <c r="AD614" t="str">
        <f t="shared" si="260"/>
        <v/>
      </c>
      <c r="AE614">
        <f t="shared" si="261"/>
        <v>0</v>
      </c>
      <c r="AF614">
        <f t="shared" si="273"/>
        <v>10</v>
      </c>
      <c r="AG614" t="str">
        <f t="shared" si="262"/>
        <v/>
      </c>
      <c r="AH614" t="str">
        <f t="shared" si="263"/>
        <v/>
      </c>
      <c r="AI614" t="str">
        <f t="shared" si="264"/>
        <v/>
      </c>
      <c r="AJ614">
        <f t="shared" si="265"/>
        <v>0</v>
      </c>
      <c r="AK614">
        <f t="shared" si="274"/>
        <v>4</v>
      </c>
      <c r="AL614" t="str">
        <f t="shared" si="266"/>
        <v/>
      </c>
      <c r="AM614" t="str">
        <f t="shared" si="267"/>
        <v/>
      </c>
      <c r="AN614" t="str">
        <f t="shared" si="268"/>
        <v/>
      </c>
      <c r="AO614">
        <f t="shared" si="269"/>
        <v>0</v>
      </c>
    </row>
    <row r="615" spans="1:41" x14ac:dyDescent="0.4">
      <c r="A615" t="str">
        <f>IF($CM$6=0,"",IF(INDEX('⑩ 원문 보관'!$A:$E,$CM$6+ROW()-9,COLUMN())="","",INDEX('⑩ 원문 보관'!$A:$E,$CM$6+ROW()-9,COLUMN())))</f>
        <v/>
      </c>
      <c r="B615" t="str">
        <f>IF($CM$6=0,"",IF(INDEX('⑩ 원문 보관'!$A:$E,$CM$6+ROW()-9,COLUMN())="","",INDEX('⑩ 원문 보관'!$A:$E,$CM$6+ROW()-9,COLUMN())))</f>
        <v/>
      </c>
      <c r="C615" t="str">
        <f>IF($CM$6=0,"",IF(INDEX('⑩ 원문 보관'!$A:$E,$CM$6+ROW()-9,COLUMN())="","",INDEX('⑩ 원문 보관'!$A:$E,$CM$6+ROW()-9,COLUMN())))</f>
        <v/>
      </c>
      <c r="D615" t="str">
        <f>IF($CM$6=0,"",IF(INDEX('⑩ 원문 보관'!$A:$E,$CM$6+ROW()-9,COLUMN())="","",INDEX('⑩ 원문 보관'!$A:$E,$CM$6+ROW()-9,COLUMN())))</f>
        <v/>
      </c>
      <c r="E615" t="str">
        <f>IF($CM$6=0,"",IF(INDEX('⑩ 원문 보관'!$A:$E,$CM$6+ROW()-9,COLUMN())="","",INDEX('⑩ 원문 보관'!$A:$E,$CM$6+ROW()-9,COLUMN())))</f>
        <v/>
      </c>
      <c r="Q615">
        <f t="shared" si="270"/>
        <v>8</v>
      </c>
      <c r="R615" t="str">
        <f t="shared" si="250"/>
        <v/>
      </c>
      <c r="S615" t="str">
        <f t="shared" si="251"/>
        <v/>
      </c>
      <c r="T615" t="str">
        <f t="shared" si="252"/>
        <v/>
      </c>
      <c r="U615">
        <f t="shared" si="253"/>
        <v>0</v>
      </c>
      <c r="V615">
        <f t="shared" si="271"/>
        <v>12</v>
      </c>
      <c r="W615" t="str">
        <f t="shared" si="254"/>
        <v/>
      </c>
      <c r="X615" t="str">
        <f t="shared" si="255"/>
        <v/>
      </c>
      <c r="Y615" t="str">
        <f t="shared" si="256"/>
        <v/>
      </c>
      <c r="Z615">
        <f t="shared" si="257"/>
        <v>0</v>
      </c>
      <c r="AA615">
        <f t="shared" si="272"/>
        <v>6</v>
      </c>
      <c r="AB615" t="str">
        <f t="shared" si="258"/>
        <v/>
      </c>
      <c r="AC615" t="str">
        <f t="shared" si="259"/>
        <v/>
      </c>
      <c r="AD615" t="str">
        <f t="shared" si="260"/>
        <v/>
      </c>
      <c r="AE615">
        <f t="shared" si="261"/>
        <v>0</v>
      </c>
      <c r="AF615">
        <f t="shared" si="273"/>
        <v>10</v>
      </c>
      <c r="AG615" t="str">
        <f t="shared" si="262"/>
        <v/>
      </c>
      <c r="AH615" t="str">
        <f t="shared" si="263"/>
        <v/>
      </c>
      <c r="AI615" t="str">
        <f t="shared" si="264"/>
        <v/>
      </c>
      <c r="AJ615">
        <f t="shared" si="265"/>
        <v>0</v>
      </c>
      <c r="AK615">
        <f t="shared" si="274"/>
        <v>4</v>
      </c>
      <c r="AL615" t="str">
        <f t="shared" si="266"/>
        <v/>
      </c>
      <c r="AM615" t="str">
        <f t="shared" si="267"/>
        <v/>
      </c>
      <c r="AN615" t="str">
        <f t="shared" si="268"/>
        <v/>
      </c>
      <c r="AO615">
        <f t="shared" si="269"/>
        <v>0</v>
      </c>
    </row>
    <row r="616" spans="1:41" x14ac:dyDescent="0.4">
      <c r="A616" t="str">
        <f>IF($CM$6=0,"",IF(INDEX('⑩ 원문 보관'!$A:$E,$CM$6+ROW()-9,COLUMN())="","",INDEX('⑩ 원문 보관'!$A:$E,$CM$6+ROW()-9,COLUMN())))</f>
        <v/>
      </c>
      <c r="B616" t="str">
        <f>IF($CM$6=0,"",IF(INDEX('⑩ 원문 보관'!$A:$E,$CM$6+ROW()-9,COLUMN())="","",INDEX('⑩ 원문 보관'!$A:$E,$CM$6+ROW()-9,COLUMN())))</f>
        <v/>
      </c>
      <c r="C616" t="str">
        <f>IF($CM$6=0,"",IF(INDEX('⑩ 원문 보관'!$A:$E,$CM$6+ROW()-9,COLUMN())="","",INDEX('⑩ 원문 보관'!$A:$E,$CM$6+ROW()-9,COLUMN())))</f>
        <v/>
      </c>
      <c r="D616" t="str">
        <f>IF($CM$6=0,"",IF(INDEX('⑩ 원문 보관'!$A:$E,$CM$6+ROW()-9,COLUMN())="","",INDEX('⑩ 원문 보관'!$A:$E,$CM$6+ROW()-9,COLUMN())))</f>
        <v/>
      </c>
      <c r="E616" t="str">
        <f>IF($CM$6=0,"",IF(INDEX('⑩ 원문 보관'!$A:$E,$CM$6+ROW()-9,COLUMN())="","",INDEX('⑩ 원문 보관'!$A:$E,$CM$6+ROW()-9,COLUMN())))</f>
        <v/>
      </c>
      <c r="Q616">
        <f t="shared" si="270"/>
        <v>8</v>
      </c>
      <c r="R616" t="str">
        <f t="shared" si="250"/>
        <v/>
      </c>
      <c r="S616" t="str">
        <f t="shared" si="251"/>
        <v/>
      </c>
      <c r="T616" t="str">
        <f t="shared" si="252"/>
        <v/>
      </c>
      <c r="U616">
        <f t="shared" si="253"/>
        <v>0</v>
      </c>
      <c r="V616">
        <f t="shared" si="271"/>
        <v>12</v>
      </c>
      <c r="W616" t="str">
        <f t="shared" si="254"/>
        <v/>
      </c>
      <c r="X616" t="str">
        <f t="shared" si="255"/>
        <v/>
      </c>
      <c r="Y616" t="str">
        <f t="shared" si="256"/>
        <v/>
      </c>
      <c r="Z616">
        <f t="shared" si="257"/>
        <v>0</v>
      </c>
      <c r="AA616">
        <f t="shared" si="272"/>
        <v>6</v>
      </c>
      <c r="AB616" t="str">
        <f t="shared" si="258"/>
        <v/>
      </c>
      <c r="AC616" t="str">
        <f t="shared" si="259"/>
        <v/>
      </c>
      <c r="AD616" t="str">
        <f t="shared" si="260"/>
        <v/>
      </c>
      <c r="AE616">
        <f t="shared" si="261"/>
        <v>0</v>
      </c>
      <c r="AF616">
        <f t="shared" si="273"/>
        <v>10</v>
      </c>
      <c r="AG616" t="str">
        <f t="shared" si="262"/>
        <v/>
      </c>
      <c r="AH616" t="str">
        <f t="shared" si="263"/>
        <v/>
      </c>
      <c r="AI616" t="str">
        <f t="shared" si="264"/>
        <v/>
      </c>
      <c r="AJ616">
        <f t="shared" si="265"/>
        <v>0</v>
      </c>
      <c r="AK616">
        <f t="shared" si="274"/>
        <v>4</v>
      </c>
      <c r="AL616" t="str">
        <f t="shared" si="266"/>
        <v/>
      </c>
      <c r="AM616" t="str">
        <f t="shared" si="267"/>
        <v/>
      </c>
      <c r="AN616" t="str">
        <f t="shared" si="268"/>
        <v/>
      </c>
      <c r="AO616">
        <f t="shared" si="269"/>
        <v>0</v>
      </c>
    </row>
    <row r="617" spans="1:41" x14ac:dyDescent="0.4">
      <c r="A617" t="str">
        <f>IF($CM$6=0,"",IF(INDEX('⑩ 원문 보관'!$A:$E,$CM$6+ROW()-9,COLUMN())="","",INDEX('⑩ 원문 보관'!$A:$E,$CM$6+ROW()-9,COLUMN())))</f>
        <v/>
      </c>
      <c r="B617" t="str">
        <f>IF($CM$6=0,"",IF(INDEX('⑩ 원문 보관'!$A:$E,$CM$6+ROW()-9,COLUMN())="","",INDEX('⑩ 원문 보관'!$A:$E,$CM$6+ROW()-9,COLUMN())))</f>
        <v/>
      </c>
      <c r="C617" t="str">
        <f>IF($CM$6=0,"",IF(INDEX('⑩ 원문 보관'!$A:$E,$CM$6+ROW()-9,COLUMN())="","",INDEX('⑩ 원문 보관'!$A:$E,$CM$6+ROW()-9,COLUMN())))</f>
        <v/>
      </c>
      <c r="D617" t="str">
        <f>IF($CM$6=0,"",IF(INDEX('⑩ 원문 보관'!$A:$E,$CM$6+ROW()-9,COLUMN())="","",INDEX('⑩ 원문 보관'!$A:$E,$CM$6+ROW()-9,COLUMN())))</f>
        <v/>
      </c>
      <c r="E617" t="str">
        <f>IF($CM$6=0,"",IF(INDEX('⑩ 원문 보관'!$A:$E,$CM$6+ROW()-9,COLUMN())="","",INDEX('⑩ 원문 보관'!$A:$E,$CM$6+ROW()-9,COLUMN())))</f>
        <v/>
      </c>
      <c r="Q617">
        <f t="shared" si="270"/>
        <v>8</v>
      </c>
      <c r="R617" t="str">
        <f t="shared" si="250"/>
        <v/>
      </c>
      <c r="S617" t="str">
        <f t="shared" si="251"/>
        <v/>
      </c>
      <c r="T617" t="str">
        <f t="shared" si="252"/>
        <v/>
      </c>
      <c r="U617">
        <f t="shared" si="253"/>
        <v>0</v>
      </c>
      <c r="V617">
        <f t="shared" si="271"/>
        <v>12</v>
      </c>
      <c r="W617" t="str">
        <f t="shared" si="254"/>
        <v/>
      </c>
      <c r="X617" t="str">
        <f t="shared" si="255"/>
        <v/>
      </c>
      <c r="Y617" t="str">
        <f t="shared" si="256"/>
        <v/>
      </c>
      <c r="Z617">
        <f t="shared" si="257"/>
        <v>0</v>
      </c>
      <c r="AA617">
        <f t="shared" si="272"/>
        <v>6</v>
      </c>
      <c r="AB617" t="str">
        <f t="shared" si="258"/>
        <v/>
      </c>
      <c r="AC617" t="str">
        <f t="shared" si="259"/>
        <v/>
      </c>
      <c r="AD617" t="str">
        <f t="shared" si="260"/>
        <v/>
      </c>
      <c r="AE617">
        <f t="shared" si="261"/>
        <v>0</v>
      </c>
      <c r="AF617">
        <f t="shared" si="273"/>
        <v>10</v>
      </c>
      <c r="AG617" t="str">
        <f t="shared" si="262"/>
        <v/>
      </c>
      <c r="AH617" t="str">
        <f t="shared" si="263"/>
        <v/>
      </c>
      <c r="AI617" t="str">
        <f t="shared" si="264"/>
        <v/>
      </c>
      <c r="AJ617">
        <f t="shared" si="265"/>
        <v>0</v>
      </c>
      <c r="AK617">
        <f t="shared" si="274"/>
        <v>4</v>
      </c>
      <c r="AL617" t="str">
        <f t="shared" si="266"/>
        <v/>
      </c>
      <c r="AM617" t="str">
        <f t="shared" si="267"/>
        <v/>
      </c>
      <c r="AN617" t="str">
        <f t="shared" si="268"/>
        <v/>
      </c>
      <c r="AO617">
        <f t="shared" si="269"/>
        <v>0</v>
      </c>
    </row>
    <row r="618" spans="1:41" x14ac:dyDescent="0.4">
      <c r="A618" t="str">
        <f>IF($CM$6=0,"",IF(INDEX('⑩ 원문 보관'!$A:$E,$CM$6+ROW()-9,COLUMN())="","",INDEX('⑩ 원문 보관'!$A:$E,$CM$6+ROW()-9,COLUMN())))</f>
        <v/>
      </c>
      <c r="B618" t="str">
        <f>IF($CM$6=0,"",IF(INDEX('⑩ 원문 보관'!$A:$E,$CM$6+ROW()-9,COLUMN())="","",INDEX('⑩ 원문 보관'!$A:$E,$CM$6+ROW()-9,COLUMN())))</f>
        <v/>
      </c>
      <c r="C618" t="str">
        <f>IF($CM$6=0,"",IF(INDEX('⑩ 원문 보관'!$A:$E,$CM$6+ROW()-9,COLUMN())="","",INDEX('⑩ 원문 보관'!$A:$E,$CM$6+ROW()-9,COLUMN())))</f>
        <v/>
      </c>
      <c r="D618" t="str">
        <f>IF($CM$6=0,"",IF(INDEX('⑩ 원문 보관'!$A:$E,$CM$6+ROW()-9,COLUMN())="","",INDEX('⑩ 원문 보관'!$A:$E,$CM$6+ROW()-9,COLUMN())))</f>
        <v/>
      </c>
      <c r="E618" t="str">
        <f>IF($CM$6=0,"",IF(INDEX('⑩ 원문 보관'!$A:$E,$CM$6+ROW()-9,COLUMN())="","",INDEX('⑩ 원문 보관'!$A:$E,$CM$6+ROW()-9,COLUMN())))</f>
        <v/>
      </c>
      <c r="Q618">
        <f t="shared" si="270"/>
        <v>8</v>
      </c>
      <c r="R618" t="str">
        <f t="shared" si="250"/>
        <v/>
      </c>
      <c r="S618" t="str">
        <f t="shared" si="251"/>
        <v/>
      </c>
      <c r="T618" t="str">
        <f t="shared" si="252"/>
        <v/>
      </c>
      <c r="U618">
        <f t="shared" si="253"/>
        <v>0</v>
      </c>
      <c r="V618">
        <f t="shared" si="271"/>
        <v>12</v>
      </c>
      <c r="W618" t="str">
        <f t="shared" si="254"/>
        <v/>
      </c>
      <c r="X618" t="str">
        <f t="shared" si="255"/>
        <v/>
      </c>
      <c r="Y618" t="str">
        <f t="shared" si="256"/>
        <v/>
      </c>
      <c r="Z618">
        <f t="shared" si="257"/>
        <v>0</v>
      </c>
      <c r="AA618">
        <f t="shared" si="272"/>
        <v>6</v>
      </c>
      <c r="AB618" t="str">
        <f t="shared" si="258"/>
        <v/>
      </c>
      <c r="AC618" t="str">
        <f t="shared" si="259"/>
        <v/>
      </c>
      <c r="AD618" t="str">
        <f t="shared" si="260"/>
        <v/>
      </c>
      <c r="AE618">
        <f t="shared" si="261"/>
        <v>0</v>
      </c>
      <c r="AF618">
        <f t="shared" si="273"/>
        <v>10</v>
      </c>
      <c r="AG618" t="str">
        <f t="shared" si="262"/>
        <v/>
      </c>
      <c r="AH618" t="str">
        <f t="shared" si="263"/>
        <v/>
      </c>
      <c r="AI618" t="str">
        <f t="shared" si="264"/>
        <v/>
      </c>
      <c r="AJ618">
        <f t="shared" si="265"/>
        <v>0</v>
      </c>
      <c r="AK618">
        <f t="shared" si="274"/>
        <v>4</v>
      </c>
      <c r="AL618" t="str">
        <f t="shared" si="266"/>
        <v/>
      </c>
      <c r="AM618" t="str">
        <f t="shared" si="267"/>
        <v/>
      </c>
      <c r="AN618" t="str">
        <f t="shared" si="268"/>
        <v/>
      </c>
      <c r="AO618">
        <f t="shared" si="269"/>
        <v>0</v>
      </c>
    </row>
    <row r="619" spans="1:41" x14ac:dyDescent="0.4">
      <c r="A619" t="str">
        <f>IF($CM$6=0,"",IF(INDEX('⑩ 원문 보관'!$A:$E,$CM$6+ROW()-9,COLUMN())="","",INDEX('⑩ 원문 보관'!$A:$E,$CM$6+ROW()-9,COLUMN())))</f>
        <v/>
      </c>
      <c r="B619" t="str">
        <f>IF($CM$6=0,"",IF(INDEX('⑩ 원문 보관'!$A:$E,$CM$6+ROW()-9,COLUMN())="","",INDEX('⑩ 원문 보관'!$A:$E,$CM$6+ROW()-9,COLUMN())))</f>
        <v/>
      </c>
      <c r="C619" t="str">
        <f>IF($CM$6=0,"",IF(INDEX('⑩ 원문 보관'!$A:$E,$CM$6+ROW()-9,COLUMN())="","",INDEX('⑩ 원문 보관'!$A:$E,$CM$6+ROW()-9,COLUMN())))</f>
        <v/>
      </c>
      <c r="D619" t="str">
        <f>IF($CM$6=0,"",IF(INDEX('⑩ 원문 보관'!$A:$E,$CM$6+ROW()-9,COLUMN())="","",INDEX('⑩ 원문 보관'!$A:$E,$CM$6+ROW()-9,COLUMN())))</f>
        <v/>
      </c>
      <c r="E619" t="str">
        <f>IF($CM$6=0,"",IF(INDEX('⑩ 원문 보관'!$A:$E,$CM$6+ROW()-9,COLUMN())="","",INDEX('⑩ 원문 보관'!$A:$E,$CM$6+ROW()-9,COLUMN())))</f>
        <v/>
      </c>
      <c r="Q619">
        <f t="shared" si="270"/>
        <v>8</v>
      </c>
      <c r="R619" t="str">
        <f t="shared" si="250"/>
        <v/>
      </c>
      <c r="S619" t="str">
        <f t="shared" si="251"/>
        <v/>
      </c>
      <c r="T619" t="str">
        <f t="shared" si="252"/>
        <v/>
      </c>
      <c r="U619">
        <f t="shared" si="253"/>
        <v>0</v>
      </c>
      <c r="V619">
        <f t="shared" si="271"/>
        <v>12</v>
      </c>
      <c r="W619" t="str">
        <f t="shared" si="254"/>
        <v/>
      </c>
      <c r="X619" t="str">
        <f t="shared" si="255"/>
        <v/>
      </c>
      <c r="Y619" t="str">
        <f t="shared" si="256"/>
        <v/>
      </c>
      <c r="Z619">
        <f t="shared" si="257"/>
        <v>0</v>
      </c>
      <c r="AA619">
        <f t="shared" si="272"/>
        <v>6</v>
      </c>
      <c r="AB619" t="str">
        <f t="shared" si="258"/>
        <v/>
      </c>
      <c r="AC619" t="str">
        <f t="shared" si="259"/>
        <v/>
      </c>
      <c r="AD619" t="str">
        <f t="shared" si="260"/>
        <v/>
      </c>
      <c r="AE619">
        <f t="shared" si="261"/>
        <v>0</v>
      </c>
      <c r="AF619">
        <f t="shared" si="273"/>
        <v>10</v>
      </c>
      <c r="AG619" t="str">
        <f t="shared" si="262"/>
        <v/>
      </c>
      <c r="AH619" t="str">
        <f t="shared" si="263"/>
        <v/>
      </c>
      <c r="AI619" t="str">
        <f t="shared" si="264"/>
        <v/>
      </c>
      <c r="AJ619">
        <f t="shared" si="265"/>
        <v>0</v>
      </c>
      <c r="AK619">
        <f t="shared" si="274"/>
        <v>4</v>
      </c>
      <c r="AL619" t="str">
        <f t="shared" si="266"/>
        <v/>
      </c>
      <c r="AM619" t="str">
        <f t="shared" si="267"/>
        <v/>
      </c>
      <c r="AN619" t="str">
        <f t="shared" si="268"/>
        <v/>
      </c>
      <c r="AO619">
        <f t="shared" si="269"/>
        <v>0</v>
      </c>
    </row>
    <row r="620" spans="1:41" x14ac:dyDescent="0.4">
      <c r="A620" t="str">
        <f>IF($CM$6=0,"",IF(INDEX('⑩ 원문 보관'!$A:$E,$CM$6+ROW()-9,COLUMN())="","",INDEX('⑩ 원문 보관'!$A:$E,$CM$6+ROW()-9,COLUMN())))</f>
        <v/>
      </c>
      <c r="B620" t="str">
        <f>IF($CM$6=0,"",IF(INDEX('⑩ 원문 보관'!$A:$E,$CM$6+ROW()-9,COLUMN())="","",INDEX('⑩ 원문 보관'!$A:$E,$CM$6+ROW()-9,COLUMN())))</f>
        <v/>
      </c>
      <c r="C620" t="str">
        <f>IF($CM$6=0,"",IF(INDEX('⑩ 원문 보관'!$A:$E,$CM$6+ROW()-9,COLUMN())="","",INDEX('⑩ 원문 보관'!$A:$E,$CM$6+ROW()-9,COLUMN())))</f>
        <v/>
      </c>
      <c r="D620" t="str">
        <f>IF($CM$6=0,"",IF(INDEX('⑩ 원문 보관'!$A:$E,$CM$6+ROW()-9,COLUMN())="","",INDEX('⑩ 원문 보관'!$A:$E,$CM$6+ROW()-9,COLUMN())))</f>
        <v/>
      </c>
      <c r="E620" t="str">
        <f>IF($CM$6=0,"",IF(INDEX('⑩ 원문 보관'!$A:$E,$CM$6+ROW()-9,COLUMN())="","",INDEX('⑩ 원문 보관'!$A:$E,$CM$6+ROW()-9,COLUMN())))</f>
        <v/>
      </c>
      <c r="Q620">
        <f t="shared" si="270"/>
        <v>8</v>
      </c>
      <c r="R620" t="str">
        <f t="shared" si="250"/>
        <v/>
      </c>
      <c r="S620" t="str">
        <f t="shared" si="251"/>
        <v/>
      </c>
      <c r="T620" t="str">
        <f t="shared" si="252"/>
        <v/>
      </c>
      <c r="U620">
        <f t="shared" si="253"/>
        <v>0</v>
      </c>
      <c r="V620">
        <f t="shared" si="271"/>
        <v>12</v>
      </c>
      <c r="W620" t="str">
        <f t="shared" si="254"/>
        <v/>
      </c>
      <c r="X620" t="str">
        <f t="shared" si="255"/>
        <v/>
      </c>
      <c r="Y620" t="str">
        <f t="shared" si="256"/>
        <v/>
      </c>
      <c r="Z620">
        <f t="shared" si="257"/>
        <v>0</v>
      </c>
      <c r="AA620">
        <f t="shared" si="272"/>
        <v>6</v>
      </c>
      <c r="AB620" t="str">
        <f t="shared" si="258"/>
        <v/>
      </c>
      <c r="AC620" t="str">
        <f t="shared" si="259"/>
        <v/>
      </c>
      <c r="AD620" t="str">
        <f t="shared" si="260"/>
        <v/>
      </c>
      <c r="AE620">
        <f t="shared" si="261"/>
        <v>0</v>
      </c>
      <c r="AF620">
        <f t="shared" si="273"/>
        <v>10</v>
      </c>
      <c r="AG620" t="str">
        <f t="shared" si="262"/>
        <v/>
      </c>
      <c r="AH620" t="str">
        <f t="shared" si="263"/>
        <v/>
      </c>
      <c r="AI620" t="str">
        <f t="shared" si="264"/>
        <v/>
      </c>
      <c r="AJ620">
        <f t="shared" si="265"/>
        <v>0</v>
      </c>
      <c r="AK620">
        <f t="shared" si="274"/>
        <v>4</v>
      </c>
      <c r="AL620" t="str">
        <f t="shared" si="266"/>
        <v/>
      </c>
      <c r="AM620" t="str">
        <f t="shared" si="267"/>
        <v/>
      </c>
      <c r="AN620" t="str">
        <f t="shared" si="268"/>
        <v/>
      </c>
      <c r="AO620">
        <f t="shared" si="269"/>
        <v>0</v>
      </c>
    </row>
    <row r="621" spans="1:41" x14ac:dyDescent="0.4">
      <c r="A621" t="str">
        <f>IF($CM$6=0,"",IF(INDEX('⑩ 원문 보관'!$A:$E,$CM$6+ROW()-9,COLUMN())="","",INDEX('⑩ 원문 보관'!$A:$E,$CM$6+ROW()-9,COLUMN())))</f>
        <v/>
      </c>
      <c r="B621" t="str">
        <f>IF($CM$6=0,"",IF(INDEX('⑩ 원문 보관'!$A:$E,$CM$6+ROW()-9,COLUMN())="","",INDEX('⑩ 원문 보관'!$A:$E,$CM$6+ROW()-9,COLUMN())))</f>
        <v/>
      </c>
      <c r="C621" t="str">
        <f>IF($CM$6=0,"",IF(INDEX('⑩ 원문 보관'!$A:$E,$CM$6+ROW()-9,COLUMN())="","",INDEX('⑩ 원문 보관'!$A:$E,$CM$6+ROW()-9,COLUMN())))</f>
        <v/>
      </c>
      <c r="D621" t="str">
        <f>IF($CM$6=0,"",IF(INDEX('⑩ 원문 보관'!$A:$E,$CM$6+ROW()-9,COLUMN())="","",INDEX('⑩ 원문 보관'!$A:$E,$CM$6+ROW()-9,COLUMN())))</f>
        <v/>
      </c>
      <c r="E621" t="str">
        <f>IF($CM$6=0,"",IF(INDEX('⑩ 원문 보관'!$A:$E,$CM$6+ROW()-9,COLUMN())="","",INDEX('⑩ 원문 보관'!$A:$E,$CM$6+ROW()-9,COLUMN())))</f>
        <v/>
      </c>
      <c r="Q621">
        <f t="shared" si="270"/>
        <v>8</v>
      </c>
      <c r="R621" t="str">
        <f t="shared" si="250"/>
        <v/>
      </c>
      <c r="S621" t="str">
        <f t="shared" si="251"/>
        <v/>
      </c>
      <c r="T621" t="str">
        <f t="shared" si="252"/>
        <v/>
      </c>
      <c r="U621">
        <f t="shared" si="253"/>
        <v>0</v>
      </c>
      <c r="V621">
        <f t="shared" si="271"/>
        <v>12</v>
      </c>
      <c r="W621" t="str">
        <f t="shared" si="254"/>
        <v/>
      </c>
      <c r="X621" t="str">
        <f t="shared" si="255"/>
        <v/>
      </c>
      <c r="Y621" t="str">
        <f t="shared" si="256"/>
        <v/>
      </c>
      <c r="Z621">
        <f t="shared" si="257"/>
        <v>0</v>
      </c>
      <c r="AA621">
        <f t="shared" si="272"/>
        <v>6</v>
      </c>
      <c r="AB621" t="str">
        <f t="shared" si="258"/>
        <v/>
      </c>
      <c r="AC621" t="str">
        <f t="shared" si="259"/>
        <v/>
      </c>
      <c r="AD621" t="str">
        <f t="shared" si="260"/>
        <v/>
      </c>
      <c r="AE621">
        <f t="shared" si="261"/>
        <v>0</v>
      </c>
      <c r="AF621">
        <f t="shared" si="273"/>
        <v>10</v>
      </c>
      <c r="AG621" t="str">
        <f t="shared" si="262"/>
        <v/>
      </c>
      <c r="AH621" t="str">
        <f t="shared" si="263"/>
        <v/>
      </c>
      <c r="AI621" t="str">
        <f t="shared" si="264"/>
        <v/>
      </c>
      <c r="AJ621">
        <f t="shared" si="265"/>
        <v>0</v>
      </c>
      <c r="AK621">
        <f t="shared" si="274"/>
        <v>4</v>
      </c>
      <c r="AL621" t="str">
        <f t="shared" si="266"/>
        <v/>
      </c>
      <c r="AM621" t="str">
        <f t="shared" si="267"/>
        <v/>
      </c>
      <c r="AN621" t="str">
        <f t="shared" si="268"/>
        <v/>
      </c>
      <c r="AO621">
        <f t="shared" si="269"/>
        <v>0</v>
      </c>
    </row>
    <row r="622" spans="1:41" x14ac:dyDescent="0.4">
      <c r="A622" t="str">
        <f>IF($CM$6=0,"",IF(INDEX('⑩ 원문 보관'!$A:$E,$CM$6+ROW()-9,COLUMN())="","",INDEX('⑩ 원문 보관'!$A:$E,$CM$6+ROW()-9,COLUMN())))</f>
        <v/>
      </c>
      <c r="B622" t="str">
        <f>IF($CM$6=0,"",IF(INDEX('⑩ 원문 보관'!$A:$E,$CM$6+ROW()-9,COLUMN())="","",INDEX('⑩ 원문 보관'!$A:$E,$CM$6+ROW()-9,COLUMN())))</f>
        <v/>
      </c>
      <c r="C622" t="str">
        <f>IF($CM$6=0,"",IF(INDEX('⑩ 원문 보관'!$A:$E,$CM$6+ROW()-9,COLUMN())="","",INDEX('⑩ 원문 보관'!$A:$E,$CM$6+ROW()-9,COLUMN())))</f>
        <v/>
      </c>
      <c r="D622" t="str">
        <f>IF($CM$6=0,"",IF(INDEX('⑩ 원문 보관'!$A:$E,$CM$6+ROW()-9,COLUMN())="","",INDEX('⑩ 원문 보관'!$A:$E,$CM$6+ROW()-9,COLUMN())))</f>
        <v/>
      </c>
      <c r="E622" t="str">
        <f>IF($CM$6=0,"",IF(INDEX('⑩ 원문 보관'!$A:$E,$CM$6+ROW()-9,COLUMN())="","",INDEX('⑩ 원문 보관'!$A:$E,$CM$6+ROW()-9,COLUMN())))</f>
        <v/>
      </c>
      <c r="Q622">
        <f t="shared" si="270"/>
        <v>8</v>
      </c>
      <c r="R622" t="str">
        <f t="shared" si="250"/>
        <v/>
      </c>
      <c r="S622" t="str">
        <f t="shared" si="251"/>
        <v/>
      </c>
      <c r="T622" t="str">
        <f t="shared" si="252"/>
        <v/>
      </c>
      <c r="U622">
        <f t="shared" si="253"/>
        <v>0</v>
      </c>
      <c r="V622">
        <f t="shared" si="271"/>
        <v>12</v>
      </c>
      <c r="W622" t="str">
        <f t="shared" si="254"/>
        <v/>
      </c>
      <c r="X622" t="str">
        <f t="shared" si="255"/>
        <v/>
      </c>
      <c r="Y622" t="str">
        <f t="shared" si="256"/>
        <v/>
      </c>
      <c r="Z622">
        <f t="shared" si="257"/>
        <v>0</v>
      </c>
      <c r="AA622">
        <f t="shared" si="272"/>
        <v>6</v>
      </c>
      <c r="AB622" t="str">
        <f t="shared" si="258"/>
        <v/>
      </c>
      <c r="AC622" t="str">
        <f t="shared" si="259"/>
        <v/>
      </c>
      <c r="AD622" t="str">
        <f t="shared" si="260"/>
        <v/>
      </c>
      <c r="AE622">
        <f t="shared" si="261"/>
        <v>0</v>
      </c>
      <c r="AF622">
        <f t="shared" si="273"/>
        <v>10</v>
      </c>
      <c r="AG622" t="str">
        <f t="shared" si="262"/>
        <v/>
      </c>
      <c r="AH622" t="str">
        <f t="shared" si="263"/>
        <v/>
      </c>
      <c r="AI622" t="str">
        <f t="shared" si="264"/>
        <v/>
      </c>
      <c r="AJ622">
        <f t="shared" si="265"/>
        <v>0</v>
      </c>
      <c r="AK622">
        <f t="shared" si="274"/>
        <v>4</v>
      </c>
      <c r="AL622" t="str">
        <f t="shared" si="266"/>
        <v/>
      </c>
      <c r="AM622" t="str">
        <f t="shared" si="267"/>
        <v/>
      </c>
      <c r="AN622" t="str">
        <f t="shared" si="268"/>
        <v/>
      </c>
      <c r="AO622">
        <f t="shared" si="269"/>
        <v>0</v>
      </c>
    </row>
    <row r="623" spans="1:41" x14ac:dyDescent="0.4">
      <c r="A623" t="str">
        <f>IF($CM$6=0,"",IF(INDEX('⑩ 원문 보관'!$A:$E,$CM$6+ROW()-9,COLUMN())="","",INDEX('⑩ 원문 보관'!$A:$E,$CM$6+ROW()-9,COLUMN())))</f>
        <v/>
      </c>
      <c r="B623" t="str">
        <f>IF($CM$6=0,"",IF(INDEX('⑩ 원문 보관'!$A:$E,$CM$6+ROW()-9,COLUMN())="","",INDEX('⑩ 원문 보관'!$A:$E,$CM$6+ROW()-9,COLUMN())))</f>
        <v/>
      </c>
      <c r="C623" t="str">
        <f>IF($CM$6=0,"",IF(INDEX('⑩ 원문 보관'!$A:$E,$CM$6+ROW()-9,COLUMN())="","",INDEX('⑩ 원문 보관'!$A:$E,$CM$6+ROW()-9,COLUMN())))</f>
        <v/>
      </c>
      <c r="D623" t="str">
        <f>IF($CM$6=0,"",IF(INDEX('⑩ 원문 보관'!$A:$E,$CM$6+ROW()-9,COLUMN())="","",INDEX('⑩ 원문 보관'!$A:$E,$CM$6+ROW()-9,COLUMN())))</f>
        <v/>
      </c>
      <c r="E623" t="str">
        <f>IF($CM$6=0,"",IF(INDEX('⑩ 원문 보관'!$A:$E,$CM$6+ROW()-9,COLUMN())="","",INDEX('⑩ 원문 보관'!$A:$E,$CM$6+ROW()-9,COLUMN())))</f>
        <v/>
      </c>
      <c r="Q623">
        <f t="shared" si="270"/>
        <v>8</v>
      </c>
      <c r="R623" t="str">
        <f t="shared" si="250"/>
        <v/>
      </c>
      <c r="S623" t="str">
        <f t="shared" si="251"/>
        <v/>
      </c>
      <c r="T623" t="str">
        <f t="shared" si="252"/>
        <v/>
      </c>
      <c r="U623">
        <f t="shared" si="253"/>
        <v>0</v>
      </c>
      <c r="V623">
        <f t="shared" si="271"/>
        <v>12</v>
      </c>
      <c r="W623" t="str">
        <f t="shared" si="254"/>
        <v/>
      </c>
      <c r="X623" t="str">
        <f t="shared" si="255"/>
        <v/>
      </c>
      <c r="Y623" t="str">
        <f t="shared" si="256"/>
        <v/>
      </c>
      <c r="Z623">
        <f t="shared" si="257"/>
        <v>0</v>
      </c>
      <c r="AA623">
        <f t="shared" si="272"/>
        <v>6</v>
      </c>
      <c r="AB623" t="str">
        <f t="shared" si="258"/>
        <v/>
      </c>
      <c r="AC623" t="str">
        <f t="shared" si="259"/>
        <v/>
      </c>
      <c r="AD623" t="str">
        <f t="shared" si="260"/>
        <v/>
      </c>
      <c r="AE623">
        <f t="shared" si="261"/>
        <v>0</v>
      </c>
      <c r="AF623">
        <f t="shared" si="273"/>
        <v>10</v>
      </c>
      <c r="AG623" t="str">
        <f t="shared" si="262"/>
        <v/>
      </c>
      <c r="AH623" t="str">
        <f t="shared" si="263"/>
        <v/>
      </c>
      <c r="AI623" t="str">
        <f t="shared" si="264"/>
        <v/>
      </c>
      <c r="AJ623">
        <f t="shared" si="265"/>
        <v>0</v>
      </c>
      <c r="AK623">
        <f t="shared" si="274"/>
        <v>4</v>
      </c>
      <c r="AL623" t="str">
        <f t="shared" si="266"/>
        <v/>
      </c>
      <c r="AM623" t="str">
        <f t="shared" si="267"/>
        <v/>
      </c>
      <c r="AN623" t="str">
        <f t="shared" si="268"/>
        <v/>
      </c>
      <c r="AO623">
        <f t="shared" si="269"/>
        <v>0</v>
      </c>
    </row>
    <row r="624" spans="1:41" x14ac:dyDescent="0.4">
      <c r="A624" t="str">
        <f>IF($CM$6=0,"",IF(INDEX('⑩ 원문 보관'!$A:$E,$CM$6+ROW()-9,COLUMN())="","",INDEX('⑩ 원문 보관'!$A:$E,$CM$6+ROW()-9,COLUMN())))</f>
        <v/>
      </c>
      <c r="B624" t="str">
        <f>IF($CM$6=0,"",IF(INDEX('⑩ 원문 보관'!$A:$E,$CM$6+ROW()-9,COLUMN())="","",INDEX('⑩ 원문 보관'!$A:$E,$CM$6+ROW()-9,COLUMN())))</f>
        <v/>
      </c>
      <c r="C624" t="str">
        <f>IF($CM$6=0,"",IF(INDEX('⑩ 원문 보관'!$A:$E,$CM$6+ROW()-9,COLUMN())="","",INDEX('⑩ 원문 보관'!$A:$E,$CM$6+ROW()-9,COLUMN())))</f>
        <v/>
      </c>
      <c r="D624" t="str">
        <f>IF($CM$6=0,"",IF(INDEX('⑩ 원문 보관'!$A:$E,$CM$6+ROW()-9,COLUMN())="","",INDEX('⑩ 원문 보관'!$A:$E,$CM$6+ROW()-9,COLUMN())))</f>
        <v/>
      </c>
      <c r="E624" t="str">
        <f>IF($CM$6=0,"",IF(INDEX('⑩ 원문 보관'!$A:$E,$CM$6+ROW()-9,COLUMN())="","",INDEX('⑩ 원문 보관'!$A:$E,$CM$6+ROW()-9,COLUMN())))</f>
        <v/>
      </c>
      <c r="Q624">
        <f t="shared" si="270"/>
        <v>8</v>
      </c>
      <c r="R624" t="str">
        <f t="shared" si="250"/>
        <v/>
      </c>
      <c r="S624" t="str">
        <f t="shared" si="251"/>
        <v/>
      </c>
      <c r="T624" t="str">
        <f t="shared" si="252"/>
        <v/>
      </c>
      <c r="U624">
        <f t="shared" si="253"/>
        <v>0</v>
      </c>
      <c r="V624">
        <f t="shared" si="271"/>
        <v>12</v>
      </c>
      <c r="W624" t="str">
        <f t="shared" si="254"/>
        <v/>
      </c>
      <c r="X624" t="str">
        <f t="shared" si="255"/>
        <v/>
      </c>
      <c r="Y624" t="str">
        <f t="shared" si="256"/>
        <v/>
      </c>
      <c r="Z624">
        <f t="shared" si="257"/>
        <v>0</v>
      </c>
      <c r="AA624">
        <f t="shared" si="272"/>
        <v>6</v>
      </c>
      <c r="AB624" t="str">
        <f t="shared" si="258"/>
        <v/>
      </c>
      <c r="AC624" t="str">
        <f t="shared" si="259"/>
        <v/>
      </c>
      <c r="AD624" t="str">
        <f t="shared" si="260"/>
        <v/>
      </c>
      <c r="AE624">
        <f t="shared" si="261"/>
        <v>0</v>
      </c>
      <c r="AF624">
        <f t="shared" si="273"/>
        <v>10</v>
      </c>
      <c r="AG624" t="str">
        <f t="shared" si="262"/>
        <v/>
      </c>
      <c r="AH624" t="str">
        <f t="shared" si="263"/>
        <v/>
      </c>
      <c r="AI624" t="str">
        <f t="shared" si="264"/>
        <v/>
      </c>
      <c r="AJ624">
        <f t="shared" si="265"/>
        <v>0</v>
      </c>
      <c r="AK624">
        <f t="shared" si="274"/>
        <v>4</v>
      </c>
      <c r="AL624" t="str">
        <f t="shared" si="266"/>
        <v/>
      </c>
      <c r="AM624" t="str">
        <f t="shared" si="267"/>
        <v/>
      </c>
      <c r="AN624" t="str">
        <f t="shared" si="268"/>
        <v/>
      </c>
      <c r="AO624">
        <f t="shared" si="269"/>
        <v>0</v>
      </c>
    </row>
    <row r="625" spans="1:41" x14ac:dyDescent="0.4">
      <c r="A625" t="str">
        <f>IF($CM$6=0,"",IF(INDEX('⑩ 원문 보관'!$A:$E,$CM$6+ROW()-9,COLUMN())="","",INDEX('⑩ 원문 보관'!$A:$E,$CM$6+ROW()-9,COLUMN())))</f>
        <v/>
      </c>
      <c r="B625" t="str">
        <f>IF($CM$6=0,"",IF(INDEX('⑩ 원문 보관'!$A:$E,$CM$6+ROW()-9,COLUMN())="","",INDEX('⑩ 원문 보관'!$A:$E,$CM$6+ROW()-9,COLUMN())))</f>
        <v/>
      </c>
      <c r="C625" t="str">
        <f>IF($CM$6=0,"",IF(INDEX('⑩ 원문 보관'!$A:$E,$CM$6+ROW()-9,COLUMN())="","",INDEX('⑩ 원문 보관'!$A:$E,$CM$6+ROW()-9,COLUMN())))</f>
        <v/>
      </c>
      <c r="D625" t="str">
        <f>IF($CM$6=0,"",IF(INDEX('⑩ 원문 보관'!$A:$E,$CM$6+ROW()-9,COLUMN())="","",INDEX('⑩ 원문 보관'!$A:$E,$CM$6+ROW()-9,COLUMN())))</f>
        <v/>
      </c>
      <c r="E625" t="str">
        <f>IF($CM$6=0,"",IF(INDEX('⑩ 원문 보관'!$A:$E,$CM$6+ROW()-9,COLUMN())="","",INDEX('⑩ 원문 보관'!$A:$E,$CM$6+ROW()-9,COLUMN())))</f>
        <v/>
      </c>
      <c r="Q625">
        <f t="shared" si="270"/>
        <v>8</v>
      </c>
      <c r="R625" t="str">
        <f t="shared" si="250"/>
        <v/>
      </c>
      <c r="S625" t="str">
        <f t="shared" si="251"/>
        <v/>
      </c>
      <c r="T625" t="str">
        <f t="shared" si="252"/>
        <v/>
      </c>
      <c r="U625">
        <f t="shared" si="253"/>
        <v>0</v>
      </c>
      <c r="V625">
        <f t="shared" si="271"/>
        <v>12</v>
      </c>
      <c r="W625" t="str">
        <f t="shared" si="254"/>
        <v/>
      </c>
      <c r="X625" t="str">
        <f t="shared" si="255"/>
        <v/>
      </c>
      <c r="Y625" t="str">
        <f t="shared" si="256"/>
        <v/>
      </c>
      <c r="Z625">
        <f t="shared" si="257"/>
        <v>0</v>
      </c>
      <c r="AA625">
        <f t="shared" si="272"/>
        <v>6</v>
      </c>
      <c r="AB625" t="str">
        <f t="shared" si="258"/>
        <v/>
      </c>
      <c r="AC625" t="str">
        <f t="shared" si="259"/>
        <v/>
      </c>
      <c r="AD625" t="str">
        <f t="shared" si="260"/>
        <v/>
      </c>
      <c r="AE625">
        <f t="shared" si="261"/>
        <v>0</v>
      </c>
      <c r="AF625">
        <f t="shared" si="273"/>
        <v>10</v>
      </c>
      <c r="AG625" t="str">
        <f t="shared" si="262"/>
        <v/>
      </c>
      <c r="AH625" t="str">
        <f t="shared" si="263"/>
        <v/>
      </c>
      <c r="AI625" t="str">
        <f t="shared" si="264"/>
        <v/>
      </c>
      <c r="AJ625">
        <f t="shared" si="265"/>
        <v>0</v>
      </c>
      <c r="AK625">
        <f t="shared" si="274"/>
        <v>4</v>
      </c>
      <c r="AL625" t="str">
        <f t="shared" si="266"/>
        <v/>
      </c>
      <c r="AM625" t="str">
        <f t="shared" si="267"/>
        <v/>
      </c>
      <c r="AN625" t="str">
        <f t="shared" si="268"/>
        <v/>
      </c>
      <c r="AO625">
        <f t="shared" si="269"/>
        <v>0</v>
      </c>
    </row>
    <row r="626" spans="1:41" x14ac:dyDescent="0.4">
      <c r="A626" t="str">
        <f>IF($CM$6=0,"",IF(INDEX('⑩ 원문 보관'!$A:$E,$CM$6+ROW()-9,COLUMN())="","",INDEX('⑩ 원문 보관'!$A:$E,$CM$6+ROW()-9,COLUMN())))</f>
        <v/>
      </c>
      <c r="B626" t="str">
        <f>IF($CM$6=0,"",IF(INDEX('⑩ 원문 보관'!$A:$E,$CM$6+ROW()-9,COLUMN())="","",INDEX('⑩ 원문 보관'!$A:$E,$CM$6+ROW()-9,COLUMN())))</f>
        <v/>
      </c>
      <c r="C626" t="str">
        <f>IF($CM$6=0,"",IF(INDEX('⑩ 원문 보관'!$A:$E,$CM$6+ROW()-9,COLUMN())="","",INDEX('⑩ 원문 보관'!$A:$E,$CM$6+ROW()-9,COLUMN())))</f>
        <v/>
      </c>
      <c r="D626" t="str">
        <f>IF($CM$6=0,"",IF(INDEX('⑩ 원문 보관'!$A:$E,$CM$6+ROW()-9,COLUMN())="","",INDEX('⑩ 원문 보관'!$A:$E,$CM$6+ROW()-9,COLUMN())))</f>
        <v/>
      </c>
      <c r="E626" t="str">
        <f>IF($CM$6=0,"",IF(INDEX('⑩ 원문 보관'!$A:$E,$CM$6+ROW()-9,COLUMN())="","",INDEX('⑩ 원문 보관'!$A:$E,$CM$6+ROW()-9,COLUMN())))</f>
        <v/>
      </c>
      <c r="Q626">
        <f t="shared" si="270"/>
        <v>8</v>
      </c>
      <c r="R626" t="str">
        <f t="shared" si="250"/>
        <v/>
      </c>
      <c r="S626" t="str">
        <f t="shared" si="251"/>
        <v/>
      </c>
      <c r="T626" t="str">
        <f t="shared" si="252"/>
        <v/>
      </c>
      <c r="U626">
        <f t="shared" si="253"/>
        <v>0</v>
      </c>
      <c r="V626">
        <f t="shared" si="271"/>
        <v>12</v>
      </c>
      <c r="W626" t="str">
        <f t="shared" si="254"/>
        <v/>
      </c>
      <c r="X626" t="str">
        <f t="shared" si="255"/>
        <v/>
      </c>
      <c r="Y626" t="str">
        <f t="shared" si="256"/>
        <v/>
      </c>
      <c r="Z626">
        <f t="shared" si="257"/>
        <v>0</v>
      </c>
      <c r="AA626">
        <f t="shared" si="272"/>
        <v>6</v>
      </c>
      <c r="AB626" t="str">
        <f t="shared" si="258"/>
        <v/>
      </c>
      <c r="AC626" t="str">
        <f t="shared" si="259"/>
        <v/>
      </c>
      <c r="AD626" t="str">
        <f t="shared" si="260"/>
        <v/>
      </c>
      <c r="AE626">
        <f t="shared" si="261"/>
        <v>0</v>
      </c>
      <c r="AF626">
        <f t="shared" si="273"/>
        <v>10</v>
      </c>
      <c r="AG626" t="str">
        <f t="shared" si="262"/>
        <v/>
      </c>
      <c r="AH626" t="str">
        <f t="shared" si="263"/>
        <v/>
      </c>
      <c r="AI626" t="str">
        <f t="shared" si="264"/>
        <v/>
      </c>
      <c r="AJ626">
        <f t="shared" si="265"/>
        <v>0</v>
      </c>
      <c r="AK626">
        <f t="shared" si="274"/>
        <v>4</v>
      </c>
      <c r="AL626" t="str">
        <f t="shared" si="266"/>
        <v/>
      </c>
      <c r="AM626" t="str">
        <f t="shared" si="267"/>
        <v/>
      </c>
      <c r="AN626" t="str">
        <f t="shared" si="268"/>
        <v/>
      </c>
      <c r="AO626">
        <f t="shared" si="269"/>
        <v>0</v>
      </c>
    </row>
    <row r="627" spans="1:41" x14ac:dyDescent="0.4">
      <c r="A627" t="str">
        <f>IF($CM$6=0,"",IF(INDEX('⑩ 원문 보관'!$A:$E,$CM$6+ROW()-9,COLUMN())="","",INDEX('⑩ 원문 보관'!$A:$E,$CM$6+ROW()-9,COLUMN())))</f>
        <v/>
      </c>
      <c r="B627" t="str">
        <f>IF($CM$6=0,"",IF(INDEX('⑩ 원문 보관'!$A:$E,$CM$6+ROW()-9,COLUMN())="","",INDEX('⑩ 원문 보관'!$A:$E,$CM$6+ROW()-9,COLUMN())))</f>
        <v/>
      </c>
      <c r="C627" t="str">
        <f>IF($CM$6=0,"",IF(INDEX('⑩ 원문 보관'!$A:$E,$CM$6+ROW()-9,COLUMN())="","",INDEX('⑩ 원문 보관'!$A:$E,$CM$6+ROW()-9,COLUMN())))</f>
        <v/>
      </c>
      <c r="D627" t="str">
        <f>IF($CM$6=0,"",IF(INDEX('⑩ 원문 보관'!$A:$E,$CM$6+ROW()-9,COLUMN())="","",INDEX('⑩ 원문 보관'!$A:$E,$CM$6+ROW()-9,COLUMN())))</f>
        <v/>
      </c>
      <c r="E627" t="str">
        <f>IF($CM$6=0,"",IF(INDEX('⑩ 원문 보관'!$A:$E,$CM$6+ROW()-9,COLUMN())="","",INDEX('⑩ 원문 보관'!$A:$E,$CM$6+ROW()-9,COLUMN())))</f>
        <v/>
      </c>
      <c r="Q627">
        <f t="shared" si="270"/>
        <v>8</v>
      </c>
      <c r="R627" t="str">
        <f t="shared" si="250"/>
        <v/>
      </c>
      <c r="S627" t="str">
        <f t="shared" si="251"/>
        <v/>
      </c>
      <c r="T627" t="str">
        <f t="shared" si="252"/>
        <v/>
      </c>
      <c r="U627">
        <f t="shared" si="253"/>
        <v>0</v>
      </c>
      <c r="V627">
        <f t="shared" si="271"/>
        <v>12</v>
      </c>
      <c r="W627" t="str">
        <f t="shared" si="254"/>
        <v/>
      </c>
      <c r="X627" t="str">
        <f t="shared" si="255"/>
        <v/>
      </c>
      <c r="Y627" t="str">
        <f t="shared" si="256"/>
        <v/>
      </c>
      <c r="Z627">
        <f t="shared" si="257"/>
        <v>0</v>
      </c>
      <c r="AA627">
        <f t="shared" si="272"/>
        <v>6</v>
      </c>
      <c r="AB627" t="str">
        <f t="shared" si="258"/>
        <v/>
      </c>
      <c r="AC627" t="str">
        <f t="shared" si="259"/>
        <v/>
      </c>
      <c r="AD627" t="str">
        <f t="shared" si="260"/>
        <v/>
      </c>
      <c r="AE627">
        <f t="shared" si="261"/>
        <v>0</v>
      </c>
      <c r="AF627">
        <f t="shared" si="273"/>
        <v>10</v>
      </c>
      <c r="AG627" t="str">
        <f t="shared" si="262"/>
        <v/>
      </c>
      <c r="AH627" t="str">
        <f t="shared" si="263"/>
        <v/>
      </c>
      <c r="AI627" t="str">
        <f t="shared" si="264"/>
        <v/>
      </c>
      <c r="AJ627">
        <f t="shared" si="265"/>
        <v>0</v>
      </c>
      <c r="AK627">
        <f t="shared" si="274"/>
        <v>4</v>
      </c>
      <c r="AL627" t="str">
        <f t="shared" si="266"/>
        <v/>
      </c>
      <c r="AM627" t="str">
        <f t="shared" si="267"/>
        <v/>
      </c>
      <c r="AN627" t="str">
        <f t="shared" si="268"/>
        <v/>
      </c>
      <c r="AO627">
        <f t="shared" si="269"/>
        <v>0</v>
      </c>
    </row>
    <row r="628" spans="1:41" x14ac:dyDescent="0.4">
      <c r="A628" t="str">
        <f>IF($CM$6=0,"",IF(INDEX('⑩ 원문 보관'!$A:$E,$CM$6+ROW()-9,COLUMN())="","",INDEX('⑩ 원문 보관'!$A:$E,$CM$6+ROW()-9,COLUMN())))</f>
        <v/>
      </c>
      <c r="B628" t="str">
        <f>IF($CM$6=0,"",IF(INDEX('⑩ 원문 보관'!$A:$E,$CM$6+ROW()-9,COLUMN())="","",INDEX('⑩ 원문 보관'!$A:$E,$CM$6+ROW()-9,COLUMN())))</f>
        <v/>
      </c>
      <c r="C628" t="str">
        <f>IF($CM$6=0,"",IF(INDEX('⑩ 원문 보관'!$A:$E,$CM$6+ROW()-9,COLUMN())="","",INDEX('⑩ 원문 보관'!$A:$E,$CM$6+ROW()-9,COLUMN())))</f>
        <v/>
      </c>
      <c r="D628" t="str">
        <f>IF($CM$6=0,"",IF(INDEX('⑩ 원문 보관'!$A:$E,$CM$6+ROW()-9,COLUMN())="","",INDEX('⑩ 원문 보관'!$A:$E,$CM$6+ROW()-9,COLUMN())))</f>
        <v/>
      </c>
      <c r="E628" t="str">
        <f>IF($CM$6=0,"",IF(INDEX('⑩ 원문 보관'!$A:$E,$CM$6+ROW()-9,COLUMN())="","",INDEX('⑩ 원문 보관'!$A:$E,$CM$6+ROW()-9,COLUMN())))</f>
        <v/>
      </c>
      <c r="Q628">
        <f t="shared" si="270"/>
        <v>8</v>
      </c>
      <c r="R628" t="str">
        <f t="shared" si="250"/>
        <v/>
      </c>
      <c r="S628" t="str">
        <f t="shared" si="251"/>
        <v/>
      </c>
      <c r="T628" t="str">
        <f t="shared" si="252"/>
        <v/>
      </c>
      <c r="U628">
        <f t="shared" si="253"/>
        <v>0</v>
      </c>
      <c r="V628">
        <f t="shared" si="271"/>
        <v>12</v>
      </c>
      <c r="W628" t="str">
        <f t="shared" si="254"/>
        <v/>
      </c>
      <c r="X628" t="str">
        <f t="shared" si="255"/>
        <v/>
      </c>
      <c r="Y628" t="str">
        <f t="shared" si="256"/>
        <v/>
      </c>
      <c r="Z628">
        <f t="shared" si="257"/>
        <v>0</v>
      </c>
      <c r="AA628">
        <f t="shared" si="272"/>
        <v>6</v>
      </c>
      <c r="AB628" t="str">
        <f t="shared" si="258"/>
        <v/>
      </c>
      <c r="AC628" t="str">
        <f t="shared" si="259"/>
        <v/>
      </c>
      <c r="AD628" t="str">
        <f t="shared" si="260"/>
        <v/>
      </c>
      <c r="AE628">
        <f t="shared" si="261"/>
        <v>0</v>
      </c>
      <c r="AF628">
        <f t="shared" si="273"/>
        <v>10</v>
      </c>
      <c r="AG628" t="str">
        <f t="shared" si="262"/>
        <v/>
      </c>
      <c r="AH628" t="str">
        <f t="shared" si="263"/>
        <v/>
      </c>
      <c r="AI628" t="str">
        <f t="shared" si="264"/>
        <v/>
      </c>
      <c r="AJ628">
        <f t="shared" si="265"/>
        <v>0</v>
      </c>
      <c r="AK628">
        <f t="shared" si="274"/>
        <v>4</v>
      </c>
      <c r="AL628" t="str">
        <f t="shared" si="266"/>
        <v/>
      </c>
      <c r="AM628" t="str">
        <f t="shared" si="267"/>
        <v/>
      </c>
      <c r="AN628" t="str">
        <f t="shared" si="268"/>
        <v/>
      </c>
      <c r="AO628">
        <f t="shared" si="269"/>
        <v>0</v>
      </c>
    </row>
    <row r="629" spans="1:41" x14ac:dyDescent="0.4">
      <c r="A629" t="str">
        <f>IF($CM$6=0,"",IF(INDEX('⑩ 원문 보관'!$A:$E,$CM$6+ROW()-9,COLUMN())="","",INDEX('⑩ 원문 보관'!$A:$E,$CM$6+ROW()-9,COLUMN())))</f>
        <v/>
      </c>
      <c r="B629" t="str">
        <f>IF($CM$6=0,"",IF(INDEX('⑩ 원문 보관'!$A:$E,$CM$6+ROW()-9,COLUMN())="","",INDEX('⑩ 원문 보관'!$A:$E,$CM$6+ROW()-9,COLUMN())))</f>
        <v/>
      </c>
      <c r="C629" t="str">
        <f>IF($CM$6=0,"",IF(INDEX('⑩ 원문 보관'!$A:$E,$CM$6+ROW()-9,COLUMN())="","",INDEX('⑩ 원문 보관'!$A:$E,$CM$6+ROW()-9,COLUMN())))</f>
        <v/>
      </c>
      <c r="D629" t="str">
        <f>IF($CM$6=0,"",IF(INDEX('⑩ 원문 보관'!$A:$E,$CM$6+ROW()-9,COLUMN())="","",INDEX('⑩ 원문 보관'!$A:$E,$CM$6+ROW()-9,COLUMN())))</f>
        <v/>
      </c>
      <c r="E629" t="str">
        <f>IF($CM$6=0,"",IF(INDEX('⑩ 원문 보관'!$A:$E,$CM$6+ROW()-9,COLUMN())="","",INDEX('⑩ 원문 보관'!$A:$E,$CM$6+ROW()-9,COLUMN())))</f>
        <v/>
      </c>
      <c r="Q629">
        <f t="shared" si="270"/>
        <v>8</v>
      </c>
      <c r="R629" t="str">
        <f t="shared" si="250"/>
        <v/>
      </c>
      <c r="S629" t="str">
        <f t="shared" si="251"/>
        <v/>
      </c>
      <c r="T629" t="str">
        <f t="shared" si="252"/>
        <v/>
      </c>
      <c r="U629">
        <f t="shared" si="253"/>
        <v>0</v>
      </c>
      <c r="V629">
        <f t="shared" si="271"/>
        <v>12</v>
      </c>
      <c r="W629" t="str">
        <f t="shared" si="254"/>
        <v/>
      </c>
      <c r="X629" t="str">
        <f t="shared" si="255"/>
        <v/>
      </c>
      <c r="Y629" t="str">
        <f t="shared" si="256"/>
        <v/>
      </c>
      <c r="Z629">
        <f t="shared" si="257"/>
        <v>0</v>
      </c>
      <c r="AA629">
        <f t="shared" si="272"/>
        <v>6</v>
      </c>
      <c r="AB629" t="str">
        <f t="shared" si="258"/>
        <v/>
      </c>
      <c r="AC629" t="str">
        <f t="shared" si="259"/>
        <v/>
      </c>
      <c r="AD629" t="str">
        <f t="shared" si="260"/>
        <v/>
      </c>
      <c r="AE629">
        <f t="shared" si="261"/>
        <v>0</v>
      </c>
      <c r="AF629">
        <f t="shared" si="273"/>
        <v>10</v>
      </c>
      <c r="AG629" t="str">
        <f t="shared" si="262"/>
        <v/>
      </c>
      <c r="AH629" t="str">
        <f t="shared" si="263"/>
        <v/>
      </c>
      <c r="AI629" t="str">
        <f t="shared" si="264"/>
        <v/>
      </c>
      <c r="AJ629">
        <f t="shared" si="265"/>
        <v>0</v>
      </c>
      <c r="AK629">
        <f t="shared" si="274"/>
        <v>4</v>
      </c>
      <c r="AL629" t="str">
        <f t="shared" si="266"/>
        <v/>
      </c>
      <c r="AM629" t="str">
        <f t="shared" si="267"/>
        <v/>
      </c>
      <c r="AN629" t="str">
        <f t="shared" si="268"/>
        <v/>
      </c>
      <c r="AO629">
        <f t="shared" si="269"/>
        <v>0</v>
      </c>
    </row>
    <row r="630" spans="1:41" x14ac:dyDescent="0.4">
      <c r="A630" t="str">
        <f>IF($CM$6=0,"",IF(INDEX('⑩ 원문 보관'!$A:$E,$CM$6+ROW()-9,COLUMN())="","",INDEX('⑩ 원문 보관'!$A:$E,$CM$6+ROW()-9,COLUMN())))</f>
        <v/>
      </c>
      <c r="B630" t="str">
        <f>IF($CM$6=0,"",IF(INDEX('⑩ 원문 보관'!$A:$E,$CM$6+ROW()-9,COLUMN())="","",INDEX('⑩ 원문 보관'!$A:$E,$CM$6+ROW()-9,COLUMN())))</f>
        <v/>
      </c>
      <c r="C630" t="str">
        <f>IF($CM$6=0,"",IF(INDEX('⑩ 원문 보관'!$A:$E,$CM$6+ROW()-9,COLUMN())="","",INDEX('⑩ 원문 보관'!$A:$E,$CM$6+ROW()-9,COLUMN())))</f>
        <v/>
      </c>
      <c r="D630" t="str">
        <f>IF($CM$6=0,"",IF(INDEX('⑩ 원문 보관'!$A:$E,$CM$6+ROW()-9,COLUMN())="","",INDEX('⑩ 원문 보관'!$A:$E,$CM$6+ROW()-9,COLUMN())))</f>
        <v/>
      </c>
      <c r="E630" t="str">
        <f>IF($CM$6=0,"",IF(INDEX('⑩ 원문 보관'!$A:$E,$CM$6+ROW()-9,COLUMN())="","",INDEX('⑩ 원문 보관'!$A:$E,$CM$6+ROW()-9,COLUMN())))</f>
        <v/>
      </c>
      <c r="Q630">
        <f t="shared" si="270"/>
        <v>8</v>
      </c>
      <c r="R630" t="str">
        <f t="shared" si="250"/>
        <v/>
      </c>
      <c r="S630" t="str">
        <f t="shared" si="251"/>
        <v/>
      </c>
      <c r="T630" t="str">
        <f t="shared" si="252"/>
        <v/>
      </c>
      <c r="U630">
        <f t="shared" si="253"/>
        <v>0</v>
      </c>
      <c r="V630">
        <f t="shared" si="271"/>
        <v>12</v>
      </c>
      <c r="W630" t="str">
        <f t="shared" si="254"/>
        <v/>
      </c>
      <c r="X630" t="str">
        <f t="shared" si="255"/>
        <v/>
      </c>
      <c r="Y630" t="str">
        <f t="shared" si="256"/>
        <v/>
      </c>
      <c r="Z630">
        <f t="shared" si="257"/>
        <v>0</v>
      </c>
      <c r="AA630">
        <f t="shared" si="272"/>
        <v>6</v>
      </c>
      <c r="AB630" t="str">
        <f t="shared" si="258"/>
        <v/>
      </c>
      <c r="AC630" t="str">
        <f t="shared" si="259"/>
        <v/>
      </c>
      <c r="AD630" t="str">
        <f t="shared" si="260"/>
        <v/>
      </c>
      <c r="AE630">
        <f t="shared" si="261"/>
        <v>0</v>
      </c>
      <c r="AF630">
        <f t="shared" si="273"/>
        <v>10</v>
      </c>
      <c r="AG630" t="str">
        <f t="shared" si="262"/>
        <v/>
      </c>
      <c r="AH630" t="str">
        <f t="shared" si="263"/>
        <v/>
      </c>
      <c r="AI630" t="str">
        <f t="shared" si="264"/>
        <v/>
      </c>
      <c r="AJ630">
        <f t="shared" si="265"/>
        <v>0</v>
      </c>
      <c r="AK630">
        <f t="shared" si="274"/>
        <v>4</v>
      </c>
      <c r="AL630" t="str">
        <f t="shared" si="266"/>
        <v/>
      </c>
      <c r="AM630" t="str">
        <f t="shared" si="267"/>
        <v/>
      </c>
      <c r="AN630" t="str">
        <f t="shared" si="268"/>
        <v/>
      </c>
      <c r="AO630">
        <f t="shared" si="269"/>
        <v>0</v>
      </c>
    </row>
    <row r="631" spans="1:41" x14ac:dyDescent="0.4">
      <c r="A631" t="str">
        <f>IF($CM$6=0,"",IF(INDEX('⑩ 원문 보관'!$A:$E,$CM$6+ROW()-9,COLUMN())="","",INDEX('⑩ 원문 보관'!$A:$E,$CM$6+ROW()-9,COLUMN())))</f>
        <v/>
      </c>
      <c r="B631" t="str">
        <f>IF($CM$6=0,"",IF(INDEX('⑩ 원문 보관'!$A:$E,$CM$6+ROW()-9,COLUMN())="","",INDEX('⑩ 원문 보관'!$A:$E,$CM$6+ROW()-9,COLUMN())))</f>
        <v/>
      </c>
      <c r="C631" t="str">
        <f>IF($CM$6=0,"",IF(INDEX('⑩ 원문 보관'!$A:$E,$CM$6+ROW()-9,COLUMN())="","",INDEX('⑩ 원문 보관'!$A:$E,$CM$6+ROW()-9,COLUMN())))</f>
        <v/>
      </c>
      <c r="D631" t="str">
        <f>IF($CM$6=0,"",IF(INDEX('⑩ 원문 보관'!$A:$E,$CM$6+ROW()-9,COLUMN())="","",INDEX('⑩ 원문 보관'!$A:$E,$CM$6+ROW()-9,COLUMN())))</f>
        <v/>
      </c>
      <c r="E631" t="str">
        <f>IF($CM$6=0,"",IF(INDEX('⑩ 원문 보관'!$A:$E,$CM$6+ROW()-9,COLUMN())="","",INDEX('⑩ 원문 보관'!$A:$E,$CM$6+ROW()-9,COLUMN())))</f>
        <v/>
      </c>
      <c r="Q631">
        <f t="shared" si="270"/>
        <v>8</v>
      </c>
      <c r="R631" t="str">
        <f t="shared" si="250"/>
        <v/>
      </c>
      <c r="S631" t="str">
        <f t="shared" si="251"/>
        <v/>
      </c>
      <c r="T631" t="str">
        <f t="shared" si="252"/>
        <v/>
      </c>
      <c r="U631">
        <f t="shared" si="253"/>
        <v>0</v>
      </c>
      <c r="V631">
        <f t="shared" si="271"/>
        <v>12</v>
      </c>
      <c r="W631" t="str">
        <f t="shared" si="254"/>
        <v/>
      </c>
      <c r="X631" t="str">
        <f t="shared" si="255"/>
        <v/>
      </c>
      <c r="Y631" t="str">
        <f t="shared" si="256"/>
        <v/>
      </c>
      <c r="Z631">
        <f t="shared" si="257"/>
        <v>0</v>
      </c>
      <c r="AA631">
        <f t="shared" si="272"/>
        <v>6</v>
      </c>
      <c r="AB631" t="str">
        <f t="shared" si="258"/>
        <v/>
      </c>
      <c r="AC631" t="str">
        <f t="shared" si="259"/>
        <v/>
      </c>
      <c r="AD631" t="str">
        <f t="shared" si="260"/>
        <v/>
      </c>
      <c r="AE631">
        <f t="shared" si="261"/>
        <v>0</v>
      </c>
      <c r="AF631">
        <f t="shared" si="273"/>
        <v>10</v>
      </c>
      <c r="AG631" t="str">
        <f t="shared" si="262"/>
        <v/>
      </c>
      <c r="AH631" t="str">
        <f t="shared" si="263"/>
        <v/>
      </c>
      <c r="AI631" t="str">
        <f t="shared" si="264"/>
        <v/>
      </c>
      <c r="AJ631">
        <f t="shared" si="265"/>
        <v>0</v>
      </c>
      <c r="AK631">
        <f t="shared" si="274"/>
        <v>4</v>
      </c>
      <c r="AL631" t="str">
        <f t="shared" si="266"/>
        <v/>
      </c>
      <c r="AM631" t="str">
        <f t="shared" si="267"/>
        <v/>
      </c>
      <c r="AN631" t="str">
        <f t="shared" si="268"/>
        <v/>
      </c>
      <c r="AO631">
        <f t="shared" si="269"/>
        <v>0</v>
      </c>
    </row>
    <row r="632" spans="1:41" x14ac:dyDescent="0.4">
      <c r="A632" t="str">
        <f>IF($CM$6=0,"",IF(INDEX('⑩ 원문 보관'!$A:$E,$CM$6+ROW()-9,COLUMN())="","",INDEX('⑩ 원문 보관'!$A:$E,$CM$6+ROW()-9,COLUMN())))</f>
        <v/>
      </c>
      <c r="B632" t="str">
        <f>IF($CM$6=0,"",IF(INDEX('⑩ 원문 보관'!$A:$E,$CM$6+ROW()-9,COLUMN())="","",INDEX('⑩ 원문 보관'!$A:$E,$CM$6+ROW()-9,COLUMN())))</f>
        <v/>
      </c>
      <c r="C632" t="str">
        <f>IF($CM$6=0,"",IF(INDEX('⑩ 원문 보관'!$A:$E,$CM$6+ROW()-9,COLUMN())="","",INDEX('⑩ 원문 보관'!$A:$E,$CM$6+ROW()-9,COLUMN())))</f>
        <v/>
      </c>
      <c r="D632" t="str">
        <f>IF($CM$6=0,"",IF(INDEX('⑩ 원문 보관'!$A:$E,$CM$6+ROW()-9,COLUMN())="","",INDEX('⑩ 원문 보관'!$A:$E,$CM$6+ROW()-9,COLUMN())))</f>
        <v/>
      </c>
      <c r="E632" t="str">
        <f>IF($CM$6=0,"",IF(INDEX('⑩ 원문 보관'!$A:$E,$CM$6+ROW()-9,COLUMN())="","",INDEX('⑩ 원문 보관'!$A:$E,$CM$6+ROW()-9,COLUMN())))</f>
        <v/>
      </c>
      <c r="Q632">
        <f t="shared" si="270"/>
        <v>8</v>
      </c>
      <c r="R632" t="str">
        <f t="shared" si="250"/>
        <v/>
      </c>
      <c r="S632" t="str">
        <f t="shared" si="251"/>
        <v/>
      </c>
      <c r="T632" t="str">
        <f t="shared" si="252"/>
        <v/>
      </c>
      <c r="U632">
        <f t="shared" si="253"/>
        <v>0</v>
      </c>
      <c r="V632">
        <f t="shared" si="271"/>
        <v>12</v>
      </c>
      <c r="W632" t="str">
        <f t="shared" si="254"/>
        <v/>
      </c>
      <c r="X632" t="str">
        <f t="shared" si="255"/>
        <v/>
      </c>
      <c r="Y632" t="str">
        <f t="shared" si="256"/>
        <v/>
      </c>
      <c r="Z632">
        <f t="shared" si="257"/>
        <v>0</v>
      </c>
      <c r="AA632">
        <f t="shared" si="272"/>
        <v>6</v>
      </c>
      <c r="AB632" t="str">
        <f t="shared" si="258"/>
        <v/>
      </c>
      <c r="AC632" t="str">
        <f t="shared" si="259"/>
        <v/>
      </c>
      <c r="AD632" t="str">
        <f t="shared" si="260"/>
        <v/>
      </c>
      <c r="AE632">
        <f t="shared" si="261"/>
        <v>0</v>
      </c>
      <c r="AF632">
        <f t="shared" si="273"/>
        <v>10</v>
      </c>
      <c r="AG632" t="str">
        <f t="shared" si="262"/>
        <v/>
      </c>
      <c r="AH632" t="str">
        <f t="shared" si="263"/>
        <v/>
      </c>
      <c r="AI632" t="str">
        <f t="shared" si="264"/>
        <v/>
      </c>
      <c r="AJ632">
        <f t="shared" si="265"/>
        <v>0</v>
      </c>
      <c r="AK632">
        <f t="shared" si="274"/>
        <v>4</v>
      </c>
      <c r="AL632" t="str">
        <f t="shared" si="266"/>
        <v/>
      </c>
      <c r="AM632" t="str">
        <f t="shared" si="267"/>
        <v/>
      </c>
      <c r="AN632" t="str">
        <f t="shared" si="268"/>
        <v/>
      </c>
      <c r="AO632">
        <f t="shared" si="269"/>
        <v>0</v>
      </c>
    </row>
    <row r="633" spans="1:41" x14ac:dyDescent="0.4">
      <c r="A633" t="str">
        <f>IF($CM$6=0,"",IF(INDEX('⑩ 원문 보관'!$A:$E,$CM$6+ROW()-9,COLUMN())="","",INDEX('⑩ 원문 보관'!$A:$E,$CM$6+ROW()-9,COLUMN())))</f>
        <v/>
      </c>
      <c r="B633" t="str">
        <f>IF($CM$6=0,"",IF(INDEX('⑩ 원문 보관'!$A:$E,$CM$6+ROW()-9,COLUMN())="","",INDEX('⑩ 원문 보관'!$A:$E,$CM$6+ROW()-9,COLUMN())))</f>
        <v/>
      </c>
      <c r="C633" t="str">
        <f>IF($CM$6=0,"",IF(INDEX('⑩ 원문 보관'!$A:$E,$CM$6+ROW()-9,COLUMN())="","",INDEX('⑩ 원문 보관'!$A:$E,$CM$6+ROW()-9,COLUMN())))</f>
        <v/>
      </c>
      <c r="D633" t="str">
        <f>IF($CM$6=0,"",IF(INDEX('⑩ 원문 보관'!$A:$E,$CM$6+ROW()-9,COLUMN())="","",INDEX('⑩ 원문 보관'!$A:$E,$CM$6+ROW()-9,COLUMN())))</f>
        <v/>
      </c>
      <c r="E633" t="str">
        <f>IF($CM$6=0,"",IF(INDEX('⑩ 원문 보관'!$A:$E,$CM$6+ROW()-9,COLUMN())="","",INDEX('⑩ 원문 보관'!$A:$E,$CM$6+ROW()-9,COLUMN())))</f>
        <v/>
      </c>
      <c r="Q633">
        <f t="shared" si="270"/>
        <v>8</v>
      </c>
      <c r="R633" t="str">
        <f t="shared" si="250"/>
        <v/>
      </c>
      <c r="S633" t="str">
        <f t="shared" si="251"/>
        <v/>
      </c>
      <c r="T633" t="str">
        <f t="shared" si="252"/>
        <v/>
      </c>
      <c r="U633">
        <f t="shared" si="253"/>
        <v>0</v>
      </c>
      <c r="V633">
        <f t="shared" si="271"/>
        <v>12</v>
      </c>
      <c r="W633" t="str">
        <f t="shared" si="254"/>
        <v/>
      </c>
      <c r="X633" t="str">
        <f t="shared" si="255"/>
        <v/>
      </c>
      <c r="Y633" t="str">
        <f t="shared" si="256"/>
        <v/>
      </c>
      <c r="Z633">
        <f t="shared" si="257"/>
        <v>0</v>
      </c>
      <c r="AA633">
        <f t="shared" si="272"/>
        <v>6</v>
      </c>
      <c r="AB633" t="str">
        <f t="shared" si="258"/>
        <v/>
      </c>
      <c r="AC633" t="str">
        <f t="shared" si="259"/>
        <v/>
      </c>
      <c r="AD633" t="str">
        <f t="shared" si="260"/>
        <v/>
      </c>
      <c r="AE633">
        <f t="shared" si="261"/>
        <v>0</v>
      </c>
      <c r="AF633">
        <f t="shared" si="273"/>
        <v>10</v>
      </c>
      <c r="AG633" t="str">
        <f t="shared" si="262"/>
        <v/>
      </c>
      <c r="AH633" t="str">
        <f t="shared" si="263"/>
        <v/>
      </c>
      <c r="AI633" t="str">
        <f t="shared" si="264"/>
        <v/>
      </c>
      <c r="AJ633">
        <f t="shared" si="265"/>
        <v>0</v>
      </c>
      <c r="AK633">
        <f t="shared" si="274"/>
        <v>4</v>
      </c>
      <c r="AL633" t="str">
        <f t="shared" si="266"/>
        <v/>
      </c>
      <c r="AM633" t="str">
        <f t="shared" si="267"/>
        <v/>
      </c>
      <c r="AN633" t="str">
        <f t="shared" si="268"/>
        <v/>
      </c>
      <c r="AO633">
        <f t="shared" si="269"/>
        <v>0</v>
      </c>
    </row>
    <row r="634" spans="1:41" x14ac:dyDescent="0.4">
      <c r="A634" t="str">
        <f>IF($CM$6=0,"",IF(INDEX('⑩ 원문 보관'!$A:$E,$CM$6+ROW()-9,COLUMN())="","",INDEX('⑩ 원문 보관'!$A:$E,$CM$6+ROW()-9,COLUMN())))</f>
        <v/>
      </c>
      <c r="B634" t="str">
        <f>IF($CM$6=0,"",IF(INDEX('⑩ 원문 보관'!$A:$E,$CM$6+ROW()-9,COLUMN())="","",INDEX('⑩ 원문 보관'!$A:$E,$CM$6+ROW()-9,COLUMN())))</f>
        <v/>
      </c>
      <c r="C634" t="str">
        <f>IF($CM$6=0,"",IF(INDEX('⑩ 원문 보관'!$A:$E,$CM$6+ROW()-9,COLUMN())="","",INDEX('⑩ 원문 보관'!$A:$E,$CM$6+ROW()-9,COLUMN())))</f>
        <v/>
      </c>
      <c r="D634" t="str">
        <f>IF($CM$6=0,"",IF(INDEX('⑩ 원문 보관'!$A:$E,$CM$6+ROW()-9,COLUMN())="","",INDEX('⑩ 원문 보관'!$A:$E,$CM$6+ROW()-9,COLUMN())))</f>
        <v/>
      </c>
      <c r="E634" t="str">
        <f>IF($CM$6=0,"",IF(INDEX('⑩ 원문 보관'!$A:$E,$CM$6+ROW()-9,COLUMN())="","",INDEX('⑩ 원문 보관'!$A:$E,$CM$6+ROW()-9,COLUMN())))</f>
        <v/>
      </c>
      <c r="Q634">
        <f t="shared" si="270"/>
        <v>8</v>
      </c>
      <c r="R634" t="str">
        <f t="shared" si="250"/>
        <v/>
      </c>
      <c r="S634" t="str">
        <f t="shared" si="251"/>
        <v/>
      </c>
      <c r="T634" t="str">
        <f t="shared" si="252"/>
        <v/>
      </c>
      <c r="U634">
        <f t="shared" si="253"/>
        <v>0</v>
      </c>
      <c r="V634">
        <f t="shared" si="271"/>
        <v>12</v>
      </c>
      <c r="W634" t="str">
        <f t="shared" si="254"/>
        <v/>
      </c>
      <c r="X634" t="str">
        <f t="shared" si="255"/>
        <v/>
      </c>
      <c r="Y634" t="str">
        <f t="shared" si="256"/>
        <v/>
      </c>
      <c r="Z634">
        <f t="shared" si="257"/>
        <v>0</v>
      </c>
      <c r="AA634">
        <f t="shared" si="272"/>
        <v>6</v>
      </c>
      <c r="AB634" t="str">
        <f t="shared" si="258"/>
        <v/>
      </c>
      <c r="AC634" t="str">
        <f t="shared" si="259"/>
        <v/>
      </c>
      <c r="AD634" t="str">
        <f t="shared" si="260"/>
        <v/>
      </c>
      <c r="AE634">
        <f t="shared" si="261"/>
        <v>0</v>
      </c>
      <c r="AF634">
        <f t="shared" si="273"/>
        <v>10</v>
      </c>
      <c r="AG634" t="str">
        <f t="shared" si="262"/>
        <v/>
      </c>
      <c r="AH634" t="str">
        <f t="shared" si="263"/>
        <v/>
      </c>
      <c r="AI634" t="str">
        <f t="shared" si="264"/>
        <v/>
      </c>
      <c r="AJ634">
        <f t="shared" si="265"/>
        <v>0</v>
      </c>
      <c r="AK634">
        <f t="shared" si="274"/>
        <v>4</v>
      </c>
      <c r="AL634" t="str">
        <f t="shared" si="266"/>
        <v/>
      </c>
      <c r="AM634" t="str">
        <f t="shared" si="267"/>
        <v/>
      </c>
      <c r="AN634" t="str">
        <f t="shared" si="268"/>
        <v/>
      </c>
      <c r="AO634">
        <f t="shared" si="269"/>
        <v>0</v>
      </c>
    </row>
    <row r="635" spans="1:41" x14ac:dyDescent="0.4">
      <c r="A635" t="str">
        <f>IF($CM$6=0,"",IF(INDEX('⑩ 원문 보관'!$A:$E,$CM$6+ROW()-9,COLUMN())="","",INDEX('⑩ 원문 보관'!$A:$E,$CM$6+ROW()-9,COLUMN())))</f>
        <v/>
      </c>
      <c r="B635" t="str">
        <f>IF($CM$6=0,"",IF(INDEX('⑩ 원문 보관'!$A:$E,$CM$6+ROW()-9,COLUMN())="","",INDEX('⑩ 원문 보관'!$A:$E,$CM$6+ROW()-9,COLUMN())))</f>
        <v/>
      </c>
      <c r="C635" t="str">
        <f>IF($CM$6=0,"",IF(INDEX('⑩ 원문 보관'!$A:$E,$CM$6+ROW()-9,COLUMN())="","",INDEX('⑩ 원문 보관'!$A:$E,$CM$6+ROW()-9,COLUMN())))</f>
        <v/>
      </c>
      <c r="D635" t="str">
        <f>IF($CM$6=0,"",IF(INDEX('⑩ 원문 보관'!$A:$E,$CM$6+ROW()-9,COLUMN())="","",INDEX('⑩ 원문 보관'!$A:$E,$CM$6+ROW()-9,COLUMN())))</f>
        <v/>
      </c>
      <c r="E635" t="str">
        <f>IF($CM$6=0,"",IF(INDEX('⑩ 원문 보관'!$A:$E,$CM$6+ROW()-9,COLUMN())="","",INDEX('⑩ 원문 보관'!$A:$E,$CM$6+ROW()-9,COLUMN())))</f>
        <v/>
      </c>
      <c r="Q635">
        <f t="shared" si="270"/>
        <v>8</v>
      </c>
      <c r="R635" t="str">
        <f t="shared" si="250"/>
        <v/>
      </c>
      <c r="S635" t="str">
        <f t="shared" si="251"/>
        <v/>
      </c>
      <c r="T635" t="str">
        <f t="shared" si="252"/>
        <v/>
      </c>
      <c r="U635">
        <f t="shared" si="253"/>
        <v>0</v>
      </c>
      <c r="V635">
        <f t="shared" si="271"/>
        <v>12</v>
      </c>
      <c r="W635" t="str">
        <f t="shared" si="254"/>
        <v/>
      </c>
      <c r="X635" t="str">
        <f t="shared" si="255"/>
        <v/>
      </c>
      <c r="Y635" t="str">
        <f t="shared" si="256"/>
        <v/>
      </c>
      <c r="Z635">
        <f t="shared" si="257"/>
        <v>0</v>
      </c>
      <c r="AA635">
        <f t="shared" si="272"/>
        <v>6</v>
      </c>
      <c r="AB635" t="str">
        <f t="shared" si="258"/>
        <v/>
      </c>
      <c r="AC635" t="str">
        <f t="shared" si="259"/>
        <v/>
      </c>
      <c r="AD635" t="str">
        <f t="shared" si="260"/>
        <v/>
      </c>
      <c r="AE635">
        <f t="shared" si="261"/>
        <v>0</v>
      </c>
      <c r="AF635">
        <f t="shared" si="273"/>
        <v>10</v>
      </c>
      <c r="AG635" t="str">
        <f t="shared" si="262"/>
        <v/>
      </c>
      <c r="AH635" t="str">
        <f t="shared" si="263"/>
        <v/>
      </c>
      <c r="AI635" t="str">
        <f t="shared" si="264"/>
        <v/>
      </c>
      <c r="AJ635">
        <f t="shared" si="265"/>
        <v>0</v>
      </c>
      <c r="AK635">
        <f t="shared" si="274"/>
        <v>4</v>
      </c>
      <c r="AL635" t="str">
        <f t="shared" si="266"/>
        <v/>
      </c>
      <c r="AM635" t="str">
        <f t="shared" si="267"/>
        <v/>
      </c>
      <c r="AN635" t="str">
        <f t="shared" si="268"/>
        <v/>
      </c>
      <c r="AO635">
        <f t="shared" si="269"/>
        <v>0</v>
      </c>
    </row>
    <row r="636" spans="1:41" x14ac:dyDescent="0.4">
      <c r="A636" t="str">
        <f>IF($CM$6=0,"",IF(INDEX('⑩ 원문 보관'!$A:$E,$CM$6+ROW()-9,COLUMN())="","",INDEX('⑩ 원문 보관'!$A:$E,$CM$6+ROW()-9,COLUMN())))</f>
        <v/>
      </c>
      <c r="B636" t="str">
        <f>IF($CM$6=0,"",IF(INDEX('⑩ 원문 보관'!$A:$E,$CM$6+ROW()-9,COLUMN())="","",INDEX('⑩ 원문 보관'!$A:$E,$CM$6+ROW()-9,COLUMN())))</f>
        <v/>
      </c>
      <c r="C636" t="str">
        <f>IF($CM$6=0,"",IF(INDEX('⑩ 원문 보관'!$A:$E,$CM$6+ROW()-9,COLUMN())="","",INDEX('⑩ 원문 보관'!$A:$E,$CM$6+ROW()-9,COLUMN())))</f>
        <v/>
      </c>
      <c r="D636" t="str">
        <f>IF($CM$6=0,"",IF(INDEX('⑩ 원문 보관'!$A:$E,$CM$6+ROW()-9,COLUMN())="","",INDEX('⑩ 원문 보관'!$A:$E,$CM$6+ROW()-9,COLUMN())))</f>
        <v/>
      </c>
      <c r="E636" t="str">
        <f>IF($CM$6=0,"",IF(INDEX('⑩ 원문 보관'!$A:$E,$CM$6+ROW()-9,COLUMN())="","",INDEX('⑩ 원문 보관'!$A:$E,$CM$6+ROW()-9,COLUMN())))</f>
        <v/>
      </c>
      <c r="Q636">
        <f t="shared" si="270"/>
        <v>8</v>
      </c>
      <c r="R636" t="str">
        <f t="shared" si="250"/>
        <v/>
      </c>
      <c r="S636" t="str">
        <f t="shared" si="251"/>
        <v/>
      </c>
      <c r="T636" t="str">
        <f t="shared" si="252"/>
        <v/>
      </c>
      <c r="U636">
        <f t="shared" si="253"/>
        <v>0</v>
      </c>
      <c r="V636">
        <f t="shared" si="271"/>
        <v>12</v>
      </c>
      <c r="W636" t="str">
        <f t="shared" si="254"/>
        <v/>
      </c>
      <c r="X636" t="str">
        <f t="shared" si="255"/>
        <v/>
      </c>
      <c r="Y636" t="str">
        <f t="shared" si="256"/>
        <v/>
      </c>
      <c r="Z636">
        <f t="shared" si="257"/>
        <v>0</v>
      </c>
      <c r="AA636">
        <f t="shared" si="272"/>
        <v>6</v>
      </c>
      <c r="AB636" t="str">
        <f t="shared" si="258"/>
        <v/>
      </c>
      <c r="AC636" t="str">
        <f t="shared" si="259"/>
        <v/>
      </c>
      <c r="AD636" t="str">
        <f t="shared" si="260"/>
        <v/>
      </c>
      <c r="AE636">
        <f t="shared" si="261"/>
        <v>0</v>
      </c>
      <c r="AF636">
        <f t="shared" si="273"/>
        <v>10</v>
      </c>
      <c r="AG636" t="str">
        <f t="shared" si="262"/>
        <v/>
      </c>
      <c r="AH636" t="str">
        <f t="shared" si="263"/>
        <v/>
      </c>
      <c r="AI636" t="str">
        <f t="shared" si="264"/>
        <v/>
      </c>
      <c r="AJ636">
        <f t="shared" si="265"/>
        <v>0</v>
      </c>
      <c r="AK636">
        <f t="shared" si="274"/>
        <v>4</v>
      </c>
      <c r="AL636" t="str">
        <f t="shared" si="266"/>
        <v/>
      </c>
      <c r="AM636" t="str">
        <f t="shared" si="267"/>
        <v/>
      </c>
      <c r="AN636" t="str">
        <f t="shared" si="268"/>
        <v/>
      </c>
      <c r="AO636">
        <f t="shared" si="269"/>
        <v>0</v>
      </c>
    </row>
    <row r="637" spans="1:41" x14ac:dyDescent="0.4">
      <c r="A637" t="str">
        <f>IF($CM$6=0,"",IF(INDEX('⑩ 원문 보관'!$A:$E,$CM$6+ROW()-9,COLUMN())="","",INDEX('⑩ 원문 보관'!$A:$E,$CM$6+ROW()-9,COLUMN())))</f>
        <v/>
      </c>
      <c r="B637" t="str">
        <f>IF($CM$6=0,"",IF(INDEX('⑩ 원문 보관'!$A:$E,$CM$6+ROW()-9,COLUMN())="","",INDEX('⑩ 원문 보관'!$A:$E,$CM$6+ROW()-9,COLUMN())))</f>
        <v/>
      </c>
      <c r="C637" t="str">
        <f>IF($CM$6=0,"",IF(INDEX('⑩ 원문 보관'!$A:$E,$CM$6+ROW()-9,COLUMN())="","",INDEX('⑩ 원문 보관'!$A:$E,$CM$6+ROW()-9,COLUMN())))</f>
        <v/>
      </c>
      <c r="D637" t="str">
        <f>IF($CM$6=0,"",IF(INDEX('⑩ 원문 보관'!$A:$E,$CM$6+ROW()-9,COLUMN())="","",INDEX('⑩ 원문 보관'!$A:$E,$CM$6+ROW()-9,COLUMN())))</f>
        <v/>
      </c>
      <c r="E637" t="str">
        <f>IF($CM$6=0,"",IF(INDEX('⑩ 원문 보관'!$A:$E,$CM$6+ROW()-9,COLUMN())="","",INDEX('⑩ 원문 보관'!$A:$E,$CM$6+ROW()-9,COLUMN())))</f>
        <v/>
      </c>
      <c r="Q637">
        <f t="shared" si="270"/>
        <v>8</v>
      </c>
      <c r="R637" t="str">
        <f t="shared" si="250"/>
        <v/>
      </c>
      <c r="S637" t="str">
        <f t="shared" si="251"/>
        <v/>
      </c>
      <c r="T637" t="str">
        <f t="shared" si="252"/>
        <v/>
      </c>
      <c r="U637">
        <f t="shared" si="253"/>
        <v>0</v>
      </c>
      <c r="V637">
        <f t="shared" si="271"/>
        <v>12</v>
      </c>
      <c r="W637" t="str">
        <f t="shared" si="254"/>
        <v/>
      </c>
      <c r="X637" t="str">
        <f t="shared" si="255"/>
        <v/>
      </c>
      <c r="Y637" t="str">
        <f t="shared" si="256"/>
        <v/>
      </c>
      <c r="Z637">
        <f t="shared" si="257"/>
        <v>0</v>
      </c>
      <c r="AA637">
        <f t="shared" si="272"/>
        <v>6</v>
      </c>
      <c r="AB637" t="str">
        <f t="shared" si="258"/>
        <v/>
      </c>
      <c r="AC637" t="str">
        <f t="shared" si="259"/>
        <v/>
      </c>
      <c r="AD637" t="str">
        <f t="shared" si="260"/>
        <v/>
      </c>
      <c r="AE637">
        <f t="shared" si="261"/>
        <v>0</v>
      </c>
      <c r="AF637">
        <f t="shared" si="273"/>
        <v>10</v>
      </c>
      <c r="AG637" t="str">
        <f t="shared" si="262"/>
        <v/>
      </c>
      <c r="AH637" t="str">
        <f t="shared" si="263"/>
        <v/>
      </c>
      <c r="AI637" t="str">
        <f t="shared" si="264"/>
        <v/>
      </c>
      <c r="AJ637">
        <f t="shared" si="265"/>
        <v>0</v>
      </c>
      <c r="AK637">
        <f t="shared" si="274"/>
        <v>4</v>
      </c>
      <c r="AL637" t="str">
        <f t="shared" si="266"/>
        <v/>
      </c>
      <c r="AM637" t="str">
        <f t="shared" si="267"/>
        <v/>
      </c>
      <c r="AN637" t="str">
        <f t="shared" si="268"/>
        <v/>
      </c>
      <c r="AO637">
        <f t="shared" si="269"/>
        <v>0</v>
      </c>
    </row>
    <row r="638" spans="1:41" x14ac:dyDescent="0.4">
      <c r="A638" t="str">
        <f>IF($CM$6=0,"",IF(INDEX('⑩ 원문 보관'!$A:$E,$CM$6+ROW()-9,COLUMN())="","",INDEX('⑩ 원문 보관'!$A:$E,$CM$6+ROW()-9,COLUMN())))</f>
        <v/>
      </c>
      <c r="B638" t="str">
        <f>IF($CM$6=0,"",IF(INDEX('⑩ 원문 보관'!$A:$E,$CM$6+ROW()-9,COLUMN())="","",INDEX('⑩ 원문 보관'!$A:$E,$CM$6+ROW()-9,COLUMN())))</f>
        <v/>
      </c>
      <c r="C638" t="str">
        <f>IF($CM$6=0,"",IF(INDEX('⑩ 원문 보관'!$A:$E,$CM$6+ROW()-9,COLUMN())="","",INDEX('⑩ 원문 보관'!$A:$E,$CM$6+ROW()-9,COLUMN())))</f>
        <v/>
      </c>
      <c r="D638" t="str">
        <f>IF($CM$6=0,"",IF(INDEX('⑩ 원문 보관'!$A:$E,$CM$6+ROW()-9,COLUMN())="","",INDEX('⑩ 원문 보관'!$A:$E,$CM$6+ROW()-9,COLUMN())))</f>
        <v/>
      </c>
      <c r="E638" t="str">
        <f>IF($CM$6=0,"",IF(INDEX('⑩ 원문 보관'!$A:$E,$CM$6+ROW()-9,COLUMN())="","",INDEX('⑩ 원문 보관'!$A:$E,$CM$6+ROW()-9,COLUMN())))</f>
        <v/>
      </c>
      <c r="Q638">
        <f t="shared" si="270"/>
        <v>8</v>
      </c>
      <c r="R638" t="str">
        <f t="shared" si="250"/>
        <v/>
      </c>
      <c r="S638" t="str">
        <f t="shared" si="251"/>
        <v/>
      </c>
      <c r="T638" t="str">
        <f t="shared" si="252"/>
        <v/>
      </c>
      <c r="U638">
        <f t="shared" si="253"/>
        <v>0</v>
      </c>
      <c r="V638">
        <f t="shared" si="271"/>
        <v>12</v>
      </c>
      <c r="W638" t="str">
        <f t="shared" si="254"/>
        <v/>
      </c>
      <c r="X638" t="str">
        <f t="shared" si="255"/>
        <v/>
      </c>
      <c r="Y638" t="str">
        <f t="shared" si="256"/>
        <v/>
      </c>
      <c r="Z638">
        <f t="shared" si="257"/>
        <v>0</v>
      </c>
      <c r="AA638">
        <f t="shared" si="272"/>
        <v>6</v>
      </c>
      <c r="AB638" t="str">
        <f t="shared" si="258"/>
        <v/>
      </c>
      <c r="AC638" t="str">
        <f t="shared" si="259"/>
        <v/>
      </c>
      <c r="AD638" t="str">
        <f t="shared" si="260"/>
        <v/>
      </c>
      <c r="AE638">
        <f t="shared" si="261"/>
        <v>0</v>
      </c>
      <c r="AF638">
        <f t="shared" si="273"/>
        <v>10</v>
      </c>
      <c r="AG638" t="str">
        <f t="shared" si="262"/>
        <v/>
      </c>
      <c r="AH638" t="str">
        <f t="shared" si="263"/>
        <v/>
      </c>
      <c r="AI638" t="str">
        <f t="shared" si="264"/>
        <v/>
      </c>
      <c r="AJ638">
        <f t="shared" si="265"/>
        <v>0</v>
      </c>
      <c r="AK638">
        <f t="shared" si="274"/>
        <v>4</v>
      </c>
      <c r="AL638" t="str">
        <f t="shared" si="266"/>
        <v/>
      </c>
      <c r="AM638" t="str">
        <f t="shared" si="267"/>
        <v/>
      </c>
      <c r="AN638" t="str">
        <f t="shared" si="268"/>
        <v/>
      </c>
      <c r="AO638">
        <f t="shared" si="269"/>
        <v>0</v>
      </c>
    </row>
    <row r="639" spans="1:41" x14ac:dyDescent="0.4">
      <c r="A639" t="str">
        <f>IF($CM$6=0,"",IF(INDEX('⑩ 원문 보관'!$A:$E,$CM$6+ROW()-9,COLUMN())="","",INDEX('⑩ 원문 보관'!$A:$E,$CM$6+ROW()-9,COLUMN())))</f>
        <v/>
      </c>
      <c r="B639" t="str">
        <f>IF($CM$6=0,"",IF(INDEX('⑩ 원문 보관'!$A:$E,$CM$6+ROW()-9,COLUMN())="","",INDEX('⑩ 원문 보관'!$A:$E,$CM$6+ROW()-9,COLUMN())))</f>
        <v/>
      </c>
      <c r="C639" t="str">
        <f>IF($CM$6=0,"",IF(INDEX('⑩ 원문 보관'!$A:$E,$CM$6+ROW()-9,COLUMN())="","",INDEX('⑩ 원문 보관'!$A:$E,$CM$6+ROW()-9,COLUMN())))</f>
        <v/>
      </c>
      <c r="D639" t="str">
        <f>IF($CM$6=0,"",IF(INDEX('⑩ 원문 보관'!$A:$E,$CM$6+ROW()-9,COLUMN())="","",INDEX('⑩ 원문 보관'!$A:$E,$CM$6+ROW()-9,COLUMN())))</f>
        <v/>
      </c>
      <c r="E639" t="str">
        <f>IF($CM$6=0,"",IF(INDEX('⑩ 원문 보관'!$A:$E,$CM$6+ROW()-9,COLUMN())="","",INDEX('⑩ 원문 보관'!$A:$E,$CM$6+ROW()-9,COLUMN())))</f>
        <v/>
      </c>
      <c r="Q639">
        <f t="shared" si="270"/>
        <v>8</v>
      </c>
      <c r="R639" t="str">
        <f t="shared" si="250"/>
        <v/>
      </c>
      <c r="S639" t="str">
        <f t="shared" si="251"/>
        <v/>
      </c>
      <c r="T639" t="str">
        <f t="shared" si="252"/>
        <v/>
      </c>
      <c r="U639">
        <f t="shared" si="253"/>
        <v>0</v>
      </c>
      <c r="V639">
        <f t="shared" si="271"/>
        <v>12</v>
      </c>
      <c r="W639" t="str">
        <f t="shared" si="254"/>
        <v/>
      </c>
      <c r="X639" t="str">
        <f t="shared" si="255"/>
        <v/>
      </c>
      <c r="Y639" t="str">
        <f t="shared" si="256"/>
        <v/>
      </c>
      <c r="Z639">
        <f t="shared" si="257"/>
        <v>0</v>
      </c>
      <c r="AA639">
        <f t="shared" si="272"/>
        <v>6</v>
      </c>
      <c r="AB639" t="str">
        <f t="shared" si="258"/>
        <v/>
      </c>
      <c r="AC639" t="str">
        <f t="shared" si="259"/>
        <v/>
      </c>
      <c r="AD639" t="str">
        <f t="shared" si="260"/>
        <v/>
      </c>
      <c r="AE639">
        <f t="shared" si="261"/>
        <v>0</v>
      </c>
      <c r="AF639">
        <f t="shared" si="273"/>
        <v>10</v>
      </c>
      <c r="AG639" t="str">
        <f t="shared" si="262"/>
        <v/>
      </c>
      <c r="AH639" t="str">
        <f t="shared" si="263"/>
        <v/>
      </c>
      <c r="AI639" t="str">
        <f t="shared" si="264"/>
        <v/>
      </c>
      <c r="AJ639">
        <f t="shared" si="265"/>
        <v>0</v>
      </c>
      <c r="AK639">
        <f t="shared" si="274"/>
        <v>4</v>
      </c>
      <c r="AL639" t="str">
        <f t="shared" si="266"/>
        <v/>
      </c>
      <c r="AM639" t="str">
        <f t="shared" si="267"/>
        <v/>
      </c>
      <c r="AN639" t="str">
        <f t="shared" si="268"/>
        <v/>
      </c>
      <c r="AO639">
        <f t="shared" si="269"/>
        <v>0</v>
      </c>
    </row>
    <row r="640" spans="1:41" x14ac:dyDescent="0.4">
      <c r="A640" t="str">
        <f>IF($CM$6=0,"",IF(INDEX('⑩ 원문 보관'!$A:$E,$CM$6+ROW()-9,COLUMN())="","",INDEX('⑩ 원문 보관'!$A:$E,$CM$6+ROW()-9,COLUMN())))</f>
        <v/>
      </c>
      <c r="B640" t="str">
        <f>IF($CM$6=0,"",IF(INDEX('⑩ 원문 보관'!$A:$E,$CM$6+ROW()-9,COLUMN())="","",INDEX('⑩ 원문 보관'!$A:$E,$CM$6+ROW()-9,COLUMN())))</f>
        <v/>
      </c>
      <c r="C640" t="str">
        <f>IF($CM$6=0,"",IF(INDEX('⑩ 원문 보관'!$A:$E,$CM$6+ROW()-9,COLUMN())="","",INDEX('⑩ 원문 보관'!$A:$E,$CM$6+ROW()-9,COLUMN())))</f>
        <v/>
      </c>
      <c r="D640" t="str">
        <f>IF($CM$6=0,"",IF(INDEX('⑩ 원문 보관'!$A:$E,$CM$6+ROW()-9,COLUMN())="","",INDEX('⑩ 원문 보관'!$A:$E,$CM$6+ROW()-9,COLUMN())))</f>
        <v/>
      </c>
      <c r="E640" t="str">
        <f>IF($CM$6=0,"",IF(INDEX('⑩ 원문 보관'!$A:$E,$CM$6+ROW()-9,COLUMN())="","",INDEX('⑩ 원문 보관'!$A:$E,$CM$6+ROW()-9,COLUMN())))</f>
        <v/>
      </c>
      <c r="Q640">
        <f t="shared" si="270"/>
        <v>8</v>
      </c>
      <c r="R640" t="str">
        <f t="shared" si="250"/>
        <v/>
      </c>
      <c r="S640" t="str">
        <f t="shared" si="251"/>
        <v/>
      </c>
      <c r="T640" t="str">
        <f t="shared" si="252"/>
        <v/>
      </c>
      <c r="U640">
        <f t="shared" si="253"/>
        <v>0</v>
      </c>
      <c r="V640">
        <f t="shared" si="271"/>
        <v>12</v>
      </c>
      <c r="W640" t="str">
        <f t="shared" si="254"/>
        <v/>
      </c>
      <c r="X640" t="str">
        <f t="shared" si="255"/>
        <v/>
      </c>
      <c r="Y640" t="str">
        <f t="shared" si="256"/>
        <v/>
      </c>
      <c r="Z640">
        <f t="shared" si="257"/>
        <v>0</v>
      </c>
      <c r="AA640">
        <f t="shared" si="272"/>
        <v>6</v>
      </c>
      <c r="AB640" t="str">
        <f t="shared" si="258"/>
        <v/>
      </c>
      <c r="AC640" t="str">
        <f t="shared" si="259"/>
        <v/>
      </c>
      <c r="AD640" t="str">
        <f t="shared" si="260"/>
        <v/>
      </c>
      <c r="AE640">
        <f t="shared" si="261"/>
        <v>0</v>
      </c>
      <c r="AF640">
        <f t="shared" si="273"/>
        <v>10</v>
      </c>
      <c r="AG640" t="str">
        <f t="shared" si="262"/>
        <v/>
      </c>
      <c r="AH640" t="str">
        <f t="shared" si="263"/>
        <v/>
      </c>
      <c r="AI640" t="str">
        <f t="shared" si="264"/>
        <v/>
      </c>
      <c r="AJ640">
        <f t="shared" si="265"/>
        <v>0</v>
      </c>
      <c r="AK640">
        <f t="shared" si="274"/>
        <v>4</v>
      </c>
      <c r="AL640" t="str">
        <f t="shared" si="266"/>
        <v/>
      </c>
      <c r="AM640" t="str">
        <f t="shared" si="267"/>
        <v/>
      </c>
      <c r="AN640" t="str">
        <f t="shared" si="268"/>
        <v/>
      </c>
      <c r="AO640">
        <f t="shared" si="269"/>
        <v>0</v>
      </c>
    </row>
    <row r="641" spans="1:41" x14ac:dyDescent="0.4">
      <c r="A641" t="str">
        <f>IF($CM$6=0,"",IF(INDEX('⑩ 원문 보관'!$A:$E,$CM$6+ROW()-9,COLUMN())="","",INDEX('⑩ 원문 보관'!$A:$E,$CM$6+ROW()-9,COLUMN())))</f>
        <v/>
      </c>
      <c r="B641" t="str">
        <f>IF($CM$6=0,"",IF(INDEX('⑩ 원문 보관'!$A:$E,$CM$6+ROW()-9,COLUMN())="","",INDEX('⑩ 원문 보관'!$A:$E,$CM$6+ROW()-9,COLUMN())))</f>
        <v/>
      </c>
      <c r="C641" t="str">
        <f>IF($CM$6=0,"",IF(INDEX('⑩ 원문 보관'!$A:$E,$CM$6+ROW()-9,COLUMN())="","",INDEX('⑩ 원문 보관'!$A:$E,$CM$6+ROW()-9,COLUMN())))</f>
        <v/>
      </c>
      <c r="D641" t="str">
        <f>IF($CM$6=0,"",IF(INDEX('⑩ 원문 보관'!$A:$E,$CM$6+ROW()-9,COLUMN())="","",INDEX('⑩ 원문 보관'!$A:$E,$CM$6+ROW()-9,COLUMN())))</f>
        <v/>
      </c>
      <c r="E641" t="str">
        <f>IF($CM$6=0,"",IF(INDEX('⑩ 원문 보관'!$A:$E,$CM$6+ROW()-9,COLUMN())="","",INDEX('⑩ 원문 보관'!$A:$E,$CM$6+ROW()-9,COLUMN())))</f>
        <v/>
      </c>
      <c r="Q641">
        <f t="shared" si="270"/>
        <v>8</v>
      </c>
      <c r="R641" t="str">
        <f t="shared" si="250"/>
        <v/>
      </c>
      <c r="S641" t="str">
        <f t="shared" si="251"/>
        <v/>
      </c>
      <c r="T641" t="str">
        <f t="shared" si="252"/>
        <v/>
      </c>
      <c r="U641">
        <f t="shared" si="253"/>
        <v>0</v>
      </c>
      <c r="V641">
        <f t="shared" si="271"/>
        <v>12</v>
      </c>
      <c r="W641" t="str">
        <f t="shared" si="254"/>
        <v/>
      </c>
      <c r="X641" t="str">
        <f t="shared" si="255"/>
        <v/>
      </c>
      <c r="Y641" t="str">
        <f t="shared" si="256"/>
        <v/>
      </c>
      <c r="Z641">
        <f t="shared" si="257"/>
        <v>0</v>
      </c>
      <c r="AA641">
        <f t="shared" si="272"/>
        <v>6</v>
      </c>
      <c r="AB641" t="str">
        <f t="shared" si="258"/>
        <v/>
      </c>
      <c r="AC641" t="str">
        <f t="shared" si="259"/>
        <v/>
      </c>
      <c r="AD641" t="str">
        <f t="shared" si="260"/>
        <v/>
      </c>
      <c r="AE641">
        <f t="shared" si="261"/>
        <v>0</v>
      </c>
      <c r="AF641">
        <f t="shared" si="273"/>
        <v>10</v>
      </c>
      <c r="AG641" t="str">
        <f t="shared" si="262"/>
        <v/>
      </c>
      <c r="AH641" t="str">
        <f t="shared" si="263"/>
        <v/>
      </c>
      <c r="AI641" t="str">
        <f t="shared" si="264"/>
        <v/>
      </c>
      <c r="AJ641">
        <f t="shared" si="265"/>
        <v>0</v>
      </c>
      <c r="AK641">
        <f t="shared" si="274"/>
        <v>4</v>
      </c>
      <c r="AL641" t="str">
        <f t="shared" si="266"/>
        <v/>
      </c>
      <c r="AM641" t="str">
        <f t="shared" si="267"/>
        <v/>
      </c>
      <c r="AN641" t="str">
        <f t="shared" si="268"/>
        <v/>
      </c>
      <c r="AO641">
        <f t="shared" si="269"/>
        <v>0</v>
      </c>
    </row>
    <row r="642" spans="1:41" x14ac:dyDescent="0.4">
      <c r="A642" t="str">
        <f>IF($CM$6=0,"",IF(INDEX('⑩ 원문 보관'!$A:$E,$CM$6+ROW()-9,COLUMN())="","",INDEX('⑩ 원문 보관'!$A:$E,$CM$6+ROW()-9,COLUMN())))</f>
        <v/>
      </c>
      <c r="B642" t="str">
        <f>IF($CM$6=0,"",IF(INDEX('⑩ 원문 보관'!$A:$E,$CM$6+ROW()-9,COLUMN())="","",INDEX('⑩ 원문 보관'!$A:$E,$CM$6+ROW()-9,COLUMN())))</f>
        <v/>
      </c>
      <c r="C642" t="str">
        <f>IF($CM$6=0,"",IF(INDEX('⑩ 원문 보관'!$A:$E,$CM$6+ROW()-9,COLUMN())="","",INDEX('⑩ 원문 보관'!$A:$E,$CM$6+ROW()-9,COLUMN())))</f>
        <v/>
      </c>
      <c r="D642" t="str">
        <f>IF($CM$6=0,"",IF(INDEX('⑩ 원문 보관'!$A:$E,$CM$6+ROW()-9,COLUMN())="","",INDEX('⑩ 원문 보관'!$A:$E,$CM$6+ROW()-9,COLUMN())))</f>
        <v/>
      </c>
      <c r="E642" t="str">
        <f>IF($CM$6=0,"",IF(INDEX('⑩ 원문 보관'!$A:$E,$CM$6+ROW()-9,COLUMN())="","",INDEX('⑩ 원문 보관'!$A:$E,$CM$6+ROW()-9,COLUMN())))</f>
        <v/>
      </c>
      <c r="Q642">
        <f t="shared" si="270"/>
        <v>8</v>
      </c>
      <c r="R642" t="str">
        <f t="shared" si="250"/>
        <v/>
      </c>
      <c r="S642" t="str">
        <f t="shared" si="251"/>
        <v/>
      </c>
      <c r="T642" t="str">
        <f t="shared" si="252"/>
        <v/>
      </c>
      <c r="U642">
        <f t="shared" si="253"/>
        <v>0</v>
      </c>
      <c r="V642">
        <f t="shared" si="271"/>
        <v>12</v>
      </c>
      <c r="W642" t="str">
        <f t="shared" si="254"/>
        <v/>
      </c>
      <c r="X642" t="str">
        <f t="shared" si="255"/>
        <v/>
      </c>
      <c r="Y642" t="str">
        <f t="shared" si="256"/>
        <v/>
      </c>
      <c r="Z642">
        <f t="shared" si="257"/>
        <v>0</v>
      </c>
      <c r="AA642">
        <f t="shared" si="272"/>
        <v>6</v>
      </c>
      <c r="AB642" t="str">
        <f t="shared" si="258"/>
        <v/>
      </c>
      <c r="AC642" t="str">
        <f t="shared" si="259"/>
        <v/>
      </c>
      <c r="AD642" t="str">
        <f t="shared" si="260"/>
        <v/>
      </c>
      <c r="AE642">
        <f t="shared" si="261"/>
        <v>0</v>
      </c>
      <c r="AF642">
        <f t="shared" si="273"/>
        <v>10</v>
      </c>
      <c r="AG642" t="str">
        <f t="shared" si="262"/>
        <v/>
      </c>
      <c r="AH642" t="str">
        <f t="shared" si="263"/>
        <v/>
      </c>
      <c r="AI642" t="str">
        <f t="shared" si="264"/>
        <v/>
      </c>
      <c r="AJ642">
        <f t="shared" si="265"/>
        <v>0</v>
      </c>
      <c r="AK642">
        <f t="shared" si="274"/>
        <v>4</v>
      </c>
      <c r="AL642" t="str">
        <f t="shared" si="266"/>
        <v/>
      </c>
      <c r="AM642" t="str">
        <f t="shared" si="267"/>
        <v/>
      </c>
      <c r="AN642" t="str">
        <f t="shared" si="268"/>
        <v/>
      </c>
      <c r="AO642">
        <f t="shared" si="269"/>
        <v>0</v>
      </c>
    </row>
    <row r="643" spans="1:41" x14ac:dyDescent="0.4">
      <c r="A643" t="str">
        <f>IF($CM$6=0,"",IF(INDEX('⑩ 원문 보관'!$A:$E,$CM$6+ROW()-9,COLUMN())="","",INDEX('⑩ 원문 보관'!$A:$E,$CM$6+ROW()-9,COLUMN())))</f>
        <v/>
      </c>
      <c r="B643" t="str">
        <f>IF($CM$6=0,"",IF(INDEX('⑩ 원문 보관'!$A:$E,$CM$6+ROW()-9,COLUMN())="","",INDEX('⑩ 원문 보관'!$A:$E,$CM$6+ROW()-9,COLUMN())))</f>
        <v/>
      </c>
      <c r="C643" t="str">
        <f>IF($CM$6=0,"",IF(INDEX('⑩ 원문 보관'!$A:$E,$CM$6+ROW()-9,COLUMN())="","",INDEX('⑩ 원문 보관'!$A:$E,$CM$6+ROW()-9,COLUMN())))</f>
        <v/>
      </c>
      <c r="D643" t="str">
        <f>IF($CM$6=0,"",IF(INDEX('⑩ 원문 보관'!$A:$E,$CM$6+ROW()-9,COLUMN())="","",INDEX('⑩ 원문 보관'!$A:$E,$CM$6+ROW()-9,COLUMN())))</f>
        <v/>
      </c>
      <c r="E643" t="str">
        <f>IF($CM$6=0,"",IF(INDEX('⑩ 원문 보관'!$A:$E,$CM$6+ROW()-9,COLUMN())="","",INDEX('⑩ 원문 보관'!$A:$E,$CM$6+ROW()-9,COLUMN())))</f>
        <v/>
      </c>
      <c r="Q643">
        <f t="shared" si="270"/>
        <v>8</v>
      </c>
      <c r="R643" t="str">
        <f t="shared" si="250"/>
        <v/>
      </c>
      <c r="S643" t="str">
        <f t="shared" si="251"/>
        <v/>
      </c>
      <c r="T643" t="str">
        <f t="shared" si="252"/>
        <v/>
      </c>
      <c r="U643">
        <f t="shared" si="253"/>
        <v>0</v>
      </c>
      <c r="V643">
        <f t="shared" si="271"/>
        <v>12</v>
      </c>
      <c r="W643" t="str">
        <f t="shared" si="254"/>
        <v/>
      </c>
      <c r="X643" t="str">
        <f t="shared" si="255"/>
        <v/>
      </c>
      <c r="Y643" t="str">
        <f t="shared" si="256"/>
        <v/>
      </c>
      <c r="Z643">
        <f t="shared" si="257"/>
        <v>0</v>
      </c>
      <c r="AA643">
        <f t="shared" si="272"/>
        <v>6</v>
      </c>
      <c r="AB643" t="str">
        <f t="shared" si="258"/>
        <v/>
      </c>
      <c r="AC643" t="str">
        <f t="shared" si="259"/>
        <v/>
      </c>
      <c r="AD643" t="str">
        <f t="shared" si="260"/>
        <v/>
      </c>
      <c r="AE643">
        <f t="shared" si="261"/>
        <v>0</v>
      </c>
      <c r="AF643">
        <f t="shared" si="273"/>
        <v>10</v>
      </c>
      <c r="AG643" t="str">
        <f t="shared" si="262"/>
        <v/>
      </c>
      <c r="AH643" t="str">
        <f t="shared" si="263"/>
        <v/>
      </c>
      <c r="AI643" t="str">
        <f t="shared" si="264"/>
        <v/>
      </c>
      <c r="AJ643">
        <f t="shared" si="265"/>
        <v>0</v>
      </c>
      <c r="AK643">
        <f t="shared" si="274"/>
        <v>4</v>
      </c>
      <c r="AL643" t="str">
        <f t="shared" si="266"/>
        <v/>
      </c>
      <c r="AM643" t="str">
        <f t="shared" si="267"/>
        <v/>
      </c>
      <c r="AN643" t="str">
        <f t="shared" si="268"/>
        <v/>
      </c>
      <c r="AO643">
        <f t="shared" si="269"/>
        <v>0</v>
      </c>
    </row>
    <row r="644" spans="1:41" x14ac:dyDescent="0.4">
      <c r="A644" t="str">
        <f>IF($CM$6=0,"",IF(INDEX('⑩ 원문 보관'!$A:$E,$CM$6+ROW()-9,COLUMN())="","",INDEX('⑩ 원문 보관'!$A:$E,$CM$6+ROW()-9,COLUMN())))</f>
        <v/>
      </c>
      <c r="B644" t="str">
        <f>IF($CM$6=0,"",IF(INDEX('⑩ 원문 보관'!$A:$E,$CM$6+ROW()-9,COLUMN())="","",INDEX('⑩ 원문 보관'!$A:$E,$CM$6+ROW()-9,COLUMN())))</f>
        <v/>
      </c>
      <c r="C644" t="str">
        <f>IF($CM$6=0,"",IF(INDEX('⑩ 원문 보관'!$A:$E,$CM$6+ROW()-9,COLUMN())="","",INDEX('⑩ 원문 보관'!$A:$E,$CM$6+ROW()-9,COLUMN())))</f>
        <v/>
      </c>
      <c r="D644" t="str">
        <f>IF($CM$6=0,"",IF(INDEX('⑩ 원문 보관'!$A:$E,$CM$6+ROW()-9,COLUMN())="","",INDEX('⑩ 원문 보관'!$A:$E,$CM$6+ROW()-9,COLUMN())))</f>
        <v/>
      </c>
      <c r="E644" t="str">
        <f>IF($CM$6=0,"",IF(INDEX('⑩ 원문 보관'!$A:$E,$CM$6+ROW()-9,COLUMN())="","",INDEX('⑩ 원문 보관'!$A:$E,$CM$6+ROW()-9,COLUMN())))</f>
        <v/>
      </c>
      <c r="Q644">
        <f t="shared" si="270"/>
        <v>8</v>
      </c>
      <c r="R644" t="str">
        <f t="shared" si="250"/>
        <v/>
      </c>
      <c r="S644" t="str">
        <f t="shared" si="251"/>
        <v/>
      </c>
      <c r="T644" t="str">
        <f t="shared" si="252"/>
        <v/>
      </c>
      <c r="U644">
        <f t="shared" si="253"/>
        <v>0</v>
      </c>
      <c r="V644">
        <f t="shared" si="271"/>
        <v>12</v>
      </c>
      <c r="W644" t="str">
        <f t="shared" si="254"/>
        <v/>
      </c>
      <c r="X644" t="str">
        <f t="shared" si="255"/>
        <v/>
      </c>
      <c r="Y644" t="str">
        <f t="shared" si="256"/>
        <v/>
      </c>
      <c r="Z644">
        <f t="shared" si="257"/>
        <v>0</v>
      </c>
      <c r="AA644">
        <f t="shared" si="272"/>
        <v>6</v>
      </c>
      <c r="AB644" t="str">
        <f t="shared" si="258"/>
        <v/>
      </c>
      <c r="AC644" t="str">
        <f t="shared" si="259"/>
        <v/>
      </c>
      <c r="AD644" t="str">
        <f t="shared" si="260"/>
        <v/>
      </c>
      <c r="AE644">
        <f t="shared" si="261"/>
        <v>0</v>
      </c>
      <c r="AF644">
        <f t="shared" si="273"/>
        <v>10</v>
      </c>
      <c r="AG644" t="str">
        <f t="shared" si="262"/>
        <v/>
      </c>
      <c r="AH644" t="str">
        <f t="shared" si="263"/>
        <v/>
      </c>
      <c r="AI644" t="str">
        <f t="shared" si="264"/>
        <v/>
      </c>
      <c r="AJ644">
        <f t="shared" si="265"/>
        <v>0</v>
      </c>
      <c r="AK644">
        <f t="shared" si="274"/>
        <v>4</v>
      </c>
      <c r="AL644" t="str">
        <f t="shared" si="266"/>
        <v/>
      </c>
      <c r="AM644" t="str">
        <f t="shared" si="267"/>
        <v/>
      </c>
      <c r="AN644" t="str">
        <f t="shared" si="268"/>
        <v/>
      </c>
      <c r="AO644">
        <f t="shared" si="269"/>
        <v>0</v>
      </c>
    </row>
    <row r="645" spans="1:41" x14ac:dyDescent="0.4">
      <c r="A645" t="str">
        <f>IF($CM$6=0,"",IF(INDEX('⑩ 원문 보관'!$A:$E,$CM$6+ROW()-9,COLUMN())="","",INDEX('⑩ 원문 보관'!$A:$E,$CM$6+ROW()-9,COLUMN())))</f>
        <v/>
      </c>
      <c r="B645" t="str">
        <f>IF($CM$6=0,"",IF(INDEX('⑩ 원문 보관'!$A:$E,$CM$6+ROW()-9,COLUMN())="","",INDEX('⑩ 원문 보관'!$A:$E,$CM$6+ROW()-9,COLUMN())))</f>
        <v/>
      </c>
      <c r="C645" t="str">
        <f>IF($CM$6=0,"",IF(INDEX('⑩ 원문 보관'!$A:$E,$CM$6+ROW()-9,COLUMN())="","",INDEX('⑩ 원문 보관'!$A:$E,$CM$6+ROW()-9,COLUMN())))</f>
        <v/>
      </c>
      <c r="D645" t="str">
        <f>IF($CM$6=0,"",IF(INDEX('⑩ 원문 보관'!$A:$E,$CM$6+ROW()-9,COLUMN())="","",INDEX('⑩ 원문 보관'!$A:$E,$CM$6+ROW()-9,COLUMN())))</f>
        <v/>
      </c>
      <c r="E645" t="str">
        <f>IF($CM$6=0,"",IF(INDEX('⑩ 원문 보관'!$A:$E,$CM$6+ROW()-9,COLUMN())="","",INDEX('⑩ 원문 보관'!$A:$E,$CM$6+ROW()-9,COLUMN())))</f>
        <v/>
      </c>
      <c r="Q645">
        <f t="shared" si="270"/>
        <v>8</v>
      </c>
      <c r="R645" t="str">
        <f t="shared" si="250"/>
        <v/>
      </c>
      <c r="S645" t="str">
        <f t="shared" si="251"/>
        <v/>
      </c>
      <c r="T645" t="str">
        <f t="shared" si="252"/>
        <v/>
      </c>
      <c r="U645">
        <f t="shared" si="253"/>
        <v>0</v>
      </c>
      <c r="V645">
        <f t="shared" si="271"/>
        <v>12</v>
      </c>
      <c r="W645" t="str">
        <f t="shared" si="254"/>
        <v/>
      </c>
      <c r="X645" t="str">
        <f t="shared" si="255"/>
        <v/>
      </c>
      <c r="Y645" t="str">
        <f t="shared" si="256"/>
        <v/>
      </c>
      <c r="Z645">
        <f t="shared" si="257"/>
        <v>0</v>
      </c>
      <c r="AA645">
        <f t="shared" si="272"/>
        <v>6</v>
      </c>
      <c r="AB645" t="str">
        <f t="shared" si="258"/>
        <v/>
      </c>
      <c r="AC645" t="str">
        <f t="shared" si="259"/>
        <v/>
      </c>
      <c r="AD645" t="str">
        <f t="shared" si="260"/>
        <v/>
      </c>
      <c r="AE645">
        <f t="shared" si="261"/>
        <v>0</v>
      </c>
      <c r="AF645">
        <f t="shared" si="273"/>
        <v>10</v>
      </c>
      <c r="AG645" t="str">
        <f t="shared" si="262"/>
        <v/>
      </c>
      <c r="AH645" t="str">
        <f t="shared" si="263"/>
        <v/>
      </c>
      <c r="AI645" t="str">
        <f t="shared" si="264"/>
        <v/>
      </c>
      <c r="AJ645">
        <f t="shared" si="265"/>
        <v>0</v>
      </c>
      <c r="AK645">
        <f t="shared" si="274"/>
        <v>4</v>
      </c>
      <c r="AL645" t="str">
        <f t="shared" si="266"/>
        <v/>
      </c>
      <c r="AM645" t="str">
        <f t="shared" si="267"/>
        <v/>
      </c>
      <c r="AN645" t="str">
        <f t="shared" si="268"/>
        <v/>
      </c>
      <c r="AO645">
        <f t="shared" si="269"/>
        <v>0</v>
      </c>
    </row>
    <row r="646" spans="1:41" x14ac:dyDescent="0.4">
      <c r="A646" t="str">
        <f>IF($CM$6=0,"",IF(INDEX('⑩ 원문 보관'!$A:$E,$CM$6+ROW()-9,COLUMN())="","",INDEX('⑩ 원문 보관'!$A:$E,$CM$6+ROW()-9,COLUMN())))</f>
        <v/>
      </c>
      <c r="B646" t="str">
        <f>IF($CM$6=0,"",IF(INDEX('⑩ 원문 보관'!$A:$E,$CM$6+ROW()-9,COLUMN())="","",INDEX('⑩ 원문 보관'!$A:$E,$CM$6+ROW()-9,COLUMN())))</f>
        <v/>
      </c>
      <c r="C646" t="str">
        <f>IF($CM$6=0,"",IF(INDEX('⑩ 원문 보관'!$A:$E,$CM$6+ROW()-9,COLUMN())="","",INDEX('⑩ 원문 보관'!$A:$E,$CM$6+ROW()-9,COLUMN())))</f>
        <v/>
      </c>
      <c r="D646" t="str">
        <f>IF($CM$6=0,"",IF(INDEX('⑩ 원문 보관'!$A:$E,$CM$6+ROW()-9,COLUMN())="","",INDEX('⑩ 원문 보관'!$A:$E,$CM$6+ROW()-9,COLUMN())))</f>
        <v/>
      </c>
      <c r="E646" t="str">
        <f>IF($CM$6=0,"",IF(INDEX('⑩ 원문 보관'!$A:$E,$CM$6+ROW()-9,COLUMN())="","",INDEX('⑩ 원문 보관'!$A:$E,$CM$6+ROW()-9,COLUMN())))</f>
        <v/>
      </c>
      <c r="Q646">
        <f t="shared" si="270"/>
        <v>8</v>
      </c>
      <c r="R646" t="str">
        <f t="shared" si="250"/>
        <v/>
      </c>
      <c r="S646" t="str">
        <f t="shared" si="251"/>
        <v/>
      </c>
      <c r="T646" t="str">
        <f t="shared" si="252"/>
        <v/>
      </c>
      <c r="U646">
        <f t="shared" si="253"/>
        <v>0</v>
      </c>
      <c r="V646">
        <f t="shared" si="271"/>
        <v>12</v>
      </c>
      <c r="W646" t="str">
        <f t="shared" si="254"/>
        <v/>
      </c>
      <c r="X646" t="str">
        <f t="shared" si="255"/>
        <v/>
      </c>
      <c r="Y646" t="str">
        <f t="shared" si="256"/>
        <v/>
      </c>
      <c r="Z646">
        <f t="shared" si="257"/>
        <v>0</v>
      </c>
      <c r="AA646">
        <f t="shared" si="272"/>
        <v>6</v>
      </c>
      <c r="AB646" t="str">
        <f t="shared" si="258"/>
        <v/>
      </c>
      <c r="AC646" t="str">
        <f t="shared" si="259"/>
        <v/>
      </c>
      <c r="AD646" t="str">
        <f t="shared" si="260"/>
        <v/>
      </c>
      <c r="AE646">
        <f t="shared" si="261"/>
        <v>0</v>
      </c>
      <c r="AF646">
        <f t="shared" si="273"/>
        <v>10</v>
      </c>
      <c r="AG646" t="str">
        <f t="shared" si="262"/>
        <v/>
      </c>
      <c r="AH646" t="str">
        <f t="shared" si="263"/>
        <v/>
      </c>
      <c r="AI646" t="str">
        <f t="shared" si="264"/>
        <v/>
      </c>
      <c r="AJ646">
        <f t="shared" si="265"/>
        <v>0</v>
      </c>
      <c r="AK646">
        <f t="shared" si="274"/>
        <v>4</v>
      </c>
      <c r="AL646" t="str">
        <f t="shared" si="266"/>
        <v/>
      </c>
      <c r="AM646" t="str">
        <f t="shared" si="267"/>
        <v/>
      </c>
      <c r="AN646" t="str">
        <f t="shared" si="268"/>
        <v/>
      </c>
      <c r="AO646">
        <f t="shared" si="269"/>
        <v>0</v>
      </c>
    </row>
    <row r="647" spans="1:41" x14ac:dyDescent="0.4">
      <c r="A647" t="str">
        <f>IF($CM$6=0,"",IF(INDEX('⑩ 원문 보관'!$A:$E,$CM$6+ROW()-9,COLUMN())="","",INDEX('⑩ 원문 보관'!$A:$E,$CM$6+ROW()-9,COLUMN())))</f>
        <v/>
      </c>
      <c r="B647" t="str">
        <f>IF($CM$6=0,"",IF(INDEX('⑩ 원문 보관'!$A:$E,$CM$6+ROW()-9,COLUMN())="","",INDEX('⑩ 원문 보관'!$A:$E,$CM$6+ROW()-9,COLUMN())))</f>
        <v/>
      </c>
      <c r="C647" t="str">
        <f>IF($CM$6=0,"",IF(INDEX('⑩ 원문 보관'!$A:$E,$CM$6+ROW()-9,COLUMN())="","",INDEX('⑩ 원문 보관'!$A:$E,$CM$6+ROW()-9,COLUMN())))</f>
        <v/>
      </c>
      <c r="D647" t="str">
        <f>IF($CM$6=0,"",IF(INDEX('⑩ 원문 보관'!$A:$E,$CM$6+ROW()-9,COLUMN())="","",INDEX('⑩ 원문 보관'!$A:$E,$CM$6+ROW()-9,COLUMN())))</f>
        <v/>
      </c>
      <c r="E647" t="str">
        <f>IF($CM$6=0,"",IF(INDEX('⑩ 원문 보관'!$A:$E,$CM$6+ROW()-9,COLUMN())="","",INDEX('⑩ 원문 보관'!$A:$E,$CM$6+ROW()-9,COLUMN())))</f>
        <v/>
      </c>
      <c r="Q647">
        <f t="shared" si="270"/>
        <v>8</v>
      </c>
      <c r="R647" t="str">
        <f t="shared" si="250"/>
        <v/>
      </c>
      <c r="S647" t="str">
        <f t="shared" si="251"/>
        <v/>
      </c>
      <c r="T647" t="str">
        <f t="shared" si="252"/>
        <v/>
      </c>
      <c r="U647">
        <f t="shared" si="253"/>
        <v>0</v>
      </c>
      <c r="V647">
        <f t="shared" si="271"/>
        <v>12</v>
      </c>
      <c r="W647" t="str">
        <f t="shared" si="254"/>
        <v/>
      </c>
      <c r="X647" t="str">
        <f t="shared" si="255"/>
        <v/>
      </c>
      <c r="Y647" t="str">
        <f t="shared" si="256"/>
        <v/>
      </c>
      <c r="Z647">
        <f t="shared" si="257"/>
        <v>0</v>
      </c>
      <c r="AA647">
        <f t="shared" si="272"/>
        <v>6</v>
      </c>
      <c r="AB647" t="str">
        <f t="shared" si="258"/>
        <v/>
      </c>
      <c r="AC647" t="str">
        <f t="shared" si="259"/>
        <v/>
      </c>
      <c r="AD647" t="str">
        <f t="shared" si="260"/>
        <v/>
      </c>
      <c r="AE647">
        <f t="shared" si="261"/>
        <v>0</v>
      </c>
      <c r="AF647">
        <f t="shared" si="273"/>
        <v>10</v>
      </c>
      <c r="AG647" t="str">
        <f t="shared" si="262"/>
        <v/>
      </c>
      <c r="AH647" t="str">
        <f t="shared" si="263"/>
        <v/>
      </c>
      <c r="AI647" t="str">
        <f t="shared" si="264"/>
        <v/>
      </c>
      <c r="AJ647">
        <f t="shared" si="265"/>
        <v>0</v>
      </c>
      <c r="AK647">
        <f t="shared" si="274"/>
        <v>4</v>
      </c>
      <c r="AL647" t="str">
        <f t="shared" si="266"/>
        <v/>
      </c>
      <c r="AM647" t="str">
        <f t="shared" si="267"/>
        <v/>
      </c>
      <c r="AN647" t="str">
        <f t="shared" si="268"/>
        <v/>
      </c>
      <c r="AO647">
        <f t="shared" si="269"/>
        <v>0</v>
      </c>
    </row>
    <row r="648" spans="1:41" x14ac:dyDescent="0.4">
      <c r="A648" t="str">
        <f>IF($CM$6=0,"",IF(INDEX('⑩ 원문 보관'!$A:$E,$CM$6+ROW()-9,COLUMN())="","",INDEX('⑩ 원문 보관'!$A:$E,$CM$6+ROW()-9,COLUMN())))</f>
        <v/>
      </c>
      <c r="B648" t="str">
        <f>IF($CM$6=0,"",IF(INDEX('⑩ 원문 보관'!$A:$E,$CM$6+ROW()-9,COLUMN())="","",INDEX('⑩ 원문 보관'!$A:$E,$CM$6+ROW()-9,COLUMN())))</f>
        <v/>
      </c>
      <c r="C648" t="str">
        <f>IF($CM$6=0,"",IF(INDEX('⑩ 원문 보관'!$A:$E,$CM$6+ROW()-9,COLUMN())="","",INDEX('⑩ 원문 보관'!$A:$E,$CM$6+ROW()-9,COLUMN())))</f>
        <v/>
      </c>
      <c r="D648" t="str">
        <f>IF($CM$6=0,"",IF(INDEX('⑩ 원문 보관'!$A:$E,$CM$6+ROW()-9,COLUMN())="","",INDEX('⑩ 원문 보관'!$A:$E,$CM$6+ROW()-9,COLUMN())))</f>
        <v/>
      </c>
      <c r="E648" t="str">
        <f>IF($CM$6=0,"",IF(INDEX('⑩ 원문 보관'!$A:$E,$CM$6+ROW()-9,COLUMN())="","",INDEX('⑩ 원문 보관'!$A:$E,$CM$6+ROW()-9,COLUMN())))</f>
        <v/>
      </c>
      <c r="Q648">
        <f t="shared" si="270"/>
        <v>8</v>
      </c>
      <c r="R648" t="str">
        <f t="shared" si="250"/>
        <v/>
      </c>
      <c r="S648" t="str">
        <f t="shared" si="251"/>
        <v/>
      </c>
      <c r="T648" t="str">
        <f t="shared" si="252"/>
        <v/>
      </c>
      <c r="U648">
        <f t="shared" si="253"/>
        <v>0</v>
      </c>
      <c r="V648">
        <f t="shared" si="271"/>
        <v>12</v>
      </c>
      <c r="W648" t="str">
        <f t="shared" si="254"/>
        <v/>
      </c>
      <c r="X648" t="str">
        <f t="shared" si="255"/>
        <v/>
      </c>
      <c r="Y648" t="str">
        <f t="shared" si="256"/>
        <v/>
      </c>
      <c r="Z648">
        <f t="shared" si="257"/>
        <v>0</v>
      </c>
      <c r="AA648">
        <f t="shared" si="272"/>
        <v>6</v>
      </c>
      <c r="AB648" t="str">
        <f t="shared" si="258"/>
        <v/>
      </c>
      <c r="AC648" t="str">
        <f t="shared" si="259"/>
        <v/>
      </c>
      <c r="AD648" t="str">
        <f t="shared" si="260"/>
        <v/>
      </c>
      <c r="AE648">
        <f t="shared" si="261"/>
        <v>0</v>
      </c>
      <c r="AF648">
        <f t="shared" si="273"/>
        <v>10</v>
      </c>
      <c r="AG648" t="str">
        <f t="shared" si="262"/>
        <v/>
      </c>
      <c r="AH648" t="str">
        <f t="shared" si="263"/>
        <v/>
      </c>
      <c r="AI648" t="str">
        <f t="shared" si="264"/>
        <v/>
      </c>
      <c r="AJ648">
        <f t="shared" si="265"/>
        <v>0</v>
      </c>
      <c r="AK648">
        <f t="shared" si="274"/>
        <v>4</v>
      </c>
      <c r="AL648" t="str">
        <f t="shared" si="266"/>
        <v/>
      </c>
      <c r="AM648" t="str">
        <f t="shared" si="267"/>
        <v/>
      </c>
      <c r="AN648" t="str">
        <f t="shared" si="268"/>
        <v/>
      </c>
      <c r="AO648">
        <f t="shared" si="269"/>
        <v>0</v>
      </c>
    </row>
    <row r="649" spans="1:41" x14ac:dyDescent="0.4">
      <c r="A649" t="str">
        <f>IF($CM$6=0,"",IF(INDEX('⑩ 원문 보관'!$A:$E,$CM$6+ROW()-9,COLUMN())="","",INDEX('⑩ 원문 보관'!$A:$E,$CM$6+ROW()-9,COLUMN())))</f>
        <v/>
      </c>
      <c r="B649" t="str">
        <f>IF($CM$6=0,"",IF(INDEX('⑩ 원문 보관'!$A:$E,$CM$6+ROW()-9,COLUMN())="","",INDEX('⑩ 원문 보관'!$A:$E,$CM$6+ROW()-9,COLUMN())))</f>
        <v/>
      </c>
      <c r="C649" t="str">
        <f>IF($CM$6=0,"",IF(INDEX('⑩ 원문 보관'!$A:$E,$CM$6+ROW()-9,COLUMN())="","",INDEX('⑩ 원문 보관'!$A:$E,$CM$6+ROW()-9,COLUMN())))</f>
        <v/>
      </c>
      <c r="D649" t="str">
        <f>IF($CM$6=0,"",IF(INDEX('⑩ 원문 보관'!$A:$E,$CM$6+ROW()-9,COLUMN())="","",INDEX('⑩ 원문 보관'!$A:$E,$CM$6+ROW()-9,COLUMN())))</f>
        <v/>
      </c>
      <c r="E649" t="str">
        <f>IF($CM$6=0,"",IF(INDEX('⑩ 원문 보관'!$A:$E,$CM$6+ROW()-9,COLUMN())="","",INDEX('⑩ 원문 보관'!$A:$E,$CM$6+ROW()-9,COLUMN())))</f>
        <v/>
      </c>
      <c r="Q649">
        <f t="shared" si="270"/>
        <v>8</v>
      </c>
      <c r="R649" t="str">
        <f t="shared" ref="R649:R708" si="275">IFERROR(IF(ISNUMBER(--LEFT(TRIM(A649),1)),VALUE(LEFT(TRIM(A649),6)),""),"")</f>
        <v/>
      </c>
      <c r="S649" t="str">
        <f t="shared" ref="S649:S708" si="276">IFERROR(VALUE(TRIM(MID(SUBSTITUTE(TRIM(A649)," ",REPT(" ",30)),31,30))),"")</f>
        <v/>
      </c>
      <c r="T649" t="str">
        <f t="shared" ref="T649:T708" si="277">IFERROR(TRIM(MID(SUBSTITUTE(TRIM(A649)," ",REPT(" ",30)),61,30)),"")</f>
        <v/>
      </c>
      <c r="U649">
        <f t="shared" ref="U649:U708" si="278">IF(OR(R649="",S649="",T649=""),0,IF(AND(S649&gt;1000,RIGHT(T649,1)&lt;&gt;"0"),1,0))</f>
        <v>0</v>
      </c>
      <c r="V649">
        <f t="shared" si="271"/>
        <v>12</v>
      </c>
      <c r="W649" t="str">
        <f t="shared" ref="W649:W708" si="279">IFERROR(IF(ISNUMBER(--LEFT(TRIM(B649),1)),VALUE(LEFT(TRIM(B649),6)),""),"")</f>
        <v/>
      </c>
      <c r="X649" t="str">
        <f t="shared" ref="X649:X708" si="280">IFERROR(VALUE(TRIM(MID(SUBSTITUTE(TRIM(B649)," ",REPT(" ",30)),31,30))),"")</f>
        <v/>
      </c>
      <c r="Y649" t="str">
        <f t="shared" ref="Y649:Y708" si="281">IFERROR(TRIM(MID(SUBSTITUTE(TRIM(B649)," ",REPT(" ",30)),61,30)),"")</f>
        <v/>
      </c>
      <c r="Z649">
        <f t="shared" ref="Z649:Z708" si="282">IF(OR(W649="",X649="",Y649=""),0,IF(AND(X649&gt;1000,RIGHT(Y649,1)&lt;&gt;"0"),1,0))</f>
        <v>0</v>
      </c>
      <c r="AA649">
        <f t="shared" si="272"/>
        <v>6</v>
      </c>
      <c r="AB649" t="str">
        <f t="shared" ref="AB649:AB708" si="283">IFERROR(IF(ISNUMBER(--LEFT(TRIM(C649),1)),VALUE(LEFT(TRIM(C649),6)),""),"")</f>
        <v/>
      </c>
      <c r="AC649" t="str">
        <f t="shared" ref="AC649:AC708" si="284">IFERROR(VALUE(TRIM(MID(SUBSTITUTE(TRIM(C649)," ",REPT(" ",30)),31,30))),"")</f>
        <v/>
      </c>
      <c r="AD649" t="str">
        <f t="shared" ref="AD649:AD708" si="285">IFERROR(TRIM(MID(SUBSTITUTE(TRIM(C649)," ",REPT(" ",30)),61,30)),"")</f>
        <v/>
      </c>
      <c r="AE649">
        <f t="shared" ref="AE649:AE708" si="286">IF(OR(AB649="",AC649="",AD649=""),0,IF(AND(AC649&gt;1000,RIGHT(AD649,1)&lt;&gt;"0"),1,0))</f>
        <v>0</v>
      </c>
      <c r="AF649">
        <f t="shared" si="273"/>
        <v>10</v>
      </c>
      <c r="AG649" t="str">
        <f t="shared" ref="AG649:AG708" si="287">IFERROR(IF(ISNUMBER(--LEFT(TRIM(D649),1)),VALUE(LEFT(TRIM(D649),6)),""),"")</f>
        <v/>
      </c>
      <c r="AH649" t="str">
        <f t="shared" ref="AH649:AH708" si="288">IFERROR(VALUE(TRIM(MID(SUBSTITUTE(TRIM(D649)," ",REPT(" ",30)),31,30))),"")</f>
        <v/>
      </c>
      <c r="AI649" t="str">
        <f t="shared" ref="AI649:AI708" si="289">IFERROR(TRIM(MID(SUBSTITUTE(TRIM(D649)," ",REPT(" ",30)),61,30)),"")</f>
        <v/>
      </c>
      <c r="AJ649">
        <f t="shared" ref="AJ649:AJ708" si="290">IF(OR(AG649="",AH649="",AI649=""),0,IF(AND(AH649&gt;1000,RIGHT(AI649,1)&lt;&gt;"0"),1,0))</f>
        <v>0</v>
      </c>
      <c r="AK649">
        <f t="shared" si="274"/>
        <v>4</v>
      </c>
      <c r="AL649" t="str">
        <f t="shared" ref="AL649:AL708" si="291">IFERROR(IF(ISNUMBER(--LEFT(TRIM(E649),1)),VALUE(LEFT(TRIM(E649),6)),""),"")</f>
        <v/>
      </c>
      <c r="AM649" t="str">
        <f t="shared" ref="AM649:AM708" si="292">IFERROR(VALUE(TRIM(MID(SUBSTITUTE(TRIM(E649)," ",REPT(" ",30)),31,30))),"")</f>
        <v/>
      </c>
      <c r="AN649" t="str">
        <f t="shared" ref="AN649:AN708" si="293">IFERROR(TRIM(MID(SUBSTITUTE(TRIM(E649)," ",REPT(" ",30)),61,30)),"")</f>
        <v/>
      </c>
      <c r="AO649">
        <f t="shared" ref="AO649:AO708" si="294">IF(OR(AL649="",AM649="",AN649=""),0,IF(AND(AM649&gt;1000,RIGHT(AN649,1)&lt;&gt;"0"),1,0))</f>
        <v>0</v>
      </c>
    </row>
    <row r="650" spans="1:41" x14ac:dyDescent="0.4">
      <c r="A650" t="str">
        <f>IF($CM$6=0,"",IF(INDEX('⑩ 원문 보관'!$A:$E,$CM$6+ROW()-9,COLUMN())="","",INDEX('⑩ 원문 보관'!$A:$E,$CM$6+ROW()-9,COLUMN())))</f>
        <v/>
      </c>
      <c r="B650" t="str">
        <f>IF($CM$6=0,"",IF(INDEX('⑩ 원문 보관'!$A:$E,$CM$6+ROW()-9,COLUMN())="","",INDEX('⑩ 원문 보관'!$A:$E,$CM$6+ROW()-9,COLUMN())))</f>
        <v/>
      </c>
      <c r="C650" t="str">
        <f>IF($CM$6=0,"",IF(INDEX('⑩ 원문 보관'!$A:$E,$CM$6+ROW()-9,COLUMN())="","",INDEX('⑩ 원문 보관'!$A:$E,$CM$6+ROW()-9,COLUMN())))</f>
        <v/>
      </c>
      <c r="D650" t="str">
        <f>IF($CM$6=0,"",IF(INDEX('⑩ 원문 보관'!$A:$E,$CM$6+ROW()-9,COLUMN())="","",INDEX('⑩ 원문 보관'!$A:$E,$CM$6+ROW()-9,COLUMN())))</f>
        <v/>
      </c>
      <c r="E650" t="str">
        <f>IF($CM$6=0,"",IF(INDEX('⑩ 원문 보관'!$A:$E,$CM$6+ROW()-9,COLUMN())="","",INDEX('⑩ 원문 보관'!$A:$E,$CM$6+ROW()-9,COLUMN())))</f>
        <v/>
      </c>
      <c r="Q650">
        <f t="shared" ref="Q650:Q708" si="295">IF(A650="",N(Q649),IF(LEFT(TRIM(A650),5)="/time",N(Q649)+1,N(Q649)))</f>
        <v>8</v>
      </c>
      <c r="R650" t="str">
        <f t="shared" si="275"/>
        <v/>
      </c>
      <c r="S650" t="str">
        <f t="shared" si="276"/>
        <v/>
      </c>
      <c r="T650" t="str">
        <f t="shared" si="277"/>
        <v/>
      </c>
      <c r="U650">
        <f t="shared" si="278"/>
        <v>0</v>
      </c>
      <c r="V650">
        <f t="shared" ref="V650:V708" si="296">IF(B650="",N(V649),IF(LEFT(TRIM(B650),5)="/time",N(V649)+1,N(V649)))</f>
        <v>12</v>
      </c>
      <c r="W650" t="str">
        <f t="shared" si="279"/>
        <v/>
      </c>
      <c r="X650" t="str">
        <f t="shared" si="280"/>
        <v/>
      </c>
      <c r="Y650" t="str">
        <f t="shared" si="281"/>
        <v/>
      </c>
      <c r="Z650">
        <f t="shared" si="282"/>
        <v>0</v>
      </c>
      <c r="AA650">
        <f t="shared" ref="AA650:AA708" si="297">IF(C650="",N(AA649),IF(LEFT(TRIM(C650),5)="/time",N(AA649)+1,N(AA649)))</f>
        <v>6</v>
      </c>
      <c r="AB650" t="str">
        <f t="shared" si="283"/>
        <v/>
      </c>
      <c r="AC650" t="str">
        <f t="shared" si="284"/>
        <v/>
      </c>
      <c r="AD650" t="str">
        <f t="shared" si="285"/>
        <v/>
      </c>
      <c r="AE650">
        <f t="shared" si="286"/>
        <v>0</v>
      </c>
      <c r="AF650">
        <f t="shared" ref="AF650:AF708" si="298">IF(D650="",N(AF649),IF(LEFT(TRIM(D650),5)="/time",N(AF649)+1,N(AF649)))</f>
        <v>10</v>
      </c>
      <c r="AG650" t="str">
        <f t="shared" si="287"/>
        <v/>
      </c>
      <c r="AH650" t="str">
        <f t="shared" si="288"/>
        <v/>
      </c>
      <c r="AI650" t="str">
        <f t="shared" si="289"/>
        <v/>
      </c>
      <c r="AJ650">
        <f t="shared" si="290"/>
        <v>0</v>
      </c>
      <c r="AK650">
        <f t="shared" ref="AK650:AK708" si="299">IF(E650="",N(AK649),IF(LEFT(TRIM(E650),5)="/time",N(AK649)+1,N(AK649)))</f>
        <v>4</v>
      </c>
      <c r="AL650" t="str">
        <f t="shared" si="291"/>
        <v/>
      </c>
      <c r="AM650" t="str">
        <f t="shared" si="292"/>
        <v/>
      </c>
      <c r="AN650" t="str">
        <f t="shared" si="293"/>
        <v/>
      </c>
      <c r="AO650">
        <f t="shared" si="294"/>
        <v>0</v>
      </c>
    </row>
    <row r="651" spans="1:41" x14ac:dyDescent="0.4">
      <c r="A651" t="str">
        <f>IF($CM$6=0,"",IF(INDEX('⑩ 원문 보관'!$A:$E,$CM$6+ROW()-9,COLUMN())="","",INDEX('⑩ 원문 보관'!$A:$E,$CM$6+ROW()-9,COLUMN())))</f>
        <v/>
      </c>
      <c r="B651" t="str">
        <f>IF($CM$6=0,"",IF(INDEX('⑩ 원문 보관'!$A:$E,$CM$6+ROW()-9,COLUMN())="","",INDEX('⑩ 원문 보관'!$A:$E,$CM$6+ROW()-9,COLUMN())))</f>
        <v/>
      </c>
      <c r="C651" t="str">
        <f>IF($CM$6=0,"",IF(INDEX('⑩ 원문 보관'!$A:$E,$CM$6+ROW()-9,COLUMN())="","",INDEX('⑩ 원문 보관'!$A:$E,$CM$6+ROW()-9,COLUMN())))</f>
        <v/>
      </c>
      <c r="D651" t="str">
        <f>IF($CM$6=0,"",IF(INDEX('⑩ 원문 보관'!$A:$E,$CM$6+ROW()-9,COLUMN())="","",INDEX('⑩ 원문 보관'!$A:$E,$CM$6+ROW()-9,COLUMN())))</f>
        <v/>
      </c>
      <c r="E651" t="str">
        <f>IF($CM$6=0,"",IF(INDEX('⑩ 원문 보관'!$A:$E,$CM$6+ROW()-9,COLUMN())="","",INDEX('⑩ 원문 보관'!$A:$E,$CM$6+ROW()-9,COLUMN())))</f>
        <v/>
      </c>
      <c r="Q651">
        <f t="shared" si="295"/>
        <v>8</v>
      </c>
      <c r="R651" t="str">
        <f t="shared" si="275"/>
        <v/>
      </c>
      <c r="S651" t="str">
        <f t="shared" si="276"/>
        <v/>
      </c>
      <c r="T651" t="str">
        <f t="shared" si="277"/>
        <v/>
      </c>
      <c r="U651">
        <f t="shared" si="278"/>
        <v>0</v>
      </c>
      <c r="V651">
        <f t="shared" si="296"/>
        <v>12</v>
      </c>
      <c r="W651" t="str">
        <f t="shared" si="279"/>
        <v/>
      </c>
      <c r="X651" t="str">
        <f t="shared" si="280"/>
        <v/>
      </c>
      <c r="Y651" t="str">
        <f t="shared" si="281"/>
        <v/>
      </c>
      <c r="Z651">
        <f t="shared" si="282"/>
        <v>0</v>
      </c>
      <c r="AA651">
        <f t="shared" si="297"/>
        <v>6</v>
      </c>
      <c r="AB651" t="str">
        <f t="shared" si="283"/>
        <v/>
      </c>
      <c r="AC651" t="str">
        <f t="shared" si="284"/>
        <v/>
      </c>
      <c r="AD651" t="str">
        <f t="shared" si="285"/>
        <v/>
      </c>
      <c r="AE651">
        <f t="shared" si="286"/>
        <v>0</v>
      </c>
      <c r="AF651">
        <f t="shared" si="298"/>
        <v>10</v>
      </c>
      <c r="AG651" t="str">
        <f t="shared" si="287"/>
        <v/>
      </c>
      <c r="AH651" t="str">
        <f t="shared" si="288"/>
        <v/>
      </c>
      <c r="AI651" t="str">
        <f t="shared" si="289"/>
        <v/>
      </c>
      <c r="AJ651">
        <f t="shared" si="290"/>
        <v>0</v>
      </c>
      <c r="AK651">
        <f t="shared" si="299"/>
        <v>4</v>
      </c>
      <c r="AL651" t="str">
        <f t="shared" si="291"/>
        <v/>
      </c>
      <c r="AM651" t="str">
        <f t="shared" si="292"/>
        <v/>
      </c>
      <c r="AN651" t="str">
        <f t="shared" si="293"/>
        <v/>
      </c>
      <c r="AO651">
        <f t="shared" si="294"/>
        <v>0</v>
      </c>
    </row>
    <row r="652" spans="1:41" x14ac:dyDescent="0.4">
      <c r="A652" t="str">
        <f>IF($CM$6=0,"",IF(INDEX('⑩ 원문 보관'!$A:$E,$CM$6+ROW()-9,COLUMN())="","",INDEX('⑩ 원문 보관'!$A:$E,$CM$6+ROW()-9,COLUMN())))</f>
        <v/>
      </c>
      <c r="B652" t="str">
        <f>IF($CM$6=0,"",IF(INDEX('⑩ 원문 보관'!$A:$E,$CM$6+ROW()-9,COLUMN())="","",INDEX('⑩ 원문 보관'!$A:$E,$CM$6+ROW()-9,COLUMN())))</f>
        <v/>
      </c>
      <c r="C652" t="str">
        <f>IF($CM$6=0,"",IF(INDEX('⑩ 원문 보관'!$A:$E,$CM$6+ROW()-9,COLUMN())="","",INDEX('⑩ 원문 보관'!$A:$E,$CM$6+ROW()-9,COLUMN())))</f>
        <v/>
      </c>
      <c r="D652" t="str">
        <f>IF($CM$6=0,"",IF(INDEX('⑩ 원문 보관'!$A:$E,$CM$6+ROW()-9,COLUMN())="","",INDEX('⑩ 원문 보관'!$A:$E,$CM$6+ROW()-9,COLUMN())))</f>
        <v/>
      </c>
      <c r="E652" t="str">
        <f>IF($CM$6=0,"",IF(INDEX('⑩ 원문 보관'!$A:$E,$CM$6+ROW()-9,COLUMN())="","",INDEX('⑩ 원문 보관'!$A:$E,$CM$6+ROW()-9,COLUMN())))</f>
        <v/>
      </c>
      <c r="Q652">
        <f t="shared" si="295"/>
        <v>8</v>
      </c>
      <c r="R652" t="str">
        <f t="shared" si="275"/>
        <v/>
      </c>
      <c r="S652" t="str">
        <f t="shared" si="276"/>
        <v/>
      </c>
      <c r="T652" t="str">
        <f t="shared" si="277"/>
        <v/>
      </c>
      <c r="U652">
        <f t="shared" si="278"/>
        <v>0</v>
      </c>
      <c r="V652">
        <f t="shared" si="296"/>
        <v>12</v>
      </c>
      <c r="W652" t="str">
        <f t="shared" si="279"/>
        <v/>
      </c>
      <c r="X652" t="str">
        <f t="shared" si="280"/>
        <v/>
      </c>
      <c r="Y652" t="str">
        <f t="shared" si="281"/>
        <v/>
      </c>
      <c r="Z652">
        <f t="shared" si="282"/>
        <v>0</v>
      </c>
      <c r="AA652">
        <f t="shared" si="297"/>
        <v>6</v>
      </c>
      <c r="AB652" t="str">
        <f t="shared" si="283"/>
        <v/>
      </c>
      <c r="AC652" t="str">
        <f t="shared" si="284"/>
        <v/>
      </c>
      <c r="AD652" t="str">
        <f t="shared" si="285"/>
        <v/>
      </c>
      <c r="AE652">
        <f t="shared" si="286"/>
        <v>0</v>
      </c>
      <c r="AF652">
        <f t="shared" si="298"/>
        <v>10</v>
      </c>
      <c r="AG652" t="str">
        <f t="shared" si="287"/>
        <v/>
      </c>
      <c r="AH652" t="str">
        <f t="shared" si="288"/>
        <v/>
      </c>
      <c r="AI652" t="str">
        <f t="shared" si="289"/>
        <v/>
      </c>
      <c r="AJ652">
        <f t="shared" si="290"/>
        <v>0</v>
      </c>
      <c r="AK652">
        <f t="shared" si="299"/>
        <v>4</v>
      </c>
      <c r="AL652" t="str">
        <f t="shared" si="291"/>
        <v/>
      </c>
      <c r="AM652" t="str">
        <f t="shared" si="292"/>
        <v/>
      </c>
      <c r="AN652" t="str">
        <f t="shared" si="293"/>
        <v/>
      </c>
      <c r="AO652">
        <f t="shared" si="294"/>
        <v>0</v>
      </c>
    </row>
    <row r="653" spans="1:41" x14ac:dyDescent="0.4">
      <c r="A653" t="str">
        <f>IF($CM$6=0,"",IF(INDEX('⑩ 원문 보관'!$A:$E,$CM$6+ROW()-9,COLUMN())="","",INDEX('⑩ 원문 보관'!$A:$E,$CM$6+ROW()-9,COLUMN())))</f>
        <v/>
      </c>
      <c r="B653" t="str">
        <f>IF($CM$6=0,"",IF(INDEX('⑩ 원문 보관'!$A:$E,$CM$6+ROW()-9,COLUMN())="","",INDEX('⑩ 원문 보관'!$A:$E,$CM$6+ROW()-9,COLUMN())))</f>
        <v/>
      </c>
      <c r="C653" t="str">
        <f>IF($CM$6=0,"",IF(INDEX('⑩ 원문 보관'!$A:$E,$CM$6+ROW()-9,COLUMN())="","",INDEX('⑩ 원문 보관'!$A:$E,$CM$6+ROW()-9,COLUMN())))</f>
        <v/>
      </c>
      <c r="D653" t="str">
        <f>IF($CM$6=0,"",IF(INDEX('⑩ 원문 보관'!$A:$E,$CM$6+ROW()-9,COLUMN())="","",INDEX('⑩ 원문 보관'!$A:$E,$CM$6+ROW()-9,COLUMN())))</f>
        <v/>
      </c>
      <c r="E653" t="str">
        <f>IF($CM$6=0,"",IF(INDEX('⑩ 원문 보관'!$A:$E,$CM$6+ROW()-9,COLUMN())="","",INDEX('⑩ 원문 보관'!$A:$E,$CM$6+ROW()-9,COLUMN())))</f>
        <v/>
      </c>
      <c r="Q653">
        <f t="shared" si="295"/>
        <v>8</v>
      </c>
      <c r="R653" t="str">
        <f t="shared" si="275"/>
        <v/>
      </c>
      <c r="S653" t="str">
        <f t="shared" si="276"/>
        <v/>
      </c>
      <c r="T653" t="str">
        <f t="shared" si="277"/>
        <v/>
      </c>
      <c r="U653">
        <f t="shared" si="278"/>
        <v>0</v>
      </c>
      <c r="V653">
        <f t="shared" si="296"/>
        <v>12</v>
      </c>
      <c r="W653" t="str">
        <f t="shared" si="279"/>
        <v/>
      </c>
      <c r="X653" t="str">
        <f t="shared" si="280"/>
        <v/>
      </c>
      <c r="Y653" t="str">
        <f t="shared" si="281"/>
        <v/>
      </c>
      <c r="Z653">
        <f t="shared" si="282"/>
        <v>0</v>
      </c>
      <c r="AA653">
        <f t="shared" si="297"/>
        <v>6</v>
      </c>
      <c r="AB653" t="str">
        <f t="shared" si="283"/>
        <v/>
      </c>
      <c r="AC653" t="str">
        <f t="shared" si="284"/>
        <v/>
      </c>
      <c r="AD653" t="str">
        <f t="shared" si="285"/>
        <v/>
      </c>
      <c r="AE653">
        <f t="shared" si="286"/>
        <v>0</v>
      </c>
      <c r="AF653">
        <f t="shared" si="298"/>
        <v>10</v>
      </c>
      <c r="AG653" t="str">
        <f t="shared" si="287"/>
        <v/>
      </c>
      <c r="AH653" t="str">
        <f t="shared" si="288"/>
        <v/>
      </c>
      <c r="AI653" t="str">
        <f t="shared" si="289"/>
        <v/>
      </c>
      <c r="AJ653">
        <f t="shared" si="290"/>
        <v>0</v>
      </c>
      <c r="AK653">
        <f t="shared" si="299"/>
        <v>4</v>
      </c>
      <c r="AL653" t="str">
        <f t="shared" si="291"/>
        <v/>
      </c>
      <c r="AM653" t="str">
        <f t="shared" si="292"/>
        <v/>
      </c>
      <c r="AN653" t="str">
        <f t="shared" si="293"/>
        <v/>
      </c>
      <c r="AO653">
        <f t="shared" si="294"/>
        <v>0</v>
      </c>
    </row>
    <row r="654" spans="1:41" x14ac:dyDescent="0.4">
      <c r="A654" t="str">
        <f>IF($CM$6=0,"",IF(INDEX('⑩ 원문 보관'!$A:$E,$CM$6+ROW()-9,COLUMN())="","",INDEX('⑩ 원문 보관'!$A:$E,$CM$6+ROW()-9,COLUMN())))</f>
        <v/>
      </c>
      <c r="B654" t="str">
        <f>IF($CM$6=0,"",IF(INDEX('⑩ 원문 보관'!$A:$E,$CM$6+ROW()-9,COLUMN())="","",INDEX('⑩ 원문 보관'!$A:$E,$CM$6+ROW()-9,COLUMN())))</f>
        <v/>
      </c>
      <c r="C654" t="str">
        <f>IF($CM$6=0,"",IF(INDEX('⑩ 원문 보관'!$A:$E,$CM$6+ROW()-9,COLUMN())="","",INDEX('⑩ 원문 보관'!$A:$E,$CM$6+ROW()-9,COLUMN())))</f>
        <v/>
      </c>
      <c r="D654" t="str">
        <f>IF($CM$6=0,"",IF(INDEX('⑩ 원문 보관'!$A:$E,$CM$6+ROW()-9,COLUMN())="","",INDEX('⑩ 원문 보관'!$A:$E,$CM$6+ROW()-9,COLUMN())))</f>
        <v/>
      </c>
      <c r="E654" t="str">
        <f>IF($CM$6=0,"",IF(INDEX('⑩ 원문 보관'!$A:$E,$CM$6+ROW()-9,COLUMN())="","",INDEX('⑩ 원문 보관'!$A:$E,$CM$6+ROW()-9,COLUMN())))</f>
        <v/>
      </c>
      <c r="Q654">
        <f t="shared" si="295"/>
        <v>8</v>
      </c>
      <c r="R654" t="str">
        <f t="shared" si="275"/>
        <v/>
      </c>
      <c r="S654" t="str">
        <f t="shared" si="276"/>
        <v/>
      </c>
      <c r="T654" t="str">
        <f t="shared" si="277"/>
        <v/>
      </c>
      <c r="U654">
        <f t="shared" si="278"/>
        <v>0</v>
      </c>
      <c r="V654">
        <f t="shared" si="296"/>
        <v>12</v>
      </c>
      <c r="W654" t="str">
        <f t="shared" si="279"/>
        <v/>
      </c>
      <c r="X654" t="str">
        <f t="shared" si="280"/>
        <v/>
      </c>
      <c r="Y654" t="str">
        <f t="shared" si="281"/>
        <v/>
      </c>
      <c r="Z654">
        <f t="shared" si="282"/>
        <v>0</v>
      </c>
      <c r="AA654">
        <f t="shared" si="297"/>
        <v>6</v>
      </c>
      <c r="AB654" t="str">
        <f t="shared" si="283"/>
        <v/>
      </c>
      <c r="AC654" t="str">
        <f t="shared" si="284"/>
        <v/>
      </c>
      <c r="AD654" t="str">
        <f t="shared" si="285"/>
        <v/>
      </c>
      <c r="AE654">
        <f t="shared" si="286"/>
        <v>0</v>
      </c>
      <c r="AF654">
        <f t="shared" si="298"/>
        <v>10</v>
      </c>
      <c r="AG654" t="str">
        <f t="shared" si="287"/>
        <v/>
      </c>
      <c r="AH654" t="str">
        <f t="shared" si="288"/>
        <v/>
      </c>
      <c r="AI654" t="str">
        <f t="shared" si="289"/>
        <v/>
      </c>
      <c r="AJ654">
        <f t="shared" si="290"/>
        <v>0</v>
      </c>
      <c r="AK654">
        <f t="shared" si="299"/>
        <v>4</v>
      </c>
      <c r="AL654" t="str">
        <f t="shared" si="291"/>
        <v/>
      </c>
      <c r="AM654" t="str">
        <f t="shared" si="292"/>
        <v/>
      </c>
      <c r="AN654" t="str">
        <f t="shared" si="293"/>
        <v/>
      </c>
      <c r="AO654">
        <f t="shared" si="294"/>
        <v>0</v>
      </c>
    </row>
    <row r="655" spans="1:41" x14ac:dyDescent="0.4">
      <c r="A655" t="str">
        <f>IF($CM$6=0,"",IF(INDEX('⑩ 원문 보관'!$A:$E,$CM$6+ROW()-9,COLUMN())="","",INDEX('⑩ 원문 보관'!$A:$E,$CM$6+ROW()-9,COLUMN())))</f>
        <v/>
      </c>
      <c r="B655" t="str">
        <f>IF($CM$6=0,"",IF(INDEX('⑩ 원문 보관'!$A:$E,$CM$6+ROW()-9,COLUMN())="","",INDEX('⑩ 원문 보관'!$A:$E,$CM$6+ROW()-9,COLUMN())))</f>
        <v/>
      </c>
      <c r="C655" t="str">
        <f>IF($CM$6=0,"",IF(INDEX('⑩ 원문 보관'!$A:$E,$CM$6+ROW()-9,COLUMN())="","",INDEX('⑩ 원문 보관'!$A:$E,$CM$6+ROW()-9,COLUMN())))</f>
        <v/>
      </c>
      <c r="D655" t="str">
        <f>IF($CM$6=0,"",IF(INDEX('⑩ 원문 보관'!$A:$E,$CM$6+ROW()-9,COLUMN())="","",INDEX('⑩ 원문 보관'!$A:$E,$CM$6+ROW()-9,COLUMN())))</f>
        <v/>
      </c>
      <c r="E655" t="str">
        <f>IF($CM$6=0,"",IF(INDEX('⑩ 원문 보관'!$A:$E,$CM$6+ROW()-9,COLUMN())="","",INDEX('⑩ 원문 보관'!$A:$E,$CM$6+ROW()-9,COLUMN())))</f>
        <v/>
      </c>
      <c r="Q655">
        <f t="shared" si="295"/>
        <v>8</v>
      </c>
      <c r="R655" t="str">
        <f t="shared" si="275"/>
        <v/>
      </c>
      <c r="S655" t="str">
        <f t="shared" si="276"/>
        <v/>
      </c>
      <c r="T655" t="str">
        <f t="shared" si="277"/>
        <v/>
      </c>
      <c r="U655">
        <f t="shared" si="278"/>
        <v>0</v>
      </c>
      <c r="V655">
        <f t="shared" si="296"/>
        <v>12</v>
      </c>
      <c r="W655" t="str">
        <f t="shared" si="279"/>
        <v/>
      </c>
      <c r="X655" t="str">
        <f t="shared" si="280"/>
        <v/>
      </c>
      <c r="Y655" t="str">
        <f t="shared" si="281"/>
        <v/>
      </c>
      <c r="Z655">
        <f t="shared" si="282"/>
        <v>0</v>
      </c>
      <c r="AA655">
        <f t="shared" si="297"/>
        <v>6</v>
      </c>
      <c r="AB655" t="str">
        <f t="shared" si="283"/>
        <v/>
      </c>
      <c r="AC655" t="str">
        <f t="shared" si="284"/>
        <v/>
      </c>
      <c r="AD655" t="str">
        <f t="shared" si="285"/>
        <v/>
      </c>
      <c r="AE655">
        <f t="shared" si="286"/>
        <v>0</v>
      </c>
      <c r="AF655">
        <f t="shared" si="298"/>
        <v>10</v>
      </c>
      <c r="AG655" t="str">
        <f t="shared" si="287"/>
        <v/>
      </c>
      <c r="AH655" t="str">
        <f t="shared" si="288"/>
        <v/>
      </c>
      <c r="AI655" t="str">
        <f t="shared" si="289"/>
        <v/>
      </c>
      <c r="AJ655">
        <f t="shared" si="290"/>
        <v>0</v>
      </c>
      <c r="AK655">
        <f t="shared" si="299"/>
        <v>4</v>
      </c>
      <c r="AL655" t="str">
        <f t="shared" si="291"/>
        <v/>
      </c>
      <c r="AM655" t="str">
        <f t="shared" si="292"/>
        <v/>
      </c>
      <c r="AN655" t="str">
        <f t="shared" si="293"/>
        <v/>
      </c>
      <c r="AO655">
        <f t="shared" si="294"/>
        <v>0</v>
      </c>
    </row>
    <row r="656" spans="1:41" x14ac:dyDescent="0.4">
      <c r="A656" t="str">
        <f>IF($CM$6=0,"",IF(INDEX('⑩ 원문 보관'!$A:$E,$CM$6+ROW()-9,COLUMN())="","",INDEX('⑩ 원문 보관'!$A:$E,$CM$6+ROW()-9,COLUMN())))</f>
        <v/>
      </c>
      <c r="B656" t="str">
        <f>IF($CM$6=0,"",IF(INDEX('⑩ 원문 보관'!$A:$E,$CM$6+ROW()-9,COLUMN())="","",INDEX('⑩ 원문 보관'!$A:$E,$CM$6+ROW()-9,COLUMN())))</f>
        <v/>
      </c>
      <c r="C656" t="str">
        <f>IF($CM$6=0,"",IF(INDEX('⑩ 원문 보관'!$A:$E,$CM$6+ROW()-9,COLUMN())="","",INDEX('⑩ 원문 보관'!$A:$E,$CM$6+ROW()-9,COLUMN())))</f>
        <v/>
      </c>
      <c r="D656" t="str">
        <f>IF($CM$6=0,"",IF(INDEX('⑩ 원문 보관'!$A:$E,$CM$6+ROW()-9,COLUMN())="","",INDEX('⑩ 원문 보관'!$A:$E,$CM$6+ROW()-9,COLUMN())))</f>
        <v/>
      </c>
      <c r="E656" t="str">
        <f>IF($CM$6=0,"",IF(INDEX('⑩ 원문 보관'!$A:$E,$CM$6+ROW()-9,COLUMN())="","",INDEX('⑩ 원문 보관'!$A:$E,$CM$6+ROW()-9,COLUMN())))</f>
        <v/>
      </c>
      <c r="Q656">
        <f t="shared" si="295"/>
        <v>8</v>
      </c>
      <c r="R656" t="str">
        <f t="shared" si="275"/>
        <v/>
      </c>
      <c r="S656" t="str">
        <f t="shared" si="276"/>
        <v/>
      </c>
      <c r="T656" t="str">
        <f t="shared" si="277"/>
        <v/>
      </c>
      <c r="U656">
        <f t="shared" si="278"/>
        <v>0</v>
      </c>
      <c r="V656">
        <f t="shared" si="296"/>
        <v>12</v>
      </c>
      <c r="W656" t="str">
        <f t="shared" si="279"/>
        <v/>
      </c>
      <c r="X656" t="str">
        <f t="shared" si="280"/>
        <v/>
      </c>
      <c r="Y656" t="str">
        <f t="shared" si="281"/>
        <v/>
      </c>
      <c r="Z656">
        <f t="shared" si="282"/>
        <v>0</v>
      </c>
      <c r="AA656">
        <f t="shared" si="297"/>
        <v>6</v>
      </c>
      <c r="AB656" t="str">
        <f t="shared" si="283"/>
        <v/>
      </c>
      <c r="AC656" t="str">
        <f t="shared" si="284"/>
        <v/>
      </c>
      <c r="AD656" t="str">
        <f t="shared" si="285"/>
        <v/>
      </c>
      <c r="AE656">
        <f t="shared" si="286"/>
        <v>0</v>
      </c>
      <c r="AF656">
        <f t="shared" si="298"/>
        <v>10</v>
      </c>
      <c r="AG656" t="str">
        <f t="shared" si="287"/>
        <v/>
      </c>
      <c r="AH656" t="str">
        <f t="shared" si="288"/>
        <v/>
      </c>
      <c r="AI656" t="str">
        <f t="shared" si="289"/>
        <v/>
      </c>
      <c r="AJ656">
        <f t="shared" si="290"/>
        <v>0</v>
      </c>
      <c r="AK656">
        <f t="shared" si="299"/>
        <v>4</v>
      </c>
      <c r="AL656" t="str">
        <f t="shared" si="291"/>
        <v/>
      </c>
      <c r="AM656" t="str">
        <f t="shared" si="292"/>
        <v/>
      </c>
      <c r="AN656" t="str">
        <f t="shared" si="293"/>
        <v/>
      </c>
      <c r="AO656">
        <f t="shared" si="294"/>
        <v>0</v>
      </c>
    </row>
    <row r="657" spans="1:41" x14ac:dyDescent="0.4">
      <c r="A657" t="str">
        <f>IF($CM$6=0,"",IF(INDEX('⑩ 원문 보관'!$A:$E,$CM$6+ROW()-9,COLUMN())="","",INDEX('⑩ 원문 보관'!$A:$E,$CM$6+ROW()-9,COLUMN())))</f>
        <v/>
      </c>
      <c r="B657" t="str">
        <f>IF($CM$6=0,"",IF(INDEX('⑩ 원문 보관'!$A:$E,$CM$6+ROW()-9,COLUMN())="","",INDEX('⑩ 원문 보관'!$A:$E,$CM$6+ROW()-9,COLUMN())))</f>
        <v/>
      </c>
      <c r="C657" t="str">
        <f>IF($CM$6=0,"",IF(INDEX('⑩ 원문 보관'!$A:$E,$CM$6+ROW()-9,COLUMN())="","",INDEX('⑩ 원문 보관'!$A:$E,$CM$6+ROW()-9,COLUMN())))</f>
        <v/>
      </c>
      <c r="D657" t="str">
        <f>IF($CM$6=0,"",IF(INDEX('⑩ 원문 보관'!$A:$E,$CM$6+ROW()-9,COLUMN())="","",INDEX('⑩ 원문 보관'!$A:$E,$CM$6+ROW()-9,COLUMN())))</f>
        <v/>
      </c>
      <c r="E657" t="str">
        <f>IF($CM$6=0,"",IF(INDEX('⑩ 원문 보관'!$A:$E,$CM$6+ROW()-9,COLUMN())="","",INDEX('⑩ 원문 보관'!$A:$E,$CM$6+ROW()-9,COLUMN())))</f>
        <v/>
      </c>
      <c r="Q657">
        <f t="shared" si="295"/>
        <v>8</v>
      </c>
      <c r="R657" t="str">
        <f t="shared" si="275"/>
        <v/>
      </c>
      <c r="S657" t="str">
        <f t="shared" si="276"/>
        <v/>
      </c>
      <c r="T657" t="str">
        <f t="shared" si="277"/>
        <v/>
      </c>
      <c r="U657">
        <f t="shared" si="278"/>
        <v>0</v>
      </c>
      <c r="V657">
        <f t="shared" si="296"/>
        <v>12</v>
      </c>
      <c r="W657" t="str">
        <f t="shared" si="279"/>
        <v/>
      </c>
      <c r="X657" t="str">
        <f t="shared" si="280"/>
        <v/>
      </c>
      <c r="Y657" t="str">
        <f t="shared" si="281"/>
        <v/>
      </c>
      <c r="Z657">
        <f t="shared" si="282"/>
        <v>0</v>
      </c>
      <c r="AA657">
        <f t="shared" si="297"/>
        <v>6</v>
      </c>
      <c r="AB657" t="str">
        <f t="shared" si="283"/>
        <v/>
      </c>
      <c r="AC657" t="str">
        <f t="shared" si="284"/>
        <v/>
      </c>
      <c r="AD657" t="str">
        <f t="shared" si="285"/>
        <v/>
      </c>
      <c r="AE657">
        <f t="shared" si="286"/>
        <v>0</v>
      </c>
      <c r="AF657">
        <f t="shared" si="298"/>
        <v>10</v>
      </c>
      <c r="AG657" t="str">
        <f t="shared" si="287"/>
        <v/>
      </c>
      <c r="AH657" t="str">
        <f t="shared" si="288"/>
        <v/>
      </c>
      <c r="AI657" t="str">
        <f t="shared" si="289"/>
        <v/>
      </c>
      <c r="AJ657">
        <f t="shared" si="290"/>
        <v>0</v>
      </c>
      <c r="AK657">
        <f t="shared" si="299"/>
        <v>4</v>
      </c>
      <c r="AL657" t="str">
        <f t="shared" si="291"/>
        <v/>
      </c>
      <c r="AM657" t="str">
        <f t="shared" si="292"/>
        <v/>
      </c>
      <c r="AN657" t="str">
        <f t="shared" si="293"/>
        <v/>
      </c>
      <c r="AO657">
        <f t="shared" si="294"/>
        <v>0</v>
      </c>
    </row>
    <row r="658" spans="1:41" x14ac:dyDescent="0.4">
      <c r="A658" t="str">
        <f>IF($CM$6=0,"",IF(INDEX('⑩ 원문 보관'!$A:$E,$CM$6+ROW()-9,COLUMN())="","",INDEX('⑩ 원문 보관'!$A:$E,$CM$6+ROW()-9,COLUMN())))</f>
        <v/>
      </c>
      <c r="B658" t="str">
        <f>IF($CM$6=0,"",IF(INDEX('⑩ 원문 보관'!$A:$E,$CM$6+ROW()-9,COLUMN())="","",INDEX('⑩ 원문 보관'!$A:$E,$CM$6+ROW()-9,COLUMN())))</f>
        <v/>
      </c>
      <c r="C658" t="str">
        <f>IF($CM$6=0,"",IF(INDEX('⑩ 원문 보관'!$A:$E,$CM$6+ROW()-9,COLUMN())="","",INDEX('⑩ 원문 보관'!$A:$E,$CM$6+ROW()-9,COLUMN())))</f>
        <v/>
      </c>
      <c r="D658" t="str">
        <f>IF($CM$6=0,"",IF(INDEX('⑩ 원문 보관'!$A:$E,$CM$6+ROW()-9,COLUMN())="","",INDEX('⑩ 원문 보관'!$A:$E,$CM$6+ROW()-9,COLUMN())))</f>
        <v/>
      </c>
      <c r="E658" t="str">
        <f>IF($CM$6=0,"",IF(INDEX('⑩ 원문 보관'!$A:$E,$CM$6+ROW()-9,COLUMN())="","",INDEX('⑩ 원문 보관'!$A:$E,$CM$6+ROW()-9,COLUMN())))</f>
        <v/>
      </c>
      <c r="Q658">
        <f t="shared" si="295"/>
        <v>8</v>
      </c>
      <c r="R658" t="str">
        <f t="shared" si="275"/>
        <v/>
      </c>
      <c r="S658" t="str">
        <f t="shared" si="276"/>
        <v/>
      </c>
      <c r="T658" t="str">
        <f t="shared" si="277"/>
        <v/>
      </c>
      <c r="U658">
        <f t="shared" si="278"/>
        <v>0</v>
      </c>
      <c r="V658">
        <f t="shared" si="296"/>
        <v>12</v>
      </c>
      <c r="W658" t="str">
        <f t="shared" si="279"/>
        <v/>
      </c>
      <c r="X658" t="str">
        <f t="shared" si="280"/>
        <v/>
      </c>
      <c r="Y658" t="str">
        <f t="shared" si="281"/>
        <v/>
      </c>
      <c r="Z658">
        <f t="shared" si="282"/>
        <v>0</v>
      </c>
      <c r="AA658">
        <f t="shared" si="297"/>
        <v>6</v>
      </c>
      <c r="AB658" t="str">
        <f t="shared" si="283"/>
        <v/>
      </c>
      <c r="AC658" t="str">
        <f t="shared" si="284"/>
        <v/>
      </c>
      <c r="AD658" t="str">
        <f t="shared" si="285"/>
        <v/>
      </c>
      <c r="AE658">
        <f t="shared" si="286"/>
        <v>0</v>
      </c>
      <c r="AF658">
        <f t="shared" si="298"/>
        <v>10</v>
      </c>
      <c r="AG658" t="str">
        <f t="shared" si="287"/>
        <v/>
      </c>
      <c r="AH658" t="str">
        <f t="shared" si="288"/>
        <v/>
      </c>
      <c r="AI658" t="str">
        <f t="shared" si="289"/>
        <v/>
      </c>
      <c r="AJ658">
        <f t="shared" si="290"/>
        <v>0</v>
      </c>
      <c r="AK658">
        <f t="shared" si="299"/>
        <v>4</v>
      </c>
      <c r="AL658" t="str">
        <f t="shared" si="291"/>
        <v/>
      </c>
      <c r="AM658" t="str">
        <f t="shared" si="292"/>
        <v/>
      </c>
      <c r="AN658" t="str">
        <f t="shared" si="293"/>
        <v/>
      </c>
      <c r="AO658">
        <f t="shared" si="294"/>
        <v>0</v>
      </c>
    </row>
    <row r="659" spans="1:41" x14ac:dyDescent="0.4">
      <c r="A659" t="str">
        <f>IF($CM$6=0,"",IF(INDEX('⑩ 원문 보관'!$A:$E,$CM$6+ROW()-9,COLUMN())="","",INDEX('⑩ 원문 보관'!$A:$E,$CM$6+ROW()-9,COLUMN())))</f>
        <v/>
      </c>
      <c r="B659" t="str">
        <f>IF($CM$6=0,"",IF(INDEX('⑩ 원문 보관'!$A:$E,$CM$6+ROW()-9,COLUMN())="","",INDEX('⑩ 원문 보관'!$A:$E,$CM$6+ROW()-9,COLUMN())))</f>
        <v/>
      </c>
      <c r="C659" t="str">
        <f>IF($CM$6=0,"",IF(INDEX('⑩ 원문 보관'!$A:$E,$CM$6+ROW()-9,COLUMN())="","",INDEX('⑩ 원문 보관'!$A:$E,$CM$6+ROW()-9,COLUMN())))</f>
        <v/>
      </c>
      <c r="D659" t="str">
        <f>IF($CM$6=0,"",IF(INDEX('⑩ 원문 보관'!$A:$E,$CM$6+ROW()-9,COLUMN())="","",INDEX('⑩ 원문 보관'!$A:$E,$CM$6+ROW()-9,COLUMN())))</f>
        <v/>
      </c>
      <c r="E659" t="str">
        <f>IF($CM$6=0,"",IF(INDEX('⑩ 원문 보관'!$A:$E,$CM$6+ROW()-9,COLUMN())="","",INDEX('⑩ 원문 보관'!$A:$E,$CM$6+ROW()-9,COLUMN())))</f>
        <v/>
      </c>
      <c r="Q659">
        <f t="shared" si="295"/>
        <v>8</v>
      </c>
      <c r="R659" t="str">
        <f t="shared" si="275"/>
        <v/>
      </c>
      <c r="S659" t="str">
        <f t="shared" si="276"/>
        <v/>
      </c>
      <c r="T659" t="str">
        <f t="shared" si="277"/>
        <v/>
      </c>
      <c r="U659">
        <f t="shared" si="278"/>
        <v>0</v>
      </c>
      <c r="V659">
        <f t="shared" si="296"/>
        <v>12</v>
      </c>
      <c r="W659" t="str">
        <f t="shared" si="279"/>
        <v/>
      </c>
      <c r="X659" t="str">
        <f t="shared" si="280"/>
        <v/>
      </c>
      <c r="Y659" t="str">
        <f t="shared" si="281"/>
        <v/>
      </c>
      <c r="Z659">
        <f t="shared" si="282"/>
        <v>0</v>
      </c>
      <c r="AA659">
        <f t="shared" si="297"/>
        <v>6</v>
      </c>
      <c r="AB659" t="str">
        <f t="shared" si="283"/>
        <v/>
      </c>
      <c r="AC659" t="str">
        <f t="shared" si="284"/>
        <v/>
      </c>
      <c r="AD659" t="str">
        <f t="shared" si="285"/>
        <v/>
      </c>
      <c r="AE659">
        <f t="shared" si="286"/>
        <v>0</v>
      </c>
      <c r="AF659">
        <f t="shared" si="298"/>
        <v>10</v>
      </c>
      <c r="AG659" t="str">
        <f t="shared" si="287"/>
        <v/>
      </c>
      <c r="AH659" t="str">
        <f t="shared" si="288"/>
        <v/>
      </c>
      <c r="AI659" t="str">
        <f t="shared" si="289"/>
        <v/>
      </c>
      <c r="AJ659">
        <f t="shared" si="290"/>
        <v>0</v>
      </c>
      <c r="AK659">
        <f t="shared" si="299"/>
        <v>4</v>
      </c>
      <c r="AL659" t="str">
        <f t="shared" si="291"/>
        <v/>
      </c>
      <c r="AM659" t="str">
        <f t="shared" si="292"/>
        <v/>
      </c>
      <c r="AN659" t="str">
        <f t="shared" si="293"/>
        <v/>
      </c>
      <c r="AO659">
        <f t="shared" si="294"/>
        <v>0</v>
      </c>
    </row>
    <row r="660" spans="1:41" x14ac:dyDescent="0.4">
      <c r="A660" t="str">
        <f>IF($CM$6=0,"",IF(INDEX('⑩ 원문 보관'!$A:$E,$CM$6+ROW()-9,COLUMN())="","",INDEX('⑩ 원문 보관'!$A:$E,$CM$6+ROW()-9,COLUMN())))</f>
        <v/>
      </c>
      <c r="B660" t="str">
        <f>IF($CM$6=0,"",IF(INDEX('⑩ 원문 보관'!$A:$E,$CM$6+ROW()-9,COLUMN())="","",INDEX('⑩ 원문 보관'!$A:$E,$CM$6+ROW()-9,COLUMN())))</f>
        <v/>
      </c>
      <c r="C660" t="str">
        <f>IF($CM$6=0,"",IF(INDEX('⑩ 원문 보관'!$A:$E,$CM$6+ROW()-9,COLUMN())="","",INDEX('⑩ 원문 보관'!$A:$E,$CM$6+ROW()-9,COLUMN())))</f>
        <v/>
      </c>
      <c r="D660" t="str">
        <f>IF($CM$6=0,"",IF(INDEX('⑩ 원문 보관'!$A:$E,$CM$6+ROW()-9,COLUMN())="","",INDEX('⑩ 원문 보관'!$A:$E,$CM$6+ROW()-9,COLUMN())))</f>
        <v/>
      </c>
      <c r="E660" t="str">
        <f>IF($CM$6=0,"",IF(INDEX('⑩ 원문 보관'!$A:$E,$CM$6+ROW()-9,COLUMN())="","",INDEX('⑩ 원문 보관'!$A:$E,$CM$6+ROW()-9,COLUMN())))</f>
        <v/>
      </c>
      <c r="Q660">
        <f t="shared" si="295"/>
        <v>8</v>
      </c>
      <c r="R660" t="str">
        <f t="shared" si="275"/>
        <v/>
      </c>
      <c r="S660" t="str">
        <f t="shared" si="276"/>
        <v/>
      </c>
      <c r="T660" t="str">
        <f t="shared" si="277"/>
        <v/>
      </c>
      <c r="U660">
        <f t="shared" si="278"/>
        <v>0</v>
      </c>
      <c r="V660">
        <f t="shared" si="296"/>
        <v>12</v>
      </c>
      <c r="W660" t="str">
        <f t="shared" si="279"/>
        <v/>
      </c>
      <c r="X660" t="str">
        <f t="shared" si="280"/>
        <v/>
      </c>
      <c r="Y660" t="str">
        <f t="shared" si="281"/>
        <v/>
      </c>
      <c r="Z660">
        <f t="shared" si="282"/>
        <v>0</v>
      </c>
      <c r="AA660">
        <f t="shared" si="297"/>
        <v>6</v>
      </c>
      <c r="AB660" t="str">
        <f t="shared" si="283"/>
        <v/>
      </c>
      <c r="AC660" t="str">
        <f t="shared" si="284"/>
        <v/>
      </c>
      <c r="AD660" t="str">
        <f t="shared" si="285"/>
        <v/>
      </c>
      <c r="AE660">
        <f t="shared" si="286"/>
        <v>0</v>
      </c>
      <c r="AF660">
        <f t="shared" si="298"/>
        <v>10</v>
      </c>
      <c r="AG660" t="str">
        <f t="shared" si="287"/>
        <v/>
      </c>
      <c r="AH660" t="str">
        <f t="shared" si="288"/>
        <v/>
      </c>
      <c r="AI660" t="str">
        <f t="shared" si="289"/>
        <v/>
      </c>
      <c r="AJ660">
        <f t="shared" si="290"/>
        <v>0</v>
      </c>
      <c r="AK660">
        <f t="shared" si="299"/>
        <v>4</v>
      </c>
      <c r="AL660" t="str">
        <f t="shared" si="291"/>
        <v/>
      </c>
      <c r="AM660" t="str">
        <f t="shared" si="292"/>
        <v/>
      </c>
      <c r="AN660" t="str">
        <f t="shared" si="293"/>
        <v/>
      </c>
      <c r="AO660">
        <f t="shared" si="294"/>
        <v>0</v>
      </c>
    </row>
    <row r="661" spans="1:41" x14ac:dyDescent="0.4">
      <c r="A661" t="str">
        <f>IF($CM$6=0,"",IF(INDEX('⑩ 원문 보관'!$A:$E,$CM$6+ROW()-9,COLUMN())="","",INDEX('⑩ 원문 보관'!$A:$E,$CM$6+ROW()-9,COLUMN())))</f>
        <v/>
      </c>
      <c r="B661" t="str">
        <f>IF($CM$6=0,"",IF(INDEX('⑩ 원문 보관'!$A:$E,$CM$6+ROW()-9,COLUMN())="","",INDEX('⑩ 원문 보관'!$A:$E,$CM$6+ROW()-9,COLUMN())))</f>
        <v/>
      </c>
      <c r="C661" t="str">
        <f>IF($CM$6=0,"",IF(INDEX('⑩ 원문 보관'!$A:$E,$CM$6+ROW()-9,COLUMN())="","",INDEX('⑩ 원문 보관'!$A:$E,$CM$6+ROW()-9,COLUMN())))</f>
        <v/>
      </c>
      <c r="D661" t="str">
        <f>IF($CM$6=0,"",IF(INDEX('⑩ 원문 보관'!$A:$E,$CM$6+ROW()-9,COLUMN())="","",INDEX('⑩ 원문 보관'!$A:$E,$CM$6+ROW()-9,COLUMN())))</f>
        <v/>
      </c>
      <c r="E661" t="str">
        <f>IF($CM$6=0,"",IF(INDEX('⑩ 원문 보관'!$A:$E,$CM$6+ROW()-9,COLUMN())="","",INDEX('⑩ 원문 보관'!$A:$E,$CM$6+ROW()-9,COLUMN())))</f>
        <v/>
      </c>
      <c r="Q661">
        <f t="shared" si="295"/>
        <v>8</v>
      </c>
      <c r="R661" t="str">
        <f t="shared" si="275"/>
        <v/>
      </c>
      <c r="S661" t="str">
        <f t="shared" si="276"/>
        <v/>
      </c>
      <c r="T661" t="str">
        <f t="shared" si="277"/>
        <v/>
      </c>
      <c r="U661">
        <f t="shared" si="278"/>
        <v>0</v>
      </c>
      <c r="V661">
        <f t="shared" si="296"/>
        <v>12</v>
      </c>
      <c r="W661" t="str">
        <f t="shared" si="279"/>
        <v/>
      </c>
      <c r="X661" t="str">
        <f t="shared" si="280"/>
        <v/>
      </c>
      <c r="Y661" t="str">
        <f t="shared" si="281"/>
        <v/>
      </c>
      <c r="Z661">
        <f t="shared" si="282"/>
        <v>0</v>
      </c>
      <c r="AA661">
        <f t="shared" si="297"/>
        <v>6</v>
      </c>
      <c r="AB661" t="str">
        <f t="shared" si="283"/>
        <v/>
      </c>
      <c r="AC661" t="str">
        <f t="shared" si="284"/>
        <v/>
      </c>
      <c r="AD661" t="str">
        <f t="shared" si="285"/>
        <v/>
      </c>
      <c r="AE661">
        <f t="shared" si="286"/>
        <v>0</v>
      </c>
      <c r="AF661">
        <f t="shared" si="298"/>
        <v>10</v>
      </c>
      <c r="AG661" t="str">
        <f t="shared" si="287"/>
        <v/>
      </c>
      <c r="AH661" t="str">
        <f t="shared" si="288"/>
        <v/>
      </c>
      <c r="AI661" t="str">
        <f t="shared" si="289"/>
        <v/>
      </c>
      <c r="AJ661">
        <f t="shared" si="290"/>
        <v>0</v>
      </c>
      <c r="AK661">
        <f t="shared" si="299"/>
        <v>4</v>
      </c>
      <c r="AL661" t="str">
        <f t="shared" si="291"/>
        <v/>
      </c>
      <c r="AM661" t="str">
        <f t="shared" si="292"/>
        <v/>
      </c>
      <c r="AN661" t="str">
        <f t="shared" si="293"/>
        <v/>
      </c>
      <c r="AO661">
        <f t="shared" si="294"/>
        <v>0</v>
      </c>
    </row>
    <row r="662" spans="1:41" x14ac:dyDescent="0.4">
      <c r="A662" t="str">
        <f>IF($CM$6=0,"",IF(INDEX('⑩ 원문 보관'!$A:$E,$CM$6+ROW()-9,COLUMN())="","",INDEX('⑩ 원문 보관'!$A:$E,$CM$6+ROW()-9,COLUMN())))</f>
        <v/>
      </c>
      <c r="B662" t="str">
        <f>IF($CM$6=0,"",IF(INDEX('⑩ 원문 보관'!$A:$E,$CM$6+ROW()-9,COLUMN())="","",INDEX('⑩ 원문 보관'!$A:$E,$CM$6+ROW()-9,COLUMN())))</f>
        <v/>
      </c>
      <c r="C662" t="str">
        <f>IF($CM$6=0,"",IF(INDEX('⑩ 원문 보관'!$A:$E,$CM$6+ROW()-9,COLUMN())="","",INDEX('⑩ 원문 보관'!$A:$E,$CM$6+ROW()-9,COLUMN())))</f>
        <v/>
      </c>
      <c r="D662" t="str">
        <f>IF($CM$6=0,"",IF(INDEX('⑩ 원문 보관'!$A:$E,$CM$6+ROW()-9,COLUMN())="","",INDEX('⑩ 원문 보관'!$A:$E,$CM$6+ROW()-9,COLUMN())))</f>
        <v/>
      </c>
      <c r="E662" t="str">
        <f>IF($CM$6=0,"",IF(INDEX('⑩ 원문 보관'!$A:$E,$CM$6+ROW()-9,COLUMN())="","",INDEX('⑩ 원문 보관'!$A:$E,$CM$6+ROW()-9,COLUMN())))</f>
        <v/>
      </c>
      <c r="Q662">
        <f t="shared" si="295"/>
        <v>8</v>
      </c>
      <c r="R662" t="str">
        <f t="shared" si="275"/>
        <v/>
      </c>
      <c r="S662" t="str">
        <f t="shared" si="276"/>
        <v/>
      </c>
      <c r="T662" t="str">
        <f t="shared" si="277"/>
        <v/>
      </c>
      <c r="U662">
        <f t="shared" si="278"/>
        <v>0</v>
      </c>
      <c r="V662">
        <f t="shared" si="296"/>
        <v>12</v>
      </c>
      <c r="W662" t="str">
        <f t="shared" si="279"/>
        <v/>
      </c>
      <c r="X662" t="str">
        <f t="shared" si="280"/>
        <v/>
      </c>
      <c r="Y662" t="str">
        <f t="shared" si="281"/>
        <v/>
      </c>
      <c r="Z662">
        <f t="shared" si="282"/>
        <v>0</v>
      </c>
      <c r="AA662">
        <f t="shared" si="297"/>
        <v>6</v>
      </c>
      <c r="AB662" t="str">
        <f t="shared" si="283"/>
        <v/>
      </c>
      <c r="AC662" t="str">
        <f t="shared" si="284"/>
        <v/>
      </c>
      <c r="AD662" t="str">
        <f t="shared" si="285"/>
        <v/>
      </c>
      <c r="AE662">
        <f t="shared" si="286"/>
        <v>0</v>
      </c>
      <c r="AF662">
        <f t="shared" si="298"/>
        <v>10</v>
      </c>
      <c r="AG662" t="str">
        <f t="shared" si="287"/>
        <v/>
      </c>
      <c r="AH662" t="str">
        <f t="shared" si="288"/>
        <v/>
      </c>
      <c r="AI662" t="str">
        <f t="shared" si="289"/>
        <v/>
      </c>
      <c r="AJ662">
        <f t="shared" si="290"/>
        <v>0</v>
      </c>
      <c r="AK662">
        <f t="shared" si="299"/>
        <v>4</v>
      </c>
      <c r="AL662" t="str">
        <f t="shared" si="291"/>
        <v/>
      </c>
      <c r="AM662" t="str">
        <f t="shared" si="292"/>
        <v/>
      </c>
      <c r="AN662" t="str">
        <f t="shared" si="293"/>
        <v/>
      </c>
      <c r="AO662">
        <f t="shared" si="294"/>
        <v>0</v>
      </c>
    </row>
    <row r="663" spans="1:41" x14ac:dyDescent="0.4">
      <c r="A663" t="str">
        <f>IF($CM$6=0,"",IF(INDEX('⑩ 원문 보관'!$A:$E,$CM$6+ROW()-9,COLUMN())="","",INDEX('⑩ 원문 보관'!$A:$E,$CM$6+ROW()-9,COLUMN())))</f>
        <v/>
      </c>
      <c r="B663" t="str">
        <f>IF($CM$6=0,"",IF(INDEX('⑩ 원문 보관'!$A:$E,$CM$6+ROW()-9,COLUMN())="","",INDEX('⑩ 원문 보관'!$A:$E,$CM$6+ROW()-9,COLUMN())))</f>
        <v/>
      </c>
      <c r="C663" t="str">
        <f>IF($CM$6=0,"",IF(INDEX('⑩ 원문 보관'!$A:$E,$CM$6+ROW()-9,COLUMN())="","",INDEX('⑩ 원문 보관'!$A:$E,$CM$6+ROW()-9,COLUMN())))</f>
        <v/>
      </c>
      <c r="D663" t="str">
        <f>IF($CM$6=0,"",IF(INDEX('⑩ 원문 보관'!$A:$E,$CM$6+ROW()-9,COLUMN())="","",INDEX('⑩ 원문 보관'!$A:$E,$CM$6+ROW()-9,COLUMN())))</f>
        <v/>
      </c>
      <c r="E663" t="str">
        <f>IF($CM$6=0,"",IF(INDEX('⑩ 원문 보관'!$A:$E,$CM$6+ROW()-9,COLUMN())="","",INDEX('⑩ 원문 보관'!$A:$E,$CM$6+ROW()-9,COLUMN())))</f>
        <v/>
      </c>
      <c r="Q663">
        <f t="shared" si="295"/>
        <v>8</v>
      </c>
      <c r="R663" t="str">
        <f t="shared" si="275"/>
        <v/>
      </c>
      <c r="S663" t="str">
        <f t="shared" si="276"/>
        <v/>
      </c>
      <c r="T663" t="str">
        <f t="shared" si="277"/>
        <v/>
      </c>
      <c r="U663">
        <f t="shared" si="278"/>
        <v>0</v>
      </c>
      <c r="V663">
        <f t="shared" si="296"/>
        <v>12</v>
      </c>
      <c r="W663" t="str">
        <f t="shared" si="279"/>
        <v/>
      </c>
      <c r="X663" t="str">
        <f t="shared" si="280"/>
        <v/>
      </c>
      <c r="Y663" t="str">
        <f t="shared" si="281"/>
        <v/>
      </c>
      <c r="Z663">
        <f t="shared" si="282"/>
        <v>0</v>
      </c>
      <c r="AA663">
        <f t="shared" si="297"/>
        <v>6</v>
      </c>
      <c r="AB663" t="str">
        <f t="shared" si="283"/>
        <v/>
      </c>
      <c r="AC663" t="str">
        <f t="shared" si="284"/>
        <v/>
      </c>
      <c r="AD663" t="str">
        <f t="shared" si="285"/>
        <v/>
      </c>
      <c r="AE663">
        <f t="shared" si="286"/>
        <v>0</v>
      </c>
      <c r="AF663">
        <f t="shared" si="298"/>
        <v>10</v>
      </c>
      <c r="AG663" t="str">
        <f t="shared" si="287"/>
        <v/>
      </c>
      <c r="AH663" t="str">
        <f t="shared" si="288"/>
        <v/>
      </c>
      <c r="AI663" t="str">
        <f t="shared" si="289"/>
        <v/>
      </c>
      <c r="AJ663">
        <f t="shared" si="290"/>
        <v>0</v>
      </c>
      <c r="AK663">
        <f t="shared" si="299"/>
        <v>4</v>
      </c>
      <c r="AL663" t="str">
        <f t="shared" si="291"/>
        <v/>
      </c>
      <c r="AM663" t="str">
        <f t="shared" si="292"/>
        <v/>
      </c>
      <c r="AN663" t="str">
        <f t="shared" si="293"/>
        <v/>
      </c>
      <c r="AO663">
        <f t="shared" si="294"/>
        <v>0</v>
      </c>
    </row>
    <row r="664" spans="1:41" x14ac:dyDescent="0.4">
      <c r="A664" t="str">
        <f>IF($CM$6=0,"",IF(INDEX('⑩ 원문 보관'!$A:$E,$CM$6+ROW()-9,COLUMN())="","",INDEX('⑩ 원문 보관'!$A:$E,$CM$6+ROW()-9,COLUMN())))</f>
        <v/>
      </c>
      <c r="B664" t="str">
        <f>IF($CM$6=0,"",IF(INDEX('⑩ 원문 보관'!$A:$E,$CM$6+ROW()-9,COLUMN())="","",INDEX('⑩ 원문 보관'!$A:$E,$CM$6+ROW()-9,COLUMN())))</f>
        <v/>
      </c>
      <c r="C664" t="str">
        <f>IF($CM$6=0,"",IF(INDEX('⑩ 원문 보관'!$A:$E,$CM$6+ROW()-9,COLUMN())="","",INDEX('⑩ 원문 보관'!$A:$E,$CM$6+ROW()-9,COLUMN())))</f>
        <v/>
      </c>
      <c r="D664" t="str">
        <f>IF($CM$6=0,"",IF(INDEX('⑩ 원문 보관'!$A:$E,$CM$6+ROW()-9,COLUMN())="","",INDEX('⑩ 원문 보관'!$A:$E,$CM$6+ROW()-9,COLUMN())))</f>
        <v/>
      </c>
      <c r="E664" t="str">
        <f>IF($CM$6=0,"",IF(INDEX('⑩ 원문 보관'!$A:$E,$CM$6+ROW()-9,COLUMN())="","",INDEX('⑩ 원문 보관'!$A:$E,$CM$6+ROW()-9,COLUMN())))</f>
        <v/>
      </c>
      <c r="Q664">
        <f t="shared" si="295"/>
        <v>8</v>
      </c>
      <c r="R664" t="str">
        <f t="shared" si="275"/>
        <v/>
      </c>
      <c r="S664" t="str">
        <f t="shared" si="276"/>
        <v/>
      </c>
      <c r="T664" t="str">
        <f t="shared" si="277"/>
        <v/>
      </c>
      <c r="U664">
        <f t="shared" si="278"/>
        <v>0</v>
      </c>
      <c r="V664">
        <f t="shared" si="296"/>
        <v>12</v>
      </c>
      <c r="W664" t="str">
        <f t="shared" si="279"/>
        <v/>
      </c>
      <c r="X664" t="str">
        <f t="shared" si="280"/>
        <v/>
      </c>
      <c r="Y664" t="str">
        <f t="shared" si="281"/>
        <v/>
      </c>
      <c r="Z664">
        <f t="shared" si="282"/>
        <v>0</v>
      </c>
      <c r="AA664">
        <f t="shared" si="297"/>
        <v>6</v>
      </c>
      <c r="AB664" t="str">
        <f t="shared" si="283"/>
        <v/>
      </c>
      <c r="AC664" t="str">
        <f t="shared" si="284"/>
        <v/>
      </c>
      <c r="AD664" t="str">
        <f t="shared" si="285"/>
        <v/>
      </c>
      <c r="AE664">
        <f t="shared" si="286"/>
        <v>0</v>
      </c>
      <c r="AF664">
        <f t="shared" si="298"/>
        <v>10</v>
      </c>
      <c r="AG664" t="str">
        <f t="shared" si="287"/>
        <v/>
      </c>
      <c r="AH664" t="str">
        <f t="shared" si="288"/>
        <v/>
      </c>
      <c r="AI664" t="str">
        <f t="shared" si="289"/>
        <v/>
      </c>
      <c r="AJ664">
        <f t="shared" si="290"/>
        <v>0</v>
      </c>
      <c r="AK664">
        <f t="shared" si="299"/>
        <v>4</v>
      </c>
      <c r="AL664" t="str">
        <f t="shared" si="291"/>
        <v/>
      </c>
      <c r="AM664" t="str">
        <f t="shared" si="292"/>
        <v/>
      </c>
      <c r="AN664" t="str">
        <f t="shared" si="293"/>
        <v/>
      </c>
      <c r="AO664">
        <f t="shared" si="294"/>
        <v>0</v>
      </c>
    </row>
    <row r="665" spans="1:41" x14ac:dyDescent="0.4">
      <c r="A665" t="str">
        <f>IF($CM$6=0,"",IF(INDEX('⑩ 원문 보관'!$A:$E,$CM$6+ROW()-9,COLUMN())="","",INDEX('⑩ 원문 보관'!$A:$E,$CM$6+ROW()-9,COLUMN())))</f>
        <v/>
      </c>
      <c r="B665" t="str">
        <f>IF($CM$6=0,"",IF(INDEX('⑩ 원문 보관'!$A:$E,$CM$6+ROW()-9,COLUMN())="","",INDEX('⑩ 원문 보관'!$A:$E,$CM$6+ROW()-9,COLUMN())))</f>
        <v/>
      </c>
      <c r="C665" t="str">
        <f>IF($CM$6=0,"",IF(INDEX('⑩ 원문 보관'!$A:$E,$CM$6+ROW()-9,COLUMN())="","",INDEX('⑩ 원문 보관'!$A:$E,$CM$6+ROW()-9,COLUMN())))</f>
        <v/>
      </c>
      <c r="D665" t="str">
        <f>IF($CM$6=0,"",IF(INDEX('⑩ 원문 보관'!$A:$E,$CM$6+ROW()-9,COLUMN())="","",INDEX('⑩ 원문 보관'!$A:$E,$CM$6+ROW()-9,COLUMN())))</f>
        <v/>
      </c>
      <c r="E665" t="str">
        <f>IF($CM$6=0,"",IF(INDEX('⑩ 원문 보관'!$A:$E,$CM$6+ROW()-9,COLUMN())="","",INDEX('⑩ 원문 보관'!$A:$E,$CM$6+ROW()-9,COLUMN())))</f>
        <v/>
      </c>
      <c r="Q665">
        <f t="shared" si="295"/>
        <v>8</v>
      </c>
      <c r="R665" t="str">
        <f t="shared" si="275"/>
        <v/>
      </c>
      <c r="S665" t="str">
        <f t="shared" si="276"/>
        <v/>
      </c>
      <c r="T665" t="str">
        <f t="shared" si="277"/>
        <v/>
      </c>
      <c r="U665">
        <f t="shared" si="278"/>
        <v>0</v>
      </c>
      <c r="V665">
        <f t="shared" si="296"/>
        <v>12</v>
      </c>
      <c r="W665" t="str">
        <f t="shared" si="279"/>
        <v/>
      </c>
      <c r="X665" t="str">
        <f t="shared" si="280"/>
        <v/>
      </c>
      <c r="Y665" t="str">
        <f t="shared" si="281"/>
        <v/>
      </c>
      <c r="Z665">
        <f t="shared" si="282"/>
        <v>0</v>
      </c>
      <c r="AA665">
        <f t="shared" si="297"/>
        <v>6</v>
      </c>
      <c r="AB665" t="str">
        <f t="shared" si="283"/>
        <v/>
      </c>
      <c r="AC665" t="str">
        <f t="shared" si="284"/>
        <v/>
      </c>
      <c r="AD665" t="str">
        <f t="shared" si="285"/>
        <v/>
      </c>
      <c r="AE665">
        <f t="shared" si="286"/>
        <v>0</v>
      </c>
      <c r="AF665">
        <f t="shared" si="298"/>
        <v>10</v>
      </c>
      <c r="AG665" t="str">
        <f t="shared" si="287"/>
        <v/>
      </c>
      <c r="AH665" t="str">
        <f t="shared" si="288"/>
        <v/>
      </c>
      <c r="AI665" t="str">
        <f t="shared" si="289"/>
        <v/>
      </c>
      <c r="AJ665">
        <f t="shared" si="290"/>
        <v>0</v>
      </c>
      <c r="AK665">
        <f t="shared" si="299"/>
        <v>4</v>
      </c>
      <c r="AL665" t="str">
        <f t="shared" si="291"/>
        <v/>
      </c>
      <c r="AM665" t="str">
        <f t="shared" si="292"/>
        <v/>
      </c>
      <c r="AN665" t="str">
        <f t="shared" si="293"/>
        <v/>
      </c>
      <c r="AO665">
        <f t="shared" si="294"/>
        <v>0</v>
      </c>
    </row>
    <row r="666" spans="1:41" x14ac:dyDescent="0.4">
      <c r="A666" t="str">
        <f>IF($CM$6=0,"",IF(INDEX('⑩ 원문 보관'!$A:$E,$CM$6+ROW()-9,COLUMN())="","",INDEX('⑩ 원문 보관'!$A:$E,$CM$6+ROW()-9,COLUMN())))</f>
        <v/>
      </c>
      <c r="B666" t="str">
        <f>IF($CM$6=0,"",IF(INDEX('⑩ 원문 보관'!$A:$E,$CM$6+ROW()-9,COLUMN())="","",INDEX('⑩ 원문 보관'!$A:$E,$CM$6+ROW()-9,COLUMN())))</f>
        <v/>
      </c>
      <c r="C666" t="str">
        <f>IF($CM$6=0,"",IF(INDEX('⑩ 원문 보관'!$A:$E,$CM$6+ROW()-9,COLUMN())="","",INDEX('⑩ 원문 보관'!$A:$E,$CM$6+ROW()-9,COLUMN())))</f>
        <v/>
      </c>
      <c r="D666" t="str">
        <f>IF($CM$6=0,"",IF(INDEX('⑩ 원문 보관'!$A:$E,$CM$6+ROW()-9,COLUMN())="","",INDEX('⑩ 원문 보관'!$A:$E,$CM$6+ROW()-9,COLUMN())))</f>
        <v/>
      </c>
      <c r="E666" t="str">
        <f>IF($CM$6=0,"",IF(INDEX('⑩ 원문 보관'!$A:$E,$CM$6+ROW()-9,COLUMN())="","",INDEX('⑩ 원문 보관'!$A:$E,$CM$6+ROW()-9,COLUMN())))</f>
        <v/>
      </c>
      <c r="Q666">
        <f t="shared" si="295"/>
        <v>8</v>
      </c>
      <c r="R666" t="str">
        <f t="shared" si="275"/>
        <v/>
      </c>
      <c r="S666" t="str">
        <f t="shared" si="276"/>
        <v/>
      </c>
      <c r="T666" t="str">
        <f t="shared" si="277"/>
        <v/>
      </c>
      <c r="U666">
        <f t="shared" si="278"/>
        <v>0</v>
      </c>
      <c r="V666">
        <f t="shared" si="296"/>
        <v>12</v>
      </c>
      <c r="W666" t="str">
        <f t="shared" si="279"/>
        <v/>
      </c>
      <c r="X666" t="str">
        <f t="shared" si="280"/>
        <v/>
      </c>
      <c r="Y666" t="str">
        <f t="shared" si="281"/>
        <v/>
      </c>
      <c r="Z666">
        <f t="shared" si="282"/>
        <v>0</v>
      </c>
      <c r="AA666">
        <f t="shared" si="297"/>
        <v>6</v>
      </c>
      <c r="AB666" t="str">
        <f t="shared" si="283"/>
        <v/>
      </c>
      <c r="AC666" t="str">
        <f t="shared" si="284"/>
        <v/>
      </c>
      <c r="AD666" t="str">
        <f t="shared" si="285"/>
        <v/>
      </c>
      <c r="AE666">
        <f t="shared" si="286"/>
        <v>0</v>
      </c>
      <c r="AF666">
        <f t="shared" si="298"/>
        <v>10</v>
      </c>
      <c r="AG666" t="str">
        <f t="shared" si="287"/>
        <v/>
      </c>
      <c r="AH666" t="str">
        <f t="shared" si="288"/>
        <v/>
      </c>
      <c r="AI666" t="str">
        <f t="shared" si="289"/>
        <v/>
      </c>
      <c r="AJ666">
        <f t="shared" si="290"/>
        <v>0</v>
      </c>
      <c r="AK666">
        <f t="shared" si="299"/>
        <v>4</v>
      </c>
      <c r="AL666" t="str">
        <f t="shared" si="291"/>
        <v/>
      </c>
      <c r="AM666" t="str">
        <f t="shared" si="292"/>
        <v/>
      </c>
      <c r="AN666" t="str">
        <f t="shared" si="293"/>
        <v/>
      </c>
      <c r="AO666">
        <f t="shared" si="294"/>
        <v>0</v>
      </c>
    </row>
    <row r="667" spans="1:41" x14ac:dyDescent="0.4">
      <c r="A667" t="str">
        <f>IF($CM$6=0,"",IF(INDEX('⑩ 원문 보관'!$A:$E,$CM$6+ROW()-9,COLUMN())="","",INDEX('⑩ 원문 보관'!$A:$E,$CM$6+ROW()-9,COLUMN())))</f>
        <v/>
      </c>
      <c r="B667" t="str">
        <f>IF($CM$6=0,"",IF(INDEX('⑩ 원문 보관'!$A:$E,$CM$6+ROW()-9,COLUMN())="","",INDEX('⑩ 원문 보관'!$A:$E,$CM$6+ROW()-9,COLUMN())))</f>
        <v/>
      </c>
      <c r="C667" t="str">
        <f>IF($CM$6=0,"",IF(INDEX('⑩ 원문 보관'!$A:$E,$CM$6+ROW()-9,COLUMN())="","",INDEX('⑩ 원문 보관'!$A:$E,$CM$6+ROW()-9,COLUMN())))</f>
        <v/>
      </c>
      <c r="D667" t="str">
        <f>IF($CM$6=0,"",IF(INDEX('⑩ 원문 보관'!$A:$E,$CM$6+ROW()-9,COLUMN())="","",INDEX('⑩ 원문 보관'!$A:$E,$CM$6+ROW()-9,COLUMN())))</f>
        <v/>
      </c>
      <c r="E667" t="str">
        <f>IF($CM$6=0,"",IF(INDEX('⑩ 원문 보관'!$A:$E,$CM$6+ROW()-9,COLUMN())="","",INDEX('⑩ 원문 보관'!$A:$E,$CM$6+ROW()-9,COLUMN())))</f>
        <v/>
      </c>
      <c r="Q667">
        <f t="shared" si="295"/>
        <v>8</v>
      </c>
      <c r="R667" t="str">
        <f t="shared" si="275"/>
        <v/>
      </c>
      <c r="S667" t="str">
        <f t="shared" si="276"/>
        <v/>
      </c>
      <c r="T667" t="str">
        <f t="shared" si="277"/>
        <v/>
      </c>
      <c r="U667">
        <f t="shared" si="278"/>
        <v>0</v>
      </c>
      <c r="V667">
        <f t="shared" si="296"/>
        <v>12</v>
      </c>
      <c r="W667" t="str">
        <f t="shared" si="279"/>
        <v/>
      </c>
      <c r="X667" t="str">
        <f t="shared" si="280"/>
        <v/>
      </c>
      <c r="Y667" t="str">
        <f t="shared" si="281"/>
        <v/>
      </c>
      <c r="Z667">
        <f t="shared" si="282"/>
        <v>0</v>
      </c>
      <c r="AA667">
        <f t="shared" si="297"/>
        <v>6</v>
      </c>
      <c r="AB667" t="str">
        <f t="shared" si="283"/>
        <v/>
      </c>
      <c r="AC667" t="str">
        <f t="shared" si="284"/>
        <v/>
      </c>
      <c r="AD667" t="str">
        <f t="shared" si="285"/>
        <v/>
      </c>
      <c r="AE667">
        <f t="shared" si="286"/>
        <v>0</v>
      </c>
      <c r="AF667">
        <f t="shared" si="298"/>
        <v>10</v>
      </c>
      <c r="AG667" t="str">
        <f t="shared" si="287"/>
        <v/>
      </c>
      <c r="AH667" t="str">
        <f t="shared" si="288"/>
        <v/>
      </c>
      <c r="AI667" t="str">
        <f t="shared" si="289"/>
        <v/>
      </c>
      <c r="AJ667">
        <f t="shared" si="290"/>
        <v>0</v>
      </c>
      <c r="AK667">
        <f t="shared" si="299"/>
        <v>4</v>
      </c>
      <c r="AL667" t="str">
        <f t="shared" si="291"/>
        <v/>
      </c>
      <c r="AM667" t="str">
        <f t="shared" si="292"/>
        <v/>
      </c>
      <c r="AN667" t="str">
        <f t="shared" si="293"/>
        <v/>
      </c>
      <c r="AO667">
        <f t="shared" si="294"/>
        <v>0</v>
      </c>
    </row>
    <row r="668" spans="1:41" x14ac:dyDescent="0.4">
      <c r="A668" t="str">
        <f>IF($CM$6=0,"",IF(INDEX('⑩ 원문 보관'!$A:$E,$CM$6+ROW()-9,COLUMN())="","",INDEX('⑩ 원문 보관'!$A:$E,$CM$6+ROW()-9,COLUMN())))</f>
        <v/>
      </c>
      <c r="B668" t="str">
        <f>IF($CM$6=0,"",IF(INDEX('⑩ 원문 보관'!$A:$E,$CM$6+ROW()-9,COLUMN())="","",INDEX('⑩ 원문 보관'!$A:$E,$CM$6+ROW()-9,COLUMN())))</f>
        <v/>
      </c>
      <c r="C668" t="str">
        <f>IF($CM$6=0,"",IF(INDEX('⑩ 원문 보관'!$A:$E,$CM$6+ROW()-9,COLUMN())="","",INDEX('⑩ 원문 보관'!$A:$E,$CM$6+ROW()-9,COLUMN())))</f>
        <v/>
      </c>
      <c r="D668" t="str">
        <f>IF($CM$6=0,"",IF(INDEX('⑩ 원문 보관'!$A:$E,$CM$6+ROW()-9,COLUMN())="","",INDEX('⑩ 원문 보관'!$A:$E,$CM$6+ROW()-9,COLUMN())))</f>
        <v/>
      </c>
      <c r="E668" t="str">
        <f>IF($CM$6=0,"",IF(INDEX('⑩ 원문 보관'!$A:$E,$CM$6+ROW()-9,COLUMN())="","",INDEX('⑩ 원문 보관'!$A:$E,$CM$6+ROW()-9,COLUMN())))</f>
        <v/>
      </c>
      <c r="Q668">
        <f t="shared" si="295"/>
        <v>8</v>
      </c>
      <c r="R668" t="str">
        <f t="shared" si="275"/>
        <v/>
      </c>
      <c r="S668" t="str">
        <f t="shared" si="276"/>
        <v/>
      </c>
      <c r="T668" t="str">
        <f t="shared" si="277"/>
        <v/>
      </c>
      <c r="U668">
        <f t="shared" si="278"/>
        <v>0</v>
      </c>
      <c r="V668">
        <f t="shared" si="296"/>
        <v>12</v>
      </c>
      <c r="W668" t="str">
        <f t="shared" si="279"/>
        <v/>
      </c>
      <c r="X668" t="str">
        <f t="shared" si="280"/>
        <v/>
      </c>
      <c r="Y668" t="str">
        <f t="shared" si="281"/>
        <v/>
      </c>
      <c r="Z668">
        <f t="shared" si="282"/>
        <v>0</v>
      </c>
      <c r="AA668">
        <f t="shared" si="297"/>
        <v>6</v>
      </c>
      <c r="AB668" t="str">
        <f t="shared" si="283"/>
        <v/>
      </c>
      <c r="AC668" t="str">
        <f t="shared" si="284"/>
        <v/>
      </c>
      <c r="AD668" t="str">
        <f t="shared" si="285"/>
        <v/>
      </c>
      <c r="AE668">
        <f t="shared" si="286"/>
        <v>0</v>
      </c>
      <c r="AF668">
        <f t="shared" si="298"/>
        <v>10</v>
      </c>
      <c r="AG668" t="str">
        <f t="shared" si="287"/>
        <v/>
      </c>
      <c r="AH668" t="str">
        <f t="shared" si="288"/>
        <v/>
      </c>
      <c r="AI668" t="str">
        <f t="shared" si="289"/>
        <v/>
      </c>
      <c r="AJ668">
        <f t="shared" si="290"/>
        <v>0</v>
      </c>
      <c r="AK668">
        <f t="shared" si="299"/>
        <v>4</v>
      </c>
      <c r="AL668" t="str">
        <f t="shared" si="291"/>
        <v/>
      </c>
      <c r="AM668" t="str">
        <f t="shared" si="292"/>
        <v/>
      </c>
      <c r="AN668" t="str">
        <f t="shared" si="293"/>
        <v/>
      </c>
      <c r="AO668">
        <f t="shared" si="294"/>
        <v>0</v>
      </c>
    </row>
    <row r="669" spans="1:41" x14ac:dyDescent="0.4">
      <c r="A669" t="str">
        <f>IF($CM$6=0,"",IF(INDEX('⑩ 원문 보관'!$A:$E,$CM$6+ROW()-9,COLUMN())="","",INDEX('⑩ 원문 보관'!$A:$E,$CM$6+ROW()-9,COLUMN())))</f>
        <v/>
      </c>
      <c r="B669" t="str">
        <f>IF($CM$6=0,"",IF(INDEX('⑩ 원문 보관'!$A:$E,$CM$6+ROW()-9,COLUMN())="","",INDEX('⑩ 원문 보관'!$A:$E,$CM$6+ROW()-9,COLUMN())))</f>
        <v/>
      </c>
      <c r="C669" t="str">
        <f>IF($CM$6=0,"",IF(INDEX('⑩ 원문 보관'!$A:$E,$CM$6+ROW()-9,COLUMN())="","",INDEX('⑩ 원문 보관'!$A:$E,$CM$6+ROW()-9,COLUMN())))</f>
        <v/>
      </c>
      <c r="D669" t="str">
        <f>IF($CM$6=0,"",IF(INDEX('⑩ 원문 보관'!$A:$E,$CM$6+ROW()-9,COLUMN())="","",INDEX('⑩ 원문 보관'!$A:$E,$CM$6+ROW()-9,COLUMN())))</f>
        <v/>
      </c>
      <c r="E669" t="str">
        <f>IF($CM$6=0,"",IF(INDEX('⑩ 원문 보관'!$A:$E,$CM$6+ROW()-9,COLUMN())="","",INDEX('⑩ 원문 보관'!$A:$E,$CM$6+ROW()-9,COLUMN())))</f>
        <v/>
      </c>
      <c r="Q669">
        <f t="shared" si="295"/>
        <v>8</v>
      </c>
      <c r="R669" t="str">
        <f t="shared" si="275"/>
        <v/>
      </c>
      <c r="S669" t="str">
        <f t="shared" si="276"/>
        <v/>
      </c>
      <c r="T669" t="str">
        <f t="shared" si="277"/>
        <v/>
      </c>
      <c r="U669">
        <f t="shared" si="278"/>
        <v>0</v>
      </c>
      <c r="V669">
        <f t="shared" si="296"/>
        <v>12</v>
      </c>
      <c r="W669" t="str">
        <f t="shared" si="279"/>
        <v/>
      </c>
      <c r="X669" t="str">
        <f t="shared" si="280"/>
        <v/>
      </c>
      <c r="Y669" t="str">
        <f t="shared" si="281"/>
        <v/>
      </c>
      <c r="Z669">
        <f t="shared" si="282"/>
        <v>0</v>
      </c>
      <c r="AA669">
        <f t="shared" si="297"/>
        <v>6</v>
      </c>
      <c r="AB669" t="str">
        <f t="shared" si="283"/>
        <v/>
      </c>
      <c r="AC669" t="str">
        <f t="shared" si="284"/>
        <v/>
      </c>
      <c r="AD669" t="str">
        <f t="shared" si="285"/>
        <v/>
      </c>
      <c r="AE669">
        <f t="shared" si="286"/>
        <v>0</v>
      </c>
      <c r="AF669">
        <f t="shared" si="298"/>
        <v>10</v>
      </c>
      <c r="AG669" t="str">
        <f t="shared" si="287"/>
        <v/>
      </c>
      <c r="AH669" t="str">
        <f t="shared" si="288"/>
        <v/>
      </c>
      <c r="AI669" t="str">
        <f t="shared" si="289"/>
        <v/>
      </c>
      <c r="AJ669">
        <f t="shared" si="290"/>
        <v>0</v>
      </c>
      <c r="AK669">
        <f t="shared" si="299"/>
        <v>4</v>
      </c>
      <c r="AL669" t="str">
        <f t="shared" si="291"/>
        <v/>
      </c>
      <c r="AM669" t="str">
        <f t="shared" si="292"/>
        <v/>
      </c>
      <c r="AN669" t="str">
        <f t="shared" si="293"/>
        <v/>
      </c>
      <c r="AO669">
        <f t="shared" si="294"/>
        <v>0</v>
      </c>
    </row>
    <row r="670" spans="1:41" x14ac:dyDescent="0.4">
      <c r="A670" t="str">
        <f>IF($CM$6=0,"",IF(INDEX('⑩ 원문 보관'!$A:$E,$CM$6+ROW()-9,COLUMN())="","",INDEX('⑩ 원문 보관'!$A:$E,$CM$6+ROW()-9,COLUMN())))</f>
        <v/>
      </c>
      <c r="B670" t="str">
        <f>IF($CM$6=0,"",IF(INDEX('⑩ 원문 보관'!$A:$E,$CM$6+ROW()-9,COLUMN())="","",INDEX('⑩ 원문 보관'!$A:$E,$CM$6+ROW()-9,COLUMN())))</f>
        <v/>
      </c>
      <c r="C670" t="str">
        <f>IF($CM$6=0,"",IF(INDEX('⑩ 원문 보관'!$A:$E,$CM$6+ROW()-9,COLUMN())="","",INDEX('⑩ 원문 보관'!$A:$E,$CM$6+ROW()-9,COLUMN())))</f>
        <v/>
      </c>
      <c r="D670" t="str">
        <f>IF($CM$6=0,"",IF(INDEX('⑩ 원문 보관'!$A:$E,$CM$6+ROW()-9,COLUMN())="","",INDEX('⑩ 원문 보관'!$A:$E,$CM$6+ROW()-9,COLUMN())))</f>
        <v/>
      </c>
      <c r="E670" t="str">
        <f>IF($CM$6=0,"",IF(INDEX('⑩ 원문 보관'!$A:$E,$CM$6+ROW()-9,COLUMN())="","",INDEX('⑩ 원문 보관'!$A:$E,$CM$6+ROW()-9,COLUMN())))</f>
        <v/>
      </c>
      <c r="Q670">
        <f t="shared" si="295"/>
        <v>8</v>
      </c>
      <c r="R670" t="str">
        <f t="shared" si="275"/>
        <v/>
      </c>
      <c r="S670" t="str">
        <f t="shared" si="276"/>
        <v/>
      </c>
      <c r="T670" t="str">
        <f t="shared" si="277"/>
        <v/>
      </c>
      <c r="U670">
        <f t="shared" si="278"/>
        <v>0</v>
      </c>
      <c r="V670">
        <f t="shared" si="296"/>
        <v>12</v>
      </c>
      <c r="W670" t="str">
        <f t="shared" si="279"/>
        <v/>
      </c>
      <c r="X670" t="str">
        <f t="shared" si="280"/>
        <v/>
      </c>
      <c r="Y670" t="str">
        <f t="shared" si="281"/>
        <v/>
      </c>
      <c r="Z670">
        <f t="shared" si="282"/>
        <v>0</v>
      </c>
      <c r="AA670">
        <f t="shared" si="297"/>
        <v>6</v>
      </c>
      <c r="AB670" t="str">
        <f t="shared" si="283"/>
        <v/>
      </c>
      <c r="AC670" t="str">
        <f t="shared" si="284"/>
        <v/>
      </c>
      <c r="AD670" t="str">
        <f t="shared" si="285"/>
        <v/>
      </c>
      <c r="AE670">
        <f t="shared" si="286"/>
        <v>0</v>
      </c>
      <c r="AF670">
        <f t="shared" si="298"/>
        <v>10</v>
      </c>
      <c r="AG670" t="str">
        <f t="shared" si="287"/>
        <v/>
      </c>
      <c r="AH670" t="str">
        <f t="shared" si="288"/>
        <v/>
      </c>
      <c r="AI670" t="str">
        <f t="shared" si="289"/>
        <v/>
      </c>
      <c r="AJ670">
        <f t="shared" si="290"/>
        <v>0</v>
      </c>
      <c r="AK670">
        <f t="shared" si="299"/>
        <v>4</v>
      </c>
      <c r="AL670" t="str">
        <f t="shared" si="291"/>
        <v/>
      </c>
      <c r="AM670" t="str">
        <f t="shared" si="292"/>
        <v/>
      </c>
      <c r="AN670" t="str">
        <f t="shared" si="293"/>
        <v/>
      </c>
      <c r="AO670">
        <f t="shared" si="294"/>
        <v>0</v>
      </c>
    </row>
    <row r="671" spans="1:41" x14ac:dyDescent="0.4">
      <c r="A671" t="str">
        <f>IF($CM$6=0,"",IF(INDEX('⑩ 원문 보관'!$A:$E,$CM$6+ROW()-9,COLUMN())="","",INDEX('⑩ 원문 보관'!$A:$E,$CM$6+ROW()-9,COLUMN())))</f>
        <v/>
      </c>
      <c r="B671" t="str">
        <f>IF($CM$6=0,"",IF(INDEX('⑩ 원문 보관'!$A:$E,$CM$6+ROW()-9,COLUMN())="","",INDEX('⑩ 원문 보관'!$A:$E,$CM$6+ROW()-9,COLUMN())))</f>
        <v/>
      </c>
      <c r="C671" t="str">
        <f>IF($CM$6=0,"",IF(INDEX('⑩ 원문 보관'!$A:$E,$CM$6+ROW()-9,COLUMN())="","",INDEX('⑩ 원문 보관'!$A:$E,$CM$6+ROW()-9,COLUMN())))</f>
        <v/>
      </c>
      <c r="D671" t="str">
        <f>IF($CM$6=0,"",IF(INDEX('⑩ 원문 보관'!$A:$E,$CM$6+ROW()-9,COLUMN())="","",INDEX('⑩ 원문 보관'!$A:$E,$CM$6+ROW()-9,COLUMN())))</f>
        <v/>
      </c>
      <c r="E671" t="str">
        <f>IF($CM$6=0,"",IF(INDEX('⑩ 원문 보관'!$A:$E,$CM$6+ROW()-9,COLUMN())="","",INDEX('⑩ 원문 보관'!$A:$E,$CM$6+ROW()-9,COLUMN())))</f>
        <v/>
      </c>
      <c r="Q671">
        <f t="shared" si="295"/>
        <v>8</v>
      </c>
      <c r="R671" t="str">
        <f t="shared" si="275"/>
        <v/>
      </c>
      <c r="S671" t="str">
        <f t="shared" si="276"/>
        <v/>
      </c>
      <c r="T671" t="str">
        <f t="shared" si="277"/>
        <v/>
      </c>
      <c r="U671">
        <f t="shared" si="278"/>
        <v>0</v>
      </c>
      <c r="V671">
        <f t="shared" si="296"/>
        <v>12</v>
      </c>
      <c r="W671" t="str">
        <f t="shared" si="279"/>
        <v/>
      </c>
      <c r="X671" t="str">
        <f t="shared" si="280"/>
        <v/>
      </c>
      <c r="Y671" t="str">
        <f t="shared" si="281"/>
        <v/>
      </c>
      <c r="Z671">
        <f t="shared" si="282"/>
        <v>0</v>
      </c>
      <c r="AA671">
        <f t="shared" si="297"/>
        <v>6</v>
      </c>
      <c r="AB671" t="str">
        <f t="shared" si="283"/>
        <v/>
      </c>
      <c r="AC671" t="str">
        <f t="shared" si="284"/>
        <v/>
      </c>
      <c r="AD671" t="str">
        <f t="shared" si="285"/>
        <v/>
      </c>
      <c r="AE671">
        <f t="shared" si="286"/>
        <v>0</v>
      </c>
      <c r="AF671">
        <f t="shared" si="298"/>
        <v>10</v>
      </c>
      <c r="AG671" t="str">
        <f t="shared" si="287"/>
        <v/>
      </c>
      <c r="AH671" t="str">
        <f t="shared" si="288"/>
        <v/>
      </c>
      <c r="AI671" t="str">
        <f t="shared" si="289"/>
        <v/>
      </c>
      <c r="AJ671">
        <f t="shared" si="290"/>
        <v>0</v>
      </c>
      <c r="AK671">
        <f t="shared" si="299"/>
        <v>4</v>
      </c>
      <c r="AL671" t="str">
        <f t="shared" si="291"/>
        <v/>
      </c>
      <c r="AM671" t="str">
        <f t="shared" si="292"/>
        <v/>
      </c>
      <c r="AN671" t="str">
        <f t="shared" si="293"/>
        <v/>
      </c>
      <c r="AO671">
        <f t="shared" si="294"/>
        <v>0</v>
      </c>
    </row>
    <row r="672" spans="1:41" x14ac:dyDescent="0.4">
      <c r="A672" t="str">
        <f>IF($CM$6=0,"",IF(INDEX('⑩ 원문 보관'!$A:$E,$CM$6+ROW()-9,COLUMN())="","",INDEX('⑩ 원문 보관'!$A:$E,$CM$6+ROW()-9,COLUMN())))</f>
        <v/>
      </c>
      <c r="B672" t="str">
        <f>IF($CM$6=0,"",IF(INDEX('⑩ 원문 보관'!$A:$E,$CM$6+ROW()-9,COLUMN())="","",INDEX('⑩ 원문 보관'!$A:$E,$CM$6+ROW()-9,COLUMN())))</f>
        <v/>
      </c>
      <c r="C672" t="str">
        <f>IF($CM$6=0,"",IF(INDEX('⑩ 원문 보관'!$A:$E,$CM$6+ROW()-9,COLUMN())="","",INDEX('⑩ 원문 보관'!$A:$E,$CM$6+ROW()-9,COLUMN())))</f>
        <v/>
      </c>
      <c r="D672" t="str">
        <f>IF($CM$6=0,"",IF(INDEX('⑩ 원문 보관'!$A:$E,$CM$6+ROW()-9,COLUMN())="","",INDEX('⑩ 원문 보관'!$A:$E,$CM$6+ROW()-9,COLUMN())))</f>
        <v/>
      </c>
      <c r="E672" t="str">
        <f>IF($CM$6=0,"",IF(INDEX('⑩ 원문 보관'!$A:$E,$CM$6+ROW()-9,COLUMN())="","",INDEX('⑩ 원문 보관'!$A:$E,$CM$6+ROW()-9,COLUMN())))</f>
        <v/>
      </c>
      <c r="Q672">
        <f t="shared" si="295"/>
        <v>8</v>
      </c>
      <c r="R672" t="str">
        <f t="shared" si="275"/>
        <v/>
      </c>
      <c r="S672" t="str">
        <f t="shared" si="276"/>
        <v/>
      </c>
      <c r="T672" t="str">
        <f t="shared" si="277"/>
        <v/>
      </c>
      <c r="U672">
        <f t="shared" si="278"/>
        <v>0</v>
      </c>
      <c r="V672">
        <f t="shared" si="296"/>
        <v>12</v>
      </c>
      <c r="W672" t="str">
        <f t="shared" si="279"/>
        <v/>
      </c>
      <c r="X672" t="str">
        <f t="shared" si="280"/>
        <v/>
      </c>
      <c r="Y672" t="str">
        <f t="shared" si="281"/>
        <v/>
      </c>
      <c r="Z672">
        <f t="shared" si="282"/>
        <v>0</v>
      </c>
      <c r="AA672">
        <f t="shared" si="297"/>
        <v>6</v>
      </c>
      <c r="AB672" t="str">
        <f t="shared" si="283"/>
        <v/>
      </c>
      <c r="AC672" t="str">
        <f t="shared" si="284"/>
        <v/>
      </c>
      <c r="AD672" t="str">
        <f t="shared" si="285"/>
        <v/>
      </c>
      <c r="AE672">
        <f t="shared" si="286"/>
        <v>0</v>
      </c>
      <c r="AF672">
        <f t="shared" si="298"/>
        <v>10</v>
      </c>
      <c r="AG672" t="str">
        <f t="shared" si="287"/>
        <v/>
      </c>
      <c r="AH672" t="str">
        <f t="shared" si="288"/>
        <v/>
      </c>
      <c r="AI672" t="str">
        <f t="shared" si="289"/>
        <v/>
      </c>
      <c r="AJ672">
        <f t="shared" si="290"/>
        <v>0</v>
      </c>
      <c r="AK672">
        <f t="shared" si="299"/>
        <v>4</v>
      </c>
      <c r="AL672" t="str">
        <f t="shared" si="291"/>
        <v/>
      </c>
      <c r="AM672" t="str">
        <f t="shared" si="292"/>
        <v/>
      </c>
      <c r="AN672" t="str">
        <f t="shared" si="293"/>
        <v/>
      </c>
      <c r="AO672">
        <f t="shared" si="294"/>
        <v>0</v>
      </c>
    </row>
    <row r="673" spans="1:41" x14ac:dyDescent="0.4">
      <c r="A673" t="str">
        <f>IF($CM$6=0,"",IF(INDEX('⑩ 원문 보관'!$A:$E,$CM$6+ROW()-9,COLUMN())="","",INDEX('⑩ 원문 보관'!$A:$E,$CM$6+ROW()-9,COLUMN())))</f>
        <v/>
      </c>
      <c r="B673" t="str">
        <f>IF($CM$6=0,"",IF(INDEX('⑩ 원문 보관'!$A:$E,$CM$6+ROW()-9,COLUMN())="","",INDEX('⑩ 원문 보관'!$A:$E,$CM$6+ROW()-9,COLUMN())))</f>
        <v/>
      </c>
      <c r="C673" t="str">
        <f>IF($CM$6=0,"",IF(INDEX('⑩ 원문 보관'!$A:$E,$CM$6+ROW()-9,COLUMN())="","",INDEX('⑩ 원문 보관'!$A:$E,$CM$6+ROW()-9,COLUMN())))</f>
        <v/>
      </c>
      <c r="D673" t="str">
        <f>IF($CM$6=0,"",IF(INDEX('⑩ 원문 보관'!$A:$E,$CM$6+ROW()-9,COLUMN())="","",INDEX('⑩ 원문 보관'!$A:$E,$CM$6+ROW()-9,COLUMN())))</f>
        <v/>
      </c>
      <c r="E673" t="str">
        <f>IF($CM$6=0,"",IF(INDEX('⑩ 원문 보관'!$A:$E,$CM$6+ROW()-9,COLUMN())="","",INDEX('⑩ 원문 보관'!$A:$E,$CM$6+ROW()-9,COLUMN())))</f>
        <v/>
      </c>
      <c r="Q673">
        <f t="shared" si="295"/>
        <v>8</v>
      </c>
      <c r="R673" t="str">
        <f t="shared" si="275"/>
        <v/>
      </c>
      <c r="S673" t="str">
        <f t="shared" si="276"/>
        <v/>
      </c>
      <c r="T673" t="str">
        <f t="shared" si="277"/>
        <v/>
      </c>
      <c r="U673">
        <f t="shared" si="278"/>
        <v>0</v>
      </c>
      <c r="V673">
        <f t="shared" si="296"/>
        <v>12</v>
      </c>
      <c r="W673" t="str">
        <f t="shared" si="279"/>
        <v/>
      </c>
      <c r="X673" t="str">
        <f t="shared" si="280"/>
        <v/>
      </c>
      <c r="Y673" t="str">
        <f t="shared" si="281"/>
        <v/>
      </c>
      <c r="Z673">
        <f t="shared" si="282"/>
        <v>0</v>
      </c>
      <c r="AA673">
        <f t="shared" si="297"/>
        <v>6</v>
      </c>
      <c r="AB673" t="str">
        <f t="shared" si="283"/>
        <v/>
      </c>
      <c r="AC673" t="str">
        <f t="shared" si="284"/>
        <v/>
      </c>
      <c r="AD673" t="str">
        <f t="shared" si="285"/>
        <v/>
      </c>
      <c r="AE673">
        <f t="shared" si="286"/>
        <v>0</v>
      </c>
      <c r="AF673">
        <f t="shared" si="298"/>
        <v>10</v>
      </c>
      <c r="AG673" t="str">
        <f t="shared" si="287"/>
        <v/>
      </c>
      <c r="AH673" t="str">
        <f t="shared" si="288"/>
        <v/>
      </c>
      <c r="AI673" t="str">
        <f t="shared" si="289"/>
        <v/>
      </c>
      <c r="AJ673">
        <f t="shared" si="290"/>
        <v>0</v>
      </c>
      <c r="AK673">
        <f t="shared" si="299"/>
        <v>4</v>
      </c>
      <c r="AL673" t="str">
        <f t="shared" si="291"/>
        <v/>
      </c>
      <c r="AM673" t="str">
        <f t="shared" si="292"/>
        <v/>
      </c>
      <c r="AN673" t="str">
        <f t="shared" si="293"/>
        <v/>
      </c>
      <c r="AO673">
        <f t="shared" si="294"/>
        <v>0</v>
      </c>
    </row>
    <row r="674" spans="1:41" x14ac:dyDescent="0.4">
      <c r="A674" t="str">
        <f>IF($CM$6=0,"",IF(INDEX('⑩ 원문 보관'!$A:$E,$CM$6+ROW()-9,COLUMN())="","",INDEX('⑩ 원문 보관'!$A:$E,$CM$6+ROW()-9,COLUMN())))</f>
        <v/>
      </c>
      <c r="B674" t="str">
        <f>IF($CM$6=0,"",IF(INDEX('⑩ 원문 보관'!$A:$E,$CM$6+ROW()-9,COLUMN())="","",INDEX('⑩ 원문 보관'!$A:$E,$CM$6+ROW()-9,COLUMN())))</f>
        <v/>
      </c>
      <c r="C674" t="str">
        <f>IF($CM$6=0,"",IF(INDEX('⑩ 원문 보관'!$A:$E,$CM$6+ROW()-9,COLUMN())="","",INDEX('⑩ 원문 보관'!$A:$E,$CM$6+ROW()-9,COLUMN())))</f>
        <v/>
      </c>
      <c r="D674" t="str">
        <f>IF($CM$6=0,"",IF(INDEX('⑩ 원문 보관'!$A:$E,$CM$6+ROW()-9,COLUMN())="","",INDEX('⑩ 원문 보관'!$A:$E,$CM$6+ROW()-9,COLUMN())))</f>
        <v/>
      </c>
      <c r="E674" t="str">
        <f>IF($CM$6=0,"",IF(INDEX('⑩ 원문 보관'!$A:$E,$CM$6+ROW()-9,COLUMN())="","",INDEX('⑩ 원문 보관'!$A:$E,$CM$6+ROW()-9,COLUMN())))</f>
        <v/>
      </c>
      <c r="Q674">
        <f t="shared" si="295"/>
        <v>8</v>
      </c>
      <c r="R674" t="str">
        <f t="shared" si="275"/>
        <v/>
      </c>
      <c r="S674" t="str">
        <f t="shared" si="276"/>
        <v/>
      </c>
      <c r="T674" t="str">
        <f t="shared" si="277"/>
        <v/>
      </c>
      <c r="U674">
        <f t="shared" si="278"/>
        <v>0</v>
      </c>
      <c r="V674">
        <f t="shared" si="296"/>
        <v>12</v>
      </c>
      <c r="W674" t="str">
        <f t="shared" si="279"/>
        <v/>
      </c>
      <c r="X674" t="str">
        <f t="shared" si="280"/>
        <v/>
      </c>
      <c r="Y674" t="str">
        <f t="shared" si="281"/>
        <v/>
      </c>
      <c r="Z674">
        <f t="shared" si="282"/>
        <v>0</v>
      </c>
      <c r="AA674">
        <f t="shared" si="297"/>
        <v>6</v>
      </c>
      <c r="AB674" t="str">
        <f t="shared" si="283"/>
        <v/>
      </c>
      <c r="AC674" t="str">
        <f t="shared" si="284"/>
        <v/>
      </c>
      <c r="AD674" t="str">
        <f t="shared" si="285"/>
        <v/>
      </c>
      <c r="AE674">
        <f t="shared" si="286"/>
        <v>0</v>
      </c>
      <c r="AF674">
        <f t="shared" si="298"/>
        <v>10</v>
      </c>
      <c r="AG674" t="str">
        <f t="shared" si="287"/>
        <v/>
      </c>
      <c r="AH674" t="str">
        <f t="shared" si="288"/>
        <v/>
      </c>
      <c r="AI674" t="str">
        <f t="shared" si="289"/>
        <v/>
      </c>
      <c r="AJ674">
        <f t="shared" si="290"/>
        <v>0</v>
      </c>
      <c r="AK674">
        <f t="shared" si="299"/>
        <v>4</v>
      </c>
      <c r="AL674" t="str">
        <f t="shared" si="291"/>
        <v/>
      </c>
      <c r="AM674" t="str">
        <f t="shared" si="292"/>
        <v/>
      </c>
      <c r="AN674" t="str">
        <f t="shared" si="293"/>
        <v/>
      </c>
      <c r="AO674">
        <f t="shared" si="294"/>
        <v>0</v>
      </c>
    </row>
    <row r="675" spans="1:41" x14ac:dyDescent="0.4">
      <c r="A675" t="str">
        <f>IF($CM$6=0,"",IF(INDEX('⑩ 원문 보관'!$A:$E,$CM$6+ROW()-9,COLUMN())="","",INDEX('⑩ 원문 보관'!$A:$E,$CM$6+ROW()-9,COLUMN())))</f>
        <v/>
      </c>
      <c r="B675" t="str">
        <f>IF($CM$6=0,"",IF(INDEX('⑩ 원문 보관'!$A:$E,$CM$6+ROW()-9,COLUMN())="","",INDEX('⑩ 원문 보관'!$A:$E,$CM$6+ROW()-9,COLUMN())))</f>
        <v/>
      </c>
      <c r="C675" t="str">
        <f>IF($CM$6=0,"",IF(INDEX('⑩ 원문 보관'!$A:$E,$CM$6+ROW()-9,COLUMN())="","",INDEX('⑩ 원문 보관'!$A:$E,$CM$6+ROW()-9,COLUMN())))</f>
        <v/>
      </c>
      <c r="D675" t="str">
        <f>IF($CM$6=0,"",IF(INDEX('⑩ 원문 보관'!$A:$E,$CM$6+ROW()-9,COLUMN())="","",INDEX('⑩ 원문 보관'!$A:$E,$CM$6+ROW()-9,COLUMN())))</f>
        <v/>
      </c>
      <c r="E675" t="str">
        <f>IF($CM$6=0,"",IF(INDEX('⑩ 원문 보관'!$A:$E,$CM$6+ROW()-9,COLUMN())="","",INDEX('⑩ 원문 보관'!$A:$E,$CM$6+ROW()-9,COLUMN())))</f>
        <v/>
      </c>
      <c r="Q675">
        <f t="shared" si="295"/>
        <v>8</v>
      </c>
      <c r="R675" t="str">
        <f t="shared" si="275"/>
        <v/>
      </c>
      <c r="S675" t="str">
        <f t="shared" si="276"/>
        <v/>
      </c>
      <c r="T675" t="str">
        <f t="shared" si="277"/>
        <v/>
      </c>
      <c r="U675">
        <f t="shared" si="278"/>
        <v>0</v>
      </c>
      <c r="V675">
        <f t="shared" si="296"/>
        <v>12</v>
      </c>
      <c r="W675" t="str">
        <f t="shared" si="279"/>
        <v/>
      </c>
      <c r="X675" t="str">
        <f t="shared" si="280"/>
        <v/>
      </c>
      <c r="Y675" t="str">
        <f t="shared" si="281"/>
        <v/>
      </c>
      <c r="Z675">
        <f t="shared" si="282"/>
        <v>0</v>
      </c>
      <c r="AA675">
        <f t="shared" si="297"/>
        <v>6</v>
      </c>
      <c r="AB675" t="str">
        <f t="shared" si="283"/>
        <v/>
      </c>
      <c r="AC675" t="str">
        <f t="shared" si="284"/>
        <v/>
      </c>
      <c r="AD675" t="str">
        <f t="shared" si="285"/>
        <v/>
      </c>
      <c r="AE675">
        <f t="shared" si="286"/>
        <v>0</v>
      </c>
      <c r="AF675">
        <f t="shared" si="298"/>
        <v>10</v>
      </c>
      <c r="AG675" t="str">
        <f t="shared" si="287"/>
        <v/>
      </c>
      <c r="AH675" t="str">
        <f t="shared" si="288"/>
        <v/>
      </c>
      <c r="AI675" t="str">
        <f t="shared" si="289"/>
        <v/>
      </c>
      <c r="AJ675">
        <f t="shared" si="290"/>
        <v>0</v>
      </c>
      <c r="AK675">
        <f t="shared" si="299"/>
        <v>4</v>
      </c>
      <c r="AL675" t="str">
        <f t="shared" si="291"/>
        <v/>
      </c>
      <c r="AM675" t="str">
        <f t="shared" si="292"/>
        <v/>
      </c>
      <c r="AN675" t="str">
        <f t="shared" si="293"/>
        <v/>
      </c>
      <c r="AO675">
        <f t="shared" si="294"/>
        <v>0</v>
      </c>
    </row>
    <row r="676" spans="1:41" x14ac:dyDescent="0.4">
      <c r="A676" t="str">
        <f>IF($CM$6=0,"",IF(INDEX('⑩ 원문 보관'!$A:$E,$CM$6+ROW()-9,COLUMN())="","",INDEX('⑩ 원문 보관'!$A:$E,$CM$6+ROW()-9,COLUMN())))</f>
        <v/>
      </c>
      <c r="B676" t="str">
        <f>IF($CM$6=0,"",IF(INDEX('⑩ 원문 보관'!$A:$E,$CM$6+ROW()-9,COLUMN())="","",INDEX('⑩ 원문 보관'!$A:$E,$CM$6+ROW()-9,COLUMN())))</f>
        <v/>
      </c>
      <c r="C676" t="str">
        <f>IF($CM$6=0,"",IF(INDEX('⑩ 원문 보관'!$A:$E,$CM$6+ROW()-9,COLUMN())="","",INDEX('⑩ 원문 보관'!$A:$E,$CM$6+ROW()-9,COLUMN())))</f>
        <v/>
      </c>
      <c r="D676" t="str">
        <f>IF($CM$6=0,"",IF(INDEX('⑩ 원문 보관'!$A:$E,$CM$6+ROW()-9,COLUMN())="","",INDEX('⑩ 원문 보관'!$A:$E,$CM$6+ROW()-9,COLUMN())))</f>
        <v/>
      </c>
      <c r="E676" t="str">
        <f>IF($CM$6=0,"",IF(INDEX('⑩ 원문 보관'!$A:$E,$CM$6+ROW()-9,COLUMN())="","",INDEX('⑩ 원문 보관'!$A:$E,$CM$6+ROW()-9,COLUMN())))</f>
        <v/>
      </c>
      <c r="Q676">
        <f t="shared" si="295"/>
        <v>8</v>
      </c>
      <c r="R676" t="str">
        <f t="shared" si="275"/>
        <v/>
      </c>
      <c r="S676" t="str">
        <f t="shared" si="276"/>
        <v/>
      </c>
      <c r="T676" t="str">
        <f t="shared" si="277"/>
        <v/>
      </c>
      <c r="U676">
        <f t="shared" si="278"/>
        <v>0</v>
      </c>
      <c r="V676">
        <f t="shared" si="296"/>
        <v>12</v>
      </c>
      <c r="W676" t="str">
        <f t="shared" si="279"/>
        <v/>
      </c>
      <c r="X676" t="str">
        <f t="shared" si="280"/>
        <v/>
      </c>
      <c r="Y676" t="str">
        <f t="shared" si="281"/>
        <v/>
      </c>
      <c r="Z676">
        <f t="shared" si="282"/>
        <v>0</v>
      </c>
      <c r="AA676">
        <f t="shared" si="297"/>
        <v>6</v>
      </c>
      <c r="AB676" t="str">
        <f t="shared" si="283"/>
        <v/>
      </c>
      <c r="AC676" t="str">
        <f t="shared" si="284"/>
        <v/>
      </c>
      <c r="AD676" t="str">
        <f t="shared" si="285"/>
        <v/>
      </c>
      <c r="AE676">
        <f t="shared" si="286"/>
        <v>0</v>
      </c>
      <c r="AF676">
        <f t="shared" si="298"/>
        <v>10</v>
      </c>
      <c r="AG676" t="str">
        <f t="shared" si="287"/>
        <v/>
      </c>
      <c r="AH676" t="str">
        <f t="shared" si="288"/>
        <v/>
      </c>
      <c r="AI676" t="str">
        <f t="shared" si="289"/>
        <v/>
      </c>
      <c r="AJ676">
        <f t="shared" si="290"/>
        <v>0</v>
      </c>
      <c r="AK676">
        <f t="shared" si="299"/>
        <v>4</v>
      </c>
      <c r="AL676" t="str">
        <f t="shared" si="291"/>
        <v/>
      </c>
      <c r="AM676" t="str">
        <f t="shared" si="292"/>
        <v/>
      </c>
      <c r="AN676" t="str">
        <f t="shared" si="293"/>
        <v/>
      </c>
      <c r="AO676">
        <f t="shared" si="294"/>
        <v>0</v>
      </c>
    </row>
    <row r="677" spans="1:41" x14ac:dyDescent="0.4">
      <c r="A677" t="str">
        <f>IF($CM$6=0,"",IF(INDEX('⑩ 원문 보관'!$A:$E,$CM$6+ROW()-9,COLUMN())="","",INDEX('⑩ 원문 보관'!$A:$E,$CM$6+ROW()-9,COLUMN())))</f>
        <v/>
      </c>
      <c r="B677" t="str">
        <f>IF($CM$6=0,"",IF(INDEX('⑩ 원문 보관'!$A:$E,$CM$6+ROW()-9,COLUMN())="","",INDEX('⑩ 원문 보관'!$A:$E,$CM$6+ROW()-9,COLUMN())))</f>
        <v/>
      </c>
      <c r="C677" t="str">
        <f>IF($CM$6=0,"",IF(INDEX('⑩ 원문 보관'!$A:$E,$CM$6+ROW()-9,COLUMN())="","",INDEX('⑩ 원문 보관'!$A:$E,$CM$6+ROW()-9,COLUMN())))</f>
        <v/>
      </c>
      <c r="D677" t="str">
        <f>IF($CM$6=0,"",IF(INDEX('⑩ 원문 보관'!$A:$E,$CM$6+ROW()-9,COLUMN())="","",INDEX('⑩ 원문 보관'!$A:$E,$CM$6+ROW()-9,COLUMN())))</f>
        <v/>
      </c>
      <c r="E677" t="str">
        <f>IF($CM$6=0,"",IF(INDEX('⑩ 원문 보관'!$A:$E,$CM$6+ROW()-9,COLUMN())="","",INDEX('⑩ 원문 보관'!$A:$E,$CM$6+ROW()-9,COLUMN())))</f>
        <v/>
      </c>
      <c r="Q677">
        <f t="shared" si="295"/>
        <v>8</v>
      </c>
      <c r="R677" t="str">
        <f t="shared" si="275"/>
        <v/>
      </c>
      <c r="S677" t="str">
        <f t="shared" si="276"/>
        <v/>
      </c>
      <c r="T677" t="str">
        <f t="shared" si="277"/>
        <v/>
      </c>
      <c r="U677">
        <f t="shared" si="278"/>
        <v>0</v>
      </c>
      <c r="V677">
        <f t="shared" si="296"/>
        <v>12</v>
      </c>
      <c r="W677" t="str">
        <f t="shared" si="279"/>
        <v/>
      </c>
      <c r="X677" t="str">
        <f t="shared" si="280"/>
        <v/>
      </c>
      <c r="Y677" t="str">
        <f t="shared" si="281"/>
        <v/>
      </c>
      <c r="Z677">
        <f t="shared" si="282"/>
        <v>0</v>
      </c>
      <c r="AA677">
        <f t="shared" si="297"/>
        <v>6</v>
      </c>
      <c r="AB677" t="str">
        <f t="shared" si="283"/>
        <v/>
      </c>
      <c r="AC677" t="str">
        <f t="shared" si="284"/>
        <v/>
      </c>
      <c r="AD677" t="str">
        <f t="shared" si="285"/>
        <v/>
      </c>
      <c r="AE677">
        <f t="shared" si="286"/>
        <v>0</v>
      </c>
      <c r="AF677">
        <f t="shared" si="298"/>
        <v>10</v>
      </c>
      <c r="AG677" t="str">
        <f t="shared" si="287"/>
        <v/>
      </c>
      <c r="AH677" t="str">
        <f t="shared" si="288"/>
        <v/>
      </c>
      <c r="AI677" t="str">
        <f t="shared" si="289"/>
        <v/>
      </c>
      <c r="AJ677">
        <f t="shared" si="290"/>
        <v>0</v>
      </c>
      <c r="AK677">
        <f t="shared" si="299"/>
        <v>4</v>
      </c>
      <c r="AL677" t="str">
        <f t="shared" si="291"/>
        <v/>
      </c>
      <c r="AM677" t="str">
        <f t="shared" si="292"/>
        <v/>
      </c>
      <c r="AN677" t="str">
        <f t="shared" si="293"/>
        <v/>
      </c>
      <c r="AO677">
        <f t="shared" si="294"/>
        <v>0</v>
      </c>
    </row>
    <row r="678" spans="1:41" x14ac:dyDescent="0.4">
      <c r="A678" t="str">
        <f>IF($CM$6=0,"",IF(INDEX('⑩ 원문 보관'!$A:$E,$CM$6+ROW()-9,COLUMN())="","",INDEX('⑩ 원문 보관'!$A:$E,$CM$6+ROW()-9,COLUMN())))</f>
        <v/>
      </c>
      <c r="B678" t="str">
        <f>IF($CM$6=0,"",IF(INDEX('⑩ 원문 보관'!$A:$E,$CM$6+ROW()-9,COLUMN())="","",INDEX('⑩ 원문 보관'!$A:$E,$CM$6+ROW()-9,COLUMN())))</f>
        <v/>
      </c>
      <c r="C678" t="str">
        <f>IF($CM$6=0,"",IF(INDEX('⑩ 원문 보관'!$A:$E,$CM$6+ROW()-9,COLUMN())="","",INDEX('⑩ 원문 보관'!$A:$E,$CM$6+ROW()-9,COLUMN())))</f>
        <v/>
      </c>
      <c r="D678" t="str">
        <f>IF($CM$6=0,"",IF(INDEX('⑩ 원문 보관'!$A:$E,$CM$6+ROW()-9,COLUMN())="","",INDEX('⑩ 원문 보관'!$A:$E,$CM$6+ROW()-9,COLUMN())))</f>
        <v/>
      </c>
      <c r="E678" t="str">
        <f>IF($CM$6=0,"",IF(INDEX('⑩ 원문 보관'!$A:$E,$CM$6+ROW()-9,COLUMN())="","",INDEX('⑩ 원문 보관'!$A:$E,$CM$6+ROW()-9,COLUMN())))</f>
        <v/>
      </c>
      <c r="Q678">
        <f t="shared" si="295"/>
        <v>8</v>
      </c>
      <c r="R678" t="str">
        <f t="shared" si="275"/>
        <v/>
      </c>
      <c r="S678" t="str">
        <f t="shared" si="276"/>
        <v/>
      </c>
      <c r="T678" t="str">
        <f t="shared" si="277"/>
        <v/>
      </c>
      <c r="U678">
        <f t="shared" si="278"/>
        <v>0</v>
      </c>
      <c r="V678">
        <f t="shared" si="296"/>
        <v>12</v>
      </c>
      <c r="W678" t="str">
        <f t="shared" si="279"/>
        <v/>
      </c>
      <c r="X678" t="str">
        <f t="shared" si="280"/>
        <v/>
      </c>
      <c r="Y678" t="str">
        <f t="shared" si="281"/>
        <v/>
      </c>
      <c r="Z678">
        <f t="shared" si="282"/>
        <v>0</v>
      </c>
      <c r="AA678">
        <f t="shared" si="297"/>
        <v>6</v>
      </c>
      <c r="AB678" t="str">
        <f t="shared" si="283"/>
        <v/>
      </c>
      <c r="AC678" t="str">
        <f t="shared" si="284"/>
        <v/>
      </c>
      <c r="AD678" t="str">
        <f t="shared" si="285"/>
        <v/>
      </c>
      <c r="AE678">
        <f t="shared" si="286"/>
        <v>0</v>
      </c>
      <c r="AF678">
        <f t="shared" si="298"/>
        <v>10</v>
      </c>
      <c r="AG678" t="str">
        <f t="shared" si="287"/>
        <v/>
      </c>
      <c r="AH678" t="str">
        <f t="shared" si="288"/>
        <v/>
      </c>
      <c r="AI678" t="str">
        <f t="shared" si="289"/>
        <v/>
      </c>
      <c r="AJ678">
        <f t="shared" si="290"/>
        <v>0</v>
      </c>
      <c r="AK678">
        <f t="shared" si="299"/>
        <v>4</v>
      </c>
      <c r="AL678" t="str">
        <f t="shared" si="291"/>
        <v/>
      </c>
      <c r="AM678" t="str">
        <f t="shared" si="292"/>
        <v/>
      </c>
      <c r="AN678" t="str">
        <f t="shared" si="293"/>
        <v/>
      </c>
      <c r="AO678">
        <f t="shared" si="294"/>
        <v>0</v>
      </c>
    </row>
    <row r="679" spans="1:41" x14ac:dyDescent="0.4">
      <c r="A679" t="str">
        <f>IF($CM$6=0,"",IF(INDEX('⑩ 원문 보관'!$A:$E,$CM$6+ROW()-9,COLUMN())="","",INDEX('⑩ 원문 보관'!$A:$E,$CM$6+ROW()-9,COLUMN())))</f>
        <v/>
      </c>
      <c r="B679" t="str">
        <f>IF($CM$6=0,"",IF(INDEX('⑩ 원문 보관'!$A:$E,$CM$6+ROW()-9,COLUMN())="","",INDEX('⑩ 원문 보관'!$A:$E,$CM$6+ROW()-9,COLUMN())))</f>
        <v/>
      </c>
      <c r="C679" t="str">
        <f>IF($CM$6=0,"",IF(INDEX('⑩ 원문 보관'!$A:$E,$CM$6+ROW()-9,COLUMN())="","",INDEX('⑩ 원문 보관'!$A:$E,$CM$6+ROW()-9,COLUMN())))</f>
        <v/>
      </c>
      <c r="D679" t="str">
        <f>IF($CM$6=0,"",IF(INDEX('⑩ 원문 보관'!$A:$E,$CM$6+ROW()-9,COLUMN())="","",INDEX('⑩ 원문 보관'!$A:$E,$CM$6+ROW()-9,COLUMN())))</f>
        <v/>
      </c>
      <c r="E679" t="str">
        <f>IF($CM$6=0,"",IF(INDEX('⑩ 원문 보관'!$A:$E,$CM$6+ROW()-9,COLUMN())="","",INDEX('⑩ 원문 보관'!$A:$E,$CM$6+ROW()-9,COLUMN())))</f>
        <v/>
      </c>
      <c r="Q679">
        <f t="shared" si="295"/>
        <v>8</v>
      </c>
      <c r="R679" t="str">
        <f t="shared" si="275"/>
        <v/>
      </c>
      <c r="S679" t="str">
        <f t="shared" si="276"/>
        <v/>
      </c>
      <c r="T679" t="str">
        <f t="shared" si="277"/>
        <v/>
      </c>
      <c r="U679">
        <f t="shared" si="278"/>
        <v>0</v>
      </c>
      <c r="V679">
        <f t="shared" si="296"/>
        <v>12</v>
      </c>
      <c r="W679" t="str">
        <f t="shared" si="279"/>
        <v/>
      </c>
      <c r="X679" t="str">
        <f t="shared" si="280"/>
        <v/>
      </c>
      <c r="Y679" t="str">
        <f t="shared" si="281"/>
        <v/>
      </c>
      <c r="Z679">
        <f t="shared" si="282"/>
        <v>0</v>
      </c>
      <c r="AA679">
        <f t="shared" si="297"/>
        <v>6</v>
      </c>
      <c r="AB679" t="str">
        <f t="shared" si="283"/>
        <v/>
      </c>
      <c r="AC679" t="str">
        <f t="shared" si="284"/>
        <v/>
      </c>
      <c r="AD679" t="str">
        <f t="shared" si="285"/>
        <v/>
      </c>
      <c r="AE679">
        <f t="shared" si="286"/>
        <v>0</v>
      </c>
      <c r="AF679">
        <f t="shared" si="298"/>
        <v>10</v>
      </c>
      <c r="AG679" t="str">
        <f t="shared" si="287"/>
        <v/>
      </c>
      <c r="AH679" t="str">
        <f t="shared" si="288"/>
        <v/>
      </c>
      <c r="AI679" t="str">
        <f t="shared" si="289"/>
        <v/>
      </c>
      <c r="AJ679">
        <f t="shared" si="290"/>
        <v>0</v>
      </c>
      <c r="AK679">
        <f t="shared" si="299"/>
        <v>4</v>
      </c>
      <c r="AL679" t="str">
        <f t="shared" si="291"/>
        <v/>
      </c>
      <c r="AM679" t="str">
        <f t="shared" si="292"/>
        <v/>
      </c>
      <c r="AN679" t="str">
        <f t="shared" si="293"/>
        <v/>
      </c>
      <c r="AO679">
        <f t="shared" si="294"/>
        <v>0</v>
      </c>
    </row>
    <row r="680" spans="1:41" x14ac:dyDescent="0.4">
      <c r="A680" t="str">
        <f>IF($CM$6=0,"",IF(INDEX('⑩ 원문 보관'!$A:$E,$CM$6+ROW()-9,COLUMN())="","",INDEX('⑩ 원문 보관'!$A:$E,$CM$6+ROW()-9,COLUMN())))</f>
        <v/>
      </c>
      <c r="B680" t="str">
        <f>IF($CM$6=0,"",IF(INDEX('⑩ 원문 보관'!$A:$E,$CM$6+ROW()-9,COLUMN())="","",INDEX('⑩ 원문 보관'!$A:$E,$CM$6+ROW()-9,COLUMN())))</f>
        <v/>
      </c>
      <c r="C680" t="str">
        <f>IF($CM$6=0,"",IF(INDEX('⑩ 원문 보관'!$A:$E,$CM$6+ROW()-9,COLUMN())="","",INDEX('⑩ 원문 보관'!$A:$E,$CM$6+ROW()-9,COLUMN())))</f>
        <v/>
      </c>
      <c r="D680" t="str">
        <f>IF($CM$6=0,"",IF(INDEX('⑩ 원문 보관'!$A:$E,$CM$6+ROW()-9,COLUMN())="","",INDEX('⑩ 원문 보관'!$A:$E,$CM$6+ROW()-9,COLUMN())))</f>
        <v/>
      </c>
      <c r="E680" t="str">
        <f>IF($CM$6=0,"",IF(INDEX('⑩ 원문 보관'!$A:$E,$CM$6+ROW()-9,COLUMN())="","",INDEX('⑩ 원문 보관'!$A:$E,$CM$6+ROW()-9,COLUMN())))</f>
        <v/>
      </c>
      <c r="Q680">
        <f t="shared" si="295"/>
        <v>8</v>
      </c>
      <c r="R680" t="str">
        <f t="shared" si="275"/>
        <v/>
      </c>
      <c r="S680" t="str">
        <f t="shared" si="276"/>
        <v/>
      </c>
      <c r="T680" t="str">
        <f t="shared" si="277"/>
        <v/>
      </c>
      <c r="U680">
        <f t="shared" si="278"/>
        <v>0</v>
      </c>
      <c r="V680">
        <f t="shared" si="296"/>
        <v>12</v>
      </c>
      <c r="W680" t="str">
        <f t="shared" si="279"/>
        <v/>
      </c>
      <c r="X680" t="str">
        <f t="shared" si="280"/>
        <v/>
      </c>
      <c r="Y680" t="str">
        <f t="shared" si="281"/>
        <v/>
      </c>
      <c r="Z680">
        <f t="shared" si="282"/>
        <v>0</v>
      </c>
      <c r="AA680">
        <f t="shared" si="297"/>
        <v>6</v>
      </c>
      <c r="AB680" t="str">
        <f t="shared" si="283"/>
        <v/>
      </c>
      <c r="AC680" t="str">
        <f t="shared" si="284"/>
        <v/>
      </c>
      <c r="AD680" t="str">
        <f t="shared" si="285"/>
        <v/>
      </c>
      <c r="AE680">
        <f t="shared" si="286"/>
        <v>0</v>
      </c>
      <c r="AF680">
        <f t="shared" si="298"/>
        <v>10</v>
      </c>
      <c r="AG680" t="str">
        <f t="shared" si="287"/>
        <v/>
      </c>
      <c r="AH680" t="str">
        <f t="shared" si="288"/>
        <v/>
      </c>
      <c r="AI680" t="str">
        <f t="shared" si="289"/>
        <v/>
      </c>
      <c r="AJ680">
        <f t="shared" si="290"/>
        <v>0</v>
      </c>
      <c r="AK680">
        <f t="shared" si="299"/>
        <v>4</v>
      </c>
      <c r="AL680" t="str">
        <f t="shared" si="291"/>
        <v/>
      </c>
      <c r="AM680" t="str">
        <f t="shared" si="292"/>
        <v/>
      </c>
      <c r="AN680" t="str">
        <f t="shared" si="293"/>
        <v/>
      </c>
      <c r="AO680">
        <f t="shared" si="294"/>
        <v>0</v>
      </c>
    </row>
    <row r="681" spans="1:41" x14ac:dyDescent="0.4">
      <c r="A681" t="str">
        <f>IF($CM$6=0,"",IF(INDEX('⑩ 원문 보관'!$A:$E,$CM$6+ROW()-9,COLUMN())="","",INDEX('⑩ 원문 보관'!$A:$E,$CM$6+ROW()-9,COLUMN())))</f>
        <v/>
      </c>
      <c r="B681" t="str">
        <f>IF($CM$6=0,"",IF(INDEX('⑩ 원문 보관'!$A:$E,$CM$6+ROW()-9,COLUMN())="","",INDEX('⑩ 원문 보관'!$A:$E,$CM$6+ROW()-9,COLUMN())))</f>
        <v/>
      </c>
      <c r="C681" t="str">
        <f>IF($CM$6=0,"",IF(INDEX('⑩ 원문 보관'!$A:$E,$CM$6+ROW()-9,COLUMN())="","",INDEX('⑩ 원문 보관'!$A:$E,$CM$6+ROW()-9,COLUMN())))</f>
        <v/>
      </c>
      <c r="D681" t="str">
        <f>IF($CM$6=0,"",IF(INDEX('⑩ 원문 보관'!$A:$E,$CM$6+ROW()-9,COLUMN())="","",INDEX('⑩ 원문 보관'!$A:$E,$CM$6+ROW()-9,COLUMN())))</f>
        <v/>
      </c>
      <c r="E681" t="str">
        <f>IF($CM$6=0,"",IF(INDEX('⑩ 원문 보관'!$A:$E,$CM$6+ROW()-9,COLUMN())="","",INDEX('⑩ 원문 보관'!$A:$E,$CM$6+ROW()-9,COLUMN())))</f>
        <v/>
      </c>
      <c r="Q681">
        <f t="shared" si="295"/>
        <v>8</v>
      </c>
      <c r="R681" t="str">
        <f t="shared" si="275"/>
        <v/>
      </c>
      <c r="S681" t="str">
        <f t="shared" si="276"/>
        <v/>
      </c>
      <c r="T681" t="str">
        <f t="shared" si="277"/>
        <v/>
      </c>
      <c r="U681">
        <f t="shared" si="278"/>
        <v>0</v>
      </c>
      <c r="V681">
        <f t="shared" si="296"/>
        <v>12</v>
      </c>
      <c r="W681" t="str">
        <f t="shared" si="279"/>
        <v/>
      </c>
      <c r="X681" t="str">
        <f t="shared" si="280"/>
        <v/>
      </c>
      <c r="Y681" t="str">
        <f t="shared" si="281"/>
        <v/>
      </c>
      <c r="Z681">
        <f t="shared" si="282"/>
        <v>0</v>
      </c>
      <c r="AA681">
        <f t="shared" si="297"/>
        <v>6</v>
      </c>
      <c r="AB681" t="str">
        <f t="shared" si="283"/>
        <v/>
      </c>
      <c r="AC681" t="str">
        <f t="shared" si="284"/>
        <v/>
      </c>
      <c r="AD681" t="str">
        <f t="shared" si="285"/>
        <v/>
      </c>
      <c r="AE681">
        <f t="shared" si="286"/>
        <v>0</v>
      </c>
      <c r="AF681">
        <f t="shared" si="298"/>
        <v>10</v>
      </c>
      <c r="AG681" t="str">
        <f t="shared" si="287"/>
        <v/>
      </c>
      <c r="AH681" t="str">
        <f t="shared" si="288"/>
        <v/>
      </c>
      <c r="AI681" t="str">
        <f t="shared" si="289"/>
        <v/>
      </c>
      <c r="AJ681">
        <f t="shared" si="290"/>
        <v>0</v>
      </c>
      <c r="AK681">
        <f t="shared" si="299"/>
        <v>4</v>
      </c>
      <c r="AL681" t="str">
        <f t="shared" si="291"/>
        <v/>
      </c>
      <c r="AM681" t="str">
        <f t="shared" si="292"/>
        <v/>
      </c>
      <c r="AN681" t="str">
        <f t="shared" si="293"/>
        <v/>
      </c>
      <c r="AO681">
        <f t="shared" si="294"/>
        <v>0</v>
      </c>
    </row>
    <row r="682" spans="1:41" x14ac:dyDescent="0.4">
      <c r="A682" t="str">
        <f>IF($CM$6=0,"",IF(INDEX('⑩ 원문 보관'!$A:$E,$CM$6+ROW()-9,COLUMN())="","",INDEX('⑩ 원문 보관'!$A:$E,$CM$6+ROW()-9,COLUMN())))</f>
        <v/>
      </c>
      <c r="B682" t="str">
        <f>IF($CM$6=0,"",IF(INDEX('⑩ 원문 보관'!$A:$E,$CM$6+ROW()-9,COLUMN())="","",INDEX('⑩ 원문 보관'!$A:$E,$CM$6+ROW()-9,COLUMN())))</f>
        <v/>
      </c>
      <c r="C682" t="str">
        <f>IF($CM$6=0,"",IF(INDEX('⑩ 원문 보관'!$A:$E,$CM$6+ROW()-9,COLUMN())="","",INDEX('⑩ 원문 보관'!$A:$E,$CM$6+ROW()-9,COLUMN())))</f>
        <v/>
      </c>
      <c r="D682" t="str">
        <f>IF($CM$6=0,"",IF(INDEX('⑩ 원문 보관'!$A:$E,$CM$6+ROW()-9,COLUMN())="","",INDEX('⑩ 원문 보관'!$A:$E,$CM$6+ROW()-9,COLUMN())))</f>
        <v/>
      </c>
      <c r="E682" t="str">
        <f>IF($CM$6=0,"",IF(INDEX('⑩ 원문 보관'!$A:$E,$CM$6+ROW()-9,COLUMN())="","",INDEX('⑩ 원문 보관'!$A:$E,$CM$6+ROW()-9,COLUMN())))</f>
        <v/>
      </c>
      <c r="Q682">
        <f t="shared" si="295"/>
        <v>8</v>
      </c>
      <c r="R682" t="str">
        <f t="shared" si="275"/>
        <v/>
      </c>
      <c r="S682" t="str">
        <f t="shared" si="276"/>
        <v/>
      </c>
      <c r="T682" t="str">
        <f t="shared" si="277"/>
        <v/>
      </c>
      <c r="U682">
        <f t="shared" si="278"/>
        <v>0</v>
      </c>
      <c r="V682">
        <f t="shared" si="296"/>
        <v>12</v>
      </c>
      <c r="W682" t="str">
        <f t="shared" si="279"/>
        <v/>
      </c>
      <c r="X682" t="str">
        <f t="shared" si="280"/>
        <v/>
      </c>
      <c r="Y682" t="str">
        <f t="shared" si="281"/>
        <v/>
      </c>
      <c r="Z682">
        <f t="shared" si="282"/>
        <v>0</v>
      </c>
      <c r="AA682">
        <f t="shared" si="297"/>
        <v>6</v>
      </c>
      <c r="AB682" t="str">
        <f t="shared" si="283"/>
        <v/>
      </c>
      <c r="AC682" t="str">
        <f t="shared" si="284"/>
        <v/>
      </c>
      <c r="AD682" t="str">
        <f t="shared" si="285"/>
        <v/>
      </c>
      <c r="AE682">
        <f t="shared" si="286"/>
        <v>0</v>
      </c>
      <c r="AF682">
        <f t="shared" si="298"/>
        <v>10</v>
      </c>
      <c r="AG682" t="str">
        <f t="shared" si="287"/>
        <v/>
      </c>
      <c r="AH682" t="str">
        <f t="shared" si="288"/>
        <v/>
      </c>
      <c r="AI682" t="str">
        <f t="shared" si="289"/>
        <v/>
      </c>
      <c r="AJ682">
        <f t="shared" si="290"/>
        <v>0</v>
      </c>
      <c r="AK682">
        <f t="shared" si="299"/>
        <v>4</v>
      </c>
      <c r="AL682" t="str">
        <f t="shared" si="291"/>
        <v/>
      </c>
      <c r="AM682" t="str">
        <f t="shared" si="292"/>
        <v/>
      </c>
      <c r="AN682" t="str">
        <f t="shared" si="293"/>
        <v/>
      </c>
      <c r="AO682">
        <f t="shared" si="294"/>
        <v>0</v>
      </c>
    </row>
    <row r="683" spans="1:41" x14ac:dyDescent="0.4">
      <c r="A683" t="str">
        <f>IF($CM$6=0,"",IF(INDEX('⑩ 원문 보관'!$A:$E,$CM$6+ROW()-9,COLUMN())="","",INDEX('⑩ 원문 보관'!$A:$E,$CM$6+ROW()-9,COLUMN())))</f>
        <v/>
      </c>
      <c r="B683" t="str">
        <f>IF($CM$6=0,"",IF(INDEX('⑩ 원문 보관'!$A:$E,$CM$6+ROW()-9,COLUMN())="","",INDEX('⑩ 원문 보관'!$A:$E,$CM$6+ROW()-9,COLUMN())))</f>
        <v/>
      </c>
      <c r="C683" t="str">
        <f>IF($CM$6=0,"",IF(INDEX('⑩ 원문 보관'!$A:$E,$CM$6+ROW()-9,COLUMN())="","",INDEX('⑩ 원문 보관'!$A:$E,$CM$6+ROW()-9,COLUMN())))</f>
        <v/>
      </c>
      <c r="D683" t="str">
        <f>IF($CM$6=0,"",IF(INDEX('⑩ 원문 보관'!$A:$E,$CM$6+ROW()-9,COLUMN())="","",INDEX('⑩ 원문 보관'!$A:$E,$CM$6+ROW()-9,COLUMN())))</f>
        <v/>
      </c>
      <c r="E683" t="str">
        <f>IF($CM$6=0,"",IF(INDEX('⑩ 원문 보관'!$A:$E,$CM$6+ROW()-9,COLUMN())="","",INDEX('⑩ 원문 보관'!$A:$E,$CM$6+ROW()-9,COLUMN())))</f>
        <v/>
      </c>
      <c r="Q683">
        <f t="shared" si="295"/>
        <v>8</v>
      </c>
      <c r="R683" t="str">
        <f t="shared" si="275"/>
        <v/>
      </c>
      <c r="S683" t="str">
        <f t="shared" si="276"/>
        <v/>
      </c>
      <c r="T683" t="str">
        <f t="shared" si="277"/>
        <v/>
      </c>
      <c r="U683">
        <f t="shared" si="278"/>
        <v>0</v>
      </c>
      <c r="V683">
        <f t="shared" si="296"/>
        <v>12</v>
      </c>
      <c r="W683" t="str">
        <f t="shared" si="279"/>
        <v/>
      </c>
      <c r="X683" t="str">
        <f t="shared" si="280"/>
        <v/>
      </c>
      <c r="Y683" t="str">
        <f t="shared" si="281"/>
        <v/>
      </c>
      <c r="Z683">
        <f t="shared" si="282"/>
        <v>0</v>
      </c>
      <c r="AA683">
        <f t="shared" si="297"/>
        <v>6</v>
      </c>
      <c r="AB683" t="str">
        <f t="shared" si="283"/>
        <v/>
      </c>
      <c r="AC683" t="str">
        <f t="shared" si="284"/>
        <v/>
      </c>
      <c r="AD683" t="str">
        <f t="shared" si="285"/>
        <v/>
      </c>
      <c r="AE683">
        <f t="shared" si="286"/>
        <v>0</v>
      </c>
      <c r="AF683">
        <f t="shared" si="298"/>
        <v>10</v>
      </c>
      <c r="AG683" t="str">
        <f t="shared" si="287"/>
        <v/>
      </c>
      <c r="AH683" t="str">
        <f t="shared" si="288"/>
        <v/>
      </c>
      <c r="AI683" t="str">
        <f t="shared" si="289"/>
        <v/>
      </c>
      <c r="AJ683">
        <f t="shared" si="290"/>
        <v>0</v>
      </c>
      <c r="AK683">
        <f t="shared" si="299"/>
        <v>4</v>
      </c>
      <c r="AL683" t="str">
        <f t="shared" si="291"/>
        <v/>
      </c>
      <c r="AM683" t="str">
        <f t="shared" si="292"/>
        <v/>
      </c>
      <c r="AN683" t="str">
        <f t="shared" si="293"/>
        <v/>
      </c>
      <c r="AO683">
        <f t="shared" si="294"/>
        <v>0</v>
      </c>
    </row>
    <row r="684" spans="1:41" x14ac:dyDescent="0.4">
      <c r="A684" t="str">
        <f>IF($CM$6=0,"",IF(INDEX('⑩ 원문 보관'!$A:$E,$CM$6+ROW()-9,COLUMN())="","",INDEX('⑩ 원문 보관'!$A:$E,$CM$6+ROW()-9,COLUMN())))</f>
        <v/>
      </c>
      <c r="B684" t="str">
        <f>IF($CM$6=0,"",IF(INDEX('⑩ 원문 보관'!$A:$E,$CM$6+ROW()-9,COLUMN())="","",INDEX('⑩ 원문 보관'!$A:$E,$CM$6+ROW()-9,COLUMN())))</f>
        <v/>
      </c>
      <c r="C684" t="str">
        <f>IF($CM$6=0,"",IF(INDEX('⑩ 원문 보관'!$A:$E,$CM$6+ROW()-9,COLUMN())="","",INDEX('⑩ 원문 보관'!$A:$E,$CM$6+ROW()-9,COLUMN())))</f>
        <v/>
      </c>
      <c r="D684" t="str">
        <f>IF($CM$6=0,"",IF(INDEX('⑩ 원문 보관'!$A:$E,$CM$6+ROW()-9,COLUMN())="","",INDEX('⑩ 원문 보관'!$A:$E,$CM$6+ROW()-9,COLUMN())))</f>
        <v/>
      </c>
      <c r="E684" t="str">
        <f>IF($CM$6=0,"",IF(INDEX('⑩ 원문 보관'!$A:$E,$CM$6+ROW()-9,COLUMN())="","",INDEX('⑩ 원문 보관'!$A:$E,$CM$6+ROW()-9,COLUMN())))</f>
        <v/>
      </c>
      <c r="Q684">
        <f t="shared" si="295"/>
        <v>8</v>
      </c>
      <c r="R684" t="str">
        <f t="shared" si="275"/>
        <v/>
      </c>
      <c r="S684" t="str">
        <f t="shared" si="276"/>
        <v/>
      </c>
      <c r="T684" t="str">
        <f t="shared" si="277"/>
        <v/>
      </c>
      <c r="U684">
        <f t="shared" si="278"/>
        <v>0</v>
      </c>
      <c r="V684">
        <f t="shared" si="296"/>
        <v>12</v>
      </c>
      <c r="W684" t="str">
        <f t="shared" si="279"/>
        <v/>
      </c>
      <c r="X684" t="str">
        <f t="shared" si="280"/>
        <v/>
      </c>
      <c r="Y684" t="str">
        <f t="shared" si="281"/>
        <v/>
      </c>
      <c r="Z684">
        <f t="shared" si="282"/>
        <v>0</v>
      </c>
      <c r="AA684">
        <f t="shared" si="297"/>
        <v>6</v>
      </c>
      <c r="AB684" t="str">
        <f t="shared" si="283"/>
        <v/>
      </c>
      <c r="AC684" t="str">
        <f t="shared" si="284"/>
        <v/>
      </c>
      <c r="AD684" t="str">
        <f t="shared" si="285"/>
        <v/>
      </c>
      <c r="AE684">
        <f t="shared" si="286"/>
        <v>0</v>
      </c>
      <c r="AF684">
        <f t="shared" si="298"/>
        <v>10</v>
      </c>
      <c r="AG684" t="str">
        <f t="shared" si="287"/>
        <v/>
      </c>
      <c r="AH684" t="str">
        <f t="shared" si="288"/>
        <v/>
      </c>
      <c r="AI684" t="str">
        <f t="shared" si="289"/>
        <v/>
      </c>
      <c r="AJ684">
        <f t="shared" si="290"/>
        <v>0</v>
      </c>
      <c r="AK684">
        <f t="shared" si="299"/>
        <v>4</v>
      </c>
      <c r="AL684" t="str">
        <f t="shared" si="291"/>
        <v/>
      </c>
      <c r="AM684" t="str">
        <f t="shared" si="292"/>
        <v/>
      </c>
      <c r="AN684" t="str">
        <f t="shared" si="293"/>
        <v/>
      </c>
      <c r="AO684">
        <f t="shared" si="294"/>
        <v>0</v>
      </c>
    </row>
    <row r="685" spans="1:41" x14ac:dyDescent="0.4">
      <c r="A685" t="str">
        <f>IF($CM$6=0,"",IF(INDEX('⑩ 원문 보관'!$A:$E,$CM$6+ROW()-9,COLUMN())="","",INDEX('⑩ 원문 보관'!$A:$E,$CM$6+ROW()-9,COLUMN())))</f>
        <v/>
      </c>
      <c r="B685" t="str">
        <f>IF($CM$6=0,"",IF(INDEX('⑩ 원문 보관'!$A:$E,$CM$6+ROW()-9,COLUMN())="","",INDEX('⑩ 원문 보관'!$A:$E,$CM$6+ROW()-9,COLUMN())))</f>
        <v/>
      </c>
      <c r="C685" t="str">
        <f>IF($CM$6=0,"",IF(INDEX('⑩ 원문 보관'!$A:$E,$CM$6+ROW()-9,COLUMN())="","",INDEX('⑩ 원문 보관'!$A:$E,$CM$6+ROW()-9,COLUMN())))</f>
        <v/>
      </c>
      <c r="D685" t="str">
        <f>IF($CM$6=0,"",IF(INDEX('⑩ 원문 보관'!$A:$E,$CM$6+ROW()-9,COLUMN())="","",INDEX('⑩ 원문 보관'!$A:$E,$CM$6+ROW()-9,COLUMN())))</f>
        <v/>
      </c>
      <c r="E685" t="str">
        <f>IF($CM$6=0,"",IF(INDEX('⑩ 원문 보관'!$A:$E,$CM$6+ROW()-9,COLUMN())="","",INDEX('⑩ 원문 보관'!$A:$E,$CM$6+ROW()-9,COLUMN())))</f>
        <v/>
      </c>
      <c r="Q685">
        <f t="shared" si="295"/>
        <v>8</v>
      </c>
      <c r="R685" t="str">
        <f t="shared" si="275"/>
        <v/>
      </c>
      <c r="S685" t="str">
        <f t="shared" si="276"/>
        <v/>
      </c>
      <c r="T685" t="str">
        <f t="shared" si="277"/>
        <v/>
      </c>
      <c r="U685">
        <f t="shared" si="278"/>
        <v>0</v>
      </c>
      <c r="V685">
        <f t="shared" si="296"/>
        <v>12</v>
      </c>
      <c r="W685" t="str">
        <f t="shared" si="279"/>
        <v/>
      </c>
      <c r="X685" t="str">
        <f t="shared" si="280"/>
        <v/>
      </c>
      <c r="Y685" t="str">
        <f t="shared" si="281"/>
        <v/>
      </c>
      <c r="Z685">
        <f t="shared" si="282"/>
        <v>0</v>
      </c>
      <c r="AA685">
        <f t="shared" si="297"/>
        <v>6</v>
      </c>
      <c r="AB685" t="str">
        <f t="shared" si="283"/>
        <v/>
      </c>
      <c r="AC685" t="str">
        <f t="shared" si="284"/>
        <v/>
      </c>
      <c r="AD685" t="str">
        <f t="shared" si="285"/>
        <v/>
      </c>
      <c r="AE685">
        <f t="shared" si="286"/>
        <v>0</v>
      </c>
      <c r="AF685">
        <f t="shared" si="298"/>
        <v>10</v>
      </c>
      <c r="AG685" t="str">
        <f t="shared" si="287"/>
        <v/>
      </c>
      <c r="AH685" t="str">
        <f t="shared" si="288"/>
        <v/>
      </c>
      <c r="AI685" t="str">
        <f t="shared" si="289"/>
        <v/>
      </c>
      <c r="AJ685">
        <f t="shared" si="290"/>
        <v>0</v>
      </c>
      <c r="AK685">
        <f t="shared" si="299"/>
        <v>4</v>
      </c>
      <c r="AL685" t="str">
        <f t="shared" si="291"/>
        <v/>
      </c>
      <c r="AM685" t="str">
        <f t="shared" si="292"/>
        <v/>
      </c>
      <c r="AN685" t="str">
        <f t="shared" si="293"/>
        <v/>
      </c>
      <c r="AO685">
        <f t="shared" si="294"/>
        <v>0</v>
      </c>
    </row>
    <row r="686" spans="1:41" x14ac:dyDescent="0.4">
      <c r="A686" t="str">
        <f>IF($CM$6=0,"",IF(INDEX('⑩ 원문 보관'!$A:$E,$CM$6+ROW()-9,COLUMN())="","",INDEX('⑩ 원문 보관'!$A:$E,$CM$6+ROW()-9,COLUMN())))</f>
        <v/>
      </c>
      <c r="B686" t="str">
        <f>IF($CM$6=0,"",IF(INDEX('⑩ 원문 보관'!$A:$E,$CM$6+ROW()-9,COLUMN())="","",INDEX('⑩ 원문 보관'!$A:$E,$CM$6+ROW()-9,COLUMN())))</f>
        <v/>
      </c>
      <c r="C686" t="str">
        <f>IF($CM$6=0,"",IF(INDEX('⑩ 원문 보관'!$A:$E,$CM$6+ROW()-9,COLUMN())="","",INDEX('⑩ 원문 보관'!$A:$E,$CM$6+ROW()-9,COLUMN())))</f>
        <v/>
      </c>
      <c r="D686" t="str">
        <f>IF($CM$6=0,"",IF(INDEX('⑩ 원문 보관'!$A:$E,$CM$6+ROW()-9,COLUMN())="","",INDEX('⑩ 원문 보관'!$A:$E,$CM$6+ROW()-9,COLUMN())))</f>
        <v/>
      </c>
      <c r="E686" t="str">
        <f>IF($CM$6=0,"",IF(INDEX('⑩ 원문 보관'!$A:$E,$CM$6+ROW()-9,COLUMN())="","",INDEX('⑩ 원문 보관'!$A:$E,$CM$6+ROW()-9,COLUMN())))</f>
        <v/>
      </c>
      <c r="Q686">
        <f t="shared" si="295"/>
        <v>8</v>
      </c>
      <c r="R686" t="str">
        <f t="shared" si="275"/>
        <v/>
      </c>
      <c r="S686" t="str">
        <f t="shared" si="276"/>
        <v/>
      </c>
      <c r="T686" t="str">
        <f t="shared" si="277"/>
        <v/>
      </c>
      <c r="U686">
        <f t="shared" si="278"/>
        <v>0</v>
      </c>
      <c r="V686">
        <f t="shared" si="296"/>
        <v>12</v>
      </c>
      <c r="W686" t="str">
        <f t="shared" si="279"/>
        <v/>
      </c>
      <c r="X686" t="str">
        <f t="shared" si="280"/>
        <v/>
      </c>
      <c r="Y686" t="str">
        <f t="shared" si="281"/>
        <v/>
      </c>
      <c r="Z686">
        <f t="shared" si="282"/>
        <v>0</v>
      </c>
      <c r="AA686">
        <f t="shared" si="297"/>
        <v>6</v>
      </c>
      <c r="AB686" t="str">
        <f t="shared" si="283"/>
        <v/>
      </c>
      <c r="AC686" t="str">
        <f t="shared" si="284"/>
        <v/>
      </c>
      <c r="AD686" t="str">
        <f t="shared" si="285"/>
        <v/>
      </c>
      <c r="AE686">
        <f t="shared" si="286"/>
        <v>0</v>
      </c>
      <c r="AF686">
        <f t="shared" si="298"/>
        <v>10</v>
      </c>
      <c r="AG686" t="str">
        <f t="shared" si="287"/>
        <v/>
      </c>
      <c r="AH686" t="str">
        <f t="shared" si="288"/>
        <v/>
      </c>
      <c r="AI686" t="str">
        <f t="shared" si="289"/>
        <v/>
      </c>
      <c r="AJ686">
        <f t="shared" si="290"/>
        <v>0</v>
      </c>
      <c r="AK686">
        <f t="shared" si="299"/>
        <v>4</v>
      </c>
      <c r="AL686" t="str">
        <f t="shared" si="291"/>
        <v/>
      </c>
      <c r="AM686" t="str">
        <f t="shared" si="292"/>
        <v/>
      </c>
      <c r="AN686" t="str">
        <f t="shared" si="293"/>
        <v/>
      </c>
      <c r="AO686">
        <f t="shared" si="294"/>
        <v>0</v>
      </c>
    </row>
    <row r="687" spans="1:41" x14ac:dyDescent="0.4">
      <c r="A687" t="str">
        <f>IF($CM$6=0,"",IF(INDEX('⑩ 원문 보관'!$A:$E,$CM$6+ROW()-9,COLUMN())="","",INDEX('⑩ 원문 보관'!$A:$E,$CM$6+ROW()-9,COLUMN())))</f>
        <v/>
      </c>
      <c r="B687" t="str">
        <f>IF($CM$6=0,"",IF(INDEX('⑩ 원문 보관'!$A:$E,$CM$6+ROW()-9,COLUMN())="","",INDEX('⑩ 원문 보관'!$A:$E,$CM$6+ROW()-9,COLUMN())))</f>
        <v/>
      </c>
      <c r="C687" t="str">
        <f>IF($CM$6=0,"",IF(INDEX('⑩ 원문 보관'!$A:$E,$CM$6+ROW()-9,COLUMN())="","",INDEX('⑩ 원문 보관'!$A:$E,$CM$6+ROW()-9,COLUMN())))</f>
        <v/>
      </c>
      <c r="D687" t="str">
        <f>IF($CM$6=0,"",IF(INDEX('⑩ 원문 보관'!$A:$E,$CM$6+ROW()-9,COLUMN())="","",INDEX('⑩ 원문 보관'!$A:$E,$CM$6+ROW()-9,COLUMN())))</f>
        <v/>
      </c>
      <c r="E687" t="str">
        <f>IF($CM$6=0,"",IF(INDEX('⑩ 원문 보관'!$A:$E,$CM$6+ROW()-9,COLUMN())="","",INDEX('⑩ 원문 보관'!$A:$E,$CM$6+ROW()-9,COLUMN())))</f>
        <v/>
      </c>
      <c r="Q687">
        <f t="shared" si="295"/>
        <v>8</v>
      </c>
      <c r="R687" t="str">
        <f t="shared" si="275"/>
        <v/>
      </c>
      <c r="S687" t="str">
        <f t="shared" si="276"/>
        <v/>
      </c>
      <c r="T687" t="str">
        <f t="shared" si="277"/>
        <v/>
      </c>
      <c r="U687">
        <f t="shared" si="278"/>
        <v>0</v>
      </c>
      <c r="V687">
        <f t="shared" si="296"/>
        <v>12</v>
      </c>
      <c r="W687" t="str">
        <f t="shared" si="279"/>
        <v/>
      </c>
      <c r="X687" t="str">
        <f t="shared" si="280"/>
        <v/>
      </c>
      <c r="Y687" t="str">
        <f t="shared" si="281"/>
        <v/>
      </c>
      <c r="Z687">
        <f t="shared" si="282"/>
        <v>0</v>
      </c>
      <c r="AA687">
        <f t="shared" si="297"/>
        <v>6</v>
      </c>
      <c r="AB687" t="str">
        <f t="shared" si="283"/>
        <v/>
      </c>
      <c r="AC687" t="str">
        <f t="shared" si="284"/>
        <v/>
      </c>
      <c r="AD687" t="str">
        <f t="shared" si="285"/>
        <v/>
      </c>
      <c r="AE687">
        <f t="shared" si="286"/>
        <v>0</v>
      </c>
      <c r="AF687">
        <f t="shared" si="298"/>
        <v>10</v>
      </c>
      <c r="AG687" t="str">
        <f t="shared" si="287"/>
        <v/>
      </c>
      <c r="AH687" t="str">
        <f t="shared" si="288"/>
        <v/>
      </c>
      <c r="AI687" t="str">
        <f t="shared" si="289"/>
        <v/>
      </c>
      <c r="AJ687">
        <f t="shared" si="290"/>
        <v>0</v>
      </c>
      <c r="AK687">
        <f t="shared" si="299"/>
        <v>4</v>
      </c>
      <c r="AL687" t="str">
        <f t="shared" si="291"/>
        <v/>
      </c>
      <c r="AM687" t="str">
        <f t="shared" si="292"/>
        <v/>
      </c>
      <c r="AN687" t="str">
        <f t="shared" si="293"/>
        <v/>
      </c>
      <c r="AO687">
        <f t="shared" si="294"/>
        <v>0</v>
      </c>
    </row>
    <row r="688" spans="1:41" x14ac:dyDescent="0.4">
      <c r="A688" t="str">
        <f>IF($CM$6=0,"",IF(INDEX('⑩ 원문 보관'!$A:$E,$CM$6+ROW()-9,COLUMN())="","",INDEX('⑩ 원문 보관'!$A:$E,$CM$6+ROW()-9,COLUMN())))</f>
        <v/>
      </c>
      <c r="B688" t="str">
        <f>IF($CM$6=0,"",IF(INDEX('⑩ 원문 보관'!$A:$E,$CM$6+ROW()-9,COLUMN())="","",INDEX('⑩ 원문 보관'!$A:$E,$CM$6+ROW()-9,COLUMN())))</f>
        <v/>
      </c>
      <c r="C688" t="str">
        <f>IF($CM$6=0,"",IF(INDEX('⑩ 원문 보관'!$A:$E,$CM$6+ROW()-9,COLUMN())="","",INDEX('⑩ 원문 보관'!$A:$E,$CM$6+ROW()-9,COLUMN())))</f>
        <v/>
      </c>
      <c r="D688" t="str">
        <f>IF($CM$6=0,"",IF(INDEX('⑩ 원문 보관'!$A:$E,$CM$6+ROW()-9,COLUMN())="","",INDEX('⑩ 원문 보관'!$A:$E,$CM$6+ROW()-9,COLUMN())))</f>
        <v/>
      </c>
      <c r="E688" t="str">
        <f>IF($CM$6=0,"",IF(INDEX('⑩ 원문 보관'!$A:$E,$CM$6+ROW()-9,COLUMN())="","",INDEX('⑩ 원문 보관'!$A:$E,$CM$6+ROW()-9,COLUMN())))</f>
        <v/>
      </c>
      <c r="Q688">
        <f t="shared" si="295"/>
        <v>8</v>
      </c>
      <c r="R688" t="str">
        <f t="shared" si="275"/>
        <v/>
      </c>
      <c r="S688" t="str">
        <f t="shared" si="276"/>
        <v/>
      </c>
      <c r="T688" t="str">
        <f t="shared" si="277"/>
        <v/>
      </c>
      <c r="U688">
        <f t="shared" si="278"/>
        <v>0</v>
      </c>
      <c r="V688">
        <f t="shared" si="296"/>
        <v>12</v>
      </c>
      <c r="W688" t="str">
        <f t="shared" si="279"/>
        <v/>
      </c>
      <c r="X688" t="str">
        <f t="shared" si="280"/>
        <v/>
      </c>
      <c r="Y688" t="str">
        <f t="shared" si="281"/>
        <v/>
      </c>
      <c r="Z688">
        <f t="shared" si="282"/>
        <v>0</v>
      </c>
      <c r="AA688">
        <f t="shared" si="297"/>
        <v>6</v>
      </c>
      <c r="AB688" t="str">
        <f t="shared" si="283"/>
        <v/>
      </c>
      <c r="AC688" t="str">
        <f t="shared" si="284"/>
        <v/>
      </c>
      <c r="AD688" t="str">
        <f t="shared" si="285"/>
        <v/>
      </c>
      <c r="AE688">
        <f t="shared" si="286"/>
        <v>0</v>
      </c>
      <c r="AF688">
        <f t="shared" si="298"/>
        <v>10</v>
      </c>
      <c r="AG688" t="str">
        <f t="shared" si="287"/>
        <v/>
      </c>
      <c r="AH688" t="str">
        <f t="shared" si="288"/>
        <v/>
      </c>
      <c r="AI688" t="str">
        <f t="shared" si="289"/>
        <v/>
      </c>
      <c r="AJ688">
        <f t="shared" si="290"/>
        <v>0</v>
      </c>
      <c r="AK688">
        <f t="shared" si="299"/>
        <v>4</v>
      </c>
      <c r="AL688" t="str">
        <f t="shared" si="291"/>
        <v/>
      </c>
      <c r="AM688" t="str">
        <f t="shared" si="292"/>
        <v/>
      </c>
      <c r="AN688" t="str">
        <f t="shared" si="293"/>
        <v/>
      </c>
      <c r="AO688">
        <f t="shared" si="294"/>
        <v>0</v>
      </c>
    </row>
    <row r="689" spans="1:41" x14ac:dyDescent="0.4">
      <c r="A689" t="str">
        <f>IF($CM$6=0,"",IF(INDEX('⑩ 원문 보관'!$A:$E,$CM$6+ROW()-9,COLUMN())="","",INDEX('⑩ 원문 보관'!$A:$E,$CM$6+ROW()-9,COLUMN())))</f>
        <v/>
      </c>
      <c r="B689" t="str">
        <f>IF($CM$6=0,"",IF(INDEX('⑩ 원문 보관'!$A:$E,$CM$6+ROW()-9,COLUMN())="","",INDEX('⑩ 원문 보관'!$A:$E,$CM$6+ROW()-9,COLUMN())))</f>
        <v/>
      </c>
      <c r="C689" t="str">
        <f>IF($CM$6=0,"",IF(INDEX('⑩ 원문 보관'!$A:$E,$CM$6+ROW()-9,COLUMN())="","",INDEX('⑩ 원문 보관'!$A:$E,$CM$6+ROW()-9,COLUMN())))</f>
        <v/>
      </c>
      <c r="D689" t="str">
        <f>IF($CM$6=0,"",IF(INDEX('⑩ 원문 보관'!$A:$E,$CM$6+ROW()-9,COLUMN())="","",INDEX('⑩ 원문 보관'!$A:$E,$CM$6+ROW()-9,COLUMN())))</f>
        <v/>
      </c>
      <c r="E689" t="str">
        <f>IF($CM$6=0,"",IF(INDEX('⑩ 원문 보관'!$A:$E,$CM$6+ROW()-9,COLUMN())="","",INDEX('⑩ 원문 보관'!$A:$E,$CM$6+ROW()-9,COLUMN())))</f>
        <v/>
      </c>
      <c r="Q689">
        <f t="shared" si="295"/>
        <v>8</v>
      </c>
      <c r="R689" t="str">
        <f t="shared" si="275"/>
        <v/>
      </c>
      <c r="S689" t="str">
        <f t="shared" si="276"/>
        <v/>
      </c>
      <c r="T689" t="str">
        <f t="shared" si="277"/>
        <v/>
      </c>
      <c r="U689">
        <f t="shared" si="278"/>
        <v>0</v>
      </c>
      <c r="V689">
        <f t="shared" si="296"/>
        <v>12</v>
      </c>
      <c r="W689" t="str">
        <f t="shared" si="279"/>
        <v/>
      </c>
      <c r="X689" t="str">
        <f t="shared" si="280"/>
        <v/>
      </c>
      <c r="Y689" t="str">
        <f t="shared" si="281"/>
        <v/>
      </c>
      <c r="Z689">
        <f t="shared" si="282"/>
        <v>0</v>
      </c>
      <c r="AA689">
        <f t="shared" si="297"/>
        <v>6</v>
      </c>
      <c r="AB689" t="str">
        <f t="shared" si="283"/>
        <v/>
      </c>
      <c r="AC689" t="str">
        <f t="shared" si="284"/>
        <v/>
      </c>
      <c r="AD689" t="str">
        <f t="shared" si="285"/>
        <v/>
      </c>
      <c r="AE689">
        <f t="shared" si="286"/>
        <v>0</v>
      </c>
      <c r="AF689">
        <f t="shared" si="298"/>
        <v>10</v>
      </c>
      <c r="AG689" t="str">
        <f t="shared" si="287"/>
        <v/>
      </c>
      <c r="AH689" t="str">
        <f t="shared" si="288"/>
        <v/>
      </c>
      <c r="AI689" t="str">
        <f t="shared" si="289"/>
        <v/>
      </c>
      <c r="AJ689">
        <f t="shared" si="290"/>
        <v>0</v>
      </c>
      <c r="AK689">
        <f t="shared" si="299"/>
        <v>4</v>
      </c>
      <c r="AL689" t="str">
        <f t="shared" si="291"/>
        <v/>
      </c>
      <c r="AM689" t="str">
        <f t="shared" si="292"/>
        <v/>
      </c>
      <c r="AN689" t="str">
        <f t="shared" si="293"/>
        <v/>
      </c>
      <c r="AO689">
        <f t="shared" si="294"/>
        <v>0</v>
      </c>
    </row>
    <row r="690" spans="1:41" x14ac:dyDescent="0.4">
      <c r="A690" t="str">
        <f>IF($CM$6=0,"",IF(INDEX('⑩ 원문 보관'!$A:$E,$CM$6+ROW()-9,COLUMN())="","",INDEX('⑩ 원문 보관'!$A:$E,$CM$6+ROW()-9,COLUMN())))</f>
        <v/>
      </c>
      <c r="B690" t="str">
        <f>IF($CM$6=0,"",IF(INDEX('⑩ 원문 보관'!$A:$E,$CM$6+ROW()-9,COLUMN())="","",INDEX('⑩ 원문 보관'!$A:$E,$CM$6+ROW()-9,COLUMN())))</f>
        <v/>
      </c>
      <c r="C690" t="str">
        <f>IF($CM$6=0,"",IF(INDEX('⑩ 원문 보관'!$A:$E,$CM$6+ROW()-9,COLUMN())="","",INDEX('⑩ 원문 보관'!$A:$E,$CM$6+ROW()-9,COLUMN())))</f>
        <v/>
      </c>
      <c r="D690" t="str">
        <f>IF($CM$6=0,"",IF(INDEX('⑩ 원문 보관'!$A:$E,$CM$6+ROW()-9,COLUMN())="","",INDEX('⑩ 원문 보관'!$A:$E,$CM$6+ROW()-9,COLUMN())))</f>
        <v/>
      </c>
      <c r="E690" t="str">
        <f>IF($CM$6=0,"",IF(INDEX('⑩ 원문 보관'!$A:$E,$CM$6+ROW()-9,COLUMN())="","",INDEX('⑩ 원문 보관'!$A:$E,$CM$6+ROW()-9,COLUMN())))</f>
        <v/>
      </c>
      <c r="Q690">
        <f t="shared" si="295"/>
        <v>8</v>
      </c>
      <c r="R690" t="str">
        <f t="shared" si="275"/>
        <v/>
      </c>
      <c r="S690" t="str">
        <f t="shared" si="276"/>
        <v/>
      </c>
      <c r="T690" t="str">
        <f t="shared" si="277"/>
        <v/>
      </c>
      <c r="U690">
        <f t="shared" si="278"/>
        <v>0</v>
      </c>
      <c r="V690">
        <f t="shared" si="296"/>
        <v>12</v>
      </c>
      <c r="W690" t="str">
        <f t="shared" si="279"/>
        <v/>
      </c>
      <c r="X690" t="str">
        <f t="shared" si="280"/>
        <v/>
      </c>
      <c r="Y690" t="str">
        <f t="shared" si="281"/>
        <v/>
      </c>
      <c r="Z690">
        <f t="shared" si="282"/>
        <v>0</v>
      </c>
      <c r="AA690">
        <f t="shared" si="297"/>
        <v>6</v>
      </c>
      <c r="AB690" t="str">
        <f t="shared" si="283"/>
        <v/>
      </c>
      <c r="AC690" t="str">
        <f t="shared" si="284"/>
        <v/>
      </c>
      <c r="AD690" t="str">
        <f t="shared" si="285"/>
        <v/>
      </c>
      <c r="AE690">
        <f t="shared" si="286"/>
        <v>0</v>
      </c>
      <c r="AF690">
        <f t="shared" si="298"/>
        <v>10</v>
      </c>
      <c r="AG690" t="str">
        <f t="shared" si="287"/>
        <v/>
      </c>
      <c r="AH690" t="str">
        <f t="shared" si="288"/>
        <v/>
      </c>
      <c r="AI690" t="str">
        <f t="shared" si="289"/>
        <v/>
      </c>
      <c r="AJ690">
        <f t="shared" si="290"/>
        <v>0</v>
      </c>
      <c r="AK690">
        <f t="shared" si="299"/>
        <v>4</v>
      </c>
      <c r="AL690" t="str">
        <f t="shared" si="291"/>
        <v/>
      </c>
      <c r="AM690" t="str">
        <f t="shared" si="292"/>
        <v/>
      </c>
      <c r="AN690" t="str">
        <f t="shared" si="293"/>
        <v/>
      </c>
      <c r="AO690">
        <f t="shared" si="294"/>
        <v>0</v>
      </c>
    </row>
    <row r="691" spans="1:41" x14ac:dyDescent="0.4">
      <c r="A691" t="str">
        <f>IF($CM$6=0,"",IF(INDEX('⑩ 원문 보관'!$A:$E,$CM$6+ROW()-9,COLUMN())="","",INDEX('⑩ 원문 보관'!$A:$E,$CM$6+ROW()-9,COLUMN())))</f>
        <v/>
      </c>
      <c r="B691" t="str">
        <f>IF($CM$6=0,"",IF(INDEX('⑩ 원문 보관'!$A:$E,$CM$6+ROW()-9,COLUMN())="","",INDEX('⑩ 원문 보관'!$A:$E,$CM$6+ROW()-9,COLUMN())))</f>
        <v/>
      </c>
      <c r="C691" t="str">
        <f>IF($CM$6=0,"",IF(INDEX('⑩ 원문 보관'!$A:$E,$CM$6+ROW()-9,COLUMN())="","",INDEX('⑩ 원문 보관'!$A:$E,$CM$6+ROW()-9,COLUMN())))</f>
        <v/>
      </c>
      <c r="D691" t="str">
        <f>IF($CM$6=0,"",IF(INDEX('⑩ 원문 보관'!$A:$E,$CM$6+ROW()-9,COLUMN())="","",INDEX('⑩ 원문 보관'!$A:$E,$CM$6+ROW()-9,COLUMN())))</f>
        <v/>
      </c>
      <c r="E691" t="str">
        <f>IF($CM$6=0,"",IF(INDEX('⑩ 원문 보관'!$A:$E,$CM$6+ROW()-9,COLUMN())="","",INDEX('⑩ 원문 보관'!$A:$E,$CM$6+ROW()-9,COLUMN())))</f>
        <v/>
      </c>
      <c r="Q691">
        <f t="shared" si="295"/>
        <v>8</v>
      </c>
      <c r="R691" t="str">
        <f t="shared" si="275"/>
        <v/>
      </c>
      <c r="S691" t="str">
        <f t="shared" si="276"/>
        <v/>
      </c>
      <c r="T691" t="str">
        <f t="shared" si="277"/>
        <v/>
      </c>
      <c r="U691">
        <f t="shared" si="278"/>
        <v>0</v>
      </c>
      <c r="V691">
        <f t="shared" si="296"/>
        <v>12</v>
      </c>
      <c r="W691" t="str">
        <f t="shared" si="279"/>
        <v/>
      </c>
      <c r="X691" t="str">
        <f t="shared" si="280"/>
        <v/>
      </c>
      <c r="Y691" t="str">
        <f t="shared" si="281"/>
        <v/>
      </c>
      <c r="Z691">
        <f t="shared" si="282"/>
        <v>0</v>
      </c>
      <c r="AA691">
        <f t="shared" si="297"/>
        <v>6</v>
      </c>
      <c r="AB691" t="str">
        <f t="shared" si="283"/>
        <v/>
      </c>
      <c r="AC691" t="str">
        <f t="shared" si="284"/>
        <v/>
      </c>
      <c r="AD691" t="str">
        <f t="shared" si="285"/>
        <v/>
      </c>
      <c r="AE691">
        <f t="shared" si="286"/>
        <v>0</v>
      </c>
      <c r="AF691">
        <f t="shared" si="298"/>
        <v>10</v>
      </c>
      <c r="AG691" t="str">
        <f t="shared" si="287"/>
        <v/>
      </c>
      <c r="AH691" t="str">
        <f t="shared" si="288"/>
        <v/>
      </c>
      <c r="AI691" t="str">
        <f t="shared" si="289"/>
        <v/>
      </c>
      <c r="AJ691">
        <f t="shared" si="290"/>
        <v>0</v>
      </c>
      <c r="AK691">
        <f t="shared" si="299"/>
        <v>4</v>
      </c>
      <c r="AL691" t="str">
        <f t="shared" si="291"/>
        <v/>
      </c>
      <c r="AM691" t="str">
        <f t="shared" si="292"/>
        <v/>
      </c>
      <c r="AN691" t="str">
        <f t="shared" si="293"/>
        <v/>
      </c>
      <c r="AO691">
        <f t="shared" si="294"/>
        <v>0</v>
      </c>
    </row>
    <row r="692" spans="1:41" x14ac:dyDescent="0.4">
      <c r="A692" t="str">
        <f>IF($CM$6=0,"",IF(INDEX('⑩ 원문 보관'!$A:$E,$CM$6+ROW()-9,COLUMN())="","",INDEX('⑩ 원문 보관'!$A:$E,$CM$6+ROW()-9,COLUMN())))</f>
        <v/>
      </c>
      <c r="B692" t="str">
        <f>IF($CM$6=0,"",IF(INDEX('⑩ 원문 보관'!$A:$E,$CM$6+ROW()-9,COLUMN())="","",INDEX('⑩ 원문 보관'!$A:$E,$CM$6+ROW()-9,COLUMN())))</f>
        <v/>
      </c>
      <c r="C692" t="str">
        <f>IF($CM$6=0,"",IF(INDEX('⑩ 원문 보관'!$A:$E,$CM$6+ROW()-9,COLUMN())="","",INDEX('⑩ 원문 보관'!$A:$E,$CM$6+ROW()-9,COLUMN())))</f>
        <v/>
      </c>
      <c r="D692" t="str">
        <f>IF($CM$6=0,"",IF(INDEX('⑩ 원문 보관'!$A:$E,$CM$6+ROW()-9,COLUMN())="","",INDEX('⑩ 원문 보관'!$A:$E,$CM$6+ROW()-9,COLUMN())))</f>
        <v/>
      </c>
      <c r="E692" t="str">
        <f>IF($CM$6=0,"",IF(INDEX('⑩ 원문 보관'!$A:$E,$CM$6+ROW()-9,COLUMN())="","",INDEX('⑩ 원문 보관'!$A:$E,$CM$6+ROW()-9,COLUMN())))</f>
        <v/>
      </c>
      <c r="Q692">
        <f t="shared" si="295"/>
        <v>8</v>
      </c>
      <c r="R692" t="str">
        <f t="shared" si="275"/>
        <v/>
      </c>
      <c r="S692" t="str">
        <f t="shared" si="276"/>
        <v/>
      </c>
      <c r="T692" t="str">
        <f t="shared" si="277"/>
        <v/>
      </c>
      <c r="U692">
        <f t="shared" si="278"/>
        <v>0</v>
      </c>
      <c r="V692">
        <f t="shared" si="296"/>
        <v>12</v>
      </c>
      <c r="W692" t="str">
        <f t="shared" si="279"/>
        <v/>
      </c>
      <c r="X692" t="str">
        <f t="shared" si="280"/>
        <v/>
      </c>
      <c r="Y692" t="str">
        <f t="shared" si="281"/>
        <v/>
      </c>
      <c r="Z692">
        <f t="shared" si="282"/>
        <v>0</v>
      </c>
      <c r="AA692">
        <f t="shared" si="297"/>
        <v>6</v>
      </c>
      <c r="AB692" t="str">
        <f t="shared" si="283"/>
        <v/>
      </c>
      <c r="AC692" t="str">
        <f t="shared" si="284"/>
        <v/>
      </c>
      <c r="AD692" t="str">
        <f t="shared" si="285"/>
        <v/>
      </c>
      <c r="AE692">
        <f t="shared" si="286"/>
        <v>0</v>
      </c>
      <c r="AF692">
        <f t="shared" si="298"/>
        <v>10</v>
      </c>
      <c r="AG692" t="str">
        <f t="shared" si="287"/>
        <v/>
      </c>
      <c r="AH692" t="str">
        <f t="shared" si="288"/>
        <v/>
      </c>
      <c r="AI692" t="str">
        <f t="shared" si="289"/>
        <v/>
      </c>
      <c r="AJ692">
        <f t="shared" si="290"/>
        <v>0</v>
      </c>
      <c r="AK692">
        <f t="shared" si="299"/>
        <v>4</v>
      </c>
      <c r="AL692" t="str">
        <f t="shared" si="291"/>
        <v/>
      </c>
      <c r="AM692" t="str">
        <f t="shared" si="292"/>
        <v/>
      </c>
      <c r="AN692" t="str">
        <f t="shared" si="293"/>
        <v/>
      </c>
      <c r="AO692">
        <f t="shared" si="294"/>
        <v>0</v>
      </c>
    </row>
    <row r="693" spans="1:41" x14ac:dyDescent="0.4">
      <c r="A693" t="str">
        <f>IF($CM$6=0,"",IF(INDEX('⑩ 원문 보관'!$A:$E,$CM$6+ROW()-9,COLUMN())="","",INDEX('⑩ 원문 보관'!$A:$E,$CM$6+ROW()-9,COLUMN())))</f>
        <v/>
      </c>
      <c r="B693" t="str">
        <f>IF($CM$6=0,"",IF(INDEX('⑩ 원문 보관'!$A:$E,$CM$6+ROW()-9,COLUMN())="","",INDEX('⑩ 원문 보관'!$A:$E,$CM$6+ROW()-9,COLUMN())))</f>
        <v/>
      </c>
      <c r="C693" t="str">
        <f>IF($CM$6=0,"",IF(INDEX('⑩ 원문 보관'!$A:$E,$CM$6+ROW()-9,COLUMN())="","",INDEX('⑩ 원문 보관'!$A:$E,$CM$6+ROW()-9,COLUMN())))</f>
        <v/>
      </c>
      <c r="D693" t="str">
        <f>IF($CM$6=0,"",IF(INDEX('⑩ 원문 보관'!$A:$E,$CM$6+ROW()-9,COLUMN())="","",INDEX('⑩ 원문 보관'!$A:$E,$CM$6+ROW()-9,COLUMN())))</f>
        <v/>
      </c>
      <c r="E693" t="str">
        <f>IF($CM$6=0,"",IF(INDEX('⑩ 원문 보관'!$A:$E,$CM$6+ROW()-9,COLUMN())="","",INDEX('⑩ 원문 보관'!$A:$E,$CM$6+ROW()-9,COLUMN())))</f>
        <v/>
      </c>
      <c r="Q693">
        <f t="shared" si="295"/>
        <v>8</v>
      </c>
      <c r="R693" t="str">
        <f t="shared" si="275"/>
        <v/>
      </c>
      <c r="S693" t="str">
        <f t="shared" si="276"/>
        <v/>
      </c>
      <c r="T693" t="str">
        <f t="shared" si="277"/>
        <v/>
      </c>
      <c r="U693">
        <f t="shared" si="278"/>
        <v>0</v>
      </c>
      <c r="V693">
        <f t="shared" si="296"/>
        <v>12</v>
      </c>
      <c r="W693" t="str">
        <f t="shared" si="279"/>
        <v/>
      </c>
      <c r="X693" t="str">
        <f t="shared" si="280"/>
        <v/>
      </c>
      <c r="Y693" t="str">
        <f t="shared" si="281"/>
        <v/>
      </c>
      <c r="Z693">
        <f t="shared" si="282"/>
        <v>0</v>
      </c>
      <c r="AA693">
        <f t="shared" si="297"/>
        <v>6</v>
      </c>
      <c r="AB693" t="str">
        <f t="shared" si="283"/>
        <v/>
      </c>
      <c r="AC693" t="str">
        <f t="shared" si="284"/>
        <v/>
      </c>
      <c r="AD693" t="str">
        <f t="shared" si="285"/>
        <v/>
      </c>
      <c r="AE693">
        <f t="shared" si="286"/>
        <v>0</v>
      </c>
      <c r="AF693">
        <f t="shared" si="298"/>
        <v>10</v>
      </c>
      <c r="AG693" t="str">
        <f t="shared" si="287"/>
        <v/>
      </c>
      <c r="AH693" t="str">
        <f t="shared" si="288"/>
        <v/>
      </c>
      <c r="AI693" t="str">
        <f t="shared" si="289"/>
        <v/>
      </c>
      <c r="AJ693">
        <f t="shared" si="290"/>
        <v>0</v>
      </c>
      <c r="AK693">
        <f t="shared" si="299"/>
        <v>4</v>
      </c>
      <c r="AL693" t="str">
        <f t="shared" si="291"/>
        <v/>
      </c>
      <c r="AM693" t="str">
        <f t="shared" si="292"/>
        <v/>
      </c>
      <c r="AN693" t="str">
        <f t="shared" si="293"/>
        <v/>
      </c>
      <c r="AO693">
        <f t="shared" si="294"/>
        <v>0</v>
      </c>
    </row>
    <row r="694" spans="1:41" x14ac:dyDescent="0.4">
      <c r="A694" t="str">
        <f>IF($CM$6=0,"",IF(INDEX('⑩ 원문 보관'!$A:$E,$CM$6+ROW()-9,COLUMN())="","",INDEX('⑩ 원문 보관'!$A:$E,$CM$6+ROW()-9,COLUMN())))</f>
        <v/>
      </c>
      <c r="B694" t="str">
        <f>IF($CM$6=0,"",IF(INDEX('⑩ 원문 보관'!$A:$E,$CM$6+ROW()-9,COLUMN())="","",INDEX('⑩ 원문 보관'!$A:$E,$CM$6+ROW()-9,COLUMN())))</f>
        <v/>
      </c>
      <c r="C694" t="str">
        <f>IF($CM$6=0,"",IF(INDEX('⑩ 원문 보관'!$A:$E,$CM$6+ROW()-9,COLUMN())="","",INDEX('⑩ 원문 보관'!$A:$E,$CM$6+ROW()-9,COLUMN())))</f>
        <v/>
      </c>
      <c r="D694" t="str">
        <f>IF($CM$6=0,"",IF(INDEX('⑩ 원문 보관'!$A:$E,$CM$6+ROW()-9,COLUMN())="","",INDEX('⑩ 원문 보관'!$A:$E,$CM$6+ROW()-9,COLUMN())))</f>
        <v/>
      </c>
      <c r="E694" t="str">
        <f>IF($CM$6=0,"",IF(INDEX('⑩ 원문 보관'!$A:$E,$CM$6+ROW()-9,COLUMN())="","",INDEX('⑩ 원문 보관'!$A:$E,$CM$6+ROW()-9,COLUMN())))</f>
        <v/>
      </c>
      <c r="Q694">
        <f t="shared" si="295"/>
        <v>8</v>
      </c>
      <c r="R694" t="str">
        <f t="shared" si="275"/>
        <v/>
      </c>
      <c r="S694" t="str">
        <f t="shared" si="276"/>
        <v/>
      </c>
      <c r="T694" t="str">
        <f t="shared" si="277"/>
        <v/>
      </c>
      <c r="U694">
        <f t="shared" si="278"/>
        <v>0</v>
      </c>
      <c r="V694">
        <f t="shared" si="296"/>
        <v>12</v>
      </c>
      <c r="W694" t="str">
        <f t="shared" si="279"/>
        <v/>
      </c>
      <c r="X694" t="str">
        <f t="shared" si="280"/>
        <v/>
      </c>
      <c r="Y694" t="str">
        <f t="shared" si="281"/>
        <v/>
      </c>
      <c r="Z694">
        <f t="shared" si="282"/>
        <v>0</v>
      </c>
      <c r="AA694">
        <f t="shared" si="297"/>
        <v>6</v>
      </c>
      <c r="AB694" t="str">
        <f t="shared" si="283"/>
        <v/>
      </c>
      <c r="AC694" t="str">
        <f t="shared" si="284"/>
        <v/>
      </c>
      <c r="AD694" t="str">
        <f t="shared" si="285"/>
        <v/>
      </c>
      <c r="AE694">
        <f t="shared" si="286"/>
        <v>0</v>
      </c>
      <c r="AF694">
        <f t="shared" si="298"/>
        <v>10</v>
      </c>
      <c r="AG694" t="str">
        <f t="shared" si="287"/>
        <v/>
      </c>
      <c r="AH694" t="str">
        <f t="shared" si="288"/>
        <v/>
      </c>
      <c r="AI694" t="str">
        <f t="shared" si="289"/>
        <v/>
      </c>
      <c r="AJ694">
        <f t="shared" si="290"/>
        <v>0</v>
      </c>
      <c r="AK694">
        <f t="shared" si="299"/>
        <v>4</v>
      </c>
      <c r="AL694" t="str">
        <f t="shared" si="291"/>
        <v/>
      </c>
      <c r="AM694" t="str">
        <f t="shared" si="292"/>
        <v/>
      </c>
      <c r="AN694" t="str">
        <f t="shared" si="293"/>
        <v/>
      </c>
      <c r="AO694">
        <f t="shared" si="294"/>
        <v>0</v>
      </c>
    </row>
    <row r="695" spans="1:41" x14ac:dyDescent="0.4">
      <c r="A695" t="str">
        <f>IF($CM$6=0,"",IF(INDEX('⑩ 원문 보관'!$A:$E,$CM$6+ROW()-9,COLUMN())="","",INDEX('⑩ 원문 보관'!$A:$E,$CM$6+ROW()-9,COLUMN())))</f>
        <v/>
      </c>
      <c r="B695" t="str">
        <f>IF($CM$6=0,"",IF(INDEX('⑩ 원문 보관'!$A:$E,$CM$6+ROW()-9,COLUMN())="","",INDEX('⑩ 원문 보관'!$A:$E,$CM$6+ROW()-9,COLUMN())))</f>
        <v/>
      </c>
      <c r="C695" t="str">
        <f>IF($CM$6=0,"",IF(INDEX('⑩ 원문 보관'!$A:$E,$CM$6+ROW()-9,COLUMN())="","",INDEX('⑩ 원문 보관'!$A:$E,$CM$6+ROW()-9,COLUMN())))</f>
        <v/>
      </c>
      <c r="D695" t="str">
        <f>IF($CM$6=0,"",IF(INDEX('⑩ 원문 보관'!$A:$E,$CM$6+ROW()-9,COLUMN())="","",INDEX('⑩ 원문 보관'!$A:$E,$CM$6+ROW()-9,COLUMN())))</f>
        <v/>
      </c>
      <c r="E695" t="str">
        <f>IF($CM$6=0,"",IF(INDEX('⑩ 원문 보관'!$A:$E,$CM$6+ROW()-9,COLUMN())="","",INDEX('⑩ 원문 보관'!$A:$E,$CM$6+ROW()-9,COLUMN())))</f>
        <v/>
      </c>
      <c r="Q695">
        <f t="shared" si="295"/>
        <v>8</v>
      </c>
      <c r="R695" t="str">
        <f t="shared" si="275"/>
        <v/>
      </c>
      <c r="S695" t="str">
        <f t="shared" si="276"/>
        <v/>
      </c>
      <c r="T695" t="str">
        <f t="shared" si="277"/>
        <v/>
      </c>
      <c r="U695">
        <f t="shared" si="278"/>
        <v>0</v>
      </c>
      <c r="V695">
        <f t="shared" si="296"/>
        <v>12</v>
      </c>
      <c r="W695" t="str">
        <f t="shared" si="279"/>
        <v/>
      </c>
      <c r="X695" t="str">
        <f t="shared" si="280"/>
        <v/>
      </c>
      <c r="Y695" t="str">
        <f t="shared" si="281"/>
        <v/>
      </c>
      <c r="Z695">
        <f t="shared" si="282"/>
        <v>0</v>
      </c>
      <c r="AA695">
        <f t="shared" si="297"/>
        <v>6</v>
      </c>
      <c r="AB695" t="str">
        <f t="shared" si="283"/>
        <v/>
      </c>
      <c r="AC695" t="str">
        <f t="shared" si="284"/>
        <v/>
      </c>
      <c r="AD695" t="str">
        <f t="shared" si="285"/>
        <v/>
      </c>
      <c r="AE695">
        <f t="shared" si="286"/>
        <v>0</v>
      </c>
      <c r="AF695">
        <f t="shared" si="298"/>
        <v>10</v>
      </c>
      <c r="AG695" t="str">
        <f t="shared" si="287"/>
        <v/>
      </c>
      <c r="AH695" t="str">
        <f t="shared" si="288"/>
        <v/>
      </c>
      <c r="AI695" t="str">
        <f t="shared" si="289"/>
        <v/>
      </c>
      <c r="AJ695">
        <f t="shared" si="290"/>
        <v>0</v>
      </c>
      <c r="AK695">
        <f t="shared" si="299"/>
        <v>4</v>
      </c>
      <c r="AL695" t="str">
        <f t="shared" si="291"/>
        <v/>
      </c>
      <c r="AM695" t="str">
        <f t="shared" si="292"/>
        <v/>
      </c>
      <c r="AN695" t="str">
        <f t="shared" si="293"/>
        <v/>
      </c>
      <c r="AO695">
        <f t="shared" si="294"/>
        <v>0</v>
      </c>
    </row>
    <row r="696" spans="1:41" x14ac:dyDescent="0.4">
      <c r="A696" t="str">
        <f>IF($CM$6=0,"",IF(INDEX('⑩ 원문 보관'!$A:$E,$CM$6+ROW()-9,COLUMN())="","",INDEX('⑩ 원문 보관'!$A:$E,$CM$6+ROW()-9,COLUMN())))</f>
        <v/>
      </c>
      <c r="B696" t="str">
        <f>IF($CM$6=0,"",IF(INDEX('⑩ 원문 보관'!$A:$E,$CM$6+ROW()-9,COLUMN())="","",INDEX('⑩ 원문 보관'!$A:$E,$CM$6+ROW()-9,COLUMN())))</f>
        <v/>
      </c>
      <c r="C696" t="str">
        <f>IF($CM$6=0,"",IF(INDEX('⑩ 원문 보관'!$A:$E,$CM$6+ROW()-9,COLUMN())="","",INDEX('⑩ 원문 보관'!$A:$E,$CM$6+ROW()-9,COLUMN())))</f>
        <v/>
      </c>
      <c r="D696" t="str">
        <f>IF($CM$6=0,"",IF(INDEX('⑩ 원문 보관'!$A:$E,$CM$6+ROW()-9,COLUMN())="","",INDEX('⑩ 원문 보관'!$A:$E,$CM$6+ROW()-9,COLUMN())))</f>
        <v/>
      </c>
      <c r="E696" t="str">
        <f>IF($CM$6=0,"",IF(INDEX('⑩ 원문 보관'!$A:$E,$CM$6+ROW()-9,COLUMN())="","",INDEX('⑩ 원문 보관'!$A:$E,$CM$6+ROW()-9,COLUMN())))</f>
        <v/>
      </c>
      <c r="Q696">
        <f t="shared" si="295"/>
        <v>8</v>
      </c>
      <c r="R696" t="str">
        <f t="shared" si="275"/>
        <v/>
      </c>
      <c r="S696" t="str">
        <f t="shared" si="276"/>
        <v/>
      </c>
      <c r="T696" t="str">
        <f t="shared" si="277"/>
        <v/>
      </c>
      <c r="U696">
        <f t="shared" si="278"/>
        <v>0</v>
      </c>
      <c r="V696">
        <f t="shared" si="296"/>
        <v>12</v>
      </c>
      <c r="W696" t="str">
        <f t="shared" si="279"/>
        <v/>
      </c>
      <c r="X696" t="str">
        <f t="shared" si="280"/>
        <v/>
      </c>
      <c r="Y696" t="str">
        <f t="shared" si="281"/>
        <v/>
      </c>
      <c r="Z696">
        <f t="shared" si="282"/>
        <v>0</v>
      </c>
      <c r="AA696">
        <f t="shared" si="297"/>
        <v>6</v>
      </c>
      <c r="AB696" t="str">
        <f t="shared" si="283"/>
        <v/>
      </c>
      <c r="AC696" t="str">
        <f t="shared" si="284"/>
        <v/>
      </c>
      <c r="AD696" t="str">
        <f t="shared" si="285"/>
        <v/>
      </c>
      <c r="AE696">
        <f t="shared" si="286"/>
        <v>0</v>
      </c>
      <c r="AF696">
        <f t="shared" si="298"/>
        <v>10</v>
      </c>
      <c r="AG696" t="str">
        <f t="shared" si="287"/>
        <v/>
      </c>
      <c r="AH696" t="str">
        <f t="shared" si="288"/>
        <v/>
      </c>
      <c r="AI696" t="str">
        <f t="shared" si="289"/>
        <v/>
      </c>
      <c r="AJ696">
        <f t="shared" si="290"/>
        <v>0</v>
      </c>
      <c r="AK696">
        <f t="shared" si="299"/>
        <v>4</v>
      </c>
      <c r="AL696" t="str">
        <f t="shared" si="291"/>
        <v/>
      </c>
      <c r="AM696" t="str">
        <f t="shared" si="292"/>
        <v/>
      </c>
      <c r="AN696" t="str">
        <f t="shared" si="293"/>
        <v/>
      </c>
      <c r="AO696">
        <f t="shared" si="294"/>
        <v>0</v>
      </c>
    </row>
    <row r="697" spans="1:41" x14ac:dyDescent="0.4">
      <c r="A697" t="str">
        <f>IF($CM$6=0,"",IF(INDEX('⑩ 원문 보관'!$A:$E,$CM$6+ROW()-9,COLUMN())="","",INDEX('⑩ 원문 보관'!$A:$E,$CM$6+ROW()-9,COLUMN())))</f>
        <v/>
      </c>
      <c r="B697" t="str">
        <f>IF($CM$6=0,"",IF(INDEX('⑩ 원문 보관'!$A:$E,$CM$6+ROW()-9,COLUMN())="","",INDEX('⑩ 원문 보관'!$A:$E,$CM$6+ROW()-9,COLUMN())))</f>
        <v/>
      </c>
      <c r="C697" t="str">
        <f>IF($CM$6=0,"",IF(INDEX('⑩ 원문 보관'!$A:$E,$CM$6+ROW()-9,COLUMN())="","",INDEX('⑩ 원문 보관'!$A:$E,$CM$6+ROW()-9,COLUMN())))</f>
        <v/>
      </c>
      <c r="D697" t="str">
        <f>IF($CM$6=0,"",IF(INDEX('⑩ 원문 보관'!$A:$E,$CM$6+ROW()-9,COLUMN())="","",INDEX('⑩ 원문 보관'!$A:$E,$CM$6+ROW()-9,COLUMN())))</f>
        <v/>
      </c>
      <c r="E697" t="str">
        <f>IF($CM$6=0,"",IF(INDEX('⑩ 원문 보관'!$A:$E,$CM$6+ROW()-9,COLUMN())="","",INDEX('⑩ 원문 보관'!$A:$E,$CM$6+ROW()-9,COLUMN())))</f>
        <v/>
      </c>
      <c r="Q697">
        <f t="shared" si="295"/>
        <v>8</v>
      </c>
      <c r="R697" t="str">
        <f t="shared" si="275"/>
        <v/>
      </c>
      <c r="S697" t="str">
        <f t="shared" si="276"/>
        <v/>
      </c>
      <c r="T697" t="str">
        <f t="shared" si="277"/>
        <v/>
      </c>
      <c r="U697">
        <f t="shared" si="278"/>
        <v>0</v>
      </c>
      <c r="V697">
        <f t="shared" si="296"/>
        <v>12</v>
      </c>
      <c r="W697" t="str">
        <f t="shared" si="279"/>
        <v/>
      </c>
      <c r="X697" t="str">
        <f t="shared" si="280"/>
        <v/>
      </c>
      <c r="Y697" t="str">
        <f t="shared" si="281"/>
        <v/>
      </c>
      <c r="Z697">
        <f t="shared" si="282"/>
        <v>0</v>
      </c>
      <c r="AA697">
        <f t="shared" si="297"/>
        <v>6</v>
      </c>
      <c r="AB697" t="str">
        <f t="shared" si="283"/>
        <v/>
      </c>
      <c r="AC697" t="str">
        <f t="shared" si="284"/>
        <v/>
      </c>
      <c r="AD697" t="str">
        <f t="shared" si="285"/>
        <v/>
      </c>
      <c r="AE697">
        <f t="shared" si="286"/>
        <v>0</v>
      </c>
      <c r="AF697">
        <f t="shared" si="298"/>
        <v>10</v>
      </c>
      <c r="AG697" t="str">
        <f t="shared" si="287"/>
        <v/>
      </c>
      <c r="AH697" t="str">
        <f t="shared" si="288"/>
        <v/>
      </c>
      <c r="AI697" t="str">
        <f t="shared" si="289"/>
        <v/>
      </c>
      <c r="AJ697">
        <f t="shared" si="290"/>
        <v>0</v>
      </c>
      <c r="AK697">
        <f t="shared" si="299"/>
        <v>4</v>
      </c>
      <c r="AL697" t="str">
        <f t="shared" si="291"/>
        <v/>
      </c>
      <c r="AM697" t="str">
        <f t="shared" si="292"/>
        <v/>
      </c>
      <c r="AN697" t="str">
        <f t="shared" si="293"/>
        <v/>
      </c>
      <c r="AO697">
        <f t="shared" si="294"/>
        <v>0</v>
      </c>
    </row>
    <row r="698" spans="1:41" x14ac:dyDescent="0.4">
      <c r="A698" t="str">
        <f>IF($CM$6=0,"",IF(INDEX('⑩ 원문 보관'!$A:$E,$CM$6+ROW()-9,COLUMN())="","",INDEX('⑩ 원문 보관'!$A:$E,$CM$6+ROW()-9,COLUMN())))</f>
        <v/>
      </c>
      <c r="B698" t="str">
        <f>IF($CM$6=0,"",IF(INDEX('⑩ 원문 보관'!$A:$E,$CM$6+ROW()-9,COLUMN())="","",INDEX('⑩ 원문 보관'!$A:$E,$CM$6+ROW()-9,COLUMN())))</f>
        <v/>
      </c>
      <c r="C698" t="str">
        <f>IF($CM$6=0,"",IF(INDEX('⑩ 원문 보관'!$A:$E,$CM$6+ROW()-9,COLUMN())="","",INDEX('⑩ 원문 보관'!$A:$E,$CM$6+ROW()-9,COLUMN())))</f>
        <v/>
      </c>
      <c r="D698" t="str">
        <f>IF($CM$6=0,"",IF(INDEX('⑩ 원문 보관'!$A:$E,$CM$6+ROW()-9,COLUMN())="","",INDEX('⑩ 원문 보관'!$A:$E,$CM$6+ROW()-9,COLUMN())))</f>
        <v/>
      </c>
      <c r="E698" t="str">
        <f>IF($CM$6=0,"",IF(INDEX('⑩ 원문 보관'!$A:$E,$CM$6+ROW()-9,COLUMN())="","",INDEX('⑩ 원문 보관'!$A:$E,$CM$6+ROW()-9,COLUMN())))</f>
        <v/>
      </c>
      <c r="Q698">
        <f t="shared" si="295"/>
        <v>8</v>
      </c>
      <c r="R698" t="str">
        <f t="shared" si="275"/>
        <v/>
      </c>
      <c r="S698" t="str">
        <f t="shared" si="276"/>
        <v/>
      </c>
      <c r="T698" t="str">
        <f t="shared" si="277"/>
        <v/>
      </c>
      <c r="U698">
        <f t="shared" si="278"/>
        <v>0</v>
      </c>
      <c r="V698">
        <f t="shared" si="296"/>
        <v>12</v>
      </c>
      <c r="W698" t="str">
        <f t="shared" si="279"/>
        <v/>
      </c>
      <c r="X698" t="str">
        <f t="shared" si="280"/>
        <v/>
      </c>
      <c r="Y698" t="str">
        <f t="shared" si="281"/>
        <v/>
      </c>
      <c r="Z698">
        <f t="shared" si="282"/>
        <v>0</v>
      </c>
      <c r="AA698">
        <f t="shared" si="297"/>
        <v>6</v>
      </c>
      <c r="AB698" t="str">
        <f t="shared" si="283"/>
        <v/>
      </c>
      <c r="AC698" t="str">
        <f t="shared" si="284"/>
        <v/>
      </c>
      <c r="AD698" t="str">
        <f t="shared" si="285"/>
        <v/>
      </c>
      <c r="AE698">
        <f t="shared" si="286"/>
        <v>0</v>
      </c>
      <c r="AF698">
        <f t="shared" si="298"/>
        <v>10</v>
      </c>
      <c r="AG698" t="str">
        <f t="shared" si="287"/>
        <v/>
      </c>
      <c r="AH698" t="str">
        <f t="shared" si="288"/>
        <v/>
      </c>
      <c r="AI698" t="str">
        <f t="shared" si="289"/>
        <v/>
      </c>
      <c r="AJ698">
        <f t="shared" si="290"/>
        <v>0</v>
      </c>
      <c r="AK698">
        <f t="shared" si="299"/>
        <v>4</v>
      </c>
      <c r="AL698" t="str">
        <f t="shared" si="291"/>
        <v/>
      </c>
      <c r="AM698" t="str">
        <f t="shared" si="292"/>
        <v/>
      </c>
      <c r="AN698" t="str">
        <f t="shared" si="293"/>
        <v/>
      </c>
      <c r="AO698">
        <f t="shared" si="294"/>
        <v>0</v>
      </c>
    </row>
    <row r="699" spans="1:41" x14ac:dyDescent="0.4">
      <c r="A699" t="str">
        <f>IF($CM$6=0,"",IF(INDEX('⑩ 원문 보관'!$A:$E,$CM$6+ROW()-9,COLUMN())="","",INDEX('⑩ 원문 보관'!$A:$E,$CM$6+ROW()-9,COLUMN())))</f>
        <v/>
      </c>
      <c r="B699" t="str">
        <f>IF($CM$6=0,"",IF(INDEX('⑩ 원문 보관'!$A:$E,$CM$6+ROW()-9,COLUMN())="","",INDEX('⑩ 원문 보관'!$A:$E,$CM$6+ROW()-9,COLUMN())))</f>
        <v/>
      </c>
      <c r="C699" t="str">
        <f>IF($CM$6=0,"",IF(INDEX('⑩ 원문 보관'!$A:$E,$CM$6+ROW()-9,COLUMN())="","",INDEX('⑩ 원문 보관'!$A:$E,$CM$6+ROW()-9,COLUMN())))</f>
        <v/>
      </c>
      <c r="D699" t="str">
        <f>IF($CM$6=0,"",IF(INDEX('⑩ 원문 보관'!$A:$E,$CM$6+ROW()-9,COLUMN())="","",INDEX('⑩ 원문 보관'!$A:$E,$CM$6+ROW()-9,COLUMN())))</f>
        <v/>
      </c>
      <c r="E699" t="str">
        <f>IF($CM$6=0,"",IF(INDEX('⑩ 원문 보관'!$A:$E,$CM$6+ROW()-9,COLUMN())="","",INDEX('⑩ 원문 보관'!$A:$E,$CM$6+ROW()-9,COLUMN())))</f>
        <v/>
      </c>
      <c r="Q699">
        <f t="shared" si="295"/>
        <v>8</v>
      </c>
      <c r="R699" t="str">
        <f t="shared" si="275"/>
        <v/>
      </c>
      <c r="S699" t="str">
        <f t="shared" si="276"/>
        <v/>
      </c>
      <c r="T699" t="str">
        <f t="shared" si="277"/>
        <v/>
      </c>
      <c r="U699">
        <f t="shared" si="278"/>
        <v>0</v>
      </c>
      <c r="V699">
        <f t="shared" si="296"/>
        <v>12</v>
      </c>
      <c r="W699" t="str">
        <f t="shared" si="279"/>
        <v/>
      </c>
      <c r="X699" t="str">
        <f t="shared" si="280"/>
        <v/>
      </c>
      <c r="Y699" t="str">
        <f t="shared" si="281"/>
        <v/>
      </c>
      <c r="Z699">
        <f t="shared" si="282"/>
        <v>0</v>
      </c>
      <c r="AA699">
        <f t="shared" si="297"/>
        <v>6</v>
      </c>
      <c r="AB699" t="str">
        <f t="shared" si="283"/>
        <v/>
      </c>
      <c r="AC699" t="str">
        <f t="shared" si="284"/>
        <v/>
      </c>
      <c r="AD699" t="str">
        <f t="shared" si="285"/>
        <v/>
      </c>
      <c r="AE699">
        <f t="shared" si="286"/>
        <v>0</v>
      </c>
      <c r="AF699">
        <f t="shared" si="298"/>
        <v>10</v>
      </c>
      <c r="AG699" t="str">
        <f t="shared" si="287"/>
        <v/>
      </c>
      <c r="AH699" t="str">
        <f t="shared" si="288"/>
        <v/>
      </c>
      <c r="AI699" t="str">
        <f t="shared" si="289"/>
        <v/>
      </c>
      <c r="AJ699">
        <f t="shared" si="290"/>
        <v>0</v>
      </c>
      <c r="AK699">
        <f t="shared" si="299"/>
        <v>4</v>
      </c>
      <c r="AL699" t="str">
        <f t="shared" si="291"/>
        <v/>
      </c>
      <c r="AM699" t="str">
        <f t="shared" si="292"/>
        <v/>
      </c>
      <c r="AN699" t="str">
        <f t="shared" si="293"/>
        <v/>
      </c>
      <c r="AO699">
        <f t="shared" si="294"/>
        <v>0</v>
      </c>
    </row>
    <row r="700" spans="1:41" x14ac:dyDescent="0.4">
      <c r="A700" t="str">
        <f>IF($CM$6=0,"",IF(INDEX('⑩ 원문 보관'!$A:$E,$CM$6+ROW()-9,COLUMN())="","",INDEX('⑩ 원문 보관'!$A:$E,$CM$6+ROW()-9,COLUMN())))</f>
        <v/>
      </c>
      <c r="B700" t="str">
        <f>IF($CM$6=0,"",IF(INDEX('⑩ 원문 보관'!$A:$E,$CM$6+ROW()-9,COLUMN())="","",INDEX('⑩ 원문 보관'!$A:$E,$CM$6+ROW()-9,COLUMN())))</f>
        <v/>
      </c>
      <c r="C700" t="str">
        <f>IF($CM$6=0,"",IF(INDEX('⑩ 원문 보관'!$A:$E,$CM$6+ROW()-9,COLUMN())="","",INDEX('⑩ 원문 보관'!$A:$E,$CM$6+ROW()-9,COLUMN())))</f>
        <v/>
      </c>
      <c r="D700" t="str">
        <f>IF($CM$6=0,"",IF(INDEX('⑩ 원문 보관'!$A:$E,$CM$6+ROW()-9,COLUMN())="","",INDEX('⑩ 원문 보관'!$A:$E,$CM$6+ROW()-9,COLUMN())))</f>
        <v/>
      </c>
      <c r="E700" t="str">
        <f>IF($CM$6=0,"",IF(INDEX('⑩ 원문 보관'!$A:$E,$CM$6+ROW()-9,COLUMN())="","",INDEX('⑩ 원문 보관'!$A:$E,$CM$6+ROW()-9,COLUMN())))</f>
        <v/>
      </c>
      <c r="Q700">
        <f t="shared" si="295"/>
        <v>8</v>
      </c>
      <c r="R700" t="str">
        <f t="shared" si="275"/>
        <v/>
      </c>
      <c r="S700" t="str">
        <f t="shared" si="276"/>
        <v/>
      </c>
      <c r="T700" t="str">
        <f t="shared" si="277"/>
        <v/>
      </c>
      <c r="U700">
        <f t="shared" si="278"/>
        <v>0</v>
      </c>
      <c r="V700">
        <f t="shared" si="296"/>
        <v>12</v>
      </c>
      <c r="W700" t="str">
        <f t="shared" si="279"/>
        <v/>
      </c>
      <c r="X700" t="str">
        <f t="shared" si="280"/>
        <v/>
      </c>
      <c r="Y700" t="str">
        <f t="shared" si="281"/>
        <v/>
      </c>
      <c r="Z700">
        <f t="shared" si="282"/>
        <v>0</v>
      </c>
      <c r="AA700">
        <f t="shared" si="297"/>
        <v>6</v>
      </c>
      <c r="AB700" t="str">
        <f t="shared" si="283"/>
        <v/>
      </c>
      <c r="AC700" t="str">
        <f t="shared" si="284"/>
        <v/>
      </c>
      <c r="AD700" t="str">
        <f t="shared" si="285"/>
        <v/>
      </c>
      <c r="AE700">
        <f t="shared" si="286"/>
        <v>0</v>
      </c>
      <c r="AF700">
        <f t="shared" si="298"/>
        <v>10</v>
      </c>
      <c r="AG700" t="str">
        <f t="shared" si="287"/>
        <v/>
      </c>
      <c r="AH700" t="str">
        <f t="shared" si="288"/>
        <v/>
      </c>
      <c r="AI700" t="str">
        <f t="shared" si="289"/>
        <v/>
      </c>
      <c r="AJ700">
        <f t="shared" si="290"/>
        <v>0</v>
      </c>
      <c r="AK700">
        <f t="shared" si="299"/>
        <v>4</v>
      </c>
      <c r="AL700" t="str">
        <f t="shared" si="291"/>
        <v/>
      </c>
      <c r="AM700" t="str">
        <f t="shared" si="292"/>
        <v/>
      </c>
      <c r="AN700" t="str">
        <f t="shared" si="293"/>
        <v/>
      </c>
      <c r="AO700">
        <f t="shared" si="294"/>
        <v>0</v>
      </c>
    </row>
    <row r="701" spans="1:41" x14ac:dyDescent="0.4">
      <c r="A701" t="str">
        <f>IF($CM$6=0,"",IF(INDEX('⑩ 원문 보관'!$A:$E,$CM$6+ROW()-9,COLUMN())="","",INDEX('⑩ 원문 보관'!$A:$E,$CM$6+ROW()-9,COLUMN())))</f>
        <v/>
      </c>
      <c r="B701" t="str">
        <f>IF($CM$6=0,"",IF(INDEX('⑩ 원문 보관'!$A:$E,$CM$6+ROW()-9,COLUMN())="","",INDEX('⑩ 원문 보관'!$A:$E,$CM$6+ROW()-9,COLUMN())))</f>
        <v/>
      </c>
      <c r="C701" t="str">
        <f>IF($CM$6=0,"",IF(INDEX('⑩ 원문 보관'!$A:$E,$CM$6+ROW()-9,COLUMN())="","",INDEX('⑩ 원문 보관'!$A:$E,$CM$6+ROW()-9,COLUMN())))</f>
        <v/>
      </c>
      <c r="D701" t="str">
        <f>IF($CM$6=0,"",IF(INDEX('⑩ 원문 보관'!$A:$E,$CM$6+ROW()-9,COLUMN())="","",INDEX('⑩ 원문 보관'!$A:$E,$CM$6+ROW()-9,COLUMN())))</f>
        <v/>
      </c>
      <c r="E701" t="str">
        <f>IF($CM$6=0,"",IF(INDEX('⑩ 원문 보관'!$A:$E,$CM$6+ROW()-9,COLUMN())="","",INDEX('⑩ 원문 보관'!$A:$E,$CM$6+ROW()-9,COLUMN())))</f>
        <v/>
      </c>
      <c r="Q701">
        <f t="shared" si="295"/>
        <v>8</v>
      </c>
      <c r="R701" t="str">
        <f t="shared" si="275"/>
        <v/>
      </c>
      <c r="S701" t="str">
        <f t="shared" si="276"/>
        <v/>
      </c>
      <c r="T701" t="str">
        <f t="shared" si="277"/>
        <v/>
      </c>
      <c r="U701">
        <f t="shared" si="278"/>
        <v>0</v>
      </c>
      <c r="V701">
        <f t="shared" si="296"/>
        <v>12</v>
      </c>
      <c r="W701" t="str">
        <f t="shared" si="279"/>
        <v/>
      </c>
      <c r="X701" t="str">
        <f t="shared" si="280"/>
        <v/>
      </c>
      <c r="Y701" t="str">
        <f t="shared" si="281"/>
        <v/>
      </c>
      <c r="Z701">
        <f t="shared" si="282"/>
        <v>0</v>
      </c>
      <c r="AA701">
        <f t="shared" si="297"/>
        <v>6</v>
      </c>
      <c r="AB701" t="str">
        <f t="shared" si="283"/>
        <v/>
      </c>
      <c r="AC701" t="str">
        <f t="shared" si="284"/>
        <v/>
      </c>
      <c r="AD701" t="str">
        <f t="shared" si="285"/>
        <v/>
      </c>
      <c r="AE701">
        <f t="shared" si="286"/>
        <v>0</v>
      </c>
      <c r="AF701">
        <f t="shared" si="298"/>
        <v>10</v>
      </c>
      <c r="AG701" t="str">
        <f t="shared" si="287"/>
        <v/>
      </c>
      <c r="AH701" t="str">
        <f t="shared" si="288"/>
        <v/>
      </c>
      <c r="AI701" t="str">
        <f t="shared" si="289"/>
        <v/>
      </c>
      <c r="AJ701">
        <f t="shared" si="290"/>
        <v>0</v>
      </c>
      <c r="AK701">
        <f t="shared" si="299"/>
        <v>4</v>
      </c>
      <c r="AL701" t="str">
        <f t="shared" si="291"/>
        <v/>
      </c>
      <c r="AM701" t="str">
        <f t="shared" si="292"/>
        <v/>
      </c>
      <c r="AN701" t="str">
        <f t="shared" si="293"/>
        <v/>
      </c>
      <c r="AO701">
        <f t="shared" si="294"/>
        <v>0</v>
      </c>
    </row>
    <row r="702" spans="1:41" x14ac:dyDescent="0.4">
      <c r="A702" t="str">
        <f>IF($CM$6=0,"",IF(INDEX('⑩ 원문 보관'!$A:$E,$CM$6+ROW()-9,COLUMN())="","",INDEX('⑩ 원문 보관'!$A:$E,$CM$6+ROW()-9,COLUMN())))</f>
        <v/>
      </c>
      <c r="B702" t="str">
        <f>IF($CM$6=0,"",IF(INDEX('⑩ 원문 보관'!$A:$E,$CM$6+ROW()-9,COLUMN())="","",INDEX('⑩ 원문 보관'!$A:$E,$CM$6+ROW()-9,COLUMN())))</f>
        <v/>
      </c>
      <c r="C702" t="str">
        <f>IF($CM$6=0,"",IF(INDEX('⑩ 원문 보관'!$A:$E,$CM$6+ROW()-9,COLUMN())="","",INDEX('⑩ 원문 보관'!$A:$E,$CM$6+ROW()-9,COLUMN())))</f>
        <v/>
      </c>
      <c r="D702" t="str">
        <f>IF($CM$6=0,"",IF(INDEX('⑩ 원문 보관'!$A:$E,$CM$6+ROW()-9,COLUMN())="","",INDEX('⑩ 원문 보관'!$A:$E,$CM$6+ROW()-9,COLUMN())))</f>
        <v/>
      </c>
      <c r="E702" t="str">
        <f>IF($CM$6=0,"",IF(INDEX('⑩ 원문 보관'!$A:$E,$CM$6+ROW()-9,COLUMN())="","",INDEX('⑩ 원문 보관'!$A:$E,$CM$6+ROW()-9,COLUMN())))</f>
        <v/>
      </c>
      <c r="Q702">
        <f t="shared" si="295"/>
        <v>8</v>
      </c>
      <c r="R702" t="str">
        <f t="shared" si="275"/>
        <v/>
      </c>
      <c r="S702" t="str">
        <f t="shared" si="276"/>
        <v/>
      </c>
      <c r="T702" t="str">
        <f t="shared" si="277"/>
        <v/>
      </c>
      <c r="U702">
        <f t="shared" si="278"/>
        <v>0</v>
      </c>
      <c r="V702">
        <f t="shared" si="296"/>
        <v>12</v>
      </c>
      <c r="W702" t="str">
        <f t="shared" si="279"/>
        <v/>
      </c>
      <c r="X702" t="str">
        <f t="shared" si="280"/>
        <v/>
      </c>
      <c r="Y702" t="str">
        <f t="shared" si="281"/>
        <v/>
      </c>
      <c r="Z702">
        <f t="shared" si="282"/>
        <v>0</v>
      </c>
      <c r="AA702">
        <f t="shared" si="297"/>
        <v>6</v>
      </c>
      <c r="AB702" t="str">
        <f t="shared" si="283"/>
        <v/>
      </c>
      <c r="AC702" t="str">
        <f t="shared" si="284"/>
        <v/>
      </c>
      <c r="AD702" t="str">
        <f t="shared" si="285"/>
        <v/>
      </c>
      <c r="AE702">
        <f t="shared" si="286"/>
        <v>0</v>
      </c>
      <c r="AF702">
        <f t="shared" si="298"/>
        <v>10</v>
      </c>
      <c r="AG702" t="str">
        <f t="shared" si="287"/>
        <v/>
      </c>
      <c r="AH702" t="str">
        <f t="shared" si="288"/>
        <v/>
      </c>
      <c r="AI702" t="str">
        <f t="shared" si="289"/>
        <v/>
      </c>
      <c r="AJ702">
        <f t="shared" si="290"/>
        <v>0</v>
      </c>
      <c r="AK702">
        <f t="shared" si="299"/>
        <v>4</v>
      </c>
      <c r="AL702" t="str">
        <f t="shared" si="291"/>
        <v/>
      </c>
      <c r="AM702" t="str">
        <f t="shared" si="292"/>
        <v/>
      </c>
      <c r="AN702" t="str">
        <f t="shared" si="293"/>
        <v/>
      </c>
      <c r="AO702">
        <f t="shared" si="294"/>
        <v>0</v>
      </c>
    </row>
    <row r="703" spans="1:41" x14ac:dyDescent="0.4">
      <c r="A703" t="str">
        <f>IF($CM$6=0,"",IF(INDEX('⑩ 원문 보관'!$A:$E,$CM$6+ROW()-9,COLUMN())="","",INDEX('⑩ 원문 보관'!$A:$E,$CM$6+ROW()-9,COLUMN())))</f>
        <v/>
      </c>
      <c r="B703" t="str">
        <f>IF($CM$6=0,"",IF(INDEX('⑩ 원문 보관'!$A:$E,$CM$6+ROW()-9,COLUMN())="","",INDEX('⑩ 원문 보관'!$A:$E,$CM$6+ROW()-9,COLUMN())))</f>
        <v/>
      </c>
      <c r="C703" t="str">
        <f>IF($CM$6=0,"",IF(INDEX('⑩ 원문 보관'!$A:$E,$CM$6+ROW()-9,COLUMN())="","",INDEX('⑩ 원문 보관'!$A:$E,$CM$6+ROW()-9,COLUMN())))</f>
        <v/>
      </c>
      <c r="D703" t="str">
        <f>IF($CM$6=0,"",IF(INDEX('⑩ 원문 보관'!$A:$E,$CM$6+ROW()-9,COLUMN())="","",INDEX('⑩ 원문 보관'!$A:$E,$CM$6+ROW()-9,COLUMN())))</f>
        <v/>
      </c>
      <c r="E703" t="str">
        <f>IF($CM$6=0,"",IF(INDEX('⑩ 원문 보관'!$A:$E,$CM$6+ROW()-9,COLUMN())="","",INDEX('⑩ 원문 보관'!$A:$E,$CM$6+ROW()-9,COLUMN())))</f>
        <v/>
      </c>
      <c r="Q703">
        <f t="shared" si="295"/>
        <v>8</v>
      </c>
      <c r="R703" t="str">
        <f t="shared" si="275"/>
        <v/>
      </c>
      <c r="S703" t="str">
        <f t="shared" si="276"/>
        <v/>
      </c>
      <c r="T703" t="str">
        <f t="shared" si="277"/>
        <v/>
      </c>
      <c r="U703">
        <f t="shared" si="278"/>
        <v>0</v>
      </c>
      <c r="V703">
        <f t="shared" si="296"/>
        <v>12</v>
      </c>
      <c r="W703" t="str">
        <f t="shared" si="279"/>
        <v/>
      </c>
      <c r="X703" t="str">
        <f t="shared" si="280"/>
        <v/>
      </c>
      <c r="Y703" t="str">
        <f t="shared" si="281"/>
        <v/>
      </c>
      <c r="Z703">
        <f t="shared" si="282"/>
        <v>0</v>
      </c>
      <c r="AA703">
        <f t="shared" si="297"/>
        <v>6</v>
      </c>
      <c r="AB703" t="str">
        <f t="shared" si="283"/>
        <v/>
      </c>
      <c r="AC703" t="str">
        <f t="shared" si="284"/>
        <v/>
      </c>
      <c r="AD703" t="str">
        <f t="shared" si="285"/>
        <v/>
      </c>
      <c r="AE703">
        <f t="shared" si="286"/>
        <v>0</v>
      </c>
      <c r="AF703">
        <f t="shared" si="298"/>
        <v>10</v>
      </c>
      <c r="AG703" t="str">
        <f t="shared" si="287"/>
        <v/>
      </c>
      <c r="AH703" t="str">
        <f t="shared" si="288"/>
        <v/>
      </c>
      <c r="AI703" t="str">
        <f t="shared" si="289"/>
        <v/>
      </c>
      <c r="AJ703">
        <f t="shared" si="290"/>
        <v>0</v>
      </c>
      <c r="AK703">
        <f t="shared" si="299"/>
        <v>4</v>
      </c>
      <c r="AL703" t="str">
        <f t="shared" si="291"/>
        <v/>
      </c>
      <c r="AM703" t="str">
        <f t="shared" si="292"/>
        <v/>
      </c>
      <c r="AN703" t="str">
        <f t="shared" si="293"/>
        <v/>
      </c>
      <c r="AO703">
        <f t="shared" si="294"/>
        <v>0</v>
      </c>
    </row>
    <row r="704" spans="1:41" x14ac:dyDescent="0.4">
      <c r="A704" t="str">
        <f>IF($CM$6=0,"",IF(INDEX('⑩ 원문 보관'!$A:$E,$CM$6+ROW()-9,COLUMN())="","",INDEX('⑩ 원문 보관'!$A:$E,$CM$6+ROW()-9,COLUMN())))</f>
        <v/>
      </c>
      <c r="B704" t="str">
        <f>IF($CM$6=0,"",IF(INDEX('⑩ 원문 보관'!$A:$E,$CM$6+ROW()-9,COLUMN())="","",INDEX('⑩ 원문 보관'!$A:$E,$CM$6+ROW()-9,COLUMN())))</f>
        <v/>
      </c>
      <c r="C704" t="str">
        <f>IF($CM$6=0,"",IF(INDEX('⑩ 원문 보관'!$A:$E,$CM$6+ROW()-9,COLUMN())="","",INDEX('⑩ 원문 보관'!$A:$E,$CM$6+ROW()-9,COLUMN())))</f>
        <v/>
      </c>
      <c r="D704" t="str">
        <f>IF($CM$6=0,"",IF(INDEX('⑩ 원문 보관'!$A:$E,$CM$6+ROW()-9,COLUMN())="","",INDEX('⑩ 원문 보관'!$A:$E,$CM$6+ROW()-9,COLUMN())))</f>
        <v/>
      </c>
      <c r="E704" t="str">
        <f>IF($CM$6=0,"",IF(INDEX('⑩ 원문 보관'!$A:$E,$CM$6+ROW()-9,COLUMN())="","",INDEX('⑩ 원문 보관'!$A:$E,$CM$6+ROW()-9,COLUMN())))</f>
        <v/>
      </c>
      <c r="Q704">
        <f t="shared" si="295"/>
        <v>8</v>
      </c>
      <c r="R704" t="str">
        <f t="shared" si="275"/>
        <v/>
      </c>
      <c r="S704" t="str">
        <f t="shared" si="276"/>
        <v/>
      </c>
      <c r="T704" t="str">
        <f t="shared" si="277"/>
        <v/>
      </c>
      <c r="U704">
        <f t="shared" si="278"/>
        <v>0</v>
      </c>
      <c r="V704">
        <f t="shared" si="296"/>
        <v>12</v>
      </c>
      <c r="W704" t="str">
        <f t="shared" si="279"/>
        <v/>
      </c>
      <c r="X704" t="str">
        <f t="shared" si="280"/>
        <v/>
      </c>
      <c r="Y704" t="str">
        <f t="shared" si="281"/>
        <v/>
      </c>
      <c r="Z704">
        <f t="shared" si="282"/>
        <v>0</v>
      </c>
      <c r="AA704">
        <f t="shared" si="297"/>
        <v>6</v>
      </c>
      <c r="AB704" t="str">
        <f t="shared" si="283"/>
        <v/>
      </c>
      <c r="AC704" t="str">
        <f t="shared" si="284"/>
        <v/>
      </c>
      <c r="AD704" t="str">
        <f t="shared" si="285"/>
        <v/>
      </c>
      <c r="AE704">
        <f t="shared" si="286"/>
        <v>0</v>
      </c>
      <c r="AF704">
        <f t="shared" si="298"/>
        <v>10</v>
      </c>
      <c r="AG704" t="str">
        <f t="shared" si="287"/>
        <v/>
      </c>
      <c r="AH704" t="str">
        <f t="shared" si="288"/>
        <v/>
      </c>
      <c r="AI704" t="str">
        <f t="shared" si="289"/>
        <v/>
      </c>
      <c r="AJ704">
        <f t="shared" si="290"/>
        <v>0</v>
      </c>
      <c r="AK704">
        <f t="shared" si="299"/>
        <v>4</v>
      </c>
      <c r="AL704" t="str">
        <f t="shared" si="291"/>
        <v/>
      </c>
      <c r="AM704" t="str">
        <f t="shared" si="292"/>
        <v/>
      </c>
      <c r="AN704" t="str">
        <f t="shared" si="293"/>
        <v/>
      </c>
      <c r="AO704">
        <f t="shared" si="294"/>
        <v>0</v>
      </c>
    </row>
    <row r="705" spans="1:41" x14ac:dyDescent="0.4">
      <c r="A705" t="str">
        <f>IF($CM$6=0,"",IF(INDEX('⑩ 원문 보관'!$A:$E,$CM$6+ROW()-9,COLUMN())="","",INDEX('⑩ 원문 보관'!$A:$E,$CM$6+ROW()-9,COLUMN())))</f>
        <v/>
      </c>
      <c r="B705" t="str">
        <f>IF($CM$6=0,"",IF(INDEX('⑩ 원문 보관'!$A:$E,$CM$6+ROW()-9,COLUMN())="","",INDEX('⑩ 원문 보관'!$A:$E,$CM$6+ROW()-9,COLUMN())))</f>
        <v/>
      </c>
      <c r="C705" t="str">
        <f>IF($CM$6=0,"",IF(INDEX('⑩ 원문 보관'!$A:$E,$CM$6+ROW()-9,COLUMN())="","",INDEX('⑩ 원문 보관'!$A:$E,$CM$6+ROW()-9,COLUMN())))</f>
        <v/>
      </c>
      <c r="D705" t="str">
        <f>IF($CM$6=0,"",IF(INDEX('⑩ 원문 보관'!$A:$E,$CM$6+ROW()-9,COLUMN())="","",INDEX('⑩ 원문 보관'!$A:$E,$CM$6+ROW()-9,COLUMN())))</f>
        <v/>
      </c>
      <c r="E705" t="str">
        <f>IF($CM$6=0,"",IF(INDEX('⑩ 원문 보관'!$A:$E,$CM$6+ROW()-9,COLUMN())="","",INDEX('⑩ 원문 보관'!$A:$E,$CM$6+ROW()-9,COLUMN())))</f>
        <v/>
      </c>
      <c r="Q705">
        <f t="shared" si="295"/>
        <v>8</v>
      </c>
      <c r="R705" t="str">
        <f t="shared" si="275"/>
        <v/>
      </c>
      <c r="S705" t="str">
        <f t="shared" si="276"/>
        <v/>
      </c>
      <c r="T705" t="str">
        <f t="shared" si="277"/>
        <v/>
      </c>
      <c r="U705">
        <f t="shared" si="278"/>
        <v>0</v>
      </c>
      <c r="V705">
        <f t="shared" si="296"/>
        <v>12</v>
      </c>
      <c r="W705" t="str">
        <f t="shared" si="279"/>
        <v/>
      </c>
      <c r="X705" t="str">
        <f t="shared" si="280"/>
        <v/>
      </c>
      <c r="Y705" t="str">
        <f t="shared" si="281"/>
        <v/>
      </c>
      <c r="Z705">
        <f t="shared" si="282"/>
        <v>0</v>
      </c>
      <c r="AA705">
        <f t="shared" si="297"/>
        <v>6</v>
      </c>
      <c r="AB705" t="str">
        <f t="shared" si="283"/>
        <v/>
      </c>
      <c r="AC705" t="str">
        <f t="shared" si="284"/>
        <v/>
      </c>
      <c r="AD705" t="str">
        <f t="shared" si="285"/>
        <v/>
      </c>
      <c r="AE705">
        <f t="shared" si="286"/>
        <v>0</v>
      </c>
      <c r="AF705">
        <f t="shared" si="298"/>
        <v>10</v>
      </c>
      <c r="AG705" t="str">
        <f t="shared" si="287"/>
        <v/>
      </c>
      <c r="AH705" t="str">
        <f t="shared" si="288"/>
        <v/>
      </c>
      <c r="AI705" t="str">
        <f t="shared" si="289"/>
        <v/>
      </c>
      <c r="AJ705">
        <f t="shared" si="290"/>
        <v>0</v>
      </c>
      <c r="AK705">
        <f t="shared" si="299"/>
        <v>4</v>
      </c>
      <c r="AL705" t="str">
        <f t="shared" si="291"/>
        <v/>
      </c>
      <c r="AM705" t="str">
        <f t="shared" si="292"/>
        <v/>
      </c>
      <c r="AN705" t="str">
        <f t="shared" si="293"/>
        <v/>
      </c>
      <c r="AO705">
        <f t="shared" si="294"/>
        <v>0</v>
      </c>
    </row>
    <row r="706" spans="1:41" x14ac:dyDescent="0.4">
      <c r="A706" t="str">
        <f>IF($CM$6=0,"",IF(INDEX('⑩ 원문 보관'!$A:$E,$CM$6+ROW()-9,COLUMN())="","",INDEX('⑩ 원문 보관'!$A:$E,$CM$6+ROW()-9,COLUMN())))</f>
        <v/>
      </c>
      <c r="B706" t="str">
        <f>IF($CM$6=0,"",IF(INDEX('⑩ 원문 보관'!$A:$E,$CM$6+ROW()-9,COLUMN())="","",INDEX('⑩ 원문 보관'!$A:$E,$CM$6+ROW()-9,COLUMN())))</f>
        <v/>
      </c>
      <c r="C706" t="str">
        <f>IF($CM$6=0,"",IF(INDEX('⑩ 원문 보관'!$A:$E,$CM$6+ROW()-9,COLUMN())="","",INDEX('⑩ 원문 보관'!$A:$E,$CM$6+ROW()-9,COLUMN())))</f>
        <v/>
      </c>
      <c r="D706" t="str">
        <f>IF($CM$6=0,"",IF(INDEX('⑩ 원문 보관'!$A:$E,$CM$6+ROW()-9,COLUMN())="","",INDEX('⑩ 원문 보관'!$A:$E,$CM$6+ROW()-9,COLUMN())))</f>
        <v/>
      </c>
      <c r="E706" t="str">
        <f>IF($CM$6=0,"",IF(INDEX('⑩ 원문 보관'!$A:$E,$CM$6+ROW()-9,COLUMN())="","",INDEX('⑩ 원문 보관'!$A:$E,$CM$6+ROW()-9,COLUMN())))</f>
        <v/>
      </c>
      <c r="Q706">
        <f t="shared" si="295"/>
        <v>8</v>
      </c>
      <c r="R706" t="str">
        <f t="shared" si="275"/>
        <v/>
      </c>
      <c r="S706" t="str">
        <f t="shared" si="276"/>
        <v/>
      </c>
      <c r="T706" t="str">
        <f t="shared" si="277"/>
        <v/>
      </c>
      <c r="U706">
        <f t="shared" si="278"/>
        <v>0</v>
      </c>
      <c r="V706">
        <f t="shared" si="296"/>
        <v>12</v>
      </c>
      <c r="W706" t="str">
        <f t="shared" si="279"/>
        <v/>
      </c>
      <c r="X706" t="str">
        <f t="shared" si="280"/>
        <v/>
      </c>
      <c r="Y706" t="str">
        <f t="shared" si="281"/>
        <v/>
      </c>
      <c r="Z706">
        <f t="shared" si="282"/>
        <v>0</v>
      </c>
      <c r="AA706">
        <f t="shared" si="297"/>
        <v>6</v>
      </c>
      <c r="AB706" t="str">
        <f t="shared" si="283"/>
        <v/>
      </c>
      <c r="AC706" t="str">
        <f t="shared" si="284"/>
        <v/>
      </c>
      <c r="AD706" t="str">
        <f t="shared" si="285"/>
        <v/>
      </c>
      <c r="AE706">
        <f t="shared" si="286"/>
        <v>0</v>
      </c>
      <c r="AF706">
        <f t="shared" si="298"/>
        <v>10</v>
      </c>
      <c r="AG706" t="str">
        <f t="shared" si="287"/>
        <v/>
      </c>
      <c r="AH706" t="str">
        <f t="shared" si="288"/>
        <v/>
      </c>
      <c r="AI706" t="str">
        <f t="shared" si="289"/>
        <v/>
      </c>
      <c r="AJ706">
        <f t="shared" si="290"/>
        <v>0</v>
      </c>
      <c r="AK706">
        <f t="shared" si="299"/>
        <v>4</v>
      </c>
      <c r="AL706" t="str">
        <f t="shared" si="291"/>
        <v/>
      </c>
      <c r="AM706" t="str">
        <f t="shared" si="292"/>
        <v/>
      </c>
      <c r="AN706" t="str">
        <f t="shared" si="293"/>
        <v/>
      </c>
      <c r="AO706">
        <f t="shared" si="294"/>
        <v>0</v>
      </c>
    </row>
    <row r="707" spans="1:41" x14ac:dyDescent="0.4">
      <c r="A707" t="str">
        <f>IF($CM$6=0,"",IF(INDEX('⑩ 원문 보관'!$A:$E,$CM$6+ROW()-9,COLUMN())="","",INDEX('⑩ 원문 보관'!$A:$E,$CM$6+ROW()-9,COLUMN())))</f>
        <v/>
      </c>
      <c r="B707" t="str">
        <f>IF($CM$6=0,"",IF(INDEX('⑩ 원문 보관'!$A:$E,$CM$6+ROW()-9,COLUMN())="","",INDEX('⑩ 원문 보관'!$A:$E,$CM$6+ROW()-9,COLUMN())))</f>
        <v/>
      </c>
      <c r="C707" t="str">
        <f>IF($CM$6=0,"",IF(INDEX('⑩ 원문 보관'!$A:$E,$CM$6+ROW()-9,COLUMN())="","",INDEX('⑩ 원문 보관'!$A:$E,$CM$6+ROW()-9,COLUMN())))</f>
        <v/>
      </c>
      <c r="D707" t="str">
        <f>IF($CM$6=0,"",IF(INDEX('⑩ 원문 보관'!$A:$E,$CM$6+ROW()-9,COLUMN())="","",INDEX('⑩ 원문 보관'!$A:$E,$CM$6+ROW()-9,COLUMN())))</f>
        <v/>
      </c>
      <c r="E707" t="str">
        <f>IF($CM$6=0,"",IF(INDEX('⑩ 원문 보관'!$A:$E,$CM$6+ROW()-9,COLUMN())="","",INDEX('⑩ 원문 보관'!$A:$E,$CM$6+ROW()-9,COLUMN())))</f>
        <v/>
      </c>
      <c r="Q707">
        <f t="shared" si="295"/>
        <v>8</v>
      </c>
      <c r="R707" t="str">
        <f t="shared" si="275"/>
        <v/>
      </c>
      <c r="S707" t="str">
        <f t="shared" si="276"/>
        <v/>
      </c>
      <c r="T707" t="str">
        <f t="shared" si="277"/>
        <v/>
      </c>
      <c r="U707">
        <f t="shared" si="278"/>
        <v>0</v>
      </c>
      <c r="V707">
        <f t="shared" si="296"/>
        <v>12</v>
      </c>
      <c r="W707" t="str">
        <f t="shared" si="279"/>
        <v/>
      </c>
      <c r="X707" t="str">
        <f t="shared" si="280"/>
        <v/>
      </c>
      <c r="Y707" t="str">
        <f t="shared" si="281"/>
        <v/>
      </c>
      <c r="Z707">
        <f t="shared" si="282"/>
        <v>0</v>
      </c>
      <c r="AA707">
        <f t="shared" si="297"/>
        <v>6</v>
      </c>
      <c r="AB707" t="str">
        <f t="shared" si="283"/>
        <v/>
      </c>
      <c r="AC707" t="str">
        <f t="shared" si="284"/>
        <v/>
      </c>
      <c r="AD707" t="str">
        <f t="shared" si="285"/>
        <v/>
      </c>
      <c r="AE707">
        <f t="shared" si="286"/>
        <v>0</v>
      </c>
      <c r="AF707">
        <f t="shared" si="298"/>
        <v>10</v>
      </c>
      <c r="AG707" t="str">
        <f t="shared" si="287"/>
        <v/>
      </c>
      <c r="AH707" t="str">
        <f t="shared" si="288"/>
        <v/>
      </c>
      <c r="AI707" t="str">
        <f t="shared" si="289"/>
        <v/>
      </c>
      <c r="AJ707">
        <f t="shared" si="290"/>
        <v>0</v>
      </c>
      <c r="AK707">
        <f t="shared" si="299"/>
        <v>4</v>
      </c>
      <c r="AL707" t="str">
        <f t="shared" si="291"/>
        <v/>
      </c>
      <c r="AM707" t="str">
        <f t="shared" si="292"/>
        <v/>
      </c>
      <c r="AN707" t="str">
        <f t="shared" si="293"/>
        <v/>
      </c>
      <c r="AO707">
        <f t="shared" si="294"/>
        <v>0</v>
      </c>
    </row>
    <row r="708" spans="1:41" x14ac:dyDescent="0.4">
      <c r="A708" t="str">
        <f>IF($CM$6=0,"",IF(INDEX('⑩ 원문 보관'!$A:$E,$CM$6+ROW()-9,COLUMN())="","",INDEX('⑩ 원문 보관'!$A:$E,$CM$6+ROW()-9,COLUMN())))</f>
        <v/>
      </c>
      <c r="B708" t="str">
        <f>IF($CM$6=0,"",IF(INDEX('⑩ 원문 보관'!$A:$E,$CM$6+ROW()-9,COLUMN())="","",INDEX('⑩ 원문 보관'!$A:$E,$CM$6+ROW()-9,COLUMN())))</f>
        <v/>
      </c>
      <c r="C708" t="str">
        <f>IF($CM$6=0,"",IF(INDEX('⑩ 원문 보관'!$A:$E,$CM$6+ROW()-9,COLUMN())="","",INDEX('⑩ 원문 보관'!$A:$E,$CM$6+ROW()-9,COLUMN())))</f>
        <v/>
      </c>
      <c r="D708" t="str">
        <f>IF($CM$6=0,"",IF(INDEX('⑩ 원문 보관'!$A:$E,$CM$6+ROW()-9,COLUMN())="","",INDEX('⑩ 원문 보관'!$A:$E,$CM$6+ROW()-9,COLUMN())))</f>
        <v/>
      </c>
      <c r="E708" t="str">
        <f>IF($CM$6=0,"",IF(INDEX('⑩ 원문 보관'!$A:$E,$CM$6+ROW()-9,COLUMN())="","",INDEX('⑩ 원문 보관'!$A:$E,$CM$6+ROW()-9,COLUMN())))</f>
        <v/>
      </c>
      <c r="Q708">
        <f t="shared" si="295"/>
        <v>8</v>
      </c>
      <c r="R708" t="str">
        <f t="shared" si="275"/>
        <v/>
      </c>
      <c r="S708" t="str">
        <f t="shared" si="276"/>
        <v/>
      </c>
      <c r="T708" t="str">
        <f t="shared" si="277"/>
        <v/>
      </c>
      <c r="U708">
        <f t="shared" si="278"/>
        <v>0</v>
      </c>
      <c r="V708">
        <f t="shared" si="296"/>
        <v>12</v>
      </c>
      <c r="W708" t="str">
        <f t="shared" si="279"/>
        <v/>
      </c>
      <c r="X708" t="str">
        <f t="shared" si="280"/>
        <v/>
      </c>
      <c r="Y708" t="str">
        <f t="shared" si="281"/>
        <v/>
      </c>
      <c r="Z708">
        <f t="shared" si="282"/>
        <v>0</v>
      </c>
      <c r="AA708">
        <f t="shared" si="297"/>
        <v>6</v>
      </c>
      <c r="AB708" t="str">
        <f t="shared" si="283"/>
        <v/>
      </c>
      <c r="AC708" t="str">
        <f t="shared" si="284"/>
        <v/>
      </c>
      <c r="AD708" t="str">
        <f t="shared" si="285"/>
        <v/>
      </c>
      <c r="AE708">
        <f t="shared" si="286"/>
        <v>0</v>
      </c>
      <c r="AF708">
        <f t="shared" si="298"/>
        <v>10</v>
      </c>
      <c r="AG708" t="str">
        <f t="shared" si="287"/>
        <v/>
      </c>
      <c r="AH708" t="str">
        <f t="shared" si="288"/>
        <v/>
      </c>
      <c r="AI708" t="str">
        <f t="shared" si="289"/>
        <v/>
      </c>
      <c r="AJ708">
        <f t="shared" si="290"/>
        <v>0</v>
      </c>
      <c r="AK708">
        <f t="shared" si="299"/>
        <v>4</v>
      </c>
      <c r="AL708" t="str">
        <f t="shared" si="291"/>
        <v/>
      </c>
      <c r="AM708" t="str">
        <f t="shared" si="292"/>
        <v/>
      </c>
      <c r="AN708" t="str">
        <f t="shared" si="293"/>
        <v/>
      </c>
      <c r="AO708">
        <f t="shared" si="294"/>
        <v>0</v>
      </c>
    </row>
  </sheetData>
  <mergeCells count="24">
    <mergeCell ref="M31:N31"/>
    <mergeCell ref="M32:N32"/>
    <mergeCell ref="M33:N33"/>
    <mergeCell ref="G35:O37"/>
    <mergeCell ref="J26:K26"/>
    <mergeCell ref="L26:N26"/>
    <mergeCell ref="G27:O27"/>
    <mergeCell ref="G28:O28"/>
    <mergeCell ref="M29:N29"/>
    <mergeCell ref="M30:N30"/>
    <mergeCell ref="J23:K23"/>
    <mergeCell ref="L23:N23"/>
    <mergeCell ref="J24:K24"/>
    <mergeCell ref="L24:N24"/>
    <mergeCell ref="J25:K25"/>
    <mergeCell ref="L25:N25"/>
    <mergeCell ref="A1:O1"/>
    <mergeCell ref="A2:O2"/>
    <mergeCell ref="C4:O4"/>
    <mergeCell ref="G21:O21"/>
    <mergeCell ref="J22:K22"/>
    <mergeCell ref="L22:N22"/>
    <mergeCell ref="A6:O6"/>
    <mergeCell ref="A7:O7"/>
  </mergeCells>
  <phoneticPr fontId="14" type="noConversion"/>
  <dataValidations count="1">
    <dataValidation type="list" allowBlank="1" sqref="B4" xr:uid="{412B0278-8AFA-405A-B994-B7CD68F664D8}">
      <formula1>$CM$9:$CM$58</formula1>
    </dataValidation>
  </dataValidations>
  <pageMargins left="0.75" right="0.75" top="1" bottom="1" header="0.5" footer="0.5"/>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4"/>
  <sheetViews>
    <sheetView workbookViewId="0">
      <pane ySplit="4" topLeftCell="A5" activePane="bottomLeft" state="frozen"/>
      <selection pane="bottomLeft" sqref="A1:K1"/>
    </sheetView>
  </sheetViews>
  <sheetFormatPr defaultRowHeight="17.399999999999999" x14ac:dyDescent="0.4"/>
  <cols>
    <col min="1" max="1" width="5" customWidth="1"/>
    <col min="2" max="2" width="10" customWidth="1"/>
    <col min="3" max="3" width="7" customWidth="1"/>
    <col min="4" max="4" width="18" customWidth="1"/>
    <col min="5" max="7" width="11" customWidth="1"/>
    <col min="8" max="8" width="20" customWidth="1"/>
    <col min="9" max="9" width="12" customWidth="1"/>
    <col min="10" max="10" width="11" customWidth="1"/>
    <col min="11" max="11" width="15" customWidth="1"/>
  </cols>
  <sheetData>
    <row r="1" spans="1:11" ht="28.05" customHeight="1" x14ac:dyDescent="0.4">
      <c r="A1" s="85" t="s">
        <v>0</v>
      </c>
      <c r="B1" s="68"/>
      <c r="C1" s="68"/>
      <c r="D1" s="68"/>
      <c r="E1" s="68"/>
      <c r="F1" s="68"/>
      <c r="G1" s="68"/>
      <c r="H1" s="68"/>
      <c r="I1" s="68"/>
      <c r="J1" s="68"/>
      <c r="K1" s="68"/>
    </row>
    <row r="2" spans="1:11" x14ac:dyDescent="0.4">
      <c r="A2" s="84" t="s">
        <v>1</v>
      </c>
      <c r="B2" s="68"/>
      <c r="C2" s="68"/>
      <c r="D2" s="68"/>
      <c r="E2" s="68"/>
      <c r="F2" s="68"/>
      <c r="G2" s="68"/>
      <c r="H2" s="68"/>
      <c r="I2" s="68"/>
      <c r="J2" s="68"/>
      <c r="K2" s="68"/>
    </row>
    <row r="4" spans="1:11" x14ac:dyDescent="0.4">
      <c r="A4" s="1" t="s">
        <v>2</v>
      </c>
      <c r="B4" s="1" t="s">
        <v>3</v>
      </c>
      <c r="C4" s="1" t="s">
        <v>4</v>
      </c>
      <c r="D4" s="1" t="s">
        <v>5</v>
      </c>
      <c r="E4" s="1" t="s">
        <v>6</v>
      </c>
      <c r="F4" s="1" t="s">
        <v>7</v>
      </c>
      <c r="G4" s="1" t="s">
        <v>8</v>
      </c>
      <c r="H4" s="1" t="s">
        <v>9</v>
      </c>
      <c r="I4" s="1" t="s">
        <v>10</v>
      </c>
      <c r="J4" s="1" t="s">
        <v>11</v>
      </c>
      <c r="K4" s="1" t="s">
        <v>12</v>
      </c>
    </row>
    <row r="5" spans="1:11" x14ac:dyDescent="0.4">
      <c r="A5" s="2">
        <v>1</v>
      </c>
      <c r="B5" s="2" t="s">
        <v>13</v>
      </c>
      <c r="C5" s="2" t="s">
        <v>14</v>
      </c>
      <c r="D5" s="2" t="s">
        <v>15</v>
      </c>
      <c r="E5" s="2" t="s">
        <v>16</v>
      </c>
      <c r="F5" s="3">
        <v>37.020705</v>
      </c>
      <c r="G5" s="3">
        <v>128.98392999999999</v>
      </c>
      <c r="H5" s="4"/>
      <c r="I5" s="5"/>
      <c r="J5" s="6"/>
      <c r="K5" s="6"/>
    </row>
    <row r="6" spans="1:11" x14ac:dyDescent="0.4">
      <c r="A6" s="2">
        <v>2</v>
      </c>
      <c r="B6" s="2" t="s">
        <v>17</v>
      </c>
      <c r="C6" s="2" t="s">
        <v>14</v>
      </c>
      <c r="D6" s="2" t="s">
        <v>18</v>
      </c>
      <c r="E6" s="2" t="s">
        <v>19</v>
      </c>
      <c r="F6" s="3">
        <v>37.359346000000002</v>
      </c>
      <c r="G6" s="3">
        <v>128.97386499999999</v>
      </c>
      <c r="H6" s="4"/>
      <c r="I6" s="5"/>
      <c r="J6" s="6"/>
      <c r="K6" s="6"/>
    </row>
    <row r="7" spans="1:11" x14ac:dyDescent="0.4">
      <c r="A7" s="2">
        <v>3</v>
      </c>
      <c r="B7" s="2" t="s">
        <v>20</v>
      </c>
      <c r="C7" s="2" t="s">
        <v>14</v>
      </c>
      <c r="D7" s="2" t="s">
        <v>21</v>
      </c>
      <c r="E7" s="2" t="s">
        <v>22</v>
      </c>
      <c r="F7" s="3">
        <v>36.534084999999997</v>
      </c>
      <c r="G7" s="3">
        <v>126.936269</v>
      </c>
      <c r="H7" s="4"/>
      <c r="I7" s="5"/>
      <c r="J7" s="6"/>
      <c r="K7" s="6"/>
    </row>
    <row r="8" spans="1:11" x14ac:dyDescent="0.4">
      <c r="A8" s="2">
        <v>4</v>
      </c>
      <c r="B8" s="2" t="s">
        <v>23</v>
      </c>
      <c r="C8" s="2" t="s">
        <v>14</v>
      </c>
      <c r="D8" s="2" t="s">
        <v>24</v>
      </c>
      <c r="E8" s="2" t="s">
        <v>25</v>
      </c>
      <c r="F8" s="3">
        <v>35.891309</v>
      </c>
      <c r="G8" s="3">
        <v>127.309017</v>
      </c>
      <c r="H8" s="4"/>
      <c r="I8" s="5"/>
      <c r="J8" s="6"/>
      <c r="K8" s="6"/>
    </row>
    <row r="9" spans="1:11" x14ac:dyDescent="0.4">
      <c r="A9" s="2">
        <v>5</v>
      </c>
      <c r="B9" s="2" t="s">
        <v>26</v>
      </c>
      <c r="C9" s="2" t="s">
        <v>14</v>
      </c>
      <c r="D9" s="2" t="s">
        <v>27</v>
      </c>
      <c r="E9" s="2" t="s">
        <v>28</v>
      </c>
      <c r="F9" s="3">
        <v>35.945211999999998</v>
      </c>
      <c r="G9" s="3">
        <v>127.800855</v>
      </c>
      <c r="H9" s="4"/>
      <c r="I9" s="5"/>
      <c r="J9" s="6"/>
      <c r="K9" s="6"/>
    </row>
    <row r="10" spans="1:11" x14ac:dyDescent="0.4">
      <c r="A10" s="2">
        <v>6</v>
      </c>
      <c r="B10" s="2" t="s">
        <v>29</v>
      </c>
      <c r="C10" s="2" t="s">
        <v>30</v>
      </c>
      <c r="D10" s="2" t="s">
        <v>31</v>
      </c>
      <c r="E10" s="2" t="s">
        <v>32</v>
      </c>
      <c r="F10" s="3">
        <v>35.604652999999999</v>
      </c>
      <c r="G10" s="3">
        <v>127.230237</v>
      </c>
      <c r="H10" s="4"/>
      <c r="I10" s="5"/>
      <c r="J10" s="6"/>
      <c r="K10" s="6"/>
    </row>
    <row r="11" spans="1:11" x14ac:dyDescent="0.4">
      <c r="A11" s="2">
        <v>7</v>
      </c>
      <c r="B11" s="2" t="s">
        <v>33</v>
      </c>
      <c r="C11" s="2" t="s">
        <v>30</v>
      </c>
      <c r="D11" s="2" t="s">
        <v>34</v>
      </c>
      <c r="E11" s="2" t="s">
        <v>35</v>
      </c>
      <c r="F11" s="3">
        <v>34.852280999999998</v>
      </c>
      <c r="G11" s="3">
        <v>127.98147299999999</v>
      </c>
      <c r="H11" s="4"/>
      <c r="I11" s="5"/>
      <c r="J11" s="6"/>
      <c r="K11" s="6"/>
    </row>
    <row r="12" spans="1:11" x14ac:dyDescent="0.4">
      <c r="A12" s="2">
        <v>8</v>
      </c>
      <c r="B12" s="2" t="s">
        <v>36</v>
      </c>
      <c r="C12" s="2" t="s">
        <v>30</v>
      </c>
      <c r="D12" s="2" t="s">
        <v>37</v>
      </c>
      <c r="E12" s="2" t="s">
        <v>38</v>
      </c>
      <c r="F12" s="3">
        <v>37.618577999999999</v>
      </c>
      <c r="G12" s="3">
        <v>128.16980000000001</v>
      </c>
      <c r="H12" s="4"/>
      <c r="I12" s="5"/>
      <c r="J12" s="6"/>
      <c r="K12" s="6"/>
    </row>
    <row r="13" spans="1:11" x14ac:dyDescent="0.4">
      <c r="A13" s="2">
        <v>9</v>
      </c>
      <c r="B13" s="2" t="s">
        <v>39</v>
      </c>
      <c r="C13" s="2" t="s">
        <v>30</v>
      </c>
      <c r="D13" s="2" t="s">
        <v>40</v>
      </c>
      <c r="E13" s="2" t="s">
        <v>41</v>
      </c>
      <c r="F13" s="3">
        <v>37.776325999999997</v>
      </c>
      <c r="G13" s="3">
        <v>128.07585800000001</v>
      </c>
      <c r="H13" s="4"/>
      <c r="I13" s="5"/>
      <c r="J13" s="6"/>
      <c r="K13" s="6"/>
    </row>
    <row r="14" spans="1:11" x14ac:dyDescent="0.4">
      <c r="A14" s="2">
        <v>10</v>
      </c>
      <c r="B14" s="2" t="s">
        <v>42</v>
      </c>
      <c r="C14" s="2" t="s">
        <v>30</v>
      </c>
      <c r="D14" s="2" t="s">
        <v>43</v>
      </c>
      <c r="E14" s="2" t="s">
        <v>44</v>
      </c>
      <c r="F14" s="3">
        <v>36.745398999999999</v>
      </c>
      <c r="G14" s="3">
        <v>128.85355899999999</v>
      </c>
      <c r="H14" s="4"/>
      <c r="I14" s="5"/>
      <c r="J14" s="6"/>
      <c r="K14" s="6"/>
    </row>
    <row r="15" spans="1:11" x14ac:dyDescent="0.4">
      <c r="A15" s="2">
        <v>11</v>
      </c>
      <c r="B15" s="2" t="s">
        <v>45</v>
      </c>
      <c r="C15" s="2" t="s">
        <v>30</v>
      </c>
      <c r="D15" s="2" t="s">
        <v>46</v>
      </c>
      <c r="E15" s="2" t="s">
        <v>47</v>
      </c>
      <c r="F15" s="3">
        <v>36.765847999999998</v>
      </c>
      <c r="G15" s="3">
        <v>129.15434099999999</v>
      </c>
      <c r="H15" s="4"/>
      <c r="I15" s="5"/>
      <c r="J15" s="6"/>
      <c r="K15" s="6"/>
    </row>
    <row r="16" spans="1:11" x14ac:dyDescent="0.4">
      <c r="A16" s="2">
        <v>12</v>
      </c>
      <c r="B16" s="2" t="s">
        <v>48</v>
      </c>
      <c r="C16" s="2" t="s">
        <v>30</v>
      </c>
      <c r="D16" s="2" t="s">
        <v>49</v>
      </c>
      <c r="E16" s="2" t="s">
        <v>50</v>
      </c>
      <c r="F16" s="3">
        <v>35.284821000000001</v>
      </c>
      <c r="G16" s="3">
        <v>127.09214799999999</v>
      </c>
      <c r="H16" s="4"/>
      <c r="I16" s="5"/>
      <c r="J16" s="6"/>
      <c r="K16" s="6"/>
    </row>
    <row r="17" spans="1:11" x14ac:dyDescent="0.4">
      <c r="A17" s="2">
        <v>13</v>
      </c>
      <c r="B17" s="2" t="s">
        <v>51</v>
      </c>
      <c r="C17" s="2" t="s">
        <v>30</v>
      </c>
      <c r="D17" s="2" t="s">
        <v>52</v>
      </c>
      <c r="E17" s="2" t="s">
        <v>53</v>
      </c>
      <c r="F17" s="3">
        <v>34.904713000000001</v>
      </c>
      <c r="G17" s="3">
        <v>127.294737</v>
      </c>
      <c r="H17" s="4"/>
      <c r="I17" s="5"/>
      <c r="J17" s="6"/>
      <c r="K17" s="6"/>
    </row>
    <row r="18" spans="1:11" x14ac:dyDescent="0.4">
      <c r="A18" s="2">
        <v>14</v>
      </c>
      <c r="B18" s="2" t="s">
        <v>54</v>
      </c>
      <c r="C18" s="2" t="s">
        <v>30</v>
      </c>
      <c r="D18" s="2" t="s">
        <v>55</v>
      </c>
      <c r="E18" s="2" t="s">
        <v>56</v>
      </c>
      <c r="F18" s="3">
        <v>36.382888000000001</v>
      </c>
      <c r="G18" s="3">
        <v>129.14579499999999</v>
      </c>
      <c r="H18" s="4"/>
      <c r="I18" s="5"/>
      <c r="J18" s="6"/>
      <c r="K18" s="6"/>
    </row>
    <row r="19" spans="1:11" x14ac:dyDescent="0.4">
      <c r="A19" s="2">
        <v>15</v>
      </c>
      <c r="B19" s="2" t="s">
        <v>57</v>
      </c>
      <c r="C19" s="2" t="s">
        <v>30</v>
      </c>
      <c r="D19" s="2" t="s">
        <v>58</v>
      </c>
      <c r="E19" s="2" t="s">
        <v>59</v>
      </c>
      <c r="F19" s="3">
        <v>36.476700000000001</v>
      </c>
      <c r="G19" s="3">
        <v>128.50875099999999</v>
      </c>
      <c r="H19" s="4"/>
      <c r="I19" s="5"/>
      <c r="J19" s="6"/>
      <c r="K19" s="6"/>
    </row>
    <row r="20" spans="1:11" x14ac:dyDescent="0.4">
      <c r="A20" s="2">
        <v>16</v>
      </c>
      <c r="B20" s="2" t="s">
        <v>60</v>
      </c>
      <c r="C20" s="2" t="s">
        <v>30</v>
      </c>
      <c r="D20" s="2" t="s">
        <v>61</v>
      </c>
      <c r="E20" s="2" t="s">
        <v>62</v>
      </c>
      <c r="F20" s="3">
        <v>36.509390000000003</v>
      </c>
      <c r="G20" s="3">
        <v>128.494519</v>
      </c>
      <c r="H20" s="4"/>
      <c r="I20" s="5"/>
      <c r="J20" s="6"/>
      <c r="K20" s="6"/>
    </row>
    <row r="21" spans="1:11" x14ac:dyDescent="0.4">
      <c r="A21" s="2">
        <v>17</v>
      </c>
      <c r="B21" s="2" t="s">
        <v>63</v>
      </c>
      <c r="C21" s="2" t="s">
        <v>30</v>
      </c>
      <c r="D21" s="2" t="s">
        <v>64</v>
      </c>
      <c r="E21" s="2" t="s">
        <v>65</v>
      </c>
      <c r="F21" s="3">
        <v>36.743625999999999</v>
      </c>
      <c r="G21" s="3">
        <v>129.181307</v>
      </c>
      <c r="H21" s="4"/>
      <c r="I21" s="5"/>
      <c r="J21" s="6"/>
      <c r="K21" s="6"/>
    </row>
    <row r="22" spans="1:11" x14ac:dyDescent="0.4">
      <c r="A22" s="2">
        <v>18</v>
      </c>
      <c r="B22" s="2" t="s">
        <v>66</v>
      </c>
      <c r="C22" s="2" t="s">
        <v>30</v>
      </c>
      <c r="D22" s="2" t="s">
        <v>67</v>
      </c>
      <c r="E22" s="2" t="s">
        <v>68</v>
      </c>
      <c r="F22" s="3">
        <v>34.792976000000003</v>
      </c>
      <c r="G22" s="3">
        <v>128.39382699999999</v>
      </c>
      <c r="H22" s="4"/>
      <c r="I22" s="5"/>
      <c r="J22" s="6"/>
      <c r="K22" s="6"/>
    </row>
    <row r="23" spans="1:11" x14ac:dyDescent="0.4">
      <c r="A23" s="2">
        <v>19</v>
      </c>
      <c r="B23" s="2" t="s">
        <v>69</v>
      </c>
      <c r="C23" s="2" t="s">
        <v>30</v>
      </c>
      <c r="D23" s="2" t="s">
        <v>70</v>
      </c>
      <c r="E23" s="2" t="s">
        <v>71</v>
      </c>
      <c r="F23" s="3">
        <v>38.318868999999999</v>
      </c>
      <c r="G23" s="3">
        <v>128.52175500000001</v>
      </c>
      <c r="H23" s="4"/>
      <c r="I23" s="5"/>
      <c r="J23" s="6"/>
      <c r="K23" s="6"/>
    </row>
    <row r="24" spans="1:11" x14ac:dyDescent="0.4">
      <c r="A24" s="2">
        <v>20</v>
      </c>
      <c r="B24" s="2" t="s">
        <v>72</v>
      </c>
      <c r="C24" s="2" t="s">
        <v>30</v>
      </c>
      <c r="D24" s="2" t="s">
        <v>73</v>
      </c>
      <c r="E24" s="2" t="s">
        <v>74</v>
      </c>
      <c r="F24" s="3">
        <v>36.266843999999999</v>
      </c>
      <c r="G24" s="3">
        <v>126.70696100000001</v>
      </c>
      <c r="H24" s="4"/>
      <c r="I24" s="5"/>
      <c r="J24" s="6"/>
      <c r="K24" s="6"/>
    </row>
    <row r="25" spans="1:11" x14ac:dyDescent="0.4">
      <c r="A25" s="2">
        <v>21</v>
      </c>
      <c r="B25" s="2" t="s">
        <v>75</v>
      </c>
      <c r="C25" s="2" t="s">
        <v>30</v>
      </c>
      <c r="D25" s="2" t="s">
        <v>76</v>
      </c>
      <c r="E25" s="2" t="s">
        <v>77</v>
      </c>
      <c r="F25" s="3">
        <v>35.456100999999997</v>
      </c>
      <c r="G25" s="3">
        <v>126.96205399999999</v>
      </c>
      <c r="H25" s="4"/>
      <c r="I25" s="5"/>
      <c r="J25" s="6"/>
      <c r="K25" s="6"/>
    </row>
    <row r="26" spans="1:11" x14ac:dyDescent="0.4">
      <c r="A26" s="2">
        <v>22</v>
      </c>
      <c r="B26" s="2" t="s">
        <v>78</v>
      </c>
      <c r="C26" s="2" t="s">
        <v>30</v>
      </c>
      <c r="D26" s="2" t="s">
        <v>79</v>
      </c>
      <c r="E26" s="2" t="s">
        <v>80</v>
      </c>
      <c r="F26" s="3">
        <v>34.328825999999999</v>
      </c>
      <c r="G26" s="3">
        <v>126.543215</v>
      </c>
      <c r="H26" s="4"/>
      <c r="I26" s="5"/>
      <c r="J26" s="6"/>
      <c r="K26" s="6"/>
    </row>
    <row r="27" spans="1:11" x14ac:dyDescent="0.4">
      <c r="A27" s="2">
        <v>23</v>
      </c>
      <c r="B27" s="2" t="s">
        <v>81</v>
      </c>
      <c r="C27" s="2" t="s">
        <v>30</v>
      </c>
      <c r="D27" s="2" t="s">
        <v>82</v>
      </c>
      <c r="E27" s="2" t="s">
        <v>83</v>
      </c>
      <c r="F27" s="3">
        <v>36.888528999999998</v>
      </c>
      <c r="G27" s="3">
        <v>128.19273899999999</v>
      </c>
      <c r="H27" s="4"/>
      <c r="I27" s="5"/>
      <c r="J27" s="6"/>
      <c r="K27" s="6"/>
    </row>
    <row r="28" spans="1:11" x14ac:dyDescent="0.4">
      <c r="A28" s="2">
        <v>24</v>
      </c>
      <c r="B28" s="2" t="s">
        <v>84</v>
      </c>
      <c r="C28" s="2" t="s">
        <v>30</v>
      </c>
      <c r="D28" s="2" t="s">
        <v>85</v>
      </c>
      <c r="E28" s="2" t="s">
        <v>86</v>
      </c>
      <c r="F28" s="3">
        <v>34.680804999999999</v>
      </c>
      <c r="G28" s="3">
        <v>127.04765999999999</v>
      </c>
      <c r="H28" s="4"/>
      <c r="I28" s="5"/>
      <c r="J28" s="6"/>
      <c r="K28" s="6"/>
    </row>
    <row r="29" spans="1:11" x14ac:dyDescent="0.4">
      <c r="A29" s="2">
        <v>25</v>
      </c>
      <c r="B29" s="2" t="s">
        <v>87</v>
      </c>
      <c r="C29" s="2" t="s">
        <v>30</v>
      </c>
      <c r="D29" s="2" t="s">
        <v>88</v>
      </c>
      <c r="E29" s="2" t="s">
        <v>89</v>
      </c>
      <c r="F29" s="3">
        <v>36.325755000000001</v>
      </c>
      <c r="G29" s="3">
        <v>127.90598199999999</v>
      </c>
      <c r="H29" s="4"/>
      <c r="I29" s="5"/>
      <c r="J29" s="6"/>
      <c r="K29" s="6"/>
    </row>
    <row r="30" spans="1:11" x14ac:dyDescent="0.4">
      <c r="A30" s="2">
        <v>26</v>
      </c>
      <c r="B30" s="2" t="s">
        <v>90</v>
      </c>
      <c r="C30" s="2" t="s">
        <v>30</v>
      </c>
      <c r="D30" s="2" t="s">
        <v>91</v>
      </c>
      <c r="E30" s="2" t="s">
        <v>92</v>
      </c>
      <c r="F30" s="3">
        <v>36.452303999999998</v>
      </c>
      <c r="G30" s="3">
        <v>126.395802</v>
      </c>
      <c r="H30" s="4"/>
      <c r="I30" s="5"/>
      <c r="J30" s="6"/>
      <c r="K30" s="6"/>
    </row>
    <row r="31" spans="1:11" x14ac:dyDescent="0.4">
      <c r="A31" s="2">
        <v>27</v>
      </c>
      <c r="B31" s="2" t="s">
        <v>93</v>
      </c>
      <c r="C31" s="2" t="s">
        <v>30</v>
      </c>
      <c r="D31" s="2" t="s">
        <v>94</v>
      </c>
      <c r="E31" s="2" t="s">
        <v>95</v>
      </c>
      <c r="F31" s="3">
        <v>36.579379000000003</v>
      </c>
      <c r="G31" s="3">
        <v>127.068702</v>
      </c>
      <c r="H31" s="4"/>
      <c r="I31" s="5"/>
      <c r="J31" s="6"/>
      <c r="K31" s="6"/>
    </row>
    <row r="32" spans="1:11" x14ac:dyDescent="0.4">
      <c r="A32" s="2">
        <v>28</v>
      </c>
      <c r="B32" s="2" t="s">
        <v>96</v>
      </c>
      <c r="C32" s="2" t="s">
        <v>30</v>
      </c>
      <c r="D32" s="2" t="s">
        <v>97</v>
      </c>
      <c r="E32" s="2" t="s">
        <v>98</v>
      </c>
      <c r="F32" s="3">
        <v>36.166620000000002</v>
      </c>
      <c r="G32" s="3">
        <v>127.58312100000001</v>
      </c>
      <c r="H32" s="4"/>
      <c r="I32" s="5"/>
      <c r="J32" s="6"/>
      <c r="K32" s="6"/>
    </row>
    <row r="33" spans="1:11" x14ac:dyDescent="0.4">
      <c r="A33" s="2">
        <v>29</v>
      </c>
      <c r="B33" s="2" t="s">
        <v>99</v>
      </c>
      <c r="C33" s="2" t="s">
        <v>30</v>
      </c>
      <c r="D33" s="2" t="s">
        <v>100</v>
      </c>
      <c r="E33" s="2" t="s">
        <v>101</v>
      </c>
      <c r="F33" s="3">
        <v>35.777985999999999</v>
      </c>
      <c r="G33" s="3">
        <v>128.036833</v>
      </c>
      <c r="H33" s="4"/>
      <c r="I33" s="5"/>
      <c r="J33" s="6"/>
      <c r="K33" s="6"/>
    </row>
    <row r="34" spans="1:11" x14ac:dyDescent="0.4">
      <c r="A34" s="2">
        <v>30</v>
      </c>
      <c r="B34" s="2" t="s">
        <v>102</v>
      </c>
      <c r="C34" s="2" t="s">
        <v>30</v>
      </c>
      <c r="D34" s="2" t="s">
        <v>103</v>
      </c>
      <c r="E34" s="2" t="s">
        <v>104</v>
      </c>
      <c r="F34" s="3">
        <v>35.662585999999997</v>
      </c>
      <c r="G34" s="3">
        <v>128.29809900000001</v>
      </c>
      <c r="H34" s="4"/>
      <c r="I34" s="5"/>
      <c r="J34" s="6"/>
      <c r="K34" s="6"/>
    </row>
    <row r="35" spans="1:11" x14ac:dyDescent="0.4">
      <c r="A35" s="2">
        <v>31</v>
      </c>
      <c r="B35" s="2" t="s">
        <v>105</v>
      </c>
      <c r="C35" s="2" t="s">
        <v>30</v>
      </c>
      <c r="D35" s="2" t="s">
        <v>106</v>
      </c>
      <c r="E35" s="2" t="s">
        <v>107</v>
      </c>
      <c r="F35" s="3">
        <v>35.742364000000002</v>
      </c>
      <c r="G35" s="3">
        <v>129.02982399999999</v>
      </c>
      <c r="H35" s="4"/>
      <c r="I35" s="5"/>
      <c r="J35" s="6"/>
      <c r="K35" s="6"/>
    </row>
    <row r="36" spans="1:11" x14ac:dyDescent="0.4">
      <c r="A36" s="2">
        <v>32</v>
      </c>
      <c r="B36" s="2" t="s">
        <v>108</v>
      </c>
      <c r="C36" s="2" t="s">
        <v>30</v>
      </c>
      <c r="D36" s="2" t="s">
        <v>109</v>
      </c>
      <c r="E36" s="2" t="s">
        <v>110</v>
      </c>
      <c r="F36" s="3">
        <v>35.586243000000003</v>
      </c>
      <c r="G36" s="3">
        <v>127.574659</v>
      </c>
      <c r="H36" s="4"/>
      <c r="I36" s="5"/>
      <c r="J36" s="6"/>
      <c r="K36" s="6"/>
    </row>
    <row r="37" spans="1:11" x14ac:dyDescent="0.4">
      <c r="A37" s="2">
        <v>33</v>
      </c>
      <c r="B37" s="2" t="s">
        <v>111</v>
      </c>
      <c r="C37" s="2" t="s">
        <v>30</v>
      </c>
      <c r="D37" s="2" t="s">
        <v>112</v>
      </c>
      <c r="E37" s="2" t="s">
        <v>113</v>
      </c>
      <c r="F37" s="3">
        <v>37.927675999999998</v>
      </c>
      <c r="G37" s="3">
        <v>126.870305</v>
      </c>
      <c r="H37" s="4"/>
      <c r="I37" s="5"/>
      <c r="J37" s="6"/>
      <c r="K37" s="6"/>
    </row>
    <row r="38" spans="1:11" x14ac:dyDescent="0.4">
      <c r="A38" s="2">
        <v>34</v>
      </c>
      <c r="B38" s="2" t="s">
        <v>114</v>
      </c>
      <c r="C38" s="2" t="s">
        <v>30</v>
      </c>
      <c r="D38" s="2" t="s">
        <v>115</v>
      </c>
      <c r="E38" s="2" t="s">
        <v>116</v>
      </c>
      <c r="F38" s="3">
        <v>35.541753</v>
      </c>
      <c r="G38" s="3">
        <v>126.645582</v>
      </c>
      <c r="H38" s="4"/>
      <c r="I38" s="5"/>
      <c r="J38" s="6"/>
      <c r="K38" s="6"/>
    </row>
    <row r="39" spans="1:11" x14ac:dyDescent="0.4">
      <c r="A39" s="2">
        <v>35</v>
      </c>
      <c r="B39" s="2" t="s">
        <v>117</v>
      </c>
      <c r="C39" s="2" t="s">
        <v>118</v>
      </c>
      <c r="D39" s="2" t="s">
        <v>119</v>
      </c>
      <c r="E39" s="2" t="s">
        <v>119</v>
      </c>
      <c r="F39" s="3">
        <v>36.355288416666667</v>
      </c>
      <c r="G39" s="3">
        <v>128.11048069444439</v>
      </c>
      <c r="H39" s="4"/>
      <c r="I39" s="5"/>
      <c r="J39" s="6"/>
      <c r="K39" s="6"/>
    </row>
    <row r="40" spans="1:11" x14ac:dyDescent="0.4">
      <c r="A40" s="2">
        <v>36</v>
      </c>
      <c r="B40" s="2" t="s">
        <v>120</v>
      </c>
      <c r="C40" s="2" t="s">
        <v>118</v>
      </c>
      <c r="D40" s="2" t="s">
        <v>121</v>
      </c>
      <c r="E40" s="2" t="s">
        <v>121</v>
      </c>
      <c r="F40" s="3">
        <v>36.725027777777782</v>
      </c>
      <c r="G40" s="3">
        <v>127.5862222222222</v>
      </c>
      <c r="H40" s="4"/>
      <c r="I40" s="5"/>
      <c r="J40" s="6"/>
      <c r="K40" s="6"/>
    </row>
    <row r="41" spans="1:11" x14ac:dyDescent="0.4">
      <c r="A41" s="2">
        <v>37</v>
      </c>
      <c r="B41" s="2" t="s">
        <v>122</v>
      </c>
      <c r="C41" s="2" t="s">
        <v>118</v>
      </c>
      <c r="D41" s="2" t="s">
        <v>116</v>
      </c>
      <c r="E41" s="2" t="s">
        <v>116</v>
      </c>
      <c r="F41" s="3">
        <v>35.58775</v>
      </c>
      <c r="G41" s="3">
        <v>126.71613888888891</v>
      </c>
      <c r="H41" s="7" t="s">
        <v>123</v>
      </c>
      <c r="I41" s="5"/>
      <c r="J41" s="6"/>
      <c r="K41" s="6"/>
    </row>
    <row r="42" spans="1:11" x14ac:dyDescent="0.4">
      <c r="A42" s="2">
        <v>38</v>
      </c>
      <c r="B42" s="2" t="s">
        <v>124</v>
      </c>
      <c r="C42" s="2" t="s">
        <v>118</v>
      </c>
      <c r="D42" s="2" t="s">
        <v>125</v>
      </c>
      <c r="E42" s="2" t="s">
        <v>125</v>
      </c>
      <c r="F42" s="3">
        <v>37.66612411111111</v>
      </c>
      <c r="G42" s="3">
        <v>126.4787752222222</v>
      </c>
      <c r="H42" s="4"/>
      <c r="I42" s="5"/>
      <c r="J42" s="6"/>
      <c r="K42" s="6"/>
    </row>
    <row r="43" spans="1:11" x14ac:dyDescent="0.4">
      <c r="A43" s="2">
        <v>39</v>
      </c>
      <c r="B43" s="2" t="s">
        <v>126</v>
      </c>
      <c r="C43" s="2" t="s">
        <v>118</v>
      </c>
      <c r="D43" s="2" t="s">
        <v>107</v>
      </c>
      <c r="E43" s="2" t="s">
        <v>107</v>
      </c>
      <c r="F43" s="3">
        <v>35.676199944444441</v>
      </c>
      <c r="G43" s="3">
        <v>129.19087213888889</v>
      </c>
      <c r="H43" s="7" t="s">
        <v>127</v>
      </c>
      <c r="I43" s="5"/>
      <c r="J43" s="6"/>
      <c r="K43" s="6"/>
    </row>
    <row r="44" spans="1:11" x14ac:dyDescent="0.4">
      <c r="A44" s="2">
        <v>40</v>
      </c>
      <c r="B44" s="2" t="s">
        <v>128</v>
      </c>
      <c r="C44" s="2" t="s">
        <v>118</v>
      </c>
      <c r="D44" s="2" t="s">
        <v>129</v>
      </c>
      <c r="E44" s="2" t="s">
        <v>129</v>
      </c>
      <c r="F44" s="3">
        <v>35.436166666666672</v>
      </c>
      <c r="G44" s="3">
        <v>128.4737777777778</v>
      </c>
      <c r="H44" s="4"/>
      <c r="I44" s="5"/>
      <c r="J44" s="6"/>
      <c r="K44" s="6"/>
    </row>
    <row r="45" spans="1:11" x14ac:dyDescent="0.4">
      <c r="A45" s="2">
        <v>41</v>
      </c>
      <c r="B45" s="2" t="s">
        <v>130</v>
      </c>
      <c r="C45" s="2" t="s">
        <v>118</v>
      </c>
      <c r="D45" s="2" t="s">
        <v>131</v>
      </c>
      <c r="E45" s="2" t="s">
        <v>131</v>
      </c>
      <c r="F45" s="3">
        <v>34.870311083333327</v>
      </c>
      <c r="G45" s="3">
        <v>128.59286111111109</v>
      </c>
      <c r="H45" s="4"/>
      <c r="I45" s="5"/>
      <c r="J45" s="6"/>
      <c r="K45" s="6"/>
    </row>
    <row r="46" spans="1:11" x14ac:dyDescent="0.4">
      <c r="A46" s="2">
        <v>42</v>
      </c>
      <c r="B46" s="2" t="s">
        <v>132</v>
      </c>
      <c r="C46" s="2" t="s">
        <v>118</v>
      </c>
      <c r="D46" s="2" t="s">
        <v>133</v>
      </c>
      <c r="E46" s="2" t="s">
        <v>133</v>
      </c>
      <c r="F46" s="3">
        <v>34.431916666666673</v>
      </c>
      <c r="G46" s="3">
        <v>126.2238055555556</v>
      </c>
      <c r="H46" s="7" t="s">
        <v>134</v>
      </c>
      <c r="I46" s="5"/>
      <c r="J46" s="6"/>
      <c r="K46" s="6"/>
    </row>
    <row r="47" spans="1:11" x14ac:dyDescent="0.4">
      <c r="A47" s="2">
        <v>43</v>
      </c>
      <c r="B47" s="2" t="s">
        <v>135</v>
      </c>
      <c r="C47" s="2" t="s">
        <v>118</v>
      </c>
      <c r="D47" s="2" t="s">
        <v>136</v>
      </c>
      <c r="E47" s="2" t="s">
        <v>136</v>
      </c>
      <c r="F47" s="3">
        <v>37.990903444444449</v>
      </c>
      <c r="G47" s="3">
        <v>127.1346283611111</v>
      </c>
      <c r="H47" s="4"/>
      <c r="I47" s="5"/>
      <c r="J47" s="6"/>
      <c r="K47" s="6"/>
    </row>
    <row r="48" spans="1:11" x14ac:dyDescent="0.4">
      <c r="A48" s="2">
        <v>44</v>
      </c>
      <c r="B48" s="2" t="s">
        <v>137</v>
      </c>
      <c r="C48" s="2" t="s">
        <v>118</v>
      </c>
      <c r="D48" s="2" t="s">
        <v>138</v>
      </c>
      <c r="E48" s="2" t="s">
        <v>138</v>
      </c>
      <c r="F48" s="3">
        <v>33.524479916666657</v>
      </c>
      <c r="G48" s="3">
        <v>126.89416197222219</v>
      </c>
      <c r="H48" s="4"/>
      <c r="I48" s="5"/>
      <c r="J48" s="6"/>
      <c r="K48" s="6"/>
    </row>
    <row r="49" spans="1:11" x14ac:dyDescent="0.4">
      <c r="A49" s="2">
        <v>45</v>
      </c>
      <c r="B49" s="2" t="s">
        <v>139</v>
      </c>
      <c r="C49" s="2" t="s">
        <v>118</v>
      </c>
      <c r="D49" s="2" t="s">
        <v>140</v>
      </c>
      <c r="E49" s="2" t="s">
        <v>140</v>
      </c>
      <c r="F49" s="3">
        <v>37.445380999999998</v>
      </c>
      <c r="G49" s="3">
        <v>127.5733216944444</v>
      </c>
      <c r="H49" s="4"/>
      <c r="I49" s="5"/>
      <c r="J49" s="6"/>
      <c r="K49" s="6"/>
    </row>
    <row r="50" spans="1:11" x14ac:dyDescent="0.4">
      <c r="A50" s="2">
        <v>46</v>
      </c>
      <c r="B50" s="2" t="s">
        <v>141</v>
      </c>
      <c r="C50" s="2" t="s">
        <v>118</v>
      </c>
      <c r="D50" s="2" t="s">
        <v>142</v>
      </c>
      <c r="E50" s="2" t="s">
        <v>142</v>
      </c>
      <c r="F50" s="3">
        <v>38.115666666666669</v>
      </c>
      <c r="G50" s="3">
        <v>127.6867222222222</v>
      </c>
      <c r="H50" s="4"/>
      <c r="I50" s="5"/>
      <c r="J50" s="6"/>
      <c r="K50" s="6"/>
    </row>
    <row r="51" spans="1:11" x14ac:dyDescent="0.4">
      <c r="A51" s="2">
        <v>47</v>
      </c>
      <c r="B51" s="2" t="s">
        <v>143</v>
      </c>
      <c r="C51" s="2" t="s">
        <v>118</v>
      </c>
      <c r="D51" s="2" t="s">
        <v>144</v>
      </c>
      <c r="E51" s="2" t="s">
        <v>144</v>
      </c>
      <c r="F51" s="3">
        <v>37.612372222222227</v>
      </c>
      <c r="G51" s="3">
        <v>128.395802</v>
      </c>
      <c r="H51" s="7" t="s">
        <v>145</v>
      </c>
      <c r="I51" s="5"/>
      <c r="J51" s="6"/>
      <c r="K51" s="6"/>
    </row>
    <row r="52" spans="1:11" x14ac:dyDescent="0.4">
      <c r="A52" s="2">
        <v>48</v>
      </c>
      <c r="B52" s="2" t="s">
        <v>146</v>
      </c>
      <c r="C52" s="2" t="s">
        <v>118</v>
      </c>
      <c r="D52" s="2" t="s">
        <v>147</v>
      </c>
      <c r="E52" s="2" t="s">
        <v>147</v>
      </c>
      <c r="F52" s="3">
        <v>37.384717083333342</v>
      </c>
      <c r="G52" s="3">
        <v>129.2032259444444</v>
      </c>
      <c r="H52" s="4"/>
      <c r="I52" s="5"/>
      <c r="J52" s="6"/>
      <c r="K52" s="6"/>
    </row>
    <row r="53" spans="1:11" x14ac:dyDescent="0.4">
      <c r="A53" s="2">
        <v>49</v>
      </c>
      <c r="B53" s="2" t="s">
        <v>148</v>
      </c>
      <c r="C53" s="2" t="s">
        <v>118</v>
      </c>
      <c r="D53" s="2" t="s">
        <v>149</v>
      </c>
      <c r="E53" s="2" t="s">
        <v>149</v>
      </c>
      <c r="F53" s="3">
        <v>37.074638888888892</v>
      </c>
      <c r="G53" s="3">
        <v>128.2114444444444</v>
      </c>
      <c r="H53" s="4"/>
      <c r="I53" s="5"/>
      <c r="J53" s="6"/>
      <c r="K53" s="6"/>
    </row>
    <row r="54" spans="1:11" x14ac:dyDescent="0.4">
      <c r="A54" s="2">
        <v>50</v>
      </c>
      <c r="B54" s="2" t="s">
        <v>150</v>
      </c>
      <c r="C54" s="2" t="s">
        <v>118</v>
      </c>
      <c r="D54" s="2" t="s">
        <v>110</v>
      </c>
      <c r="E54" s="2" t="s">
        <v>110</v>
      </c>
      <c r="F54" s="3">
        <v>35.542508555555557</v>
      </c>
      <c r="G54" s="3">
        <v>127.6229688333333</v>
      </c>
      <c r="H54" s="4"/>
      <c r="I54" s="5"/>
      <c r="J54" s="6"/>
      <c r="K54" s="6"/>
    </row>
  </sheetData>
  <mergeCells count="2">
    <mergeCell ref="A2:K2"/>
    <mergeCell ref="A1:K1"/>
  </mergeCells>
  <phoneticPr fontId="14" type="noConversion"/>
  <dataValidations count="1">
    <dataValidation type="list" allowBlank="1" sqref="K5:K54" xr:uid="{00000000-0002-0000-0000-000000000000}">
      <formula1>"미착수,진행 중,완료,재방문 필요"</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50A5F-E248-4436-89D6-54D94FE3AE93}">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151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46282</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152</v>
      </c>
      <c r="B2" s="68"/>
      <c r="C2" s="68"/>
      <c r="D2" s="68"/>
      <c r="E2" s="68"/>
      <c r="F2" s="68"/>
      <c r="G2" s="68"/>
      <c r="H2" s="68"/>
      <c r="I2" s="68"/>
      <c r="AG2" t="str">
        <f>IF($A$7="","2026-09-01",TEXT($A$7,"yyyy-mm-dd"))</f>
        <v>2026-09-01</v>
      </c>
      <c r="AH2" t="s">
        <v>341</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153</v>
      </c>
      <c r="B3" s="68"/>
      <c r="C3" s="68"/>
      <c r="D3" s="68"/>
      <c r="E3" s="68"/>
      <c r="F3" s="8" t="s">
        <v>154</v>
      </c>
      <c r="G3" s="6"/>
      <c r="H3" s="8" t="s">
        <v>155</v>
      </c>
      <c r="I3" s="9" t="s">
        <v>156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330</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225</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331</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자동계산'!$B$4="01_태백 신규점","    ←  ⑨ 시트에서 자동 입력 중 · 원문은 ⑩ 보관에 남습니다","")</f>
        <v>① 방향별 관측자료</v>
      </c>
      <c r="B14" s="68"/>
      <c r="C14" s="68"/>
      <c r="D14" s="68"/>
      <c r="E14" s="68"/>
      <c r="F14" s="68"/>
      <c r="G14" s="68"/>
      <c r="H14" s="68"/>
      <c r="I14" s="68"/>
      <c r="AH14" t="s">
        <v>332</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343</v>
      </c>
      <c r="AI15" t="s">
        <v>252</v>
      </c>
    </row>
    <row r="16" spans="1:40" ht="19.95" customHeight="1" x14ac:dyDescent="0.4">
      <c r="A16" s="10" t="s">
        <v>164</v>
      </c>
      <c r="B16" s="43" t="str">
        <f>IF('⑨ 구배 자동계산'!$B$4&lt;&gt;"01_태백 신규점","",IF('⑨ 구배 자동계산'!H9="","",'⑨ 구배 자동계산'!H9))</f>
        <v/>
      </c>
      <c r="C16" s="30" t="str">
        <f>IF('⑨ 구배 자동계산'!$B$4&lt;&gt;"01_태백 신규점","",IF('⑨ 구배 자동계산'!I9="","",'⑨ 구배 자동계산'!I9))</f>
        <v/>
      </c>
      <c r="D16" s="43" t="str">
        <f>IF('⑨ 구배 자동계산'!$B$4&lt;&gt;"01_태백 신규점","",IF('⑨ 구배 자동계산'!J9="","",'⑨ 구배 자동계산'!J9))</f>
        <v/>
      </c>
      <c r="E16" s="30" t="str">
        <f>IF('⑨ 구배 자동계산'!$B$4&lt;&gt;"01_태백 신규점","",IF('⑨ 구배 자동계산'!K9="","",'⑨ 구배 자동계산'!K9))</f>
        <v/>
      </c>
      <c r="F16" s="43" t="str">
        <f>IF('⑨ 구배 자동계산'!$B$4&lt;&gt;"01_태백 신규점","",IF('⑨ 구배 자동계산'!L9="","",'⑨ 구배 자동계산'!L9))</f>
        <v/>
      </c>
      <c r="G16" s="30" t="str">
        <f>IF('⑨ 구배 자동계산'!$B$4&lt;&gt;"01_태백 신규점","",IF('⑨ 구배 자동계산'!M9="","",'⑨ 구배 자동계산'!M9))</f>
        <v/>
      </c>
      <c r="H16" s="43" t="str">
        <f>IF('⑨ 구배 자동계산'!$B$4&lt;&gt;"01_태백 신규점","",IF('⑨ 구배 자동계산'!N9="","",'⑨ 구배 자동계산'!N9))</f>
        <v/>
      </c>
      <c r="I16" s="30" t="str">
        <f>IF('⑨ 구배 자동계산'!$B$4&lt;&gt;"01_태백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344</v>
      </c>
      <c r="AI16" t="s">
        <v>253</v>
      </c>
    </row>
    <row r="17" spans="1:35" ht="19.95" customHeight="1" x14ac:dyDescent="0.4">
      <c r="A17" s="8" t="s">
        <v>165</v>
      </c>
      <c r="B17" s="44" t="str">
        <f>IF('⑨ 구배 자동계산'!$B$4&lt;&gt;"01_태백 신규점","",IF('⑨ 구배 자동계산'!H10="","",'⑨ 구배 자동계산'!H10))</f>
        <v/>
      </c>
      <c r="C17" s="32" t="str">
        <f>IF('⑨ 구배 자동계산'!$B$4&lt;&gt;"01_태백 신규점","",IF('⑨ 구배 자동계산'!I10="","",'⑨ 구배 자동계산'!I10))</f>
        <v/>
      </c>
      <c r="D17" s="44" t="str">
        <f>IF('⑨ 구배 자동계산'!$B$4&lt;&gt;"01_태백 신규점","",IF('⑨ 구배 자동계산'!J10="","",'⑨ 구배 자동계산'!J10))</f>
        <v/>
      </c>
      <c r="E17" s="32" t="str">
        <f>IF('⑨ 구배 자동계산'!$B$4&lt;&gt;"01_태백 신규점","",IF('⑨ 구배 자동계산'!K10="","",'⑨ 구배 자동계산'!K10))</f>
        <v/>
      </c>
      <c r="F17" s="44" t="str">
        <f>IF('⑨ 구배 자동계산'!$B$4&lt;&gt;"01_태백 신규점","",IF('⑨ 구배 자동계산'!L10="","",'⑨ 구배 자동계산'!L10))</f>
        <v/>
      </c>
      <c r="G17" s="32" t="str">
        <f>IF('⑨ 구배 자동계산'!$B$4&lt;&gt;"01_태백 신규점","",IF('⑨ 구배 자동계산'!M10="","",'⑨ 구배 자동계산'!M10))</f>
        <v/>
      </c>
      <c r="H17" s="44" t="str">
        <f>IF('⑨ 구배 자동계산'!$B$4&lt;&gt;"01_태백 신규점","",IF('⑨ 구배 자동계산'!N10="","",'⑨ 구배 자동계산'!N10))</f>
        <v/>
      </c>
      <c r="I17" s="32" t="str">
        <f>IF('⑨ 구배 자동계산'!$B$4&lt;&gt;"01_태백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345</v>
      </c>
      <c r="AI17" t="s">
        <v>254</v>
      </c>
    </row>
    <row r="18" spans="1:35" ht="19.95" customHeight="1" x14ac:dyDescent="0.4">
      <c r="A18" s="8" t="s">
        <v>166</v>
      </c>
      <c r="B18" s="44" t="str">
        <f>IF('⑨ 구배 자동계산'!$B$4&lt;&gt;"01_태백 신규점","",IF('⑨ 구배 자동계산'!H11="","",'⑨ 구배 자동계산'!H11))</f>
        <v/>
      </c>
      <c r="C18" s="32" t="str">
        <f>IF('⑨ 구배 자동계산'!$B$4&lt;&gt;"01_태백 신규점","",IF('⑨ 구배 자동계산'!I11="","",'⑨ 구배 자동계산'!I11))</f>
        <v/>
      </c>
      <c r="D18" s="44" t="str">
        <f>IF('⑨ 구배 자동계산'!$B$4&lt;&gt;"01_태백 신규점","",IF('⑨ 구배 자동계산'!J11="","",'⑨ 구배 자동계산'!J11))</f>
        <v/>
      </c>
      <c r="E18" s="32" t="str">
        <f>IF('⑨ 구배 자동계산'!$B$4&lt;&gt;"01_태백 신규점","",IF('⑨ 구배 자동계산'!K11="","",'⑨ 구배 자동계산'!K11))</f>
        <v/>
      </c>
      <c r="F18" s="44" t="str">
        <f>IF('⑨ 구배 자동계산'!$B$4&lt;&gt;"01_태백 신규점","",IF('⑨ 구배 자동계산'!L11="","",'⑨ 구배 자동계산'!L11))</f>
        <v/>
      </c>
      <c r="G18" s="32" t="str">
        <f>IF('⑨ 구배 자동계산'!$B$4&lt;&gt;"01_태백 신규점","",IF('⑨ 구배 자동계산'!M11="","",'⑨ 구배 자동계산'!M11))</f>
        <v/>
      </c>
      <c r="H18" s="44" t="str">
        <f>IF('⑨ 구배 자동계산'!$B$4&lt;&gt;"01_태백 신규점","",IF('⑨ 구배 자동계산'!N11="","",'⑨ 구배 자동계산'!N11))</f>
        <v/>
      </c>
      <c r="I18" s="32" t="str">
        <f>IF('⑨ 구배 자동계산'!$B$4&lt;&gt;"01_태백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346</v>
      </c>
      <c r="AI18" t="s">
        <v>255</v>
      </c>
    </row>
    <row r="19" spans="1:35" ht="19.95" customHeight="1" x14ac:dyDescent="0.4">
      <c r="A19" s="8" t="s">
        <v>167</v>
      </c>
      <c r="B19" s="44" t="str">
        <f>IF('⑨ 구배 자동계산'!$B$4&lt;&gt;"01_태백 신규점","",IF('⑨ 구배 자동계산'!H12="","",'⑨ 구배 자동계산'!H12))</f>
        <v/>
      </c>
      <c r="C19" s="32" t="str">
        <f>IF('⑨ 구배 자동계산'!$B$4&lt;&gt;"01_태백 신규점","",IF('⑨ 구배 자동계산'!I12="","",'⑨ 구배 자동계산'!I12))</f>
        <v/>
      </c>
      <c r="D19" s="44" t="str">
        <f>IF('⑨ 구배 자동계산'!$B$4&lt;&gt;"01_태백 신규점","",IF('⑨ 구배 자동계산'!J12="","",'⑨ 구배 자동계산'!J12))</f>
        <v/>
      </c>
      <c r="E19" s="32" t="str">
        <f>IF('⑨ 구배 자동계산'!$B$4&lt;&gt;"01_태백 신규점","",IF('⑨ 구배 자동계산'!K12="","",'⑨ 구배 자동계산'!K12))</f>
        <v/>
      </c>
      <c r="F19" s="44" t="str">
        <f>IF('⑨ 구배 자동계산'!$B$4&lt;&gt;"01_태백 신규점","",IF('⑨ 구배 자동계산'!L12="","",'⑨ 구배 자동계산'!L12))</f>
        <v/>
      </c>
      <c r="G19" s="32" t="str">
        <f>IF('⑨ 구배 자동계산'!$B$4&lt;&gt;"01_태백 신규점","",IF('⑨ 구배 자동계산'!M12="","",'⑨ 구배 자동계산'!M12))</f>
        <v/>
      </c>
      <c r="H19" s="44" t="str">
        <f>IF('⑨ 구배 자동계산'!$B$4&lt;&gt;"01_태백 신규점","",IF('⑨ 구배 자동계산'!N12="","",'⑨ 구배 자동계산'!N12))</f>
        <v/>
      </c>
      <c r="I19" s="32" t="str">
        <f>IF('⑨ 구배 자동계산'!$B$4&lt;&gt;"01_태백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333</v>
      </c>
      <c r="AI19" t="s">
        <v>256</v>
      </c>
    </row>
    <row r="20" spans="1:35" ht="19.95" customHeight="1" x14ac:dyDescent="0.4">
      <c r="A20" s="8" t="s">
        <v>168</v>
      </c>
      <c r="B20" s="44" t="str">
        <f>IF('⑨ 구배 자동계산'!$B$4&lt;&gt;"01_태백 신규점","",IF('⑨ 구배 자동계산'!H13="","",'⑨ 구배 자동계산'!H13))</f>
        <v/>
      </c>
      <c r="C20" s="32" t="str">
        <f>IF('⑨ 구배 자동계산'!$B$4&lt;&gt;"01_태백 신규점","",IF('⑨ 구배 자동계산'!I13="","",'⑨ 구배 자동계산'!I13))</f>
        <v/>
      </c>
      <c r="D20" s="44" t="str">
        <f>IF('⑨ 구배 자동계산'!$B$4&lt;&gt;"01_태백 신규점","",IF('⑨ 구배 자동계산'!J13="","",'⑨ 구배 자동계산'!J13))</f>
        <v/>
      </c>
      <c r="E20" s="32" t="str">
        <f>IF('⑨ 구배 자동계산'!$B$4&lt;&gt;"01_태백 신규점","",IF('⑨ 구배 자동계산'!K13="","",'⑨ 구배 자동계산'!K13))</f>
        <v/>
      </c>
      <c r="F20" s="44" t="str">
        <f>IF('⑨ 구배 자동계산'!$B$4&lt;&gt;"01_태백 신규점","",IF('⑨ 구배 자동계산'!L13="","",'⑨ 구배 자동계산'!L13))</f>
        <v/>
      </c>
      <c r="G20" s="32" t="str">
        <f>IF('⑨ 구배 자동계산'!$B$4&lt;&gt;"01_태백 신규점","",IF('⑨ 구배 자동계산'!M13="","",'⑨ 구배 자동계산'!M13))</f>
        <v/>
      </c>
      <c r="H20" s="44" t="str">
        <f>IF('⑨ 구배 자동계산'!$B$4&lt;&gt;"01_태백 신규점","",IF('⑨ 구배 자동계산'!N13="","",'⑨ 구배 자동계산'!N13))</f>
        <v/>
      </c>
      <c r="I20" s="32" t="str">
        <f>IF('⑨ 구배 자동계산'!$B$4&lt;&gt;"01_태백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334</v>
      </c>
      <c r="AI20" t="s">
        <v>257</v>
      </c>
    </row>
    <row r="21" spans="1:35" ht="19.95" customHeight="1" x14ac:dyDescent="0.4">
      <c r="A21" s="8" t="s">
        <v>169</v>
      </c>
      <c r="B21" s="44" t="str">
        <f>IF('⑨ 구배 자동계산'!$B$4&lt;&gt;"01_태백 신규점","",IF('⑨ 구배 자동계산'!H14="","",'⑨ 구배 자동계산'!H14))</f>
        <v/>
      </c>
      <c r="C21" s="32" t="str">
        <f>IF('⑨ 구배 자동계산'!$B$4&lt;&gt;"01_태백 신규점","",IF('⑨ 구배 자동계산'!I14="","",'⑨ 구배 자동계산'!I14))</f>
        <v/>
      </c>
      <c r="D21" s="44" t="str">
        <f>IF('⑨ 구배 자동계산'!$B$4&lt;&gt;"01_태백 신규점","",IF('⑨ 구배 자동계산'!J14="","",'⑨ 구배 자동계산'!J14))</f>
        <v/>
      </c>
      <c r="E21" s="32" t="str">
        <f>IF('⑨ 구배 자동계산'!$B$4&lt;&gt;"01_태백 신규점","",IF('⑨ 구배 자동계산'!K14="","",'⑨ 구배 자동계산'!K14))</f>
        <v/>
      </c>
      <c r="F21" s="44" t="str">
        <f>IF('⑨ 구배 자동계산'!$B$4&lt;&gt;"01_태백 신규점","",IF('⑨ 구배 자동계산'!L14="","",'⑨ 구배 자동계산'!L14))</f>
        <v/>
      </c>
      <c r="G21" s="32" t="str">
        <f>IF('⑨ 구배 자동계산'!$B$4&lt;&gt;"01_태백 신규점","",IF('⑨ 구배 자동계산'!M14="","",'⑨ 구배 자동계산'!M14))</f>
        <v/>
      </c>
      <c r="H21" s="44" t="str">
        <f>IF('⑨ 구배 자동계산'!$B$4&lt;&gt;"01_태백 신규점","",IF('⑨ 구배 자동계산'!N14="","",'⑨ 구배 자동계산'!N14))</f>
        <v/>
      </c>
      <c r="I21" s="32" t="str">
        <f>IF('⑨ 구배 자동계산'!$B$4&lt;&gt;"01_태백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335</v>
      </c>
      <c r="AI21" t="s">
        <v>258</v>
      </c>
    </row>
    <row r="22" spans="1:35" ht="19.95" customHeight="1" x14ac:dyDescent="0.4">
      <c r="A22" s="8" t="s">
        <v>170</v>
      </c>
      <c r="B22" s="44" t="str">
        <f>IF('⑨ 구배 자동계산'!$B$4&lt;&gt;"01_태백 신규점","",IF('⑨ 구배 자동계산'!H15="","",'⑨ 구배 자동계산'!H15))</f>
        <v/>
      </c>
      <c r="C22" s="32" t="str">
        <f>IF('⑨ 구배 자동계산'!$B$4&lt;&gt;"01_태백 신규점","",IF('⑨ 구배 자동계산'!I15="","",'⑨ 구배 자동계산'!I15))</f>
        <v/>
      </c>
      <c r="D22" s="44" t="str">
        <f>IF('⑨ 구배 자동계산'!$B$4&lt;&gt;"01_태백 신규점","",IF('⑨ 구배 자동계산'!J15="","",'⑨ 구배 자동계산'!J15))</f>
        <v/>
      </c>
      <c r="E22" s="32" t="str">
        <f>IF('⑨ 구배 자동계산'!$B$4&lt;&gt;"01_태백 신규점","",IF('⑨ 구배 자동계산'!K15="","",'⑨ 구배 자동계산'!K15))</f>
        <v/>
      </c>
      <c r="F22" s="44" t="str">
        <f>IF('⑨ 구배 자동계산'!$B$4&lt;&gt;"01_태백 신규점","",IF('⑨ 구배 자동계산'!L15="","",'⑨ 구배 자동계산'!L15))</f>
        <v/>
      </c>
      <c r="G22" s="32" t="str">
        <f>IF('⑨ 구배 자동계산'!$B$4&lt;&gt;"01_태백 신규점","",IF('⑨ 구배 자동계산'!M15="","",'⑨ 구배 자동계산'!M15))</f>
        <v/>
      </c>
      <c r="H22" s="44" t="str">
        <f>IF('⑨ 구배 자동계산'!$B$4&lt;&gt;"01_태백 신규점","",IF('⑨ 구배 자동계산'!N15="","",'⑨ 구배 자동계산'!N15))</f>
        <v/>
      </c>
      <c r="I22" s="32" t="str">
        <f>IF('⑨ 구배 자동계산'!$B$4&lt;&gt;"01_태백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347</v>
      </c>
      <c r="AI22" t="s">
        <v>259</v>
      </c>
    </row>
    <row r="23" spans="1:35" ht="19.95" customHeight="1" x14ac:dyDescent="0.4">
      <c r="A23" s="8" t="s">
        <v>171</v>
      </c>
      <c r="B23" s="44" t="str">
        <f>IF('⑨ 구배 자동계산'!$B$4&lt;&gt;"01_태백 신규점","",IF('⑨ 구배 자동계산'!H16="","",'⑨ 구배 자동계산'!H16))</f>
        <v/>
      </c>
      <c r="C23" s="32" t="str">
        <f>IF('⑨ 구배 자동계산'!$B$4&lt;&gt;"01_태백 신규점","",IF('⑨ 구배 자동계산'!I16="","",'⑨ 구배 자동계산'!I16))</f>
        <v/>
      </c>
      <c r="D23" s="44" t="str">
        <f>IF('⑨ 구배 자동계산'!$B$4&lt;&gt;"01_태백 신규점","",IF('⑨ 구배 자동계산'!J16="","",'⑨ 구배 자동계산'!J16))</f>
        <v/>
      </c>
      <c r="E23" s="32" t="str">
        <f>IF('⑨ 구배 자동계산'!$B$4&lt;&gt;"01_태백 신규점","",IF('⑨ 구배 자동계산'!K16="","",'⑨ 구배 자동계산'!K16))</f>
        <v/>
      </c>
      <c r="F23" s="44" t="str">
        <f>IF('⑨ 구배 자동계산'!$B$4&lt;&gt;"01_태백 신규점","",IF('⑨ 구배 자동계산'!L16="","",'⑨ 구배 자동계산'!L16))</f>
        <v/>
      </c>
      <c r="G23" s="32" t="str">
        <f>IF('⑨ 구배 자동계산'!$B$4&lt;&gt;"01_태백 신규점","",IF('⑨ 구배 자동계산'!M16="","",'⑨ 구배 자동계산'!M16))</f>
        <v/>
      </c>
      <c r="H23" s="44" t="str">
        <f>IF('⑨ 구배 자동계산'!$B$4&lt;&gt;"01_태백 신규점","",IF('⑨ 구배 자동계산'!N16="","",'⑨ 구배 자동계산'!N16))</f>
        <v/>
      </c>
      <c r="I23" s="32" t="str">
        <f>IF('⑨ 구배 자동계산'!$B$4&lt;&gt;"01_태백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자동계산'!$B$4&lt;&gt;"01_태백 신규점","",IF('⑨ 구배 자동계산'!H17="","",'⑨ 구배 자동계산'!H17))</f>
        <v/>
      </c>
      <c r="C24" s="32" t="str">
        <f>IF('⑨ 구배 자동계산'!$B$4&lt;&gt;"01_태백 신규점","",IF('⑨ 구배 자동계산'!I17="","",'⑨ 구배 자동계산'!I17))</f>
        <v/>
      </c>
      <c r="D24" s="44" t="str">
        <f>IF('⑨ 구배 자동계산'!$B$4&lt;&gt;"01_태백 신규점","",IF('⑨ 구배 자동계산'!J17="","",'⑨ 구배 자동계산'!J17))</f>
        <v/>
      </c>
      <c r="E24" s="32" t="str">
        <f>IF('⑨ 구배 자동계산'!$B$4&lt;&gt;"01_태백 신규점","",IF('⑨ 구배 자동계산'!K17="","",'⑨ 구배 자동계산'!K17))</f>
        <v/>
      </c>
      <c r="F24" s="44" t="str">
        <f>IF('⑨ 구배 자동계산'!$B$4&lt;&gt;"01_태백 신규점","",IF('⑨ 구배 자동계산'!L17="","",'⑨ 구배 자동계산'!L17))</f>
        <v/>
      </c>
      <c r="G24" s="32" t="str">
        <f>IF('⑨ 구배 자동계산'!$B$4&lt;&gt;"01_태백 신규점","",IF('⑨ 구배 자동계산'!M17="","",'⑨ 구배 자동계산'!M17))</f>
        <v/>
      </c>
      <c r="H24" s="44" t="str">
        <f>IF('⑨ 구배 자동계산'!$B$4&lt;&gt;"01_태백 신규점","",IF('⑨ 구배 자동계산'!N17="","",'⑨ 구배 자동계산'!N17))</f>
        <v/>
      </c>
      <c r="I24" s="32" t="str">
        <f>IF('⑨ 구배 자동계산'!$B$4&lt;&gt;"01_태백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348</v>
      </c>
      <c r="AI24" t="s">
        <v>261</v>
      </c>
    </row>
    <row r="25" spans="1:35" ht="19.95" customHeight="1" x14ac:dyDescent="0.4">
      <c r="A25" s="8" t="s">
        <v>173</v>
      </c>
      <c r="B25" s="44" t="str">
        <f>IF('⑨ 구배 자동계산'!$B$4&lt;&gt;"01_태백 신규점","",IF('⑨ 구배 자동계산'!H18="","",'⑨ 구배 자동계산'!H18))</f>
        <v/>
      </c>
      <c r="C25" s="32" t="str">
        <f>IF('⑨ 구배 자동계산'!$B$4&lt;&gt;"01_태백 신규점","",IF('⑨ 구배 자동계산'!I18="","",'⑨ 구배 자동계산'!I18))</f>
        <v/>
      </c>
      <c r="D25" s="44" t="str">
        <f>IF('⑨ 구배 자동계산'!$B$4&lt;&gt;"01_태백 신규점","",IF('⑨ 구배 자동계산'!J18="","",'⑨ 구배 자동계산'!J18))</f>
        <v/>
      </c>
      <c r="E25" s="32" t="str">
        <f>IF('⑨ 구배 자동계산'!$B$4&lt;&gt;"01_태백 신규점","",IF('⑨ 구배 자동계산'!K18="","",'⑨ 구배 자동계산'!K18))</f>
        <v/>
      </c>
      <c r="F25" s="44" t="str">
        <f>IF('⑨ 구배 자동계산'!$B$4&lt;&gt;"01_태백 신규점","",IF('⑨ 구배 자동계산'!L18="","",'⑨ 구배 자동계산'!L18))</f>
        <v/>
      </c>
      <c r="G25" s="32" t="str">
        <f>IF('⑨ 구배 자동계산'!$B$4&lt;&gt;"01_태백 신규점","",IF('⑨ 구배 자동계산'!M18="","",'⑨ 구배 자동계산'!M18))</f>
        <v/>
      </c>
      <c r="H25" s="44" t="str">
        <f>IF('⑨ 구배 자동계산'!$B$4&lt;&gt;"01_태백 신규점","",IF('⑨ 구배 자동계산'!N18="","",'⑨ 구배 자동계산'!N18))</f>
        <v/>
      </c>
      <c r="I25" s="32" t="str">
        <f>IF('⑨ 구배 자동계산'!$B$4&lt;&gt;"01_태백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349</v>
      </c>
      <c r="AI25" t="s">
        <v>262</v>
      </c>
    </row>
    <row r="26" spans="1:35" ht="19.95" customHeight="1" x14ac:dyDescent="0.4">
      <c r="A26" s="8" t="s">
        <v>174</v>
      </c>
      <c r="B26" s="44" t="str">
        <f>IF('⑨ 구배 자동계산'!$B$4&lt;&gt;"01_태백 신규점","",IF('⑨ 구배 자동계산'!H19="","",'⑨ 구배 자동계산'!H19))</f>
        <v/>
      </c>
      <c r="C26" s="32" t="str">
        <f>IF('⑨ 구배 자동계산'!$B$4&lt;&gt;"01_태백 신규점","",IF('⑨ 구배 자동계산'!I19="","",'⑨ 구배 자동계산'!I19))</f>
        <v/>
      </c>
      <c r="D26" s="44" t="str">
        <f>IF('⑨ 구배 자동계산'!$B$4&lt;&gt;"01_태백 신규점","",IF('⑨ 구배 자동계산'!J19="","",'⑨ 구배 자동계산'!J19))</f>
        <v/>
      </c>
      <c r="E26" s="32" t="str">
        <f>IF('⑨ 구배 자동계산'!$B$4&lt;&gt;"01_태백 신규점","",IF('⑨ 구배 자동계산'!K19="","",'⑨ 구배 자동계산'!K19))</f>
        <v/>
      </c>
      <c r="F26" s="44" t="str">
        <f>IF('⑨ 구배 자동계산'!$B$4&lt;&gt;"01_태백 신규점","",IF('⑨ 구배 자동계산'!L19="","",'⑨ 구배 자동계산'!L19))</f>
        <v/>
      </c>
      <c r="G26" s="32" t="str">
        <f>IF('⑨ 구배 자동계산'!$B$4&lt;&gt;"01_태백 신규점","",IF('⑨ 구배 자동계산'!M19="","",'⑨ 구배 자동계산'!M19))</f>
        <v/>
      </c>
      <c r="H26" s="44" t="str">
        <f>IF('⑨ 구배 자동계산'!$B$4&lt;&gt;"01_태백 신규점","",IF('⑨ 구배 자동계산'!N19="","",'⑨ 구배 자동계산'!N19))</f>
        <v/>
      </c>
      <c r="I26" s="32" t="str">
        <f>IF('⑨ 구배 자동계산'!$B$4&lt;&gt;"01_태백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H26" t="s">
        <v>350</v>
      </c>
      <c r="AI26" t="s">
        <v>263</v>
      </c>
    </row>
    <row r="27" spans="1:35" ht="19.95" customHeight="1" x14ac:dyDescent="0.4">
      <c r="A27" s="40" t="s">
        <v>175</v>
      </c>
      <c r="B27" s="45" t="str">
        <f>IF('⑨ 구배 자동계산'!$B$4&lt;&gt;"01_태백 신규점","",IF('⑨ 구배 자동계산'!H20="","",'⑨ 구배 자동계산'!H20))</f>
        <v/>
      </c>
      <c r="C27" s="41" t="str">
        <f>IF('⑨ 구배 자동계산'!$B$4&lt;&gt;"01_태백 신규점","",IF('⑨ 구배 자동계산'!I20="","",'⑨ 구배 자동계산'!I20))</f>
        <v/>
      </c>
      <c r="D27" s="45" t="str">
        <f>IF('⑨ 구배 자동계산'!$B$4&lt;&gt;"01_태백 신규점","",IF('⑨ 구배 자동계산'!J20="","",'⑨ 구배 자동계산'!J20))</f>
        <v/>
      </c>
      <c r="E27" s="41" t="str">
        <f>IF('⑨ 구배 자동계산'!$B$4&lt;&gt;"01_태백 신규점","",IF('⑨ 구배 자동계산'!K20="","",'⑨ 구배 자동계산'!K20))</f>
        <v/>
      </c>
      <c r="F27" s="45" t="str">
        <f>IF('⑨ 구배 자동계산'!$B$4&lt;&gt;"01_태백 신규점","",IF('⑨ 구배 자동계산'!L20="","",'⑨ 구배 자동계산'!L20))</f>
        <v/>
      </c>
      <c r="G27" s="41" t="str">
        <f>IF('⑨ 구배 자동계산'!$B$4&lt;&gt;"01_태백 신규점","",IF('⑨ 구배 자동계산'!M20="","",'⑨ 구배 자동계산'!M20))</f>
        <v/>
      </c>
      <c r="H27" s="45" t="str">
        <f>IF('⑨ 구배 자동계산'!$B$4&lt;&gt;"01_태백 신규점","",IF('⑨ 구배 자동계산'!N20="","",'⑨ 구배 자동계산'!N20))</f>
        <v/>
      </c>
      <c r="I27" s="41" t="str">
        <f>IF('⑨ 구배 자동계산'!$B$4&lt;&gt;"01_태백 신규점","",IF('⑨ 구배 자동계산'!O20="","",'⑨ 구배 자동계산'!O20))</f>
        <v/>
      </c>
      <c r="AH27" t="s">
        <v>351</v>
      </c>
      <c r="AI27" t="s">
        <v>264</v>
      </c>
    </row>
    <row r="28" spans="1:35" ht="22.95" customHeight="1" x14ac:dyDescent="0.4">
      <c r="A28" s="42" t="s">
        <v>289</v>
      </c>
      <c r="B28" s="97" t="s">
        <v>552</v>
      </c>
      <c r="C28" s="97"/>
      <c r="D28" s="97"/>
      <c r="E28" s="97"/>
      <c r="F28" s="97"/>
      <c r="G28" s="97"/>
      <c r="H28" s="97"/>
      <c r="I28" s="97"/>
    </row>
    <row r="29" spans="1:35" ht="16.95" customHeight="1" x14ac:dyDescent="0.4">
      <c r="A29" s="73" t="s">
        <v>286</v>
      </c>
      <c r="B29" s="68"/>
      <c r="C29" s="68"/>
      <c r="D29" s="68"/>
      <c r="E29" s="68"/>
      <c r="F29" s="68"/>
      <c r="G29" s="68"/>
      <c r="H29" s="68"/>
      <c r="I29" s="68"/>
      <c r="AI29" t="s">
        <v>265</v>
      </c>
    </row>
    <row r="30" spans="1:35" ht="43.95" customHeight="1" x14ac:dyDescent="0.4">
      <c r="A30" s="8" t="s">
        <v>740</v>
      </c>
      <c r="B30" s="8" t="s">
        <v>741</v>
      </c>
      <c r="C30" s="8" t="s">
        <v>1997</v>
      </c>
      <c r="D30" s="8" t="s">
        <v>1998</v>
      </c>
      <c r="E30" s="8" t="s">
        <v>742</v>
      </c>
      <c r="F30" s="8" t="s">
        <v>743</v>
      </c>
      <c r="G30" s="8" t="s">
        <v>676</v>
      </c>
      <c r="H30" s="8" t="s">
        <v>677</v>
      </c>
      <c r="I30" s="8" t="s">
        <v>289</v>
      </c>
      <c r="AH30" t="s">
        <v>226</v>
      </c>
      <c r="AI30" t="s">
        <v>266</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자동계산'!$B$4&lt;&gt;"01_태백 신규점","",IF('⑨ 구배 자동계산'!$M30="","",'⑨ 구배 자동계산'!$M30&amp;"  ·  "&amp;'⑨ 구배 자동계산'!$O30))</f>
        <v/>
      </c>
      <c r="AI31" t="s">
        <v>267</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자동계산'!$B$4&lt;&gt;"01_태백 신규점","",IF('⑨ 구배 자동계산'!$M31="","",'⑨ 구배 자동계산'!$M31&amp;"  ·  "&amp;'⑨ 구배 자동계산'!$O31))</f>
        <v/>
      </c>
      <c r="AH32" t="s">
        <v>227</v>
      </c>
      <c r="AI32" t="s">
        <v>268</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자동계산'!$B$4&lt;&gt;"01_태백 신규점","",IF('⑨ 구배 자동계산'!$M32="","",'⑨ 구배 자동계산'!$M32&amp;"  ·  "&amp;'⑨ 구배 자동계산'!$O32))</f>
        <v/>
      </c>
      <c r="AH33" t="s">
        <v>228</v>
      </c>
      <c r="AI33" t="s">
        <v>269</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자동계산'!$B$4&lt;&gt;"01_태백 신규점","",IF('⑨ 구배 자동계산'!$M33="","",'⑨ 구배 자동계산'!$M33&amp;"  ·  "&amp;'⑨ 구배 자동계산'!$O33))</f>
        <v/>
      </c>
      <c r="AI34" t="s">
        <v>270</v>
      </c>
    </row>
    <row r="35" spans="1:35" ht="17.25" customHeight="1" x14ac:dyDescent="0.4">
      <c r="A35" s="96" t="s">
        <v>294</v>
      </c>
      <c r="B35" s="68"/>
      <c r="C35" s="68"/>
      <c r="D35" s="68"/>
      <c r="E35" s="68"/>
      <c r="F35" s="68"/>
      <c r="G35" s="68"/>
      <c r="H35" s="68"/>
      <c r="I35" s="68"/>
      <c r="AH35" t="s">
        <v>336</v>
      </c>
      <c r="AI35" t="s">
        <v>271</v>
      </c>
    </row>
    <row r="36" spans="1:35" ht="17.25" customHeight="1" x14ac:dyDescent="0.4">
      <c r="A36" s="96" t="s">
        <v>295</v>
      </c>
      <c r="B36" s="68"/>
      <c r="C36" s="68"/>
      <c r="D36" s="68"/>
      <c r="E36" s="68"/>
      <c r="F36" s="68"/>
      <c r="G36" s="68"/>
      <c r="H36" s="68"/>
      <c r="I36" s="68"/>
      <c r="AI36" t="s">
        <v>272</v>
      </c>
    </row>
    <row r="37" spans="1:35" ht="52.05" customHeight="1" x14ac:dyDescent="0.4">
      <c r="A37" s="98" t="s">
        <v>1999</v>
      </c>
      <c r="B37" s="68"/>
      <c r="C37" s="68"/>
      <c r="D37" s="68"/>
      <c r="E37" s="68"/>
      <c r="F37" s="68"/>
      <c r="G37" s="68"/>
      <c r="H37" s="68"/>
      <c r="I37" s="68"/>
      <c r="AH37" t="s">
        <v>337</v>
      </c>
      <c r="AI37" t="s">
        <v>273</v>
      </c>
    </row>
    <row r="38" spans="1:35" x14ac:dyDescent="0.4">
      <c r="AH38" t="s">
        <v>229</v>
      </c>
      <c r="AI38" t="s">
        <v>274</v>
      </c>
    </row>
    <row r="39" spans="1:35" ht="19.95" customHeight="1" x14ac:dyDescent="0.4">
      <c r="A39" s="87" t="s">
        <v>296</v>
      </c>
      <c r="B39" s="68"/>
      <c r="C39" s="68"/>
      <c r="D39" s="68"/>
      <c r="E39" s="68"/>
      <c r="F39" s="68"/>
      <c r="G39" s="68"/>
      <c r="H39" s="68"/>
      <c r="I39" s="68"/>
      <c r="AI39" t="s">
        <v>275</v>
      </c>
    </row>
    <row r="40" spans="1:35" ht="30.45" customHeight="1" x14ac:dyDescent="0.4">
      <c r="A40" s="96" t="s">
        <v>297</v>
      </c>
      <c r="B40" s="68"/>
      <c r="C40" s="68"/>
      <c r="D40" s="68"/>
      <c r="E40" s="68"/>
      <c r="F40" s="68"/>
      <c r="G40" s="68"/>
      <c r="H40" s="68"/>
      <c r="I40" s="68"/>
      <c r="AH40" t="s">
        <v>230</v>
      </c>
    </row>
    <row r="41" spans="1:35" ht="30" customHeight="1" x14ac:dyDescent="0.4">
      <c r="A41" s="8" t="s">
        <v>298</v>
      </c>
      <c r="B41" s="8" t="s">
        <v>299</v>
      </c>
      <c r="C41" s="8" t="s">
        <v>300</v>
      </c>
      <c r="D41" s="8" t="s">
        <v>301</v>
      </c>
      <c r="E41" s="8" t="s">
        <v>302</v>
      </c>
      <c r="F41" s="8" t="s">
        <v>303</v>
      </c>
      <c r="G41" s="88" t="s">
        <v>304</v>
      </c>
      <c r="H41" s="89"/>
      <c r="I41" s="89"/>
      <c r="AH41" t="s">
        <v>231</v>
      </c>
      <c r="AI41" t="s">
        <v>239</v>
      </c>
    </row>
    <row r="42" spans="1:35" ht="19.95" customHeight="1" x14ac:dyDescent="0.4">
      <c r="A42" s="8">
        <v>4</v>
      </c>
      <c r="B42" s="33">
        <v>185</v>
      </c>
      <c r="C42" s="32" t="str">
        <f>IF('⑨ 구배 자동계산'!$B$4&lt;&gt;"01_태백 신규점","",IF('⑨ 구배 자동계산'!I23="","",'⑨ 구배 자동계산'!I23))</f>
        <v/>
      </c>
      <c r="D42" s="8"/>
      <c r="E42" s="8"/>
      <c r="F42" s="8"/>
      <c r="G42" s="92" t="str">
        <f>IF('⑨ 구배 자동계산'!$B$4&lt;&gt;"01_태백 신규점","",IF('⑨ 구배 자동계산'!$J23="","",'⑨ 구배 자동계산'!$J23&amp;"  ·  "&amp;'⑨ 구배 자동계산'!$L23))</f>
        <v/>
      </c>
      <c r="H42" s="93"/>
      <c r="I42" s="93"/>
      <c r="AH42" t="s">
        <v>232</v>
      </c>
    </row>
    <row r="43" spans="1:35" ht="19.95" customHeight="1" x14ac:dyDescent="0.4">
      <c r="A43" s="8">
        <v>3</v>
      </c>
      <c r="B43" s="33">
        <v>140</v>
      </c>
      <c r="C43" s="32" t="str">
        <f>IF('⑨ 구배 자동계산'!$B$4&lt;&gt;"01_태백 신규점","",IF('⑨ 구배 자동계산'!I24="","",'⑨ 구배 자동계산'!I24))</f>
        <v/>
      </c>
      <c r="D43" s="34">
        <f>IF(COUNT(B43,B42)&lt;2,"",(B42-B43)/100)</f>
        <v>0.45</v>
      </c>
      <c r="E43" s="35" t="str">
        <f>IF(COUNT(C43,C42)&lt;2,"",C43-C42)</f>
        <v/>
      </c>
      <c r="F43" s="36" t="str">
        <f>IF(OR(D43="",E43="",D43=0),"",E43/D43)</f>
        <v/>
      </c>
      <c r="G43" s="92" t="str">
        <f>IF('⑨ 구배 자동계산'!$B$4&lt;&gt;"01_태백 신규점","",IF('⑨ 구배 자동계산'!$J24="","",'⑨ 구배 자동계산'!$J24&amp;"  ·  "&amp;'⑨ 구배 자동계산'!$L24))</f>
        <v/>
      </c>
      <c r="H43" s="93"/>
      <c r="I43" s="93"/>
    </row>
    <row r="44" spans="1:35" ht="19.95" customHeight="1" x14ac:dyDescent="0.4">
      <c r="A44" s="8">
        <v>2</v>
      </c>
      <c r="B44" s="33">
        <v>95</v>
      </c>
      <c r="C44" s="32" t="str">
        <f>IF('⑨ 구배 자동계산'!$B$4&lt;&gt;"01_태백 신규점","",IF('⑨ 구배 자동계산'!I25="","",'⑨ 구배 자동계산'!I25))</f>
        <v/>
      </c>
      <c r="D44" s="34">
        <f>IF(COUNT(B44,B43)&lt;2,"",(B43-B44)/100)</f>
        <v>0.45</v>
      </c>
      <c r="E44" s="35" t="str">
        <f>IF(COUNT(C44,C43)&lt;2,"",C44-C43)</f>
        <v/>
      </c>
      <c r="F44" s="36" t="str">
        <f>IF(OR(D44="",E44="",D44=0),"",E44/D44)</f>
        <v/>
      </c>
      <c r="G44" s="92" t="str">
        <f>IF('⑨ 구배 자동계산'!$B$4&lt;&gt;"01_태백 신규점","",IF('⑨ 구배 자동계산'!$J25="","",'⑨ 구배 자동계산'!$J25&amp;"  ·  "&amp;'⑨ 구배 자동계산'!$L25))</f>
        <v/>
      </c>
      <c r="H44" s="93"/>
      <c r="I44" s="93"/>
      <c r="AH44" t="s">
        <v>233</v>
      </c>
    </row>
    <row r="45" spans="1:35" ht="19.95" customHeight="1" x14ac:dyDescent="0.4">
      <c r="A45" s="8">
        <v>1</v>
      </c>
      <c r="B45" s="33">
        <v>50</v>
      </c>
      <c r="C45" s="32" t="str">
        <f>IF('⑨ 구배 자동계산'!$B$4&lt;&gt;"01_태백 신규점","",IF('⑨ 구배 자동계산'!I26="","",'⑨ 구배 자동계산'!I26))</f>
        <v/>
      </c>
      <c r="D45" s="34">
        <f>IF(COUNT(B45,B44)&lt;2,"",(B44-B45)/100)</f>
        <v>0.45</v>
      </c>
      <c r="E45" s="35" t="str">
        <f>IF(COUNT(C45,C44)&lt;2,"",C45-C44)</f>
        <v/>
      </c>
      <c r="F45" s="36" t="str">
        <f>IF(OR(D45="",E45="",D45=0),"",E45/D45)</f>
        <v/>
      </c>
      <c r="G45" s="92" t="str">
        <f>IF('⑨ 구배 자동계산'!$B$4&lt;&gt;"01_태백 신규점","",IF('⑨ 구배 자동계산'!$J26="","",'⑨ 구배 자동계산'!$J26&amp;"  ·  "&amp;'⑨ 구배 자동계산'!$L26))</f>
        <v/>
      </c>
      <c r="H45" s="93"/>
      <c r="I45" s="93"/>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c r="AH46" t="s">
        <v>234</v>
      </c>
    </row>
    <row r="48" spans="1:35" ht="19.95" customHeight="1" x14ac:dyDescent="0.4">
      <c r="A48" s="87" t="s">
        <v>306</v>
      </c>
      <c r="B48" s="68"/>
      <c r="C48" s="68"/>
      <c r="D48" s="68"/>
      <c r="E48" s="68"/>
      <c r="F48" s="68"/>
      <c r="G48" s="68"/>
      <c r="H48" s="68"/>
      <c r="I48" s="68"/>
      <c r="AH48" t="s">
        <v>338</v>
      </c>
    </row>
    <row r="49" spans="1:34" ht="17.25" customHeight="1" x14ac:dyDescent="0.4">
      <c r="A49" s="96" t="s">
        <v>159</v>
      </c>
      <c r="B49" s="68"/>
      <c r="C49" s="68"/>
      <c r="D49" s="68"/>
      <c r="E49" s="68"/>
      <c r="F49" s="68"/>
      <c r="G49" s="68"/>
      <c r="H49" s="68"/>
      <c r="I49" s="68"/>
    </row>
    <row r="50" spans="1:34" x14ac:dyDescent="0.4">
      <c r="A50" s="8" t="s">
        <v>7</v>
      </c>
      <c r="B50" s="100"/>
      <c r="C50" s="93"/>
      <c r="D50" s="8" t="s">
        <v>8</v>
      </c>
      <c r="E50" s="100"/>
      <c r="F50" s="93"/>
      <c r="G50" s="8" t="s">
        <v>160</v>
      </c>
      <c r="H50" s="92"/>
      <c r="I50" s="93"/>
      <c r="AH50" t="s">
        <v>339</v>
      </c>
    </row>
    <row r="51" spans="1:34" ht="27.6" x14ac:dyDescent="0.4">
      <c r="A51" s="8" t="s">
        <v>161</v>
      </c>
      <c r="B51" s="101" t="str">
        <f>IF(COUNT(B50,E50)&lt;2,"",ROUND(SQRT(((128.98393-E50)*111320*COS(RADIANS(37.020705)))^2+((37.020705-B50)*110574)^2),1))</f>
        <v/>
      </c>
      <c r="C51" s="95"/>
      <c r="AH51" t="s">
        <v>352</v>
      </c>
    </row>
    <row r="52" spans="1:34" x14ac:dyDescent="0.4">
      <c r="AH52" t="s">
        <v>236</v>
      </c>
    </row>
    <row r="53" spans="1:34" ht="24" customHeight="1" x14ac:dyDescent="0.4">
      <c r="A53" s="102" t="s">
        <v>553</v>
      </c>
      <c r="B53" s="102"/>
      <c r="C53" s="102"/>
      <c r="D53" s="102"/>
      <c r="E53" s="102"/>
      <c r="F53" s="102"/>
      <c r="G53" s="102"/>
      <c r="H53" s="102"/>
      <c r="I53" s="102"/>
    </row>
    <row r="54" spans="1:34" ht="6" customHeight="1" x14ac:dyDescent="0.4">
      <c r="A54" s="103"/>
      <c r="B54" s="103"/>
      <c r="C54" s="103"/>
      <c r="D54" s="103"/>
      <c r="E54" s="103"/>
      <c r="F54" s="103"/>
      <c r="G54" s="103"/>
      <c r="H54" s="103"/>
      <c r="I54" s="103"/>
      <c r="AH54" t="s">
        <v>237</v>
      </c>
    </row>
    <row r="55" spans="1:34" ht="25.05" customHeight="1" x14ac:dyDescent="0.4">
      <c r="A55" s="42" t="s">
        <v>178</v>
      </c>
      <c r="B55" s="104" t="s">
        <v>179</v>
      </c>
      <c r="C55" s="104"/>
      <c r="D55" s="104" t="s">
        <v>180</v>
      </c>
      <c r="E55" s="104"/>
      <c r="F55" s="42" t="s">
        <v>554</v>
      </c>
      <c r="G55" s="42" t="s">
        <v>555</v>
      </c>
      <c r="H55" s="104" t="s">
        <v>289</v>
      </c>
      <c r="I55" s="104"/>
      <c r="AH55" t="s">
        <v>238</v>
      </c>
    </row>
    <row r="56" spans="1:34" ht="27" customHeight="1" x14ac:dyDescent="0.4">
      <c r="A56" s="47" t="s">
        <v>181</v>
      </c>
      <c r="B56" s="106"/>
      <c r="C56" s="106"/>
      <c r="D56" s="106"/>
      <c r="E56" s="106"/>
      <c r="F56" s="49"/>
      <c r="G56" s="48"/>
      <c r="H56" s="105"/>
      <c r="I56" s="105"/>
      <c r="AH56" t="s">
        <v>239</v>
      </c>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S01-P0a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B115:D115"/>
    <mergeCell ref="F115:I115"/>
    <mergeCell ref="B116:D116"/>
    <mergeCell ref="F116:I116"/>
    <mergeCell ref="F117:I117"/>
    <mergeCell ref="A112:D112"/>
    <mergeCell ref="E112:I112"/>
    <mergeCell ref="B113:D113"/>
    <mergeCell ref="F113:I113"/>
    <mergeCell ref="B114:D114"/>
    <mergeCell ref="F114:I114"/>
    <mergeCell ref="B110:I110"/>
    <mergeCell ref="B105:C105"/>
    <mergeCell ref="E105:F105"/>
    <mergeCell ref="H105:I105"/>
    <mergeCell ref="A107:I107"/>
    <mergeCell ref="C108:D108"/>
    <mergeCell ref="E108:G108"/>
    <mergeCell ref="C109:D109"/>
    <mergeCell ref="E109:G109"/>
    <mergeCell ref="A91:C91"/>
    <mergeCell ref="D91:F91"/>
    <mergeCell ref="G91:I91"/>
    <mergeCell ref="A92:C104"/>
    <mergeCell ref="D92:F104"/>
    <mergeCell ref="G92:I104"/>
    <mergeCell ref="A77:C89"/>
    <mergeCell ref="D77:F89"/>
    <mergeCell ref="G77:I89"/>
    <mergeCell ref="B90:C90"/>
    <mergeCell ref="E90:F90"/>
    <mergeCell ref="H90:I90"/>
    <mergeCell ref="B75:C75"/>
    <mergeCell ref="E75:F75"/>
    <mergeCell ref="H75:I75"/>
    <mergeCell ref="G62:I74"/>
    <mergeCell ref="A76:C76"/>
    <mergeCell ref="D76:F76"/>
    <mergeCell ref="G76:I76"/>
    <mergeCell ref="A62:C74"/>
    <mergeCell ref="D62:F74"/>
    <mergeCell ref="H57:I57"/>
    <mergeCell ref="A59:I59"/>
    <mergeCell ref="A60:I60"/>
    <mergeCell ref="A61:C61"/>
    <mergeCell ref="D61:F61"/>
    <mergeCell ref="G61:I61"/>
    <mergeCell ref="B57:C57"/>
    <mergeCell ref="D57:E57"/>
    <mergeCell ref="B51:C51"/>
    <mergeCell ref="A53:I53"/>
    <mergeCell ref="A54:I54"/>
    <mergeCell ref="H55:I55"/>
    <mergeCell ref="H56:I56"/>
    <mergeCell ref="B55:C55"/>
    <mergeCell ref="D55:E55"/>
    <mergeCell ref="B56:C56"/>
    <mergeCell ref="D56:E56"/>
    <mergeCell ref="G46:I46"/>
    <mergeCell ref="A48:I48"/>
    <mergeCell ref="A49:I49"/>
    <mergeCell ref="B50:C50"/>
    <mergeCell ref="E50:F50"/>
    <mergeCell ref="H50:I50"/>
    <mergeCell ref="G45:I45"/>
    <mergeCell ref="A35:I35"/>
    <mergeCell ref="A36:I36"/>
    <mergeCell ref="A37:I37"/>
    <mergeCell ref="A39:I39"/>
    <mergeCell ref="A40:I40"/>
    <mergeCell ref="G41:I41"/>
    <mergeCell ref="G42:I42"/>
    <mergeCell ref="G43:I43"/>
    <mergeCell ref="G44:I44"/>
    <mergeCell ref="A12:I12"/>
    <mergeCell ref="A13:I13"/>
    <mergeCell ref="A14:I14"/>
    <mergeCell ref="A29:I29"/>
    <mergeCell ref="B28:I28"/>
    <mergeCell ref="E7:G7"/>
    <mergeCell ref="H7:I7"/>
    <mergeCell ref="B8:I8"/>
    <mergeCell ref="B9:I9"/>
    <mergeCell ref="A10:I10"/>
    <mergeCell ref="A1:I1"/>
    <mergeCell ref="A2:I2"/>
    <mergeCell ref="A3:E3"/>
    <mergeCell ref="A5:I5"/>
    <mergeCell ref="E6:G6"/>
    <mergeCell ref="H6:I6"/>
  </mergeCells>
  <phoneticPr fontId="14" type="noConversion"/>
  <conditionalFormatting sqref="C31:D34">
    <cfRule type="expression" dxfId="249" priority="1">
      <formula>AND(ISNUMBER(C31),C31&gt;50)</formula>
    </cfRule>
  </conditionalFormatting>
  <conditionalFormatting sqref="D7">
    <cfRule type="expression" dxfId="248" priority="3" stopIfTrue="1">
      <formula>AND($D$7&lt;&gt;"",VALUE(LEFT($D$7,1))&lt;5)</formula>
    </cfRule>
    <cfRule type="expression" dxfId="247" priority="4" stopIfTrue="1">
      <formula>AND($D$7&lt;&gt;"",VALUE(LEFT($D$7,1))&gt;=5)</formula>
    </cfRule>
  </conditionalFormatting>
  <conditionalFormatting sqref="E7">
    <cfRule type="expression" dxfId="246" priority="5" stopIfTrue="1">
      <formula>AND($E$7&lt;&gt;"",VALUE(LEFT($E$7,1))&lt;5)</formula>
    </cfRule>
    <cfRule type="expression" dxfId="245" priority="6" stopIfTrue="1">
      <formula>AND($E$7&lt;&gt;"",VALUE(LEFT($E$7,1))&gt;=5)</formula>
    </cfRule>
  </conditionalFormatting>
  <dataValidations count="6">
    <dataValidation type="list" allowBlank="1" sqref="B109" xr:uid="{DA1C9E7E-62E6-45FF-97F9-87644127AD00}">
      <formula1>"동일,조정"</formula1>
    </dataValidation>
    <dataValidation type="list" allowBlank="1" sqref="H50" xr:uid="{CB71C88A-D1C2-44A9-A4EE-832A1C6C9D60}">
      <formula1>"RTK-GNSS,네트워크RTK,정적GNSS,휴대GNSS"</formula1>
    </dataValidation>
    <dataValidation type="list" allowBlank="1" sqref="C7" xr:uid="{3471AC0D-06FF-4BD9-8A98-1349A8CC4FCD}">
      <formula1>"맑음,구름 조금,흐림,비,눈,바람 강함"</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9D4D080E-13C8-4FC7-B4EF-BF5EFD1819C1}">
      <formula1>DATE(2026,1,1)</formula1>
      <formula2>DATE(2027,12,31)</formula2>
    </dataValidation>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B16:B27 H16:H27 F16:F27 D16:D27" xr:uid="{0CD8E6C9-E1E1-43A7-AD78-940B264F8600}">
      <formula1>OR(B16="",AND(ISNUMBER(B16),B16&gt;=0,B16&lt;=2359,MOD(B16,100)&lt;60))</formula1>
    </dataValidation>
    <dataValidation type="list" allowBlank="1" showInputMessage="1" showErrorMessage="1" sqref="F56:F57" xr:uid="{7904BEF8-8956-4316-88DB-9633BD8FC438}">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&amp;RS01 태백 신규점</oddHeader>
    <oddFooter>&amp;C&amp;9 &amp;P / &amp;N</oddFooter>
  </headerFooter>
  <rowBreaks count="3" manualBreakCount="3">
    <brk id="38" max="16383" man="1"/>
    <brk id="58" max="16383" man="1"/>
    <brk id="106"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65BF7-870B-4780-B18A-517F2EA4DF98}">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353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354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355</v>
      </c>
      <c r="B3" s="68"/>
      <c r="C3" s="68"/>
      <c r="D3" s="68"/>
      <c r="E3" s="68"/>
      <c r="F3" s="8" t="s">
        <v>154</v>
      </c>
      <c r="G3" s="6"/>
      <c r="H3" s="8" t="s">
        <v>155</v>
      </c>
      <c r="I3" s="9" t="s">
        <v>356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자동계산'!$B$4="02_임계 신규점1","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자동계산'!$B$4&lt;&gt;"02_임계 신규점1","",IF('⑨ 구배 자동계산'!H9="","",'⑨ 구배 자동계산'!H9))</f>
        <v/>
      </c>
      <c r="C16" s="30" t="str">
        <f>IF('⑨ 구배 자동계산'!$B$4&lt;&gt;"02_임계 신규점1","",IF('⑨ 구배 자동계산'!I9="","",'⑨ 구배 자동계산'!I9))</f>
        <v/>
      </c>
      <c r="D16" s="43" t="str">
        <f>IF('⑨ 구배 자동계산'!$B$4&lt;&gt;"02_임계 신규점1","",IF('⑨ 구배 자동계산'!J9="","",'⑨ 구배 자동계산'!J9))</f>
        <v/>
      </c>
      <c r="E16" s="30" t="str">
        <f>IF('⑨ 구배 자동계산'!$B$4&lt;&gt;"02_임계 신규점1","",IF('⑨ 구배 자동계산'!K9="","",'⑨ 구배 자동계산'!K9))</f>
        <v/>
      </c>
      <c r="F16" s="43" t="str">
        <f>IF('⑨ 구배 자동계산'!$B$4&lt;&gt;"02_임계 신규점1","",IF('⑨ 구배 자동계산'!L9="","",'⑨ 구배 자동계산'!L9))</f>
        <v/>
      </c>
      <c r="G16" s="30" t="str">
        <f>IF('⑨ 구배 자동계산'!$B$4&lt;&gt;"02_임계 신규점1","",IF('⑨ 구배 자동계산'!M9="","",'⑨ 구배 자동계산'!M9))</f>
        <v/>
      </c>
      <c r="H16" s="43" t="str">
        <f>IF('⑨ 구배 자동계산'!$B$4&lt;&gt;"02_임계 신규점1","",IF('⑨ 구배 자동계산'!N9="","",'⑨ 구배 자동계산'!N9))</f>
        <v/>
      </c>
      <c r="I16" s="30" t="str">
        <f>IF('⑨ 구배 자동계산'!$B$4&lt;&gt;"02_임계 신규점1","",IF('⑨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자동계산'!$B$4&lt;&gt;"02_임계 신규점1","",IF('⑨ 구배 자동계산'!H10="","",'⑨ 구배 자동계산'!H10))</f>
        <v/>
      </c>
      <c r="C17" s="32" t="str">
        <f>IF('⑨ 구배 자동계산'!$B$4&lt;&gt;"02_임계 신규점1","",IF('⑨ 구배 자동계산'!I10="","",'⑨ 구배 자동계산'!I10))</f>
        <v/>
      </c>
      <c r="D17" s="44" t="str">
        <f>IF('⑨ 구배 자동계산'!$B$4&lt;&gt;"02_임계 신규점1","",IF('⑨ 구배 자동계산'!J10="","",'⑨ 구배 자동계산'!J10))</f>
        <v/>
      </c>
      <c r="E17" s="32" t="str">
        <f>IF('⑨ 구배 자동계산'!$B$4&lt;&gt;"02_임계 신규점1","",IF('⑨ 구배 자동계산'!K10="","",'⑨ 구배 자동계산'!K10))</f>
        <v/>
      </c>
      <c r="F17" s="44" t="str">
        <f>IF('⑨ 구배 자동계산'!$B$4&lt;&gt;"02_임계 신규점1","",IF('⑨ 구배 자동계산'!L10="","",'⑨ 구배 자동계산'!L10))</f>
        <v/>
      </c>
      <c r="G17" s="32" t="str">
        <f>IF('⑨ 구배 자동계산'!$B$4&lt;&gt;"02_임계 신규점1","",IF('⑨ 구배 자동계산'!M10="","",'⑨ 구배 자동계산'!M10))</f>
        <v/>
      </c>
      <c r="H17" s="44" t="str">
        <f>IF('⑨ 구배 자동계산'!$B$4&lt;&gt;"02_임계 신규점1","",IF('⑨ 구배 자동계산'!N10="","",'⑨ 구배 자동계산'!N10))</f>
        <v/>
      </c>
      <c r="I17" s="32" t="str">
        <f>IF('⑨ 구배 자동계산'!$B$4&lt;&gt;"02_임계 신규점1","",IF('⑨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자동계산'!$B$4&lt;&gt;"02_임계 신규점1","",IF('⑨ 구배 자동계산'!H11="","",'⑨ 구배 자동계산'!H11))</f>
        <v/>
      </c>
      <c r="C18" s="32" t="str">
        <f>IF('⑨ 구배 자동계산'!$B$4&lt;&gt;"02_임계 신규점1","",IF('⑨ 구배 자동계산'!I11="","",'⑨ 구배 자동계산'!I11))</f>
        <v/>
      </c>
      <c r="D18" s="44" t="str">
        <f>IF('⑨ 구배 자동계산'!$B$4&lt;&gt;"02_임계 신규점1","",IF('⑨ 구배 자동계산'!J11="","",'⑨ 구배 자동계산'!J11))</f>
        <v/>
      </c>
      <c r="E18" s="32" t="str">
        <f>IF('⑨ 구배 자동계산'!$B$4&lt;&gt;"02_임계 신규점1","",IF('⑨ 구배 자동계산'!K11="","",'⑨ 구배 자동계산'!K11))</f>
        <v/>
      </c>
      <c r="F18" s="44" t="str">
        <f>IF('⑨ 구배 자동계산'!$B$4&lt;&gt;"02_임계 신규점1","",IF('⑨ 구배 자동계산'!L11="","",'⑨ 구배 자동계산'!L11))</f>
        <v/>
      </c>
      <c r="G18" s="32" t="str">
        <f>IF('⑨ 구배 자동계산'!$B$4&lt;&gt;"02_임계 신규점1","",IF('⑨ 구배 자동계산'!M11="","",'⑨ 구배 자동계산'!M11))</f>
        <v/>
      </c>
      <c r="H18" s="44" t="str">
        <f>IF('⑨ 구배 자동계산'!$B$4&lt;&gt;"02_임계 신규점1","",IF('⑨ 구배 자동계산'!N11="","",'⑨ 구배 자동계산'!N11))</f>
        <v/>
      </c>
      <c r="I18" s="32" t="str">
        <f>IF('⑨ 구배 자동계산'!$B$4&lt;&gt;"02_임계 신규점1","",IF('⑨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자동계산'!$B$4&lt;&gt;"02_임계 신규점1","",IF('⑨ 구배 자동계산'!H12="","",'⑨ 구배 자동계산'!H12))</f>
        <v/>
      </c>
      <c r="C19" s="32" t="str">
        <f>IF('⑨ 구배 자동계산'!$B$4&lt;&gt;"02_임계 신규점1","",IF('⑨ 구배 자동계산'!I12="","",'⑨ 구배 자동계산'!I12))</f>
        <v/>
      </c>
      <c r="D19" s="44" t="str">
        <f>IF('⑨ 구배 자동계산'!$B$4&lt;&gt;"02_임계 신규점1","",IF('⑨ 구배 자동계산'!J12="","",'⑨ 구배 자동계산'!J12))</f>
        <v/>
      </c>
      <c r="E19" s="32" t="str">
        <f>IF('⑨ 구배 자동계산'!$B$4&lt;&gt;"02_임계 신규점1","",IF('⑨ 구배 자동계산'!K12="","",'⑨ 구배 자동계산'!K12))</f>
        <v/>
      </c>
      <c r="F19" s="44" t="str">
        <f>IF('⑨ 구배 자동계산'!$B$4&lt;&gt;"02_임계 신규점1","",IF('⑨ 구배 자동계산'!L12="","",'⑨ 구배 자동계산'!L12))</f>
        <v/>
      </c>
      <c r="G19" s="32" t="str">
        <f>IF('⑨ 구배 자동계산'!$B$4&lt;&gt;"02_임계 신규점1","",IF('⑨ 구배 자동계산'!M12="","",'⑨ 구배 자동계산'!M12))</f>
        <v/>
      </c>
      <c r="H19" s="44" t="str">
        <f>IF('⑨ 구배 자동계산'!$B$4&lt;&gt;"02_임계 신규점1","",IF('⑨ 구배 자동계산'!N12="","",'⑨ 구배 자동계산'!N12))</f>
        <v/>
      </c>
      <c r="I19" s="32" t="str">
        <f>IF('⑨ 구배 자동계산'!$B$4&lt;&gt;"02_임계 신규점1","",IF('⑨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자동계산'!$B$4&lt;&gt;"02_임계 신규점1","",IF('⑨ 구배 자동계산'!H13="","",'⑨ 구배 자동계산'!H13))</f>
        <v/>
      </c>
      <c r="C20" s="32" t="str">
        <f>IF('⑨ 구배 자동계산'!$B$4&lt;&gt;"02_임계 신규점1","",IF('⑨ 구배 자동계산'!I13="","",'⑨ 구배 자동계산'!I13))</f>
        <v/>
      </c>
      <c r="D20" s="44" t="str">
        <f>IF('⑨ 구배 자동계산'!$B$4&lt;&gt;"02_임계 신규점1","",IF('⑨ 구배 자동계산'!J13="","",'⑨ 구배 자동계산'!J13))</f>
        <v/>
      </c>
      <c r="E20" s="32" t="str">
        <f>IF('⑨ 구배 자동계산'!$B$4&lt;&gt;"02_임계 신규점1","",IF('⑨ 구배 자동계산'!K13="","",'⑨ 구배 자동계산'!K13))</f>
        <v/>
      </c>
      <c r="F20" s="44" t="str">
        <f>IF('⑨ 구배 자동계산'!$B$4&lt;&gt;"02_임계 신규점1","",IF('⑨ 구배 자동계산'!L13="","",'⑨ 구배 자동계산'!L13))</f>
        <v/>
      </c>
      <c r="G20" s="32" t="str">
        <f>IF('⑨ 구배 자동계산'!$B$4&lt;&gt;"02_임계 신규점1","",IF('⑨ 구배 자동계산'!M13="","",'⑨ 구배 자동계산'!M13))</f>
        <v/>
      </c>
      <c r="H20" s="44" t="str">
        <f>IF('⑨ 구배 자동계산'!$B$4&lt;&gt;"02_임계 신규점1","",IF('⑨ 구배 자동계산'!N13="","",'⑨ 구배 자동계산'!N13))</f>
        <v/>
      </c>
      <c r="I20" s="32" t="str">
        <f>IF('⑨ 구배 자동계산'!$B$4&lt;&gt;"02_임계 신규점1","",IF('⑨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자동계산'!$B$4&lt;&gt;"02_임계 신규점1","",IF('⑨ 구배 자동계산'!H14="","",'⑨ 구배 자동계산'!H14))</f>
        <v/>
      </c>
      <c r="C21" s="32" t="str">
        <f>IF('⑨ 구배 자동계산'!$B$4&lt;&gt;"02_임계 신규점1","",IF('⑨ 구배 자동계산'!I14="","",'⑨ 구배 자동계산'!I14))</f>
        <v/>
      </c>
      <c r="D21" s="44" t="str">
        <f>IF('⑨ 구배 자동계산'!$B$4&lt;&gt;"02_임계 신규점1","",IF('⑨ 구배 자동계산'!J14="","",'⑨ 구배 자동계산'!J14))</f>
        <v/>
      </c>
      <c r="E21" s="32" t="str">
        <f>IF('⑨ 구배 자동계산'!$B$4&lt;&gt;"02_임계 신규점1","",IF('⑨ 구배 자동계산'!K14="","",'⑨ 구배 자동계산'!K14))</f>
        <v/>
      </c>
      <c r="F21" s="44" t="str">
        <f>IF('⑨ 구배 자동계산'!$B$4&lt;&gt;"02_임계 신규점1","",IF('⑨ 구배 자동계산'!L14="","",'⑨ 구배 자동계산'!L14))</f>
        <v/>
      </c>
      <c r="G21" s="32" t="str">
        <f>IF('⑨ 구배 자동계산'!$B$4&lt;&gt;"02_임계 신규점1","",IF('⑨ 구배 자동계산'!M14="","",'⑨ 구배 자동계산'!M14))</f>
        <v/>
      </c>
      <c r="H21" s="44" t="str">
        <f>IF('⑨ 구배 자동계산'!$B$4&lt;&gt;"02_임계 신규점1","",IF('⑨ 구배 자동계산'!N14="","",'⑨ 구배 자동계산'!N14))</f>
        <v/>
      </c>
      <c r="I21" s="32" t="str">
        <f>IF('⑨ 구배 자동계산'!$B$4&lt;&gt;"02_임계 신규점1","",IF('⑨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자동계산'!$B$4&lt;&gt;"02_임계 신규점1","",IF('⑨ 구배 자동계산'!H15="","",'⑨ 구배 자동계산'!H15))</f>
        <v/>
      </c>
      <c r="C22" s="32" t="str">
        <f>IF('⑨ 구배 자동계산'!$B$4&lt;&gt;"02_임계 신규점1","",IF('⑨ 구배 자동계산'!I15="","",'⑨ 구배 자동계산'!I15))</f>
        <v/>
      </c>
      <c r="D22" s="44" t="str">
        <f>IF('⑨ 구배 자동계산'!$B$4&lt;&gt;"02_임계 신규점1","",IF('⑨ 구배 자동계산'!J15="","",'⑨ 구배 자동계산'!J15))</f>
        <v/>
      </c>
      <c r="E22" s="32" t="str">
        <f>IF('⑨ 구배 자동계산'!$B$4&lt;&gt;"02_임계 신규점1","",IF('⑨ 구배 자동계산'!K15="","",'⑨ 구배 자동계산'!K15))</f>
        <v/>
      </c>
      <c r="F22" s="44" t="str">
        <f>IF('⑨ 구배 자동계산'!$B$4&lt;&gt;"02_임계 신규점1","",IF('⑨ 구배 자동계산'!L15="","",'⑨ 구배 자동계산'!L15))</f>
        <v/>
      </c>
      <c r="G22" s="32" t="str">
        <f>IF('⑨ 구배 자동계산'!$B$4&lt;&gt;"02_임계 신규점1","",IF('⑨ 구배 자동계산'!M15="","",'⑨ 구배 자동계산'!M15))</f>
        <v/>
      </c>
      <c r="H22" s="44" t="str">
        <f>IF('⑨ 구배 자동계산'!$B$4&lt;&gt;"02_임계 신규점1","",IF('⑨ 구배 자동계산'!N15="","",'⑨ 구배 자동계산'!N15))</f>
        <v/>
      </c>
      <c r="I22" s="32" t="str">
        <f>IF('⑨ 구배 자동계산'!$B$4&lt;&gt;"02_임계 신규점1","",IF('⑨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자동계산'!$B$4&lt;&gt;"02_임계 신규점1","",IF('⑨ 구배 자동계산'!H16="","",'⑨ 구배 자동계산'!H16))</f>
        <v/>
      </c>
      <c r="C23" s="32" t="str">
        <f>IF('⑨ 구배 자동계산'!$B$4&lt;&gt;"02_임계 신규점1","",IF('⑨ 구배 자동계산'!I16="","",'⑨ 구배 자동계산'!I16))</f>
        <v/>
      </c>
      <c r="D23" s="44" t="str">
        <f>IF('⑨ 구배 자동계산'!$B$4&lt;&gt;"02_임계 신규점1","",IF('⑨ 구배 자동계산'!J16="","",'⑨ 구배 자동계산'!J16))</f>
        <v/>
      </c>
      <c r="E23" s="32" t="str">
        <f>IF('⑨ 구배 자동계산'!$B$4&lt;&gt;"02_임계 신규점1","",IF('⑨ 구배 자동계산'!K16="","",'⑨ 구배 자동계산'!K16))</f>
        <v/>
      </c>
      <c r="F23" s="44" t="str">
        <f>IF('⑨ 구배 자동계산'!$B$4&lt;&gt;"02_임계 신규점1","",IF('⑨ 구배 자동계산'!L16="","",'⑨ 구배 자동계산'!L16))</f>
        <v/>
      </c>
      <c r="G23" s="32" t="str">
        <f>IF('⑨ 구배 자동계산'!$B$4&lt;&gt;"02_임계 신규점1","",IF('⑨ 구배 자동계산'!M16="","",'⑨ 구배 자동계산'!M16))</f>
        <v/>
      </c>
      <c r="H23" s="44" t="str">
        <f>IF('⑨ 구배 자동계산'!$B$4&lt;&gt;"02_임계 신규점1","",IF('⑨ 구배 자동계산'!N16="","",'⑨ 구배 자동계산'!N16))</f>
        <v/>
      </c>
      <c r="I23" s="32" t="str">
        <f>IF('⑨ 구배 자동계산'!$B$4&lt;&gt;"02_임계 신규점1","",IF('⑨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자동계산'!$B$4&lt;&gt;"02_임계 신규점1","",IF('⑨ 구배 자동계산'!H17="","",'⑨ 구배 자동계산'!H17))</f>
        <v/>
      </c>
      <c r="C24" s="32" t="str">
        <f>IF('⑨ 구배 자동계산'!$B$4&lt;&gt;"02_임계 신규점1","",IF('⑨ 구배 자동계산'!I17="","",'⑨ 구배 자동계산'!I17))</f>
        <v/>
      </c>
      <c r="D24" s="44" t="str">
        <f>IF('⑨ 구배 자동계산'!$B$4&lt;&gt;"02_임계 신규점1","",IF('⑨ 구배 자동계산'!J17="","",'⑨ 구배 자동계산'!J17))</f>
        <v/>
      </c>
      <c r="E24" s="32" t="str">
        <f>IF('⑨ 구배 자동계산'!$B$4&lt;&gt;"02_임계 신규점1","",IF('⑨ 구배 자동계산'!K17="","",'⑨ 구배 자동계산'!K17))</f>
        <v/>
      </c>
      <c r="F24" s="44" t="str">
        <f>IF('⑨ 구배 자동계산'!$B$4&lt;&gt;"02_임계 신규점1","",IF('⑨ 구배 자동계산'!L17="","",'⑨ 구배 자동계산'!L17))</f>
        <v/>
      </c>
      <c r="G24" s="32" t="str">
        <f>IF('⑨ 구배 자동계산'!$B$4&lt;&gt;"02_임계 신규점1","",IF('⑨ 구배 자동계산'!M17="","",'⑨ 구배 자동계산'!M17))</f>
        <v/>
      </c>
      <c r="H24" s="44" t="str">
        <f>IF('⑨ 구배 자동계산'!$B$4&lt;&gt;"02_임계 신규점1","",IF('⑨ 구배 자동계산'!N17="","",'⑨ 구배 자동계산'!N17))</f>
        <v/>
      </c>
      <c r="I24" s="32" t="str">
        <f>IF('⑨ 구배 자동계산'!$B$4&lt;&gt;"02_임계 신규점1","",IF('⑨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자동계산'!$B$4&lt;&gt;"02_임계 신규점1","",IF('⑨ 구배 자동계산'!H18="","",'⑨ 구배 자동계산'!H18))</f>
        <v/>
      </c>
      <c r="C25" s="32" t="str">
        <f>IF('⑨ 구배 자동계산'!$B$4&lt;&gt;"02_임계 신규점1","",IF('⑨ 구배 자동계산'!I18="","",'⑨ 구배 자동계산'!I18))</f>
        <v/>
      </c>
      <c r="D25" s="44" t="str">
        <f>IF('⑨ 구배 자동계산'!$B$4&lt;&gt;"02_임계 신규점1","",IF('⑨ 구배 자동계산'!J18="","",'⑨ 구배 자동계산'!J18))</f>
        <v/>
      </c>
      <c r="E25" s="32" t="str">
        <f>IF('⑨ 구배 자동계산'!$B$4&lt;&gt;"02_임계 신규점1","",IF('⑨ 구배 자동계산'!K18="","",'⑨ 구배 자동계산'!K18))</f>
        <v/>
      </c>
      <c r="F25" s="44" t="str">
        <f>IF('⑨ 구배 자동계산'!$B$4&lt;&gt;"02_임계 신규점1","",IF('⑨ 구배 자동계산'!L18="","",'⑨ 구배 자동계산'!L18))</f>
        <v/>
      </c>
      <c r="G25" s="32" t="str">
        <f>IF('⑨ 구배 자동계산'!$B$4&lt;&gt;"02_임계 신규점1","",IF('⑨ 구배 자동계산'!M18="","",'⑨ 구배 자동계산'!M18))</f>
        <v/>
      </c>
      <c r="H25" s="44" t="str">
        <f>IF('⑨ 구배 자동계산'!$B$4&lt;&gt;"02_임계 신규점1","",IF('⑨ 구배 자동계산'!N18="","",'⑨ 구배 자동계산'!N18))</f>
        <v/>
      </c>
      <c r="I25" s="32" t="str">
        <f>IF('⑨ 구배 자동계산'!$B$4&lt;&gt;"02_임계 신규점1","",IF('⑨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자동계산'!$B$4&lt;&gt;"02_임계 신규점1","",IF('⑨ 구배 자동계산'!H19="","",'⑨ 구배 자동계산'!H19))</f>
        <v/>
      </c>
      <c r="C26" s="32" t="str">
        <f>IF('⑨ 구배 자동계산'!$B$4&lt;&gt;"02_임계 신규점1","",IF('⑨ 구배 자동계산'!I19="","",'⑨ 구배 자동계산'!I19))</f>
        <v/>
      </c>
      <c r="D26" s="44" t="str">
        <f>IF('⑨ 구배 자동계산'!$B$4&lt;&gt;"02_임계 신규점1","",IF('⑨ 구배 자동계산'!J19="","",'⑨ 구배 자동계산'!J19))</f>
        <v/>
      </c>
      <c r="E26" s="32" t="str">
        <f>IF('⑨ 구배 자동계산'!$B$4&lt;&gt;"02_임계 신규점1","",IF('⑨ 구배 자동계산'!K19="","",'⑨ 구배 자동계산'!K19))</f>
        <v/>
      </c>
      <c r="F26" s="44" t="str">
        <f>IF('⑨ 구배 자동계산'!$B$4&lt;&gt;"02_임계 신규점1","",IF('⑨ 구배 자동계산'!L19="","",'⑨ 구배 자동계산'!L19))</f>
        <v/>
      </c>
      <c r="G26" s="32" t="str">
        <f>IF('⑨ 구배 자동계산'!$B$4&lt;&gt;"02_임계 신규점1","",IF('⑨ 구배 자동계산'!M19="","",'⑨ 구배 자동계산'!M19))</f>
        <v/>
      </c>
      <c r="H26" s="44" t="str">
        <f>IF('⑨ 구배 자동계산'!$B$4&lt;&gt;"02_임계 신규점1","",IF('⑨ 구배 자동계산'!N19="","",'⑨ 구배 자동계산'!N19))</f>
        <v/>
      </c>
      <c r="I26" s="32" t="str">
        <f>IF('⑨ 구배 자동계산'!$B$4&lt;&gt;"02_임계 신규점1","",IF('⑨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자동계산'!$B$4&lt;&gt;"02_임계 신규점1","",IF('⑨ 구배 자동계산'!H20="","",'⑨ 구배 자동계산'!H20))</f>
        <v/>
      </c>
      <c r="C27" s="41" t="str">
        <f>IF('⑨ 구배 자동계산'!$B$4&lt;&gt;"02_임계 신규점1","",IF('⑨ 구배 자동계산'!I20="","",'⑨ 구배 자동계산'!I20))</f>
        <v/>
      </c>
      <c r="D27" s="45" t="str">
        <f>IF('⑨ 구배 자동계산'!$B$4&lt;&gt;"02_임계 신규점1","",IF('⑨ 구배 자동계산'!J20="","",'⑨ 구배 자동계산'!J20))</f>
        <v/>
      </c>
      <c r="E27" s="41" t="str">
        <f>IF('⑨ 구배 자동계산'!$B$4&lt;&gt;"02_임계 신규점1","",IF('⑨ 구배 자동계산'!K20="","",'⑨ 구배 자동계산'!K20))</f>
        <v/>
      </c>
      <c r="F27" s="45" t="str">
        <f>IF('⑨ 구배 자동계산'!$B$4&lt;&gt;"02_임계 신규점1","",IF('⑨ 구배 자동계산'!L20="","",'⑨ 구배 자동계산'!L20))</f>
        <v/>
      </c>
      <c r="G27" s="41" t="str">
        <f>IF('⑨ 구배 자동계산'!$B$4&lt;&gt;"02_임계 신규점1","",IF('⑨ 구배 자동계산'!M20="","",'⑨ 구배 자동계산'!M20))</f>
        <v/>
      </c>
      <c r="H27" s="45" t="str">
        <f>IF('⑨ 구배 자동계산'!$B$4&lt;&gt;"02_임계 신규점1","",IF('⑨ 구배 자동계산'!N20="","",'⑨ 구배 자동계산'!N20))</f>
        <v/>
      </c>
      <c r="I27" s="41" t="str">
        <f>IF('⑨ 구배 자동계산'!$B$4&lt;&gt;"02_임계 신규점1","",IF('⑨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자동계산'!$B$4&lt;&gt;"02_임계 신규점1","",IF('⑨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자동계산'!$B$4&lt;&gt;"02_임계 신규점1","",IF('⑨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자동계산'!$B$4&lt;&gt;"02_임계 신규점1","",IF('⑨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자동계산'!$B$4&lt;&gt;"02_임계 신규점1","",IF('⑨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자동계산'!$B$4&lt;&gt;"02_임계 신규점1","",IF('⑨ 구배 자동계산'!I23="","",'⑨ 구배 자동계산'!I23))</f>
        <v/>
      </c>
      <c r="D42" s="8"/>
      <c r="E42" s="8"/>
      <c r="F42" s="8"/>
      <c r="G42" s="92" t="str">
        <f>IF('⑨ 구배 자동계산'!$B$4&lt;&gt;"02_임계 신규점1","",IF('⑨ 구배 자동계산'!$J23="","",'⑨ 구배 자동계산'!$J23&amp;"  ·  "&amp;'⑨ 구배 자동계산'!$L23))</f>
        <v/>
      </c>
      <c r="H42" s="93"/>
      <c r="I42" s="93"/>
    </row>
    <row r="43" spans="1:35" ht="19.95" customHeight="1" x14ac:dyDescent="0.4">
      <c r="A43" s="8">
        <v>3</v>
      </c>
      <c r="B43" s="33">
        <v>140</v>
      </c>
      <c r="C43" s="32" t="str">
        <f>IF('⑨ 구배 자동계산'!$B$4&lt;&gt;"02_임계 신규점1","",IF('⑨ 구배 자동계산'!I24="","",'⑨ 구배 자동계산'!I24))</f>
        <v/>
      </c>
      <c r="D43" s="34">
        <f>IF(COUNT(B43,B42)&lt;2,"",(B42-B43)/100)</f>
        <v>0.45</v>
      </c>
      <c r="E43" s="35" t="str">
        <f>IF(COUNT(C43,C42)&lt;2,"",C43-C42)</f>
        <v/>
      </c>
      <c r="F43" s="36" t="str">
        <f>IF(OR(D43="",E43="",D43=0),"",E43/D43)</f>
        <v/>
      </c>
      <c r="G43" s="92" t="str">
        <f>IF('⑨ 구배 자동계산'!$B$4&lt;&gt;"02_임계 신규점1","",IF('⑨ 구배 자동계산'!$J24="","",'⑨ 구배 자동계산'!$J24&amp;"  ·  "&amp;'⑨ 구배 자동계산'!$L24))</f>
        <v/>
      </c>
      <c r="H43" s="93"/>
      <c r="I43" s="93"/>
      <c r="AH43" t="s">
        <v>234</v>
      </c>
    </row>
    <row r="44" spans="1:35" ht="19.95" customHeight="1" x14ac:dyDescent="0.4">
      <c r="A44" s="8">
        <v>2</v>
      </c>
      <c r="B44" s="33">
        <v>95</v>
      </c>
      <c r="C44" s="32" t="str">
        <f>IF('⑨ 구배 자동계산'!$B$4&lt;&gt;"02_임계 신규점1","",IF('⑨ 구배 자동계산'!I25="","",'⑨ 구배 자동계산'!I25))</f>
        <v/>
      </c>
      <c r="D44" s="34">
        <f>IF(COUNT(B44,B43)&lt;2,"",(B43-B44)/100)</f>
        <v>0.45</v>
      </c>
      <c r="E44" s="35" t="str">
        <f>IF(COUNT(C44,C43)&lt;2,"",C44-C43)</f>
        <v/>
      </c>
      <c r="F44" s="36" t="str">
        <f>IF(OR(D44="",E44="",D44=0),"",E44/D44)</f>
        <v/>
      </c>
      <c r="G44" s="92" t="str">
        <f>IF('⑨ 구배 자동계산'!$B$4&lt;&gt;"02_임계 신규점1","",IF('⑨ 구배 자동계산'!$J25="","",'⑨ 구배 자동계산'!$J25&amp;"  ·  "&amp;'⑨ 구배 자동계산'!$L25))</f>
        <v/>
      </c>
      <c r="H44" s="93"/>
      <c r="I44" s="93"/>
    </row>
    <row r="45" spans="1:35" ht="19.95" customHeight="1" x14ac:dyDescent="0.4">
      <c r="A45" s="8">
        <v>1</v>
      </c>
      <c r="B45" s="33">
        <v>50</v>
      </c>
      <c r="C45" s="32" t="str">
        <f>IF('⑨ 구배 자동계산'!$B$4&lt;&gt;"02_임계 신규점1","",IF('⑨ 구배 자동계산'!I26="","",'⑨ 구배 자동계산'!I26))</f>
        <v/>
      </c>
      <c r="D45" s="34">
        <f>IF(COUNT(B45,B44)&lt;2,"",(B44-B45)/100)</f>
        <v>0.45</v>
      </c>
      <c r="E45" s="35" t="str">
        <f>IF(COUNT(C45,C44)&lt;2,"",C45-C44)</f>
        <v/>
      </c>
      <c r="F45" s="36" t="str">
        <f>IF(OR(D45="",E45="",D45=0),"",E45/D45)</f>
        <v/>
      </c>
      <c r="G45" s="92" t="str">
        <f>IF('⑨ 구배 자동계산'!$B$4&lt;&gt;"02_임계 신규점1","",IF('⑨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IF(COUNT(B50,E50)&lt;2,"",ROUND(SQRT(((128.973865-E50)*111320*COS(RADIANS(37.359346)))^2+((37.359346-B50)*110574)^2),1))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S02-P0a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44" priority="1">
      <formula>AND(ISNUMBER(C31),C31&gt;50)</formula>
    </cfRule>
  </conditionalFormatting>
  <conditionalFormatting sqref="D7">
    <cfRule type="expression" dxfId="243" priority="3" stopIfTrue="1">
      <formula>AND($D$7&lt;&gt;"",VALUE(LEFT($D$7,1))&lt;5)</formula>
    </cfRule>
    <cfRule type="expression" dxfId="242" priority="4" stopIfTrue="1">
      <formula>AND($D$7&lt;&gt;"",VALUE(LEFT($D$7,1))&gt;=5)</formula>
    </cfRule>
  </conditionalFormatting>
  <conditionalFormatting sqref="E7">
    <cfRule type="expression" dxfId="241" priority="5" stopIfTrue="1">
      <formula>AND($E$7&lt;&gt;"",VALUE(LEFT($E$7,1))&lt;5)</formula>
    </cfRule>
    <cfRule type="expression" dxfId="24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617C1B9A-E28B-4296-A0CE-513E860A3C72}">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91994274-AFF9-43D7-B7ED-99F6892AD7D5}">
      <formula1>DATE(2026,1,1)</formula1>
      <formula2>DATE(2027,12,31)</formula2>
    </dataValidation>
    <dataValidation type="list" allowBlank="1" sqref="C7" xr:uid="{525A577B-51FC-4F56-B9CB-50FD7439F897}">
      <formula1>"맑음,구름 조금,흐림,비,눈,바람 강함"</formula1>
    </dataValidation>
    <dataValidation type="list" allowBlank="1" sqref="H50" xr:uid="{CBE4F933-2595-4B92-ADE2-57E58E1FC0A4}">
      <formula1>"RTK-GNSS,네트워크RTK,정적GNSS,휴대GNSS"</formula1>
    </dataValidation>
    <dataValidation type="list" allowBlank="1" sqref="B109" xr:uid="{1B4FE38E-B26E-4277-9843-DA795E6AC15B}">
      <formula1>"동일,조정"</formula1>
    </dataValidation>
    <dataValidation type="list" allowBlank="1" showInputMessage="1" showErrorMessage="1" sqref="F56:F57" xr:uid="{14A24BD4-2D13-4F14-BFE9-5165599D8837}">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&amp;RS02 임계 신규점1</oddHeader>
    <oddFooter>&amp;C&amp;9 &amp;P / &amp;N</oddFooter>
  </headerFooter>
  <rowBreaks count="3" manualBreakCount="3">
    <brk id="38" max="16383" man="1"/>
    <brk id="58" max="16383" man="1"/>
    <brk id="106"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675B4-F564-4492-8B74-B9A7A0D2AC24}">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357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358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359</v>
      </c>
      <c r="B3" s="68"/>
      <c r="C3" s="68"/>
      <c r="D3" s="68"/>
      <c r="E3" s="68"/>
      <c r="F3" s="8" t="s">
        <v>154</v>
      </c>
      <c r="G3" s="6"/>
      <c r="H3" s="8" t="s">
        <v>155</v>
      </c>
      <c r="I3" s="9" t="s">
        <v>360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자동계산'!$B$4="03_예산 신규점2","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자동계산'!$B$4&lt;&gt;"03_예산 신규점2","",IF('⑨ 구배 자동계산'!H9="","",'⑨ 구배 자동계산'!H9))</f>
        <v/>
      </c>
      <c r="C16" s="30" t="str">
        <f>IF('⑨ 구배 자동계산'!$B$4&lt;&gt;"03_예산 신규점2","",IF('⑨ 구배 자동계산'!I9="","",'⑨ 구배 자동계산'!I9))</f>
        <v/>
      </c>
      <c r="D16" s="43" t="str">
        <f>IF('⑨ 구배 자동계산'!$B$4&lt;&gt;"03_예산 신규점2","",IF('⑨ 구배 자동계산'!J9="","",'⑨ 구배 자동계산'!J9))</f>
        <v/>
      </c>
      <c r="E16" s="30" t="str">
        <f>IF('⑨ 구배 자동계산'!$B$4&lt;&gt;"03_예산 신규점2","",IF('⑨ 구배 자동계산'!K9="","",'⑨ 구배 자동계산'!K9))</f>
        <v/>
      </c>
      <c r="F16" s="43" t="str">
        <f>IF('⑨ 구배 자동계산'!$B$4&lt;&gt;"03_예산 신규점2","",IF('⑨ 구배 자동계산'!L9="","",'⑨ 구배 자동계산'!L9))</f>
        <v/>
      </c>
      <c r="G16" s="30" t="str">
        <f>IF('⑨ 구배 자동계산'!$B$4&lt;&gt;"03_예산 신규점2","",IF('⑨ 구배 자동계산'!M9="","",'⑨ 구배 자동계산'!M9))</f>
        <v/>
      </c>
      <c r="H16" s="43" t="str">
        <f>IF('⑨ 구배 자동계산'!$B$4&lt;&gt;"03_예산 신규점2","",IF('⑨ 구배 자동계산'!N9="","",'⑨ 구배 자동계산'!N9))</f>
        <v/>
      </c>
      <c r="I16" s="30" t="str">
        <f>IF('⑨ 구배 자동계산'!$B$4&lt;&gt;"03_예산 신규점2","",IF('⑨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자동계산'!$B$4&lt;&gt;"03_예산 신규점2","",IF('⑨ 구배 자동계산'!H10="","",'⑨ 구배 자동계산'!H10))</f>
        <v/>
      </c>
      <c r="C17" s="32" t="str">
        <f>IF('⑨ 구배 자동계산'!$B$4&lt;&gt;"03_예산 신규점2","",IF('⑨ 구배 자동계산'!I10="","",'⑨ 구배 자동계산'!I10))</f>
        <v/>
      </c>
      <c r="D17" s="44" t="str">
        <f>IF('⑨ 구배 자동계산'!$B$4&lt;&gt;"03_예산 신규점2","",IF('⑨ 구배 자동계산'!J10="","",'⑨ 구배 자동계산'!J10))</f>
        <v/>
      </c>
      <c r="E17" s="32" t="str">
        <f>IF('⑨ 구배 자동계산'!$B$4&lt;&gt;"03_예산 신규점2","",IF('⑨ 구배 자동계산'!K10="","",'⑨ 구배 자동계산'!K10))</f>
        <v/>
      </c>
      <c r="F17" s="44" t="str">
        <f>IF('⑨ 구배 자동계산'!$B$4&lt;&gt;"03_예산 신규점2","",IF('⑨ 구배 자동계산'!L10="","",'⑨ 구배 자동계산'!L10))</f>
        <v/>
      </c>
      <c r="G17" s="32" t="str">
        <f>IF('⑨ 구배 자동계산'!$B$4&lt;&gt;"03_예산 신규점2","",IF('⑨ 구배 자동계산'!M10="","",'⑨ 구배 자동계산'!M10))</f>
        <v/>
      </c>
      <c r="H17" s="44" t="str">
        <f>IF('⑨ 구배 자동계산'!$B$4&lt;&gt;"03_예산 신규점2","",IF('⑨ 구배 자동계산'!N10="","",'⑨ 구배 자동계산'!N10))</f>
        <v/>
      </c>
      <c r="I17" s="32" t="str">
        <f>IF('⑨ 구배 자동계산'!$B$4&lt;&gt;"03_예산 신규점2","",IF('⑨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자동계산'!$B$4&lt;&gt;"03_예산 신규점2","",IF('⑨ 구배 자동계산'!H11="","",'⑨ 구배 자동계산'!H11))</f>
        <v/>
      </c>
      <c r="C18" s="32" t="str">
        <f>IF('⑨ 구배 자동계산'!$B$4&lt;&gt;"03_예산 신규점2","",IF('⑨ 구배 자동계산'!I11="","",'⑨ 구배 자동계산'!I11))</f>
        <v/>
      </c>
      <c r="D18" s="44" t="str">
        <f>IF('⑨ 구배 자동계산'!$B$4&lt;&gt;"03_예산 신규점2","",IF('⑨ 구배 자동계산'!J11="","",'⑨ 구배 자동계산'!J11))</f>
        <v/>
      </c>
      <c r="E18" s="32" t="str">
        <f>IF('⑨ 구배 자동계산'!$B$4&lt;&gt;"03_예산 신규점2","",IF('⑨ 구배 자동계산'!K11="","",'⑨ 구배 자동계산'!K11))</f>
        <v/>
      </c>
      <c r="F18" s="44" t="str">
        <f>IF('⑨ 구배 자동계산'!$B$4&lt;&gt;"03_예산 신규점2","",IF('⑨ 구배 자동계산'!L11="","",'⑨ 구배 자동계산'!L11))</f>
        <v/>
      </c>
      <c r="G18" s="32" t="str">
        <f>IF('⑨ 구배 자동계산'!$B$4&lt;&gt;"03_예산 신규점2","",IF('⑨ 구배 자동계산'!M11="","",'⑨ 구배 자동계산'!M11))</f>
        <v/>
      </c>
      <c r="H18" s="44" t="str">
        <f>IF('⑨ 구배 자동계산'!$B$4&lt;&gt;"03_예산 신규점2","",IF('⑨ 구배 자동계산'!N11="","",'⑨ 구배 자동계산'!N11))</f>
        <v/>
      </c>
      <c r="I18" s="32" t="str">
        <f>IF('⑨ 구배 자동계산'!$B$4&lt;&gt;"03_예산 신규점2","",IF('⑨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자동계산'!$B$4&lt;&gt;"03_예산 신규점2","",IF('⑨ 구배 자동계산'!H12="","",'⑨ 구배 자동계산'!H12))</f>
        <v/>
      </c>
      <c r="C19" s="32" t="str">
        <f>IF('⑨ 구배 자동계산'!$B$4&lt;&gt;"03_예산 신규점2","",IF('⑨ 구배 자동계산'!I12="","",'⑨ 구배 자동계산'!I12))</f>
        <v/>
      </c>
      <c r="D19" s="44" t="str">
        <f>IF('⑨ 구배 자동계산'!$B$4&lt;&gt;"03_예산 신규점2","",IF('⑨ 구배 자동계산'!J12="","",'⑨ 구배 자동계산'!J12))</f>
        <v/>
      </c>
      <c r="E19" s="32" t="str">
        <f>IF('⑨ 구배 자동계산'!$B$4&lt;&gt;"03_예산 신규점2","",IF('⑨ 구배 자동계산'!K12="","",'⑨ 구배 자동계산'!K12))</f>
        <v/>
      </c>
      <c r="F19" s="44" t="str">
        <f>IF('⑨ 구배 자동계산'!$B$4&lt;&gt;"03_예산 신규점2","",IF('⑨ 구배 자동계산'!L12="","",'⑨ 구배 자동계산'!L12))</f>
        <v/>
      </c>
      <c r="G19" s="32" t="str">
        <f>IF('⑨ 구배 자동계산'!$B$4&lt;&gt;"03_예산 신규점2","",IF('⑨ 구배 자동계산'!M12="","",'⑨ 구배 자동계산'!M12))</f>
        <v/>
      </c>
      <c r="H19" s="44" t="str">
        <f>IF('⑨ 구배 자동계산'!$B$4&lt;&gt;"03_예산 신규점2","",IF('⑨ 구배 자동계산'!N12="","",'⑨ 구배 자동계산'!N12))</f>
        <v/>
      </c>
      <c r="I19" s="32" t="str">
        <f>IF('⑨ 구배 자동계산'!$B$4&lt;&gt;"03_예산 신규점2","",IF('⑨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자동계산'!$B$4&lt;&gt;"03_예산 신규점2","",IF('⑨ 구배 자동계산'!H13="","",'⑨ 구배 자동계산'!H13))</f>
        <v/>
      </c>
      <c r="C20" s="32" t="str">
        <f>IF('⑨ 구배 자동계산'!$B$4&lt;&gt;"03_예산 신규점2","",IF('⑨ 구배 자동계산'!I13="","",'⑨ 구배 자동계산'!I13))</f>
        <v/>
      </c>
      <c r="D20" s="44" t="str">
        <f>IF('⑨ 구배 자동계산'!$B$4&lt;&gt;"03_예산 신규점2","",IF('⑨ 구배 자동계산'!J13="","",'⑨ 구배 자동계산'!J13))</f>
        <v/>
      </c>
      <c r="E20" s="32" t="str">
        <f>IF('⑨ 구배 자동계산'!$B$4&lt;&gt;"03_예산 신규점2","",IF('⑨ 구배 자동계산'!K13="","",'⑨ 구배 자동계산'!K13))</f>
        <v/>
      </c>
      <c r="F20" s="44" t="str">
        <f>IF('⑨ 구배 자동계산'!$B$4&lt;&gt;"03_예산 신규점2","",IF('⑨ 구배 자동계산'!L13="","",'⑨ 구배 자동계산'!L13))</f>
        <v/>
      </c>
      <c r="G20" s="32" t="str">
        <f>IF('⑨ 구배 자동계산'!$B$4&lt;&gt;"03_예산 신규점2","",IF('⑨ 구배 자동계산'!M13="","",'⑨ 구배 자동계산'!M13))</f>
        <v/>
      </c>
      <c r="H20" s="44" t="str">
        <f>IF('⑨ 구배 자동계산'!$B$4&lt;&gt;"03_예산 신규점2","",IF('⑨ 구배 자동계산'!N13="","",'⑨ 구배 자동계산'!N13))</f>
        <v/>
      </c>
      <c r="I20" s="32" t="str">
        <f>IF('⑨ 구배 자동계산'!$B$4&lt;&gt;"03_예산 신규점2","",IF('⑨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자동계산'!$B$4&lt;&gt;"03_예산 신규점2","",IF('⑨ 구배 자동계산'!H14="","",'⑨ 구배 자동계산'!H14))</f>
        <v/>
      </c>
      <c r="C21" s="32" t="str">
        <f>IF('⑨ 구배 자동계산'!$B$4&lt;&gt;"03_예산 신규점2","",IF('⑨ 구배 자동계산'!I14="","",'⑨ 구배 자동계산'!I14))</f>
        <v/>
      </c>
      <c r="D21" s="44" t="str">
        <f>IF('⑨ 구배 자동계산'!$B$4&lt;&gt;"03_예산 신규점2","",IF('⑨ 구배 자동계산'!J14="","",'⑨ 구배 자동계산'!J14))</f>
        <v/>
      </c>
      <c r="E21" s="32" t="str">
        <f>IF('⑨ 구배 자동계산'!$B$4&lt;&gt;"03_예산 신규점2","",IF('⑨ 구배 자동계산'!K14="","",'⑨ 구배 자동계산'!K14))</f>
        <v/>
      </c>
      <c r="F21" s="44" t="str">
        <f>IF('⑨ 구배 자동계산'!$B$4&lt;&gt;"03_예산 신규점2","",IF('⑨ 구배 자동계산'!L14="","",'⑨ 구배 자동계산'!L14))</f>
        <v/>
      </c>
      <c r="G21" s="32" t="str">
        <f>IF('⑨ 구배 자동계산'!$B$4&lt;&gt;"03_예산 신규점2","",IF('⑨ 구배 자동계산'!M14="","",'⑨ 구배 자동계산'!M14))</f>
        <v/>
      </c>
      <c r="H21" s="44" t="str">
        <f>IF('⑨ 구배 자동계산'!$B$4&lt;&gt;"03_예산 신규점2","",IF('⑨ 구배 자동계산'!N14="","",'⑨ 구배 자동계산'!N14))</f>
        <v/>
      </c>
      <c r="I21" s="32" t="str">
        <f>IF('⑨ 구배 자동계산'!$B$4&lt;&gt;"03_예산 신규점2","",IF('⑨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자동계산'!$B$4&lt;&gt;"03_예산 신규점2","",IF('⑨ 구배 자동계산'!H15="","",'⑨ 구배 자동계산'!H15))</f>
        <v/>
      </c>
      <c r="C22" s="32" t="str">
        <f>IF('⑨ 구배 자동계산'!$B$4&lt;&gt;"03_예산 신규점2","",IF('⑨ 구배 자동계산'!I15="","",'⑨ 구배 자동계산'!I15))</f>
        <v/>
      </c>
      <c r="D22" s="44" t="str">
        <f>IF('⑨ 구배 자동계산'!$B$4&lt;&gt;"03_예산 신규점2","",IF('⑨ 구배 자동계산'!J15="","",'⑨ 구배 자동계산'!J15))</f>
        <v/>
      </c>
      <c r="E22" s="32" t="str">
        <f>IF('⑨ 구배 자동계산'!$B$4&lt;&gt;"03_예산 신규점2","",IF('⑨ 구배 자동계산'!K15="","",'⑨ 구배 자동계산'!K15))</f>
        <v/>
      </c>
      <c r="F22" s="44" t="str">
        <f>IF('⑨ 구배 자동계산'!$B$4&lt;&gt;"03_예산 신규점2","",IF('⑨ 구배 자동계산'!L15="","",'⑨ 구배 자동계산'!L15))</f>
        <v/>
      </c>
      <c r="G22" s="32" t="str">
        <f>IF('⑨ 구배 자동계산'!$B$4&lt;&gt;"03_예산 신규점2","",IF('⑨ 구배 자동계산'!M15="","",'⑨ 구배 자동계산'!M15))</f>
        <v/>
      </c>
      <c r="H22" s="44" t="str">
        <f>IF('⑨ 구배 자동계산'!$B$4&lt;&gt;"03_예산 신규점2","",IF('⑨ 구배 자동계산'!N15="","",'⑨ 구배 자동계산'!N15))</f>
        <v/>
      </c>
      <c r="I22" s="32" t="str">
        <f>IF('⑨ 구배 자동계산'!$B$4&lt;&gt;"03_예산 신규점2","",IF('⑨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자동계산'!$B$4&lt;&gt;"03_예산 신규점2","",IF('⑨ 구배 자동계산'!H16="","",'⑨ 구배 자동계산'!H16))</f>
        <v/>
      </c>
      <c r="C23" s="32" t="str">
        <f>IF('⑨ 구배 자동계산'!$B$4&lt;&gt;"03_예산 신규점2","",IF('⑨ 구배 자동계산'!I16="","",'⑨ 구배 자동계산'!I16))</f>
        <v/>
      </c>
      <c r="D23" s="44" t="str">
        <f>IF('⑨ 구배 자동계산'!$B$4&lt;&gt;"03_예산 신규점2","",IF('⑨ 구배 자동계산'!J16="","",'⑨ 구배 자동계산'!J16))</f>
        <v/>
      </c>
      <c r="E23" s="32" t="str">
        <f>IF('⑨ 구배 자동계산'!$B$4&lt;&gt;"03_예산 신규점2","",IF('⑨ 구배 자동계산'!K16="","",'⑨ 구배 자동계산'!K16))</f>
        <v/>
      </c>
      <c r="F23" s="44" t="str">
        <f>IF('⑨ 구배 자동계산'!$B$4&lt;&gt;"03_예산 신규점2","",IF('⑨ 구배 자동계산'!L16="","",'⑨ 구배 자동계산'!L16))</f>
        <v/>
      </c>
      <c r="G23" s="32" t="str">
        <f>IF('⑨ 구배 자동계산'!$B$4&lt;&gt;"03_예산 신규점2","",IF('⑨ 구배 자동계산'!M16="","",'⑨ 구배 자동계산'!M16))</f>
        <v/>
      </c>
      <c r="H23" s="44" t="str">
        <f>IF('⑨ 구배 자동계산'!$B$4&lt;&gt;"03_예산 신규점2","",IF('⑨ 구배 자동계산'!N16="","",'⑨ 구배 자동계산'!N16))</f>
        <v/>
      </c>
      <c r="I23" s="32" t="str">
        <f>IF('⑨ 구배 자동계산'!$B$4&lt;&gt;"03_예산 신규점2","",IF('⑨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자동계산'!$B$4&lt;&gt;"03_예산 신규점2","",IF('⑨ 구배 자동계산'!H17="","",'⑨ 구배 자동계산'!H17))</f>
        <v/>
      </c>
      <c r="C24" s="32" t="str">
        <f>IF('⑨ 구배 자동계산'!$B$4&lt;&gt;"03_예산 신규점2","",IF('⑨ 구배 자동계산'!I17="","",'⑨ 구배 자동계산'!I17))</f>
        <v/>
      </c>
      <c r="D24" s="44" t="str">
        <f>IF('⑨ 구배 자동계산'!$B$4&lt;&gt;"03_예산 신규점2","",IF('⑨ 구배 자동계산'!J17="","",'⑨ 구배 자동계산'!J17))</f>
        <v/>
      </c>
      <c r="E24" s="32" t="str">
        <f>IF('⑨ 구배 자동계산'!$B$4&lt;&gt;"03_예산 신규점2","",IF('⑨ 구배 자동계산'!K17="","",'⑨ 구배 자동계산'!K17))</f>
        <v/>
      </c>
      <c r="F24" s="44" t="str">
        <f>IF('⑨ 구배 자동계산'!$B$4&lt;&gt;"03_예산 신규점2","",IF('⑨ 구배 자동계산'!L17="","",'⑨ 구배 자동계산'!L17))</f>
        <v/>
      </c>
      <c r="G24" s="32" t="str">
        <f>IF('⑨ 구배 자동계산'!$B$4&lt;&gt;"03_예산 신규점2","",IF('⑨ 구배 자동계산'!M17="","",'⑨ 구배 자동계산'!M17))</f>
        <v/>
      </c>
      <c r="H24" s="44" t="str">
        <f>IF('⑨ 구배 자동계산'!$B$4&lt;&gt;"03_예산 신규점2","",IF('⑨ 구배 자동계산'!N17="","",'⑨ 구배 자동계산'!N17))</f>
        <v/>
      </c>
      <c r="I24" s="32" t="str">
        <f>IF('⑨ 구배 자동계산'!$B$4&lt;&gt;"03_예산 신규점2","",IF('⑨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자동계산'!$B$4&lt;&gt;"03_예산 신규점2","",IF('⑨ 구배 자동계산'!H18="","",'⑨ 구배 자동계산'!H18))</f>
        <v/>
      </c>
      <c r="C25" s="32" t="str">
        <f>IF('⑨ 구배 자동계산'!$B$4&lt;&gt;"03_예산 신규점2","",IF('⑨ 구배 자동계산'!I18="","",'⑨ 구배 자동계산'!I18))</f>
        <v/>
      </c>
      <c r="D25" s="44" t="str">
        <f>IF('⑨ 구배 자동계산'!$B$4&lt;&gt;"03_예산 신규점2","",IF('⑨ 구배 자동계산'!J18="","",'⑨ 구배 자동계산'!J18))</f>
        <v/>
      </c>
      <c r="E25" s="32" t="str">
        <f>IF('⑨ 구배 자동계산'!$B$4&lt;&gt;"03_예산 신규점2","",IF('⑨ 구배 자동계산'!K18="","",'⑨ 구배 자동계산'!K18))</f>
        <v/>
      </c>
      <c r="F25" s="44" t="str">
        <f>IF('⑨ 구배 자동계산'!$B$4&lt;&gt;"03_예산 신규점2","",IF('⑨ 구배 자동계산'!L18="","",'⑨ 구배 자동계산'!L18))</f>
        <v/>
      </c>
      <c r="G25" s="32" t="str">
        <f>IF('⑨ 구배 자동계산'!$B$4&lt;&gt;"03_예산 신규점2","",IF('⑨ 구배 자동계산'!M18="","",'⑨ 구배 자동계산'!M18))</f>
        <v/>
      </c>
      <c r="H25" s="44" t="str">
        <f>IF('⑨ 구배 자동계산'!$B$4&lt;&gt;"03_예산 신규점2","",IF('⑨ 구배 자동계산'!N18="","",'⑨ 구배 자동계산'!N18))</f>
        <v/>
      </c>
      <c r="I25" s="32" t="str">
        <f>IF('⑨ 구배 자동계산'!$B$4&lt;&gt;"03_예산 신규점2","",IF('⑨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자동계산'!$B$4&lt;&gt;"03_예산 신규점2","",IF('⑨ 구배 자동계산'!H19="","",'⑨ 구배 자동계산'!H19))</f>
        <v/>
      </c>
      <c r="C26" s="32" t="str">
        <f>IF('⑨ 구배 자동계산'!$B$4&lt;&gt;"03_예산 신규점2","",IF('⑨ 구배 자동계산'!I19="","",'⑨ 구배 자동계산'!I19))</f>
        <v/>
      </c>
      <c r="D26" s="44" t="str">
        <f>IF('⑨ 구배 자동계산'!$B$4&lt;&gt;"03_예산 신규점2","",IF('⑨ 구배 자동계산'!J19="","",'⑨ 구배 자동계산'!J19))</f>
        <v/>
      </c>
      <c r="E26" s="32" t="str">
        <f>IF('⑨ 구배 자동계산'!$B$4&lt;&gt;"03_예산 신규점2","",IF('⑨ 구배 자동계산'!K19="","",'⑨ 구배 자동계산'!K19))</f>
        <v/>
      </c>
      <c r="F26" s="44" t="str">
        <f>IF('⑨ 구배 자동계산'!$B$4&lt;&gt;"03_예산 신규점2","",IF('⑨ 구배 자동계산'!L19="","",'⑨ 구배 자동계산'!L19))</f>
        <v/>
      </c>
      <c r="G26" s="32" t="str">
        <f>IF('⑨ 구배 자동계산'!$B$4&lt;&gt;"03_예산 신규점2","",IF('⑨ 구배 자동계산'!M19="","",'⑨ 구배 자동계산'!M19))</f>
        <v/>
      </c>
      <c r="H26" s="44" t="str">
        <f>IF('⑨ 구배 자동계산'!$B$4&lt;&gt;"03_예산 신규점2","",IF('⑨ 구배 자동계산'!N19="","",'⑨ 구배 자동계산'!N19))</f>
        <v/>
      </c>
      <c r="I26" s="32" t="str">
        <f>IF('⑨ 구배 자동계산'!$B$4&lt;&gt;"03_예산 신규점2","",IF('⑨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자동계산'!$B$4&lt;&gt;"03_예산 신규점2","",IF('⑨ 구배 자동계산'!H20="","",'⑨ 구배 자동계산'!H20))</f>
        <v/>
      </c>
      <c r="C27" s="41" t="str">
        <f>IF('⑨ 구배 자동계산'!$B$4&lt;&gt;"03_예산 신규점2","",IF('⑨ 구배 자동계산'!I20="","",'⑨ 구배 자동계산'!I20))</f>
        <v/>
      </c>
      <c r="D27" s="45" t="str">
        <f>IF('⑨ 구배 자동계산'!$B$4&lt;&gt;"03_예산 신규점2","",IF('⑨ 구배 자동계산'!J20="","",'⑨ 구배 자동계산'!J20))</f>
        <v/>
      </c>
      <c r="E27" s="41" t="str">
        <f>IF('⑨ 구배 자동계산'!$B$4&lt;&gt;"03_예산 신규점2","",IF('⑨ 구배 자동계산'!K20="","",'⑨ 구배 자동계산'!K20))</f>
        <v/>
      </c>
      <c r="F27" s="45" t="str">
        <f>IF('⑨ 구배 자동계산'!$B$4&lt;&gt;"03_예산 신규점2","",IF('⑨ 구배 자동계산'!L20="","",'⑨ 구배 자동계산'!L20))</f>
        <v/>
      </c>
      <c r="G27" s="41" t="str">
        <f>IF('⑨ 구배 자동계산'!$B$4&lt;&gt;"03_예산 신규점2","",IF('⑨ 구배 자동계산'!M20="","",'⑨ 구배 자동계산'!M20))</f>
        <v/>
      </c>
      <c r="H27" s="45" t="str">
        <f>IF('⑨ 구배 자동계산'!$B$4&lt;&gt;"03_예산 신규점2","",IF('⑨ 구배 자동계산'!N20="","",'⑨ 구배 자동계산'!N20))</f>
        <v/>
      </c>
      <c r="I27" s="41" t="str">
        <f>IF('⑨ 구배 자동계산'!$B$4&lt;&gt;"03_예산 신규점2","",IF('⑨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자동계산'!$B$4&lt;&gt;"03_예산 신규점2","",IF('⑨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자동계산'!$B$4&lt;&gt;"03_예산 신규점2","",IF('⑨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자동계산'!$B$4&lt;&gt;"03_예산 신규점2","",IF('⑨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자동계산'!$B$4&lt;&gt;"03_예산 신규점2","",IF('⑨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자동계산'!$B$4&lt;&gt;"03_예산 신규점2","",IF('⑨ 구배 자동계산'!I23="","",'⑨ 구배 자동계산'!I23))</f>
        <v/>
      </c>
      <c r="D42" s="8"/>
      <c r="E42" s="8"/>
      <c r="F42" s="8"/>
      <c r="G42" s="92" t="str">
        <f>IF('⑨ 구배 자동계산'!$B$4&lt;&gt;"03_예산 신규점2","",IF('⑨ 구배 자동계산'!$J23="","",'⑨ 구배 자동계산'!$J23&amp;"  ·  "&amp;'⑨ 구배 자동계산'!$L23))</f>
        <v/>
      </c>
      <c r="H42" s="93"/>
      <c r="I42" s="93"/>
    </row>
    <row r="43" spans="1:35" ht="19.95" customHeight="1" x14ac:dyDescent="0.4">
      <c r="A43" s="8">
        <v>3</v>
      </c>
      <c r="B43" s="33">
        <v>140</v>
      </c>
      <c r="C43" s="32" t="str">
        <f>IF('⑨ 구배 자동계산'!$B$4&lt;&gt;"03_예산 신규점2","",IF('⑨ 구배 자동계산'!I24="","",'⑨ 구배 자동계산'!I24))</f>
        <v/>
      </c>
      <c r="D43" s="34">
        <f>IF(COUNT(B43,B42)&lt;2,"",(B42-B43)/100)</f>
        <v>0.45</v>
      </c>
      <c r="E43" s="35" t="str">
        <f>IF(COUNT(C43,C42)&lt;2,"",C43-C42)</f>
        <v/>
      </c>
      <c r="F43" s="36" t="str">
        <f>IF(OR(D43="",E43="",D43=0),"",E43/D43)</f>
        <v/>
      </c>
      <c r="G43" s="92" t="str">
        <f>IF('⑨ 구배 자동계산'!$B$4&lt;&gt;"03_예산 신규점2","",IF('⑨ 구배 자동계산'!$J24="","",'⑨ 구배 자동계산'!$J24&amp;"  ·  "&amp;'⑨ 구배 자동계산'!$L24))</f>
        <v/>
      </c>
      <c r="H43" s="93"/>
      <c r="I43" s="93"/>
      <c r="AH43" t="s">
        <v>234</v>
      </c>
    </row>
    <row r="44" spans="1:35" ht="19.95" customHeight="1" x14ac:dyDescent="0.4">
      <c r="A44" s="8">
        <v>2</v>
      </c>
      <c r="B44" s="33">
        <v>95</v>
      </c>
      <c r="C44" s="32" t="str">
        <f>IF('⑨ 구배 자동계산'!$B$4&lt;&gt;"03_예산 신규점2","",IF('⑨ 구배 자동계산'!I25="","",'⑨ 구배 자동계산'!I25))</f>
        <v/>
      </c>
      <c r="D44" s="34">
        <f>IF(COUNT(B44,B43)&lt;2,"",(B43-B44)/100)</f>
        <v>0.45</v>
      </c>
      <c r="E44" s="35" t="str">
        <f>IF(COUNT(C44,C43)&lt;2,"",C44-C43)</f>
        <v/>
      </c>
      <c r="F44" s="36" t="str">
        <f>IF(OR(D44="",E44="",D44=0),"",E44/D44)</f>
        <v/>
      </c>
      <c r="G44" s="92" t="str">
        <f>IF('⑨ 구배 자동계산'!$B$4&lt;&gt;"03_예산 신규점2","",IF('⑨ 구배 자동계산'!$J25="","",'⑨ 구배 자동계산'!$J25&amp;"  ·  "&amp;'⑨ 구배 자동계산'!$L25))</f>
        <v/>
      </c>
      <c r="H44" s="93"/>
      <c r="I44" s="93"/>
    </row>
    <row r="45" spans="1:35" ht="19.95" customHeight="1" x14ac:dyDescent="0.4">
      <c r="A45" s="8">
        <v>1</v>
      </c>
      <c r="B45" s="33">
        <v>50</v>
      </c>
      <c r="C45" s="32" t="str">
        <f>IF('⑨ 구배 자동계산'!$B$4&lt;&gt;"03_예산 신규점2","",IF('⑨ 구배 자동계산'!I26="","",'⑨ 구배 자동계산'!I26))</f>
        <v/>
      </c>
      <c r="D45" s="34">
        <f>IF(COUNT(B45,B44)&lt;2,"",(B44-B45)/100)</f>
        <v>0.45</v>
      </c>
      <c r="E45" s="35" t="str">
        <f>IF(COUNT(C45,C44)&lt;2,"",C45-C44)</f>
        <v/>
      </c>
      <c r="F45" s="36" t="str">
        <f>IF(OR(D45="",E45="",D45=0),"",E45/D45)</f>
        <v/>
      </c>
      <c r="G45" s="92" t="str">
        <f>IF('⑨ 구배 자동계산'!$B$4&lt;&gt;"03_예산 신규점2","",IF('⑨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IF(COUNT(B50,E50)&lt;2,"",ROUND(SQRT(((126.936269-E50)*111320*COS(RADIANS(36.534085)))^2+((36.534085-B50)*110574)^2),1))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S03-P0a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39" priority="1">
      <formula>AND(ISNUMBER(C31),C31&gt;50)</formula>
    </cfRule>
  </conditionalFormatting>
  <conditionalFormatting sqref="D7">
    <cfRule type="expression" dxfId="238" priority="3" stopIfTrue="1">
      <formula>AND($D$7&lt;&gt;"",VALUE(LEFT($D$7,1))&lt;5)</formula>
    </cfRule>
    <cfRule type="expression" dxfId="237" priority="4" stopIfTrue="1">
      <formula>AND($D$7&lt;&gt;"",VALUE(LEFT($D$7,1))&gt;=5)</formula>
    </cfRule>
  </conditionalFormatting>
  <conditionalFormatting sqref="E7">
    <cfRule type="expression" dxfId="236" priority="5" stopIfTrue="1">
      <formula>AND($E$7&lt;&gt;"",VALUE(LEFT($E$7,1))&lt;5)</formula>
    </cfRule>
    <cfRule type="expression" dxfId="23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1D6E77EE-4A1C-47BF-B2C4-6B40D8558389}">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88E83D37-BA91-4EC7-A21A-088EE590C2A3}">
      <formula1>DATE(2026,1,1)</formula1>
      <formula2>DATE(2027,12,31)</formula2>
    </dataValidation>
    <dataValidation type="list" allowBlank="1" sqref="C7" xr:uid="{46D0C990-385E-4A1F-A02B-98CCF9FD4E85}">
      <formula1>"맑음,구름 조금,흐림,비,눈,바람 강함"</formula1>
    </dataValidation>
    <dataValidation type="list" allowBlank="1" sqref="H50" xr:uid="{16B5D463-45F0-4215-B0D7-A3C5EA978AF2}">
      <formula1>"RTK-GNSS,네트워크RTK,정적GNSS,휴대GNSS"</formula1>
    </dataValidation>
    <dataValidation type="list" allowBlank="1" sqref="B109" xr:uid="{905611D1-F50D-432C-BF7E-7EB4BFDF9EE1}">
      <formula1>"동일,조정"</formula1>
    </dataValidation>
    <dataValidation type="list" allowBlank="1" showInputMessage="1" showErrorMessage="1" sqref="F56:F57" xr:uid="{7E80F0F2-A62D-43A9-9000-8CCB3DFE949F}">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&amp;RS03 예산 신규점2</oddHeader>
    <oddFooter>&amp;C&amp;9 &amp;P / &amp;N</oddFooter>
  </headerFooter>
  <rowBreaks count="3" manualBreakCount="3">
    <brk id="38" max="16383" man="1"/>
    <brk id="58" max="16383" man="1"/>
    <brk id="10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4FEFC-041B-4D22-AD24-CF9A8BEAC8D9}">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361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362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363</v>
      </c>
      <c r="B3" s="68"/>
      <c r="C3" s="68"/>
      <c r="D3" s="68"/>
      <c r="E3" s="68"/>
      <c r="F3" s="8" t="s">
        <v>154</v>
      </c>
      <c r="G3" s="6"/>
      <c r="H3" s="8" t="s">
        <v>155</v>
      </c>
      <c r="I3" s="9" t="s">
        <v>364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자동계산'!$B$4="04_진안 신규점1","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자동계산'!$B$4&lt;&gt;"04_진안 신규점1","",IF('⑨ 구배 자동계산'!H9="","",'⑨ 구배 자동계산'!H9))</f>
        <v/>
      </c>
      <c r="C16" s="30" t="str">
        <f>IF('⑨ 구배 자동계산'!$B$4&lt;&gt;"04_진안 신규점1","",IF('⑨ 구배 자동계산'!I9="","",'⑨ 구배 자동계산'!I9))</f>
        <v/>
      </c>
      <c r="D16" s="43" t="str">
        <f>IF('⑨ 구배 자동계산'!$B$4&lt;&gt;"04_진안 신규점1","",IF('⑨ 구배 자동계산'!J9="","",'⑨ 구배 자동계산'!J9))</f>
        <v/>
      </c>
      <c r="E16" s="30" t="str">
        <f>IF('⑨ 구배 자동계산'!$B$4&lt;&gt;"04_진안 신규점1","",IF('⑨ 구배 자동계산'!K9="","",'⑨ 구배 자동계산'!K9))</f>
        <v/>
      </c>
      <c r="F16" s="43" t="str">
        <f>IF('⑨ 구배 자동계산'!$B$4&lt;&gt;"04_진안 신규점1","",IF('⑨ 구배 자동계산'!L9="","",'⑨ 구배 자동계산'!L9))</f>
        <v/>
      </c>
      <c r="G16" s="30" t="str">
        <f>IF('⑨ 구배 자동계산'!$B$4&lt;&gt;"04_진안 신규점1","",IF('⑨ 구배 자동계산'!M9="","",'⑨ 구배 자동계산'!M9))</f>
        <v/>
      </c>
      <c r="H16" s="43" t="str">
        <f>IF('⑨ 구배 자동계산'!$B$4&lt;&gt;"04_진안 신규점1","",IF('⑨ 구배 자동계산'!N9="","",'⑨ 구배 자동계산'!N9))</f>
        <v/>
      </c>
      <c r="I16" s="30" t="str">
        <f>IF('⑨ 구배 자동계산'!$B$4&lt;&gt;"04_진안 신규점1","",IF('⑨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자동계산'!$B$4&lt;&gt;"04_진안 신규점1","",IF('⑨ 구배 자동계산'!H10="","",'⑨ 구배 자동계산'!H10))</f>
        <v/>
      </c>
      <c r="C17" s="32" t="str">
        <f>IF('⑨ 구배 자동계산'!$B$4&lt;&gt;"04_진안 신규점1","",IF('⑨ 구배 자동계산'!I10="","",'⑨ 구배 자동계산'!I10))</f>
        <v/>
      </c>
      <c r="D17" s="44" t="str">
        <f>IF('⑨ 구배 자동계산'!$B$4&lt;&gt;"04_진안 신규점1","",IF('⑨ 구배 자동계산'!J10="","",'⑨ 구배 자동계산'!J10))</f>
        <v/>
      </c>
      <c r="E17" s="32" t="str">
        <f>IF('⑨ 구배 자동계산'!$B$4&lt;&gt;"04_진안 신규점1","",IF('⑨ 구배 자동계산'!K10="","",'⑨ 구배 자동계산'!K10))</f>
        <v/>
      </c>
      <c r="F17" s="44" t="str">
        <f>IF('⑨ 구배 자동계산'!$B$4&lt;&gt;"04_진안 신규점1","",IF('⑨ 구배 자동계산'!L10="","",'⑨ 구배 자동계산'!L10))</f>
        <v/>
      </c>
      <c r="G17" s="32" t="str">
        <f>IF('⑨ 구배 자동계산'!$B$4&lt;&gt;"04_진안 신규점1","",IF('⑨ 구배 자동계산'!M10="","",'⑨ 구배 자동계산'!M10))</f>
        <v/>
      </c>
      <c r="H17" s="44" t="str">
        <f>IF('⑨ 구배 자동계산'!$B$4&lt;&gt;"04_진안 신규점1","",IF('⑨ 구배 자동계산'!N10="","",'⑨ 구배 자동계산'!N10))</f>
        <v/>
      </c>
      <c r="I17" s="32" t="str">
        <f>IF('⑨ 구배 자동계산'!$B$4&lt;&gt;"04_진안 신규점1","",IF('⑨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자동계산'!$B$4&lt;&gt;"04_진안 신규점1","",IF('⑨ 구배 자동계산'!H11="","",'⑨ 구배 자동계산'!H11))</f>
        <v/>
      </c>
      <c r="C18" s="32" t="str">
        <f>IF('⑨ 구배 자동계산'!$B$4&lt;&gt;"04_진안 신규점1","",IF('⑨ 구배 자동계산'!I11="","",'⑨ 구배 자동계산'!I11))</f>
        <v/>
      </c>
      <c r="D18" s="44" t="str">
        <f>IF('⑨ 구배 자동계산'!$B$4&lt;&gt;"04_진안 신규점1","",IF('⑨ 구배 자동계산'!J11="","",'⑨ 구배 자동계산'!J11))</f>
        <v/>
      </c>
      <c r="E18" s="32" t="str">
        <f>IF('⑨ 구배 자동계산'!$B$4&lt;&gt;"04_진안 신규점1","",IF('⑨ 구배 자동계산'!K11="","",'⑨ 구배 자동계산'!K11))</f>
        <v/>
      </c>
      <c r="F18" s="44" t="str">
        <f>IF('⑨ 구배 자동계산'!$B$4&lt;&gt;"04_진안 신규점1","",IF('⑨ 구배 자동계산'!L11="","",'⑨ 구배 자동계산'!L11))</f>
        <v/>
      </c>
      <c r="G18" s="32" t="str">
        <f>IF('⑨ 구배 자동계산'!$B$4&lt;&gt;"04_진안 신규점1","",IF('⑨ 구배 자동계산'!M11="","",'⑨ 구배 자동계산'!M11))</f>
        <v/>
      </c>
      <c r="H18" s="44" t="str">
        <f>IF('⑨ 구배 자동계산'!$B$4&lt;&gt;"04_진안 신규점1","",IF('⑨ 구배 자동계산'!N11="","",'⑨ 구배 자동계산'!N11))</f>
        <v/>
      </c>
      <c r="I18" s="32" t="str">
        <f>IF('⑨ 구배 자동계산'!$B$4&lt;&gt;"04_진안 신규점1","",IF('⑨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자동계산'!$B$4&lt;&gt;"04_진안 신규점1","",IF('⑨ 구배 자동계산'!H12="","",'⑨ 구배 자동계산'!H12))</f>
        <v/>
      </c>
      <c r="C19" s="32" t="str">
        <f>IF('⑨ 구배 자동계산'!$B$4&lt;&gt;"04_진안 신규점1","",IF('⑨ 구배 자동계산'!I12="","",'⑨ 구배 자동계산'!I12))</f>
        <v/>
      </c>
      <c r="D19" s="44" t="str">
        <f>IF('⑨ 구배 자동계산'!$B$4&lt;&gt;"04_진안 신규점1","",IF('⑨ 구배 자동계산'!J12="","",'⑨ 구배 자동계산'!J12))</f>
        <v/>
      </c>
      <c r="E19" s="32" t="str">
        <f>IF('⑨ 구배 자동계산'!$B$4&lt;&gt;"04_진안 신규점1","",IF('⑨ 구배 자동계산'!K12="","",'⑨ 구배 자동계산'!K12))</f>
        <v/>
      </c>
      <c r="F19" s="44" t="str">
        <f>IF('⑨ 구배 자동계산'!$B$4&lt;&gt;"04_진안 신규점1","",IF('⑨ 구배 자동계산'!L12="","",'⑨ 구배 자동계산'!L12))</f>
        <v/>
      </c>
      <c r="G19" s="32" t="str">
        <f>IF('⑨ 구배 자동계산'!$B$4&lt;&gt;"04_진안 신규점1","",IF('⑨ 구배 자동계산'!M12="","",'⑨ 구배 자동계산'!M12))</f>
        <v/>
      </c>
      <c r="H19" s="44" t="str">
        <f>IF('⑨ 구배 자동계산'!$B$4&lt;&gt;"04_진안 신규점1","",IF('⑨ 구배 자동계산'!N12="","",'⑨ 구배 자동계산'!N12))</f>
        <v/>
      </c>
      <c r="I19" s="32" t="str">
        <f>IF('⑨ 구배 자동계산'!$B$4&lt;&gt;"04_진안 신규점1","",IF('⑨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자동계산'!$B$4&lt;&gt;"04_진안 신규점1","",IF('⑨ 구배 자동계산'!H13="","",'⑨ 구배 자동계산'!H13))</f>
        <v/>
      </c>
      <c r="C20" s="32" t="str">
        <f>IF('⑨ 구배 자동계산'!$B$4&lt;&gt;"04_진안 신규점1","",IF('⑨ 구배 자동계산'!I13="","",'⑨ 구배 자동계산'!I13))</f>
        <v/>
      </c>
      <c r="D20" s="44" t="str">
        <f>IF('⑨ 구배 자동계산'!$B$4&lt;&gt;"04_진안 신규점1","",IF('⑨ 구배 자동계산'!J13="","",'⑨ 구배 자동계산'!J13))</f>
        <v/>
      </c>
      <c r="E20" s="32" t="str">
        <f>IF('⑨ 구배 자동계산'!$B$4&lt;&gt;"04_진안 신규점1","",IF('⑨ 구배 자동계산'!K13="","",'⑨ 구배 자동계산'!K13))</f>
        <v/>
      </c>
      <c r="F20" s="44" t="str">
        <f>IF('⑨ 구배 자동계산'!$B$4&lt;&gt;"04_진안 신규점1","",IF('⑨ 구배 자동계산'!L13="","",'⑨ 구배 자동계산'!L13))</f>
        <v/>
      </c>
      <c r="G20" s="32" t="str">
        <f>IF('⑨ 구배 자동계산'!$B$4&lt;&gt;"04_진안 신규점1","",IF('⑨ 구배 자동계산'!M13="","",'⑨ 구배 자동계산'!M13))</f>
        <v/>
      </c>
      <c r="H20" s="44" t="str">
        <f>IF('⑨ 구배 자동계산'!$B$4&lt;&gt;"04_진안 신규점1","",IF('⑨ 구배 자동계산'!N13="","",'⑨ 구배 자동계산'!N13))</f>
        <v/>
      </c>
      <c r="I20" s="32" t="str">
        <f>IF('⑨ 구배 자동계산'!$B$4&lt;&gt;"04_진안 신규점1","",IF('⑨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자동계산'!$B$4&lt;&gt;"04_진안 신규점1","",IF('⑨ 구배 자동계산'!H14="","",'⑨ 구배 자동계산'!H14))</f>
        <v/>
      </c>
      <c r="C21" s="32" t="str">
        <f>IF('⑨ 구배 자동계산'!$B$4&lt;&gt;"04_진안 신규점1","",IF('⑨ 구배 자동계산'!I14="","",'⑨ 구배 자동계산'!I14))</f>
        <v/>
      </c>
      <c r="D21" s="44" t="str">
        <f>IF('⑨ 구배 자동계산'!$B$4&lt;&gt;"04_진안 신규점1","",IF('⑨ 구배 자동계산'!J14="","",'⑨ 구배 자동계산'!J14))</f>
        <v/>
      </c>
      <c r="E21" s="32" t="str">
        <f>IF('⑨ 구배 자동계산'!$B$4&lt;&gt;"04_진안 신규점1","",IF('⑨ 구배 자동계산'!K14="","",'⑨ 구배 자동계산'!K14))</f>
        <v/>
      </c>
      <c r="F21" s="44" t="str">
        <f>IF('⑨ 구배 자동계산'!$B$4&lt;&gt;"04_진안 신규점1","",IF('⑨ 구배 자동계산'!L14="","",'⑨ 구배 자동계산'!L14))</f>
        <v/>
      </c>
      <c r="G21" s="32" t="str">
        <f>IF('⑨ 구배 자동계산'!$B$4&lt;&gt;"04_진안 신규점1","",IF('⑨ 구배 자동계산'!M14="","",'⑨ 구배 자동계산'!M14))</f>
        <v/>
      </c>
      <c r="H21" s="44" t="str">
        <f>IF('⑨ 구배 자동계산'!$B$4&lt;&gt;"04_진안 신규점1","",IF('⑨ 구배 자동계산'!N14="","",'⑨ 구배 자동계산'!N14))</f>
        <v/>
      </c>
      <c r="I21" s="32" t="str">
        <f>IF('⑨ 구배 자동계산'!$B$4&lt;&gt;"04_진안 신규점1","",IF('⑨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자동계산'!$B$4&lt;&gt;"04_진안 신규점1","",IF('⑨ 구배 자동계산'!H15="","",'⑨ 구배 자동계산'!H15))</f>
        <v/>
      </c>
      <c r="C22" s="32" t="str">
        <f>IF('⑨ 구배 자동계산'!$B$4&lt;&gt;"04_진안 신규점1","",IF('⑨ 구배 자동계산'!I15="","",'⑨ 구배 자동계산'!I15))</f>
        <v/>
      </c>
      <c r="D22" s="44" t="str">
        <f>IF('⑨ 구배 자동계산'!$B$4&lt;&gt;"04_진안 신규점1","",IF('⑨ 구배 자동계산'!J15="","",'⑨ 구배 자동계산'!J15))</f>
        <v/>
      </c>
      <c r="E22" s="32" t="str">
        <f>IF('⑨ 구배 자동계산'!$B$4&lt;&gt;"04_진안 신규점1","",IF('⑨ 구배 자동계산'!K15="","",'⑨ 구배 자동계산'!K15))</f>
        <v/>
      </c>
      <c r="F22" s="44" t="str">
        <f>IF('⑨ 구배 자동계산'!$B$4&lt;&gt;"04_진안 신규점1","",IF('⑨ 구배 자동계산'!L15="","",'⑨ 구배 자동계산'!L15))</f>
        <v/>
      </c>
      <c r="G22" s="32" t="str">
        <f>IF('⑨ 구배 자동계산'!$B$4&lt;&gt;"04_진안 신규점1","",IF('⑨ 구배 자동계산'!M15="","",'⑨ 구배 자동계산'!M15))</f>
        <v/>
      </c>
      <c r="H22" s="44" t="str">
        <f>IF('⑨ 구배 자동계산'!$B$4&lt;&gt;"04_진안 신규점1","",IF('⑨ 구배 자동계산'!N15="","",'⑨ 구배 자동계산'!N15))</f>
        <v/>
      </c>
      <c r="I22" s="32" t="str">
        <f>IF('⑨ 구배 자동계산'!$B$4&lt;&gt;"04_진안 신규점1","",IF('⑨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자동계산'!$B$4&lt;&gt;"04_진안 신규점1","",IF('⑨ 구배 자동계산'!H16="","",'⑨ 구배 자동계산'!H16))</f>
        <v/>
      </c>
      <c r="C23" s="32" t="str">
        <f>IF('⑨ 구배 자동계산'!$B$4&lt;&gt;"04_진안 신규점1","",IF('⑨ 구배 자동계산'!I16="","",'⑨ 구배 자동계산'!I16))</f>
        <v/>
      </c>
      <c r="D23" s="44" t="str">
        <f>IF('⑨ 구배 자동계산'!$B$4&lt;&gt;"04_진안 신규점1","",IF('⑨ 구배 자동계산'!J16="","",'⑨ 구배 자동계산'!J16))</f>
        <v/>
      </c>
      <c r="E23" s="32" t="str">
        <f>IF('⑨ 구배 자동계산'!$B$4&lt;&gt;"04_진안 신규점1","",IF('⑨ 구배 자동계산'!K16="","",'⑨ 구배 자동계산'!K16))</f>
        <v/>
      </c>
      <c r="F23" s="44" t="str">
        <f>IF('⑨ 구배 자동계산'!$B$4&lt;&gt;"04_진안 신규점1","",IF('⑨ 구배 자동계산'!L16="","",'⑨ 구배 자동계산'!L16))</f>
        <v/>
      </c>
      <c r="G23" s="32" t="str">
        <f>IF('⑨ 구배 자동계산'!$B$4&lt;&gt;"04_진안 신규점1","",IF('⑨ 구배 자동계산'!M16="","",'⑨ 구배 자동계산'!M16))</f>
        <v/>
      </c>
      <c r="H23" s="44" t="str">
        <f>IF('⑨ 구배 자동계산'!$B$4&lt;&gt;"04_진안 신규점1","",IF('⑨ 구배 자동계산'!N16="","",'⑨ 구배 자동계산'!N16))</f>
        <v/>
      </c>
      <c r="I23" s="32" t="str">
        <f>IF('⑨ 구배 자동계산'!$B$4&lt;&gt;"04_진안 신규점1","",IF('⑨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자동계산'!$B$4&lt;&gt;"04_진안 신규점1","",IF('⑨ 구배 자동계산'!H17="","",'⑨ 구배 자동계산'!H17))</f>
        <v/>
      </c>
      <c r="C24" s="32" t="str">
        <f>IF('⑨ 구배 자동계산'!$B$4&lt;&gt;"04_진안 신규점1","",IF('⑨ 구배 자동계산'!I17="","",'⑨ 구배 자동계산'!I17))</f>
        <v/>
      </c>
      <c r="D24" s="44" t="str">
        <f>IF('⑨ 구배 자동계산'!$B$4&lt;&gt;"04_진안 신규점1","",IF('⑨ 구배 자동계산'!J17="","",'⑨ 구배 자동계산'!J17))</f>
        <v/>
      </c>
      <c r="E24" s="32" t="str">
        <f>IF('⑨ 구배 자동계산'!$B$4&lt;&gt;"04_진안 신규점1","",IF('⑨ 구배 자동계산'!K17="","",'⑨ 구배 자동계산'!K17))</f>
        <v/>
      </c>
      <c r="F24" s="44" t="str">
        <f>IF('⑨ 구배 자동계산'!$B$4&lt;&gt;"04_진안 신규점1","",IF('⑨ 구배 자동계산'!L17="","",'⑨ 구배 자동계산'!L17))</f>
        <v/>
      </c>
      <c r="G24" s="32" t="str">
        <f>IF('⑨ 구배 자동계산'!$B$4&lt;&gt;"04_진안 신규점1","",IF('⑨ 구배 자동계산'!M17="","",'⑨ 구배 자동계산'!M17))</f>
        <v/>
      </c>
      <c r="H24" s="44" t="str">
        <f>IF('⑨ 구배 자동계산'!$B$4&lt;&gt;"04_진안 신규점1","",IF('⑨ 구배 자동계산'!N17="","",'⑨ 구배 자동계산'!N17))</f>
        <v/>
      </c>
      <c r="I24" s="32" t="str">
        <f>IF('⑨ 구배 자동계산'!$B$4&lt;&gt;"04_진안 신규점1","",IF('⑨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자동계산'!$B$4&lt;&gt;"04_진안 신규점1","",IF('⑨ 구배 자동계산'!H18="","",'⑨ 구배 자동계산'!H18))</f>
        <v/>
      </c>
      <c r="C25" s="32" t="str">
        <f>IF('⑨ 구배 자동계산'!$B$4&lt;&gt;"04_진안 신규점1","",IF('⑨ 구배 자동계산'!I18="","",'⑨ 구배 자동계산'!I18))</f>
        <v/>
      </c>
      <c r="D25" s="44" t="str">
        <f>IF('⑨ 구배 자동계산'!$B$4&lt;&gt;"04_진안 신규점1","",IF('⑨ 구배 자동계산'!J18="","",'⑨ 구배 자동계산'!J18))</f>
        <v/>
      </c>
      <c r="E25" s="32" t="str">
        <f>IF('⑨ 구배 자동계산'!$B$4&lt;&gt;"04_진안 신규점1","",IF('⑨ 구배 자동계산'!K18="","",'⑨ 구배 자동계산'!K18))</f>
        <v/>
      </c>
      <c r="F25" s="44" t="str">
        <f>IF('⑨ 구배 자동계산'!$B$4&lt;&gt;"04_진안 신규점1","",IF('⑨ 구배 자동계산'!L18="","",'⑨ 구배 자동계산'!L18))</f>
        <v/>
      </c>
      <c r="G25" s="32" t="str">
        <f>IF('⑨ 구배 자동계산'!$B$4&lt;&gt;"04_진안 신규점1","",IF('⑨ 구배 자동계산'!M18="","",'⑨ 구배 자동계산'!M18))</f>
        <v/>
      </c>
      <c r="H25" s="44" t="str">
        <f>IF('⑨ 구배 자동계산'!$B$4&lt;&gt;"04_진안 신규점1","",IF('⑨ 구배 자동계산'!N18="","",'⑨ 구배 자동계산'!N18))</f>
        <v/>
      </c>
      <c r="I25" s="32" t="str">
        <f>IF('⑨ 구배 자동계산'!$B$4&lt;&gt;"04_진안 신규점1","",IF('⑨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자동계산'!$B$4&lt;&gt;"04_진안 신규점1","",IF('⑨ 구배 자동계산'!H19="","",'⑨ 구배 자동계산'!H19))</f>
        <v/>
      </c>
      <c r="C26" s="32" t="str">
        <f>IF('⑨ 구배 자동계산'!$B$4&lt;&gt;"04_진안 신규점1","",IF('⑨ 구배 자동계산'!I19="","",'⑨ 구배 자동계산'!I19))</f>
        <v/>
      </c>
      <c r="D26" s="44" t="str">
        <f>IF('⑨ 구배 자동계산'!$B$4&lt;&gt;"04_진안 신규점1","",IF('⑨ 구배 자동계산'!J19="","",'⑨ 구배 자동계산'!J19))</f>
        <v/>
      </c>
      <c r="E26" s="32" t="str">
        <f>IF('⑨ 구배 자동계산'!$B$4&lt;&gt;"04_진안 신규점1","",IF('⑨ 구배 자동계산'!K19="","",'⑨ 구배 자동계산'!K19))</f>
        <v/>
      </c>
      <c r="F26" s="44" t="str">
        <f>IF('⑨ 구배 자동계산'!$B$4&lt;&gt;"04_진안 신규점1","",IF('⑨ 구배 자동계산'!L19="","",'⑨ 구배 자동계산'!L19))</f>
        <v/>
      </c>
      <c r="G26" s="32" t="str">
        <f>IF('⑨ 구배 자동계산'!$B$4&lt;&gt;"04_진안 신규점1","",IF('⑨ 구배 자동계산'!M19="","",'⑨ 구배 자동계산'!M19))</f>
        <v/>
      </c>
      <c r="H26" s="44" t="str">
        <f>IF('⑨ 구배 자동계산'!$B$4&lt;&gt;"04_진안 신규점1","",IF('⑨ 구배 자동계산'!N19="","",'⑨ 구배 자동계산'!N19))</f>
        <v/>
      </c>
      <c r="I26" s="32" t="str">
        <f>IF('⑨ 구배 자동계산'!$B$4&lt;&gt;"04_진안 신규점1","",IF('⑨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자동계산'!$B$4&lt;&gt;"04_진안 신규점1","",IF('⑨ 구배 자동계산'!H20="","",'⑨ 구배 자동계산'!H20))</f>
        <v/>
      </c>
      <c r="C27" s="41" t="str">
        <f>IF('⑨ 구배 자동계산'!$B$4&lt;&gt;"04_진안 신규점1","",IF('⑨ 구배 자동계산'!I20="","",'⑨ 구배 자동계산'!I20))</f>
        <v/>
      </c>
      <c r="D27" s="45" t="str">
        <f>IF('⑨ 구배 자동계산'!$B$4&lt;&gt;"04_진안 신규점1","",IF('⑨ 구배 자동계산'!J20="","",'⑨ 구배 자동계산'!J20))</f>
        <v/>
      </c>
      <c r="E27" s="41" t="str">
        <f>IF('⑨ 구배 자동계산'!$B$4&lt;&gt;"04_진안 신규점1","",IF('⑨ 구배 자동계산'!K20="","",'⑨ 구배 자동계산'!K20))</f>
        <v/>
      </c>
      <c r="F27" s="45" t="str">
        <f>IF('⑨ 구배 자동계산'!$B$4&lt;&gt;"04_진안 신규점1","",IF('⑨ 구배 자동계산'!L20="","",'⑨ 구배 자동계산'!L20))</f>
        <v/>
      </c>
      <c r="G27" s="41" t="str">
        <f>IF('⑨ 구배 자동계산'!$B$4&lt;&gt;"04_진안 신규점1","",IF('⑨ 구배 자동계산'!M20="","",'⑨ 구배 자동계산'!M20))</f>
        <v/>
      </c>
      <c r="H27" s="45" t="str">
        <f>IF('⑨ 구배 자동계산'!$B$4&lt;&gt;"04_진안 신규점1","",IF('⑨ 구배 자동계산'!N20="","",'⑨ 구배 자동계산'!N20))</f>
        <v/>
      </c>
      <c r="I27" s="41" t="str">
        <f>IF('⑨ 구배 자동계산'!$B$4&lt;&gt;"04_진안 신규점1","",IF('⑨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자동계산'!$B$4&lt;&gt;"04_진안 신규점1","",IF('⑨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자동계산'!$B$4&lt;&gt;"04_진안 신규점1","",IF('⑨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자동계산'!$B$4&lt;&gt;"04_진안 신규점1","",IF('⑨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자동계산'!$B$4&lt;&gt;"04_진안 신규점1","",IF('⑨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자동계산'!$B$4&lt;&gt;"04_진안 신규점1","",IF('⑨ 구배 자동계산'!I23="","",'⑨ 구배 자동계산'!I23))</f>
        <v/>
      </c>
      <c r="D42" s="8"/>
      <c r="E42" s="8"/>
      <c r="F42" s="8"/>
      <c r="G42" s="92" t="str">
        <f>IF('⑨ 구배 자동계산'!$B$4&lt;&gt;"04_진안 신규점1","",IF('⑨ 구배 자동계산'!$J23="","",'⑨ 구배 자동계산'!$J23&amp;"  ·  "&amp;'⑨ 구배 자동계산'!$L23))</f>
        <v/>
      </c>
      <c r="H42" s="93"/>
      <c r="I42" s="93"/>
    </row>
    <row r="43" spans="1:35" ht="19.95" customHeight="1" x14ac:dyDescent="0.4">
      <c r="A43" s="8">
        <v>3</v>
      </c>
      <c r="B43" s="33">
        <v>140</v>
      </c>
      <c r="C43" s="32" t="str">
        <f>IF('⑨ 구배 자동계산'!$B$4&lt;&gt;"04_진안 신규점1","",IF('⑨ 구배 자동계산'!I24="","",'⑨ 구배 자동계산'!I24))</f>
        <v/>
      </c>
      <c r="D43" s="34">
        <f>IF(COUNT(B43,B42)&lt;2,"",(B42-B43)/100)</f>
        <v>0.45</v>
      </c>
      <c r="E43" s="35" t="str">
        <f>IF(COUNT(C43,C42)&lt;2,"",C43-C42)</f>
        <v/>
      </c>
      <c r="F43" s="36" t="str">
        <f>IF(OR(D43="",E43="",D43=0),"",E43/D43)</f>
        <v/>
      </c>
      <c r="G43" s="92" t="str">
        <f>IF('⑨ 구배 자동계산'!$B$4&lt;&gt;"04_진안 신규점1","",IF('⑨ 구배 자동계산'!$J24="","",'⑨ 구배 자동계산'!$J24&amp;"  ·  "&amp;'⑨ 구배 자동계산'!$L24))</f>
        <v/>
      </c>
      <c r="H43" s="93"/>
      <c r="I43" s="93"/>
      <c r="AH43" t="s">
        <v>234</v>
      </c>
    </row>
    <row r="44" spans="1:35" ht="19.95" customHeight="1" x14ac:dyDescent="0.4">
      <c r="A44" s="8">
        <v>2</v>
      </c>
      <c r="B44" s="33">
        <v>95</v>
      </c>
      <c r="C44" s="32" t="str">
        <f>IF('⑨ 구배 자동계산'!$B$4&lt;&gt;"04_진안 신규점1","",IF('⑨ 구배 자동계산'!I25="","",'⑨ 구배 자동계산'!I25))</f>
        <v/>
      </c>
      <c r="D44" s="34">
        <f>IF(COUNT(B44,B43)&lt;2,"",(B43-B44)/100)</f>
        <v>0.45</v>
      </c>
      <c r="E44" s="35" t="str">
        <f>IF(COUNT(C44,C43)&lt;2,"",C44-C43)</f>
        <v/>
      </c>
      <c r="F44" s="36" t="str">
        <f>IF(OR(D44="",E44="",D44=0),"",E44/D44)</f>
        <v/>
      </c>
      <c r="G44" s="92" t="str">
        <f>IF('⑨ 구배 자동계산'!$B$4&lt;&gt;"04_진안 신규점1","",IF('⑨ 구배 자동계산'!$J25="","",'⑨ 구배 자동계산'!$J25&amp;"  ·  "&amp;'⑨ 구배 자동계산'!$L25))</f>
        <v/>
      </c>
      <c r="H44" s="93"/>
      <c r="I44" s="93"/>
    </row>
    <row r="45" spans="1:35" ht="19.95" customHeight="1" x14ac:dyDescent="0.4">
      <c r="A45" s="8">
        <v>1</v>
      </c>
      <c r="B45" s="33">
        <v>50</v>
      </c>
      <c r="C45" s="32" t="str">
        <f>IF('⑨ 구배 자동계산'!$B$4&lt;&gt;"04_진안 신규점1","",IF('⑨ 구배 자동계산'!I26="","",'⑨ 구배 자동계산'!I26))</f>
        <v/>
      </c>
      <c r="D45" s="34">
        <f>IF(COUNT(B45,B44)&lt;2,"",(B44-B45)/100)</f>
        <v>0.45</v>
      </c>
      <c r="E45" s="35" t="str">
        <f>IF(COUNT(C45,C44)&lt;2,"",C45-C44)</f>
        <v/>
      </c>
      <c r="F45" s="36" t="str">
        <f>IF(OR(D45="",E45="",D45=0),"",E45/D45)</f>
        <v/>
      </c>
      <c r="G45" s="92" t="str">
        <f>IF('⑨ 구배 자동계산'!$B$4&lt;&gt;"04_진안 신규점1","",IF('⑨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IF(COUNT(B50,E50)&lt;2,"",ROUND(SQRT(((127.309017-E50)*111320*COS(RADIANS(35.891309)))^2+((35.891309-B50)*110574)^2),1))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S04-P0a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34" priority="1">
      <formula>AND(ISNUMBER(C31),C31&gt;50)</formula>
    </cfRule>
  </conditionalFormatting>
  <conditionalFormatting sqref="D7">
    <cfRule type="expression" dxfId="233" priority="3" stopIfTrue="1">
      <formula>AND($D$7&lt;&gt;"",VALUE(LEFT($D$7,1))&lt;5)</formula>
    </cfRule>
    <cfRule type="expression" dxfId="232" priority="4" stopIfTrue="1">
      <formula>AND($D$7&lt;&gt;"",VALUE(LEFT($D$7,1))&gt;=5)</formula>
    </cfRule>
  </conditionalFormatting>
  <conditionalFormatting sqref="E7">
    <cfRule type="expression" dxfId="231" priority="5" stopIfTrue="1">
      <formula>AND($E$7&lt;&gt;"",VALUE(LEFT($E$7,1))&lt;5)</formula>
    </cfRule>
    <cfRule type="expression" dxfId="23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7D0DF24E-3847-48EA-A02B-817BC10F8E50}">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44B88235-199A-4EF3-BE22-373B287FB070}">
      <formula1>DATE(2026,1,1)</formula1>
      <formula2>DATE(2027,12,31)</formula2>
    </dataValidation>
    <dataValidation type="list" allowBlank="1" sqref="C7" xr:uid="{D6DFEC54-959D-498A-A9A1-E41E66C4008D}">
      <formula1>"맑음,구름 조금,흐림,비,눈,바람 강함"</formula1>
    </dataValidation>
    <dataValidation type="list" allowBlank="1" sqref="H50" xr:uid="{B0E54073-B7D4-4AD2-B641-0FB3ED93D640}">
      <formula1>"RTK-GNSS,네트워크RTK,정적GNSS,휴대GNSS"</formula1>
    </dataValidation>
    <dataValidation type="list" allowBlank="1" sqref="B109" xr:uid="{36CBD8DE-79C1-4430-B907-DE9D1F2F744A}">
      <formula1>"동일,조정"</formula1>
    </dataValidation>
    <dataValidation type="list" allowBlank="1" showInputMessage="1" showErrorMessage="1" sqref="F56:F57" xr:uid="{E04BA263-BEB0-49C0-89A3-036BB1F7EE1F}">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&amp;RS04 진안 신규점1</oddHeader>
    <oddFooter>&amp;C&amp;9 &amp;P / &amp;N</oddFooter>
  </headerFooter>
  <rowBreaks count="3" manualBreakCount="3">
    <brk id="38" max="16383" man="1"/>
    <brk id="58" max="16383" man="1"/>
    <brk id="10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C6AD8-7693-436F-A986-3110DDA7CA63}">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365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366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367</v>
      </c>
      <c r="B3" s="68"/>
      <c r="C3" s="68"/>
      <c r="D3" s="68"/>
      <c r="E3" s="68"/>
      <c r="F3" s="8" t="s">
        <v>154</v>
      </c>
      <c r="G3" s="6"/>
      <c r="H3" s="8" t="s">
        <v>155</v>
      </c>
      <c r="I3" s="9" t="s">
        <v>368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자동계산'!$B$4="05_무풍 신규점1","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자동계산'!$B$4&lt;&gt;"05_무풍 신규점1","",IF('⑨ 구배 자동계산'!H9="","",'⑨ 구배 자동계산'!H9))</f>
        <v/>
      </c>
      <c r="C16" s="30" t="str">
        <f>IF('⑨ 구배 자동계산'!$B$4&lt;&gt;"05_무풍 신규점1","",IF('⑨ 구배 자동계산'!I9="","",'⑨ 구배 자동계산'!I9))</f>
        <v/>
      </c>
      <c r="D16" s="43" t="str">
        <f>IF('⑨ 구배 자동계산'!$B$4&lt;&gt;"05_무풍 신규점1","",IF('⑨ 구배 자동계산'!J9="","",'⑨ 구배 자동계산'!J9))</f>
        <v/>
      </c>
      <c r="E16" s="30" t="str">
        <f>IF('⑨ 구배 자동계산'!$B$4&lt;&gt;"05_무풍 신규점1","",IF('⑨ 구배 자동계산'!K9="","",'⑨ 구배 자동계산'!K9))</f>
        <v/>
      </c>
      <c r="F16" s="43" t="str">
        <f>IF('⑨ 구배 자동계산'!$B$4&lt;&gt;"05_무풍 신규점1","",IF('⑨ 구배 자동계산'!L9="","",'⑨ 구배 자동계산'!L9))</f>
        <v/>
      </c>
      <c r="G16" s="30" t="str">
        <f>IF('⑨ 구배 자동계산'!$B$4&lt;&gt;"05_무풍 신규점1","",IF('⑨ 구배 자동계산'!M9="","",'⑨ 구배 자동계산'!M9))</f>
        <v/>
      </c>
      <c r="H16" s="43" t="str">
        <f>IF('⑨ 구배 자동계산'!$B$4&lt;&gt;"05_무풍 신규점1","",IF('⑨ 구배 자동계산'!N9="","",'⑨ 구배 자동계산'!N9))</f>
        <v/>
      </c>
      <c r="I16" s="30" t="str">
        <f>IF('⑨ 구배 자동계산'!$B$4&lt;&gt;"05_무풍 신규점1","",IF('⑨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자동계산'!$B$4&lt;&gt;"05_무풍 신규점1","",IF('⑨ 구배 자동계산'!H10="","",'⑨ 구배 자동계산'!H10))</f>
        <v/>
      </c>
      <c r="C17" s="32" t="str">
        <f>IF('⑨ 구배 자동계산'!$B$4&lt;&gt;"05_무풍 신규점1","",IF('⑨ 구배 자동계산'!I10="","",'⑨ 구배 자동계산'!I10))</f>
        <v/>
      </c>
      <c r="D17" s="44" t="str">
        <f>IF('⑨ 구배 자동계산'!$B$4&lt;&gt;"05_무풍 신규점1","",IF('⑨ 구배 자동계산'!J10="","",'⑨ 구배 자동계산'!J10))</f>
        <v/>
      </c>
      <c r="E17" s="32" t="str">
        <f>IF('⑨ 구배 자동계산'!$B$4&lt;&gt;"05_무풍 신규점1","",IF('⑨ 구배 자동계산'!K10="","",'⑨ 구배 자동계산'!K10))</f>
        <v/>
      </c>
      <c r="F17" s="44" t="str">
        <f>IF('⑨ 구배 자동계산'!$B$4&lt;&gt;"05_무풍 신규점1","",IF('⑨ 구배 자동계산'!L10="","",'⑨ 구배 자동계산'!L10))</f>
        <v/>
      </c>
      <c r="G17" s="32" t="str">
        <f>IF('⑨ 구배 자동계산'!$B$4&lt;&gt;"05_무풍 신규점1","",IF('⑨ 구배 자동계산'!M10="","",'⑨ 구배 자동계산'!M10))</f>
        <v/>
      </c>
      <c r="H17" s="44" t="str">
        <f>IF('⑨ 구배 자동계산'!$B$4&lt;&gt;"05_무풍 신규점1","",IF('⑨ 구배 자동계산'!N10="","",'⑨ 구배 자동계산'!N10))</f>
        <v/>
      </c>
      <c r="I17" s="32" t="str">
        <f>IF('⑨ 구배 자동계산'!$B$4&lt;&gt;"05_무풍 신규점1","",IF('⑨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자동계산'!$B$4&lt;&gt;"05_무풍 신규점1","",IF('⑨ 구배 자동계산'!H11="","",'⑨ 구배 자동계산'!H11))</f>
        <v/>
      </c>
      <c r="C18" s="32" t="str">
        <f>IF('⑨ 구배 자동계산'!$B$4&lt;&gt;"05_무풍 신규점1","",IF('⑨ 구배 자동계산'!I11="","",'⑨ 구배 자동계산'!I11))</f>
        <v/>
      </c>
      <c r="D18" s="44" t="str">
        <f>IF('⑨ 구배 자동계산'!$B$4&lt;&gt;"05_무풍 신규점1","",IF('⑨ 구배 자동계산'!J11="","",'⑨ 구배 자동계산'!J11))</f>
        <v/>
      </c>
      <c r="E18" s="32" t="str">
        <f>IF('⑨ 구배 자동계산'!$B$4&lt;&gt;"05_무풍 신규점1","",IF('⑨ 구배 자동계산'!K11="","",'⑨ 구배 자동계산'!K11))</f>
        <v/>
      </c>
      <c r="F18" s="44" t="str">
        <f>IF('⑨ 구배 자동계산'!$B$4&lt;&gt;"05_무풍 신규점1","",IF('⑨ 구배 자동계산'!L11="","",'⑨ 구배 자동계산'!L11))</f>
        <v/>
      </c>
      <c r="G18" s="32" t="str">
        <f>IF('⑨ 구배 자동계산'!$B$4&lt;&gt;"05_무풍 신규점1","",IF('⑨ 구배 자동계산'!M11="","",'⑨ 구배 자동계산'!M11))</f>
        <v/>
      </c>
      <c r="H18" s="44" t="str">
        <f>IF('⑨ 구배 자동계산'!$B$4&lt;&gt;"05_무풍 신규점1","",IF('⑨ 구배 자동계산'!N11="","",'⑨ 구배 자동계산'!N11))</f>
        <v/>
      </c>
      <c r="I18" s="32" t="str">
        <f>IF('⑨ 구배 자동계산'!$B$4&lt;&gt;"05_무풍 신규점1","",IF('⑨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자동계산'!$B$4&lt;&gt;"05_무풍 신규점1","",IF('⑨ 구배 자동계산'!H12="","",'⑨ 구배 자동계산'!H12))</f>
        <v/>
      </c>
      <c r="C19" s="32" t="str">
        <f>IF('⑨ 구배 자동계산'!$B$4&lt;&gt;"05_무풍 신규점1","",IF('⑨ 구배 자동계산'!I12="","",'⑨ 구배 자동계산'!I12))</f>
        <v/>
      </c>
      <c r="D19" s="44" t="str">
        <f>IF('⑨ 구배 자동계산'!$B$4&lt;&gt;"05_무풍 신규점1","",IF('⑨ 구배 자동계산'!J12="","",'⑨ 구배 자동계산'!J12))</f>
        <v/>
      </c>
      <c r="E19" s="32" t="str">
        <f>IF('⑨ 구배 자동계산'!$B$4&lt;&gt;"05_무풍 신규점1","",IF('⑨ 구배 자동계산'!K12="","",'⑨ 구배 자동계산'!K12))</f>
        <v/>
      </c>
      <c r="F19" s="44" t="str">
        <f>IF('⑨ 구배 자동계산'!$B$4&lt;&gt;"05_무풍 신규점1","",IF('⑨ 구배 자동계산'!L12="","",'⑨ 구배 자동계산'!L12))</f>
        <v/>
      </c>
      <c r="G19" s="32" t="str">
        <f>IF('⑨ 구배 자동계산'!$B$4&lt;&gt;"05_무풍 신규점1","",IF('⑨ 구배 자동계산'!M12="","",'⑨ 구배 자동계산'!M12))</f>
        <v/>
      </c>
      <c r="H19" s="44" t="str">
        <f>IF('⑨ 구배 자동계산'!$B$4&lt;&gt;"05_무풍 신규점1","",IF('⑨ 구배 자동계산'!N12="","",'⑨ 구배 자동계산'!N12))</f>
        <v/>
      </c>
      <c r="I19" s="32" t="str">
        <f>IF('⑨ 구배 자동계산'!$B$4&lt;&gt;"05_무풍 신규점1","",IF('⑨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자동계산'!$B$4&lt;&gt;"05_무풍 신규점1","",IF('⑨ 구배 자동계산'!H13="","",'⑨ 구배 자동계산'!H13))</f>
        <v/>
      </c>
      <c r="C20" s="32" t="str">
        <f>IF('⑨ 구배 자동계산'!$B$4&lt;&gt;"05_무풍 신규점1","",IF('⑨ 구배 자동계산'!I13="","",'⑨ 구배 자동계산'!I13))</f>
        <v/>
      </c>
      <c r="D20" s="44" t="str">
        <f>IF('⑨ 구배 자동계산'!$B$4&lt;&gt;"05_무풍 신규점1","",IF('⑨ 구배 자동계산'!J13="","",'⑨ 구배 자동계산'!J13))</f>
        <v/>
      </c>
      <c r="E20" s="32" t="str">
        <f>IF('⑨ 구배 자동계산'!$B$4&lt;&gt;"05_무풍 신규점1","",IF('⑨ 구배 자동계산'!K13="","",'⑨ 구배 자동계산'!K13))</f>
        <v/>
      </c>
      <c r="F20" s="44" t="str">
        <f>IF('⑨ 구배 자동계산'!$B$4&lt;&gt;"05_무풍 신규점1","",IF('⑨ 구배 자동계산'!L13="","",'⑨ 구배 자동계산'!L13))</f>
        <v/>
      </c>
      <c r="G20" s="32" t="str">
        <f>IF('⑨ 구배 자동계산'!$B$4&lt;&gt;"05_무풍 신규점1","",IF('⑨ 구배 자동계산'!M13="","",'⑨ 구배 자동계산'!M13))</f>
        <v/>
      </c>
      <c r="H20" s="44" t="str">
        <f>IF('⑨ 구배 자동계산'!$B$4&lt;&gt;"05_무풍 신규점1","",IF('⑨ 구배 자동계산'!N13="","",'⑨ 구배 자동계산'!N13))</f>
        <v/>
      </c>
      <c r="I20" s="32" t="str">
        <f>IF('⑨ 구배 자동계산'!$B$4&lt;&gt;"05_무풍 신규점1","",IF('⑨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자동계산'!$B$4&lt;&gt;"05_무풍 신규점1","",IF('⑨ 구배 자동계산'!H14="","",'⑨ 구배 자동계산'!H14))</f>
        <v/>
      </c>
      <c r="C21" s="32" t="str">
        <f>IF('⑨ 구배 자동계산'!$B$4&lt;&gt;"05_무풍 신규점1","",IF('⑨ 구배 자동계산'!I14="","",'⑨ 구배 자동계산'!I14))</f>
        <v/>
      </c>
      <c r="D21" s="44" t="str">
        <f>IF('⑨ 구배 자동계산'!$B$4&lt;&gt;"05_무풍 신규점1","",IF('⑨ 구배 자동계산'!J14="","",'⑨ 구배 자동계산'!J14))</f>
        <v/>
      </c>
      <c r="E21" s="32" t="str">
        <f>IF('⑨ 구배 자동계산'!$B$4&lt;&gt;"05_무풍 신규점1","",IF('⑨ 구배 자동계산'!K14="","",'⑨ 구배 자동계산'!K14))</f>
        <v/>
      </c>
      <c r="F21" s="44" t="str">
        <f>IF('⑨ 구배 자동계산'!$B$4&lt;&gt;"05_무풍 신규점1","",IF('⑨ 구배 자동계산'!L14="","",'⑨ 구배 자동계산'!L14))</f>
        <v/>
      </c>
      <c r="G21" s="32" t="str">
        <f>IF('⑨ 구배 자동계산'!$B$4&lt;&gt;"05_무풍 신규점1","",IF('⑨ 구배 자동계산'!M14="","",'⑨ 구배 자동계산'!M14))</f>
        <v/>
      </c>
      <c r="H21" s="44" t="str">
        <f>IF('⑨ 구배 자동계산'!$B$4&lt;&gt;"05_무풍 신규점1","",IF('⑨ 구배 자동계산'!N14="","",'⑨ 구배 자동계산'!N14))</f>
        <v/>
      </c>
      <c r="I21" s="32" t="str">
        <f>IF('⑨ 구배 자동계산'!$B$4&lt;&gt;"05_무풍 신규점1","",IF('⑨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자동계산'!$B$4&lt;&gt;"05_무풍 신규점1","",IF('⑨ 구배 자동계산'!H15="","",'⑨ 구배 자동계산'!H15))</f>
        <v/>
      </c>
      <c r="C22" s="32" t="str">
        <f>IF('⑨ 구배 자동계산'!$B$4&lt;&gt;"05_무풍 신규점1","",IF('⑨ 구배 자동계산'!I15="","",'⑨ 구배 자동계산'!I15))</f>
        <v/>
      </c>
      <c r="D22" s="44" t="str">
        <f>IF('⑨ 구배 자동계산'!$B$4&lt;&gt;"05_무풍 신규점1","",IF('⑨ 구배 자동계산'!J15="","",'⑨ 구배 자동계산'!J15))</f>
        <v/>
      </c>
      <c r="E22" s="32" t="str">
        <f>IF('⑨ 구배 자동계산'!$B$4&lt;&gt;"05_무풍 신규점1","",IF('⑨ 구배 자동계산'!K15="","",'⑨ 구배 자동계산'!K15))</f>
        <v/>
      </c>
      <c r="F22" s="44" t="str">
        <f>IF('⑨ 구배 자동계산'!$B$4&lt;&gt;"05_무풍 신규점1","",IF('⑨ 구배 자동계산'!L15="","",'⑨ 구배 자동계산'!L15))</f>
        <v/>
      </c>
      <c r="G22" s="32" t="str">
        <f>IF('⑨ 구배 자동계산'!$B$4&lt;&gt;"05_무풍 신규점1","",IF('⑨ 구배 자동계산'!M15="","",'⑨ 구배 자동계산'!M15))</f>
        <v/>
      </c>
      <c r="H22" s="44" t="str">
        <f>IF('⑨ 구배 자동계산'!$B$4&lt;&gt;"05_무풍 신규점1","",IF('⑨ 구배 자동계산'!N15="","",'⑨ 구배 자동계산'!N15))</f>
        <v/>
      </c>
      <c r="I22" s="32" t="str">
        <f>IF('⑨ 구배 자동계산'!$B$4&lt;&gt;"05_무풍 신규점1","",IF('⑨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자동계산'!$B$4&lt;&gt;"05_무풍 신규점1","",IF('⑨ 구배 자동계산'!H16="","",'⑨ 구배 자동계산'!H16))</f>
        <v/>
      </c>
      <c r="C23" s="32" t="str">
        <f>IF('⑨ 구배 자동계산'!$B$4&lt;&gt;"05_무풍 신규점1","",IF('⑨ 구배 자동계산'!I16="","",'⑨ 구배 자동계산'!I16))</f>
        <v/>
      </c>
      <c r="D23" s="44" t="str">
        <f>IF('⑨ 구배 자동계산'!$B$4&lt;&gt;"05_무풍 신규점1","",IF('⑨ 구배 자동계산'!J16="","",'⑨ 구배 자동계산'!J16))</f>
        <v/>
      </c>
      <c r="E23" s="32" t="str">
        <f>IF('⑨ 구배 자동계산'!$B$4&lt;&gt;"05_무풍 신규점1","",IF('⑨ 구배 자동계산'!K16="","",'⑨ 구배 자동계산'!K16))</f>
        <v/>
      </c>
      <c r="F23" s="44" t="str">
        <f>IF('⑨ 구배 자동계산'!$B$4&lt;&gt;"05_무풍 신규점1","",IF('⑨ 구배 자동계산'!L16="","",'⑨ 구배 자동계산'!L16))</f>
        <v/>
      </c>
      <c r="G23" s="32" t="str">
        <f>IF('⑨ 구배 자동계산'!$B$4&lt;&gt;"05_무풍 신규점1","",IF('⑨ 구배 자동계산'!M16="","",'⑨ 구배 자동계산'!M16))</f>
        <v/>
      </c>
      <c r="H23" s="44" t="str">
        <f>IF('⑨ 구배 자동계산'!$B$4&lt;&gt;"05_무풍 신규점1","",IF('⑨ 구배 자동계산'!N16="","",'⑨ 구배 자동계산'!N16))</f>
        <v/>
      </c>
      <c r="I23" s="32" t="str">
        <f>IF('⑨ 구배 자동계산'!$B$4&lt;&gt;"05_무풍 신규점1","",IF('⑨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자동계산'!$B$4&lt;&gt;"05_무풍 신규점1","",IF('⑨ 구배 자동계산'!H17="","",'⑨ 구배 자동계산'!H17))</f>
        <v/>
      </c>
      <c r="C24" s="32" t="str">
        <f>IF('⑨ 구배 자동계산'!$B$4&lt;&gt;"05_무풍 신규점1","",IF('⑨ 구배 자동계산'!I17="","",'⑨ 구배 자동계산'!I17))</f>
        <v/>
      </c>
      <c r="D24" s="44" t="str">
        <f>IF('⑨ 구배 자동계산'!$B$4&lt;&gt;"05_무풍 신규점1","",IF('⑨ 구배 자동계산'!J17="","",'⑨ 구배 자동계산'!J17))</f>
        <v/>
      </c>
      <c r="E24" s="32" t="str">
        <f>IF('⑨ 구배 자동계산'!$B$4&lt;&gt;"05_무풍 신규점1","",IF('⑨ 구배 자동계산'!K17="","",'⑨ 구배 자동계산'!K17))</f>
        <v/>
      </c>
      <c r="F24" s="44" t="str">
        <f>IF('⑨ 구배 자동계산'!$B$4&lt;&gt;"05_무풍 신규점1","",IF('⑨ 구배 자동계산'!L17="","",'⑨ 구배 자동계산'!L17))</f>
        <v/>
      </c>
      <c r="G24" s="32" t="str">
        <f>IF('⑨ 구배 자동계산'!$B$4&lt;&gt;"05_무풍 신규점1","",IF('⑨ 구배 자동계산'!M17="","",'⑨ 구배 자동계산'!M17))</f>
        <v/>
      </c>
      <c r="H24" s="44" t="str">
        <f>IF('⑨ 구배 자동계산'!$B$4&lt;&gt;"05_무풍 신규점1","",IF('⑨ 구배 자동계산'!N17="","",'⑨ 구배 자동계산'!N17))</f>
        <v/>
      </c>
      <c r="I24" s="32" t="str">
        <f>IF('⑨ 구배 자동계산'!$B$4&lt;&gt;"05_무풍 신규점1","",IF('⑨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자동계산'!$B$4&lt;&gt;"05_무풍 신규점1","",IF('⑨ 구배 자동계산'!H18="","",'⑨ 구배 자동계산'!H18))</f>
        <v/>
      </c>
      <c r="C25" s="32" t="str">
        <f>IF('⑨ 구배 자동계산'!$B$4&lt;&gt;"05_무풍 신규점1","",IF('⑨ 구배 자동계산'!I18="","",'⑨ 구배 자동계산'!I18))</f>
        <v/>
      </c>
      <c r="D25" s="44" t="str">
        <f>IF('⑨ 구배 자동계산'!$B$4&lt;&gt;"05_무풍 신규점1","",IF('⑨ 구배 자동계산'!J18="","",'⑨ 구배 자동계산'!J18))</f>
        <v/>
      </c>
      <c r="E25" s="32" t="str">
        <f>IF('⑨ 구배 자동계산'!$B$4&lt;&gt;"05_무풍 신규점1","",IF('⑨ 구배 자동계산'!K18="","",'⑨ 구배 자동계산'!K18))</f>
        <v/>
      </c>
      <c r="F25" s="44" t="str">
        <f>IF('⑨ 구배 자동계산'!$B$4&lt;&gt;"05_무풍 신규점1","",IF('⑨ 구배 자동계산'!L18="","",'⑨ 구배 자동계산'!L18))</f>
        <v/>
      </c>
      <c r="G25" s="32" t="str">
        <f>IF('⑨ 구배 자동계산'!$B$4&lt;&gt;"05_무풍 신규점1","",IF('⑨ 구배 자동계산'!M18="","",'⑨ 구배 자동계산'!M18))</f>
        <v/>
      </c>
      <c r="H25" s="44" t="str">
        <f>IF('⑨ 구배 자동계산'!$B$4&lt;&gt;"05_무풍 신규점1","",IF('⑨ 구배 자동계산'!N18="","",'⑨ 구배 자동계산'!N18))</f>
        <v/>
      </c>
      <c r="I25" s="32" t="str">
        <f>IF('⑨ 구배 자동계산'!$B$4&lt;&gt;"05_무풍 신규점1","",IF('⑨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자동계산'!$B$4&lt;&gt;"05_무풍 신규점1","",IF('⑨ 구배 자동계산'!H19="","",'⑨ 구배 자동계산'!H19))</f>
        <v/>
      </c>
      <c r="C26" s="32" t="str">
        <f>IF('⑨ 구배 자동계산'!$B$4&lt;&gt;"05_무풍 신규점1","",IF('⑨ 구배 자동계산'!I19="","",'⑨ 구배 자동계산'!I19))</f>
        <v/>
      </c>
      <c r="D26" s="44" t="str">
        <f>IF('⑨ 구배 자동계산'!$B$4&lt;&gt;"05_무풍 신규점1","",IF('⑨ 구배 자동계산'!J19="","",'⑨ 구배 자동계산'!J19))</f>
        <v/>
      </c>
      <c r="E26" s="32" t="str">
        <f>IF('⑨ 구배 자동계산'!$B$4&lt;&gt;"05_무풍 신규점1","",IF('⑨ 구배 자동계산'!K19="","",'⑨ 구배 자동계산'!K19))</f>
        <v/>
      </c>
      <c r="F26" s="44" t="str">
        <f>IF('⑨ 구배 자동계산'!$B$4&lt;&gt;"05_무풍 신규점1","",IF('⑨ 구배 자동계산'!L19="","",'⑨ 구배 자동계산'!L19))</f>
        <v/>
      </c>
      <c r="G26" s="32" t="str">
        <f>IF('⑨ 구배 자동계산'!$B$4&lt;&gt;"05_무풍 신규점1","",IF('⑨ 구배 자동계산'!M19="","",'⑨ 구배 자동계산'!M19))</f>
        <v/>
      </c>
      <c r="H26" s="44" t="str">
        <f>IF('⑨ 구배 자동계산'!$B$4&lt;&gt;"05_무풍 신규점1","",IF('⑨ 구배 자동계산'!N19="","",'⑨ 구배 자동계산'!N19))</f>
        <v/>
      </c>
      <c r="I26" s="32" t="str">
        <f>IF('⑨ 구배 자동계산'!$B$4&lt;&gt;"05_무풍 신규점1","",IF('⑨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자동계산'!$B$4&lt;&gt;"05_무풍 신규점1","",IF('⑨ 구배 자동계산'!H20="","",'⑨ 구배 자동계산'!H20))</f>
        <v/>
      </c>
      <c r="C27" s="41" t="str">
        <f>IF('⑨ 구배 자동계산'!$B$4&lt;&gt;"05_무풍 신규점1","",IF('⑨ 구배 자동계산'!I20="","",'⑨ 구배 자동계산'!I20))</f>
        <v/>
      </c>
      <c r="D27" s="45" t="str">
        <f>IF('⑨ 구배 자동계산'!$B$4&lt;&gt;"05_무풍 신규점1","",IF('⑨ 구배 자동계산'!J20="","",'⑨ 구배 자동계산'!J20))</f>
        <v/>
      </c>
      <c r="E27" s="41" t="str">
        <f>IF('⑨ 구배 자동계산'!$B$4&lt;&gt;"05_무풍 신규점1","",IF('⑨ 구배 자동계산'!K20="","",'⑨ 구배 자동계산'!K20))</f>
        <v/>
      </c>
      <c r="F27" s="45" t="str">
        <f>IF('⑨ 구배 자동계산'!$B$4&lt;&gt;"05_무풍 신규점1","",IF('⑨ 구배 자동계산'!L20="","",'⑨ 구배 자동계산'!L20))</f>
        <v/>
      </c>
      <c r="G27" s="41" t="str">
        <f>IF('⑨ 구배 자동계산'!$B$4&lt;&gt;"05_무풍 신규점1","",IF('⑨ 구배 자동계산'!M20="","",'⑨ 구배 자동계산'!M20))</f>
        <v/>
      </c>
      <c r="H27" s="45" t="str">
        <f>IF('⑨ 구배 자동계산'!$B$4&lt;&gt;"05_무풍 신규점1","",IF('⑨ 구배 자동계산'!N20="","",'⑨ 구배 자동계산'!N20))</f>
        <v/>
      </c>
      <c r="I27" s="41" t="str">
        <f>IF('⑨ 구배 자동계산'!$B$4&lt;&gt;"05_무풍 신규점1","",IF('⑨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자동계산'!$B$4&lt;&gt;"05_무풍 신규점1","",IF('⑨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자동계산'!$B$4&lt;&gt;"05_무풍 신규점1","",IF('⑨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자동계산'!$B$4&lt;&gt;"05_무풍 신규점1","",IF('⑨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자동계산'!$B$4&lt;&gt;"05_무풍 신규점1","",IF('⑨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자동계산'!$B$4&lt;&gt;"05_무풍 신규점1","",IF('⑨ 구배 자동계산'!I23="","",'⑨ 구배 자동계산'!I23))</f>
        <v/>
      </c>
      <c r="D42" s="8"/>
      <c r="E42" s="8"/>
      <c r="F42" s="8"/>
      <c r="G42" s="92" t="str">
        <f>IF('⑨ 구배 자동계산'!$B$4&lt;&gt;"05_무풍 신규점1","",IF('⑨ 구배 자동계산'!$J23="","",'⑨ 구배 자동계산'!$J23&amp;"  ·  "&amp;'⑨ 구배 자동계산'!$L23))</f>
        <v/>
      </c>
      <c r="H42" s="93"/>
      <c r="I42" s="93"/>
    </row>
    <row r="43" spans="1:35" ht="19.95" customHeight="1" x14ac:dyDescent="0.4">
      <c r="A43" s="8">
        <v>3</v>
      </c>
      <c r="B43" s="33">
        <v>140</v>
      </c>
      <c r="C43" s="32" t="str">
        <f>IF('⑨ 구배 자동계산'!$B$4&lt;&gt;"05_무풍 신규점1","",IF('⑨ 구배 자동계산'!I24="","",'⑨ 구배 자동계산'!I24))</f>
        <v/>
      </c>
      <c r="D43" s="34">
        <f>IF(COUNT(B43,B42)&lt;2,"",(B42-B43)/100)</f>
        <v>0.45</v>
      </c>
      <c r="E43" s="35" t="str">
        <f>IF(COUNT(C43,C42)&lt;2,"",C43-C42)</f>
        <v/>
      </c>
      <c r="F43" s="36" t="str">
        <f>IF(OR(D43="",E43="",D43=0),"",E43/D43)</f>
        <v/>
      </c>
      <c r="G43" s="92" t="str">
        <f>IF('⑨ 구배 자동계산'!$B$4&lt;&gt;"05_무풍 신규점1","",IF('⑨ 구배 자동계산'!$J24="","",'⑨ 구배 자동계산'!$J24&amp;"  ·  "&amp;'⑨ 구배 자동계산'!$L24))</f>
        <v/>
      </c>
      <c r="H43" s="93"/>
      <c r="I43" s="93"/>
      <c r="AH43" t="s">
        <v>234</v>
      </c>
    </row>
    <row r="44" spans="1:35" ht="19.95" customHeight="1" x14ac:dyDescent="0.4">
      <c r="A44" s="8">
        <v>2</v>
      </c>
      <c r="B44" s="33">
        <v>95</v>
      </c>
      <c r="C44" s="32" t="str">
        <f>IF('⑨ 구배 자동계산'!$B$4&lt;&gt;"05_무풍 신규점1","",IF('⑨ 구배 자동계산'!I25="","",'⑨ 구배 자동계산'!I25))</f>
        <v/>
      </c>
      <c r="D44" s="34">
        <f>IF(COUNT(B44,B43)&lt;2,"",(B43-B44)/100)</f>
        <v>0.45</v>
      </c>
      <c r="E44" s="35" t="str">
        <f>IF(COUNT(C44,C43)&lt;2,"",C44-C43)</f>
        <v/>
      </c>
      <c r="F44" s="36" t="str">
        <f>IF(OR(D44="",E44="",D44=0),"",E44/D44)</f>
        <v/>
      </c>
      <c r="G44" s="92" t="str">
        <f>IF('⑨ 구배 자동계산'!$B$4&lt;&gt;"05_무풍 신규점1","",IF('⑨ 구배 자동계산'!$J25="","",'⑨ 구배 자동계산'!$J25&amp;"  ·  "&amp;'⑨ 구배 자동계산'!$L25))</f>
        <v/>
      </c>
      <c r="H44" s="93"/>
      <c r="I44" s="93"/>
    </row>
    <row r="45" spans="1:35" ht="19.95" customHeight="1" x14ac:dyDescent="0.4">
      <c r="A45" s="8">
        <v>1</v>
      </c>
      <c r="B45" s="33">
        <v>50</v>
      </c>
      <c r="C45" s="32" t="str">
        <f>IF('⑨ 구배 자동계산'!$B$4&lt;&gt;"05_무풍 신규점1","",IF('⑨ 구배 자동계산'!I26="","",'⑨ 구배 자동계산'!I26))</f>
        <v/>
      </c>
      <c r="D45" s="34">
        <f>IF(COUNT(B45,B44)&lt;2,"",(B44-B45)/100)</f>
        <v>0.45</v>
      </c>
      <c r="E45" s="35" t="str">
        <f>IF(COUNT(C45,C44)&lt;2,"",C45-C44)</f>
        <v/>
      </c>
      <c r="F45" s="36" t="str">
        <f>IF(OR(D45="",E45="",D45=0),"",E45/D45)</f>
        <v/>
      </c>
      <c r="G45" s="92" t="str">
        <f>IF('⑨ 구배 자동계산'!$B$4&lt;&gt;"05_무풍 신규점1","",IF('⑨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IF(COUNT(B50,E50)&lt;2,"",ROUND(SQRT(((127.800855-E50)*111320*COS(RADIANS(35.945212)))^2+((35.945212-B50)*110574)^2),1))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S05-P0a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29" priority="1">
      <formula>AND(ISNUMBER(C31),C31&gt;50)</formula>
    </cfRule>
  </conditionalFormatting>
  <conditionalFormatting sqref="D7">
    <cfRule type="expression" dxfId="228" priority="3" stopIfTrue="1">
      <formula>AND($D$7&lt;&gt;"",VALUE(LEFT($D$7,1))&lt;5)</formula>
    </cfRule>
    <cfRule type="expression" dxfId="227" priority="4" stopIfTrue="1">
      <formula>AND($D$7&lt;&gt;"",VALUE(LEFT($D$7,1))&gt;=5)</formula>
    </cfRule>
  </conditionalFormatting>
  <conditionalFormatting sqref="E7">
    <cfRule type="expression" dxfId="226" priority="5" stopIfTrue="1">
      <formula>AND($E$7&lt;&gt;"",VALUE(LEFT($E$7,1))&lt;5)</formula>
    </cfRule>
    <cfRule type="expression" dxfId="22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A48CC881-D0BE-461E-9B38-07D1BA1D4312}">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8B7D9F18-C5AA-4739-B38B-E9BDAF10123D}">
      <formula1>DATE(2026,1,1)</formula1>
      <formula2>DATE(2027,12,31)</formula2>
    </dataValidation>
    <dataValidation type="list" allowBlank="1" sqref="C7" xr:uid="{468661FB-B293-4F2C-A83A-6E436154C479}">
      <formula1>"맑음,구름 조금,흐림,비,눈,바람 강함"</formula1>
    </dataValidation>
    <dataValidation type="list" allowBlank="1" sqref="H50" xr:uid="{44DF77A4-6E35-41C1-8337-FD66369E602E}">
      <formula1>"RTK-GNSS,네트워크RTK,정적GNSS,휴대GNSS"</formula1>
    </dataValidation>
    <dataValidation type="list" allowBlank="1" sqref="B109" xr:uid="{1EB0DEBD-38F8-404A-83A7-5A98EC8121C7}">
      <formula1>"동일,조정"</formula1>
    </dataValidation>
    <dataValidation type="list" allowBlank="1" showInputMessage="1" showErrorMessage="1" sqref="F56:F57" xr:uid="{389487E6-8941-41B4-A40D-C8AF4B3DD2B6}">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&amp;RS05 무풍 신규점1</oddHeader>
    <oddFooter>&amp;C&amp;9 &amp;P / &amp;N</oddFooter>
  </headerFooter>
  <rowBreaks count="3" manualBreakCount="3">
    <brk id="38" max="16383" man="1"/>
    <brk id="58" max="16383" man="1"/>
    <brk id="10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D9F99-2F8D-42DB-BB08-54641192C7AA}">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369</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370</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371</v>
      </c>
      <c r="B3" s="68"/>
      <c r="C3" s="68"/>
      <c r="D3" s="68"/>
      <c r="E3" s="68"/>
      <c r="F3" s="8" t="s">
        <v>154</v>
      </c>
      <c r="G3" s="6"/>
      <c r="H3" s="8" t="s">
        <v>155</v>
      </c>
      <c r="I3" s="9" t="s">
        <v>372</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자동계산'!$B$4="06_길담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자동계산'!$B$4&lt;&gt;"06_길담 신규점","",IF('⑨ 구배 자동계산'!H9="","",'⑨ 구배 자동계산'!H9))</f>
        <v/>
      </c>
      <c r="C16" s="30" t="str">
        <f>IF('⑨ 구배 자동계산'!$B$4&lt;&gt;"06_길담 신규점","",IF('⑨ 구배 자동계산'!I9="","",'⑨ 구배 자동계산'!I9))</f>
        <v/>
      </c>
      <c r="D16" s="43" t="str">
        <f>IF('⑨ 구배 자동계산'!$B$4&lt;&gt;"06_길담 신규점","",IF('⑨ 구배 자동계산'!J9="","",'⑨ 구배 자동계산'!J9))</f>
        <v/>
      </c>
      <c r="E16" s="30" t="str">
        <f>IF('⑨ 구배 자동계산'!$B$4&lt;&gt;"06_길담 신규점","",IF('⑨ 구배 자동계산'!K9="","",'⑨ 구배 자동계산'!K9))</f>
        <v/>
      </c>
      <c r="F16" s="43" t="str">
        <f>IF('⑨ 구배 자동계산'!$B$4&lt;&gt;"06_길담 신규점","",IF('⑨ 구배 자동계산'!L9="","",'⑨ 구배 자동계산'!L9))</f>
        <v/>
      </c>
      <c r="G16" s="30" t="str">
        <f>IF('⑨ 구배 자동계산'!$B$4&lt;&gt;"06_길담 신규점","",IF('⑨ 구배 자동계산'!M9="","",'⑨ 구배 자동계산'!M9))</f>
        <v/>
      </c>
      <c r="H16" s="43" t="str">
        <f>IF('⑨ 구배 자동계산'!$B$4&lt;&gt;"06_길담 신규점","",IF('⑨ 구배 자동계산'!N9="","",'⑨ 구배 자동계산'!N9))</f>
        <v/>
      </c>
      <c r="I16" s="30" t="str">
        <f>IF('⑨ 구배 자동계산'!$B$4&lt;&gt;"06_길담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자동계산'!$B$4&lt;&gt;"06_길담 신규점","",IF('⑨ 구배 자동계산'!H10="","",'⑨ 구배 자동계산'!H10))</f>
        <v/>
      </c>
      <c r="C17" s="32" t="str">
        <f>IF('⑨ 구배 자동계산'!$B$4&lt;&gt;"06_길담 신규점","",IF('⑨ 구배 자동계산'!I10="","",'⑨ 구배 자동계산'!I10))</f>
        <v/>
      </c>
      <c r="D17" s="44" t="str">
        <f>IF('⑨ 구배 자동계산'!$B$4&lt;&gt;"06_길담 신규점","",IF('⑨ 구배 자동계산'!J10="","",'⑨ 구배 자동계산'!J10))</f>
        <v/>
      </c>
      <c r="E17" s="32" t="str">
        <f>IF('⑨ 구배 자동계산'!$B$4&lt;&gt;"06_길담 신규점","",IF('⑨ 구배 자동계산'!K10="","",'⑨ 구배 자동계산'!K10))</f>
        <v/>
      </c>
      <c r="F17" s="44" t="str">
        <f>IF('⑨ 구배 자동계산'!$B$4&lt;&gt;"06_길담 신규점","",IF('⑨ 구배 자동계산'!L10="","",'⑨ 구배 자동계산'!L10))</f>
        <v/>
      </c>
      <c r="G17" s="32" t="str">
        <f>IF('⑨ 구배 자동계산'!$B$4&lt;&gt;"06_길담 신규점","",IF('⑨ 구배 자동계산'!M10="","",'⑨ 구배 자동계산'!M10))</f>
        <v/>
      </c>
      <c r="H17" s="44" t="str">
        <f>IF('⑨ 구배 자동계산'!$B$4&lt;&gt;"06_길담 신규점","",IF('⑨ 구배 자동계산'!N10="","",'⑨ 구배 자동계산'!N10))</f>
        <v/>
      </c>
      <c r="I17" s="32" t="str">
        <f>IF('⑨ 구배 자동계산'!$B$4&lt;&gt;"06_길담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자동계산'!$B$4&lt;&gt;"06_길담 신규점","",IF('⑨ 구배 자동계산'!H11="","",'⑨ 구배 자동계산'!H11))</f>
        <v/>
      </c>
      <c r="C18" s="32" t="str">
        <f>IF('⑨ 구배 자동계산'!$B$4&lt;&gt;"06_길담 신규점","",IF('⑨ 구배 자동계산'!I11="","",'⑨ 구배 자동계산'!I11))</f>
        <v/>
      </c>
      <c r="D18" s="44" t="str">
        <f>IF('⑨ 구배 자동계산'!$B$4&lt;&gt;"06_길담 신규점","",IF('⑨ 구배 자동계산'!J11="","",'⑨ 구배 자동계산'!J11))</f>
        <v/>
      </c>
      <c r="E18" s="32" t="str">
        <f>IF('⑨ 구배 자동계산'!$B$4&lt;&gt;"06_길담 신규점","",IF('⑨ 구배 자동계산'!K11="","",'⑨ 구배 자동계산'!K11))</f>
        <v/>
      </c>
      <c r="F18" s="44" t="str">
        <f>IF('⑨ 구배 자동계산'!$B$4&lt;&gt;"06_길담 신규점","",IF('⑨ 구배 자동계산'!L11="","",'⑨ 구배 자동계산'!L11))</f>
        <v/>
      </c>
      <c r="G18" s="32" t="str">
        <f>IF('⑨ 구배 자동계산'!$B$4&lt;&gt;"06_길담 신규점","",IF('⑨ 구배 자동계산'!M11="","",'⑨ 구배 자동계산'!M11))</f>
        <v/>
      </c>
      <c r="H18" s="44" t="str">
        <f>IF('⑨ 구배 자동계산'!$B$4&lt;&gt;"06_길담 신규점","",IF('⑨ 구배 자동계산'!N11="","",'⑨ 구배 자동계산'!N11))</f>
        <v/>
      </c>
      <c r="I18" s="32" t="str">
        <f>IF('⑨ 구배 자동계산'!$B$4&lt;&gt;"06_길담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자동계산'!$B$4&lt;&gt;"06_길담 신규점","",IF('⑨ 구배 자동계산'!H12="","",'⑨ 구배 자동계산'!H12))</f>
        <v/>
      </c>
      <c r="C19" s="32" t="str">
        <f>IF('⑨ 구배 자동계산'!$B$4&lt;&gt;"06_길담 신규점","",IF('⑨ 구배 자동계산'!I12="","",'⑨ 구배 자동계산'!I12))</f>
        <v/>
      </c>
      <c r="D19" s="44" t="str">
        <f>IF('⑨ 구배 자동계산'!$B$4&lt;&gt;"06_길담 신규점","",IF('⑨ 구배 자동계산'!J12="","",'⑨ 구배 자동계산'!J12))</f>
        <v/>
      </c>
      <c r="E19" s="32" t="str">
        <f>IF('⑨ 구배 자동계산'!$B$4&lt;&gt;"06_길담 신규점","",IF('⑨ 구배 자동계산'!K12="","",'⑨ 구배 자동계산'!K12))</f>
        <v/>
      </c>
      <c r="F19" s="44" t="str">
        <f>IF('⑨ 구배 자동계산'!$B$4&lt;&gt;"06_길담 신규점","",IF('⑨ 구배 자동계산'!L12="","",'⑨ 구배 자동계산'!L12))</f>
        <v/>
      </c>
      <c r="G19" s="32" t="str">
        <f>IF('⑨ 구배 자동계산'!$B$4&lt;&gt;"06_길담 신규점","",IF('⑨ 구배 자동계산'!M12="","",'⑨ 구배 자동계산'!M12))</f>
        <v/>
      </c>
      <c r="H19" s="44" t="str">
        <f>IF('⑨ 구배 자동계산'!$B$4&lt;&gt;"06_길담 신규점","",IF('⑨ 구배 자동계산'!N12="","",'⑨ 구배 자동계산'!N12))</f>
        <v/>
      </c>
      <c r="I19" s="32" t="str">
        <f>IF('⑨ 구배 자동계산'!$B$4&lt;&gt;"06_길담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자동계산'!$B$4&lt;&gt;"06_길담 신규점","",IF('⑨ 구배 자동계산'!H13="","",'⑨ 구배 자동계산'!H13))</f>
        <v/>
      </c>
      <c r="C20" s="32" t="str">
        <f>IF('⑨ 구배 자동계산'!$B$4&lt;&gt;"06_길담 신규점","",IF('⑨ 구배 자동계산'!I13="","",'⑨ 구배 자동계산'!I13))</f>
        <v/>
      </c>
      <c r="D20" s="44" t="str">
        <f>IF('⑨ 구배 자동계산'!$B$4&lt;&gt;"06_길담 신규점","",IF('⑨ 구배 자동계산'!J13="","",'⑨ 구배 자동계산'!J13))</f>
        <v/>
      </c>
      <c r="E20" s="32" t="str">
        <f>IF('⑨ 구배 자동계산'!$B$4&lt;&gt;"06_길담 신규점","",IF('⑨ 구배 자동계산'!K13="","",'⑨ 구배 자동계산'!K13))</f>
        <v/>
      </c>
      <c r="F20" s="44" t="str">
        <f>IF('⑨ 구배 자동계산'!$B$4&lt;&gt;"06_길담 신규점","",IF('⑨ 구배 자동계산'!L13="","",'⑨ 구배 자동계산'!L13))</f>
        <v/>
      </c>
      <c r="G20" s="32" t="str">
        <f>IF('⑨ 구배 자동계산'!$B$4&lt;&gt;"06_길담 신규점","",IF('⑨ 구배 자동계산'!M13="","",'⑨ 구배 자동계산'!M13))</f>
        <v/>
      </c>
      <c r="H20" s="44" t="str">
        <f>IF('⑨ 구배 자동계산'!$B$4&lt;&gt;"06_길담 신규점","",IF('⑨ 구배 자동계산'!N13="","",'⑨ 구배 자동계산'!N13))</f>
        <v/>
      </c>
      <c r="I20" s="32" t="str">
        <f>IF('⑨ 구배 자동계산'!$B$4&lt;&gt;"06_길담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자동계산'!$B$4&lt;&gt;"06_길담 신규점","",IF('⑨ 구배 자동계산'!H14="","",'⑨ 구배 자동계산'!H14))</f>
        <v/>
      </c>
      <c r="C21" s="32" t="str">
        <f>IF('⑨ 구배 자동계산'!$B$4&lt;&gt;"06_길담 신규점","",IF('⑨ 구배 자동계산'!I14="","",'⑨ 구배 자동계산'!I14))</f>
        <v/>
      </c>
      <c r="D21" s="44" t="str">
        <f>IF('⑨ 구배 자동계산'!$B$4&lt;&gt;"06_길담 신규점","",IF('⑨ 구배 자동계산'!J14="","",'⑨ 구배 자동계산'!J14))</f>
        <v/>
      </c>
      <c r="E21" s="32" t="str">
        <f>IF('⑨ 구배 자동계산'!$B$4&lt;&gt;"06_길담 신규점","",IF('⑨ 구배 자동계산'!K14="","",'⑨ 구배 자동계산'!K14))</f>
        <v/>
      </c>
      <c r="F21" s="44" t="str">
        <f>IF('⑨ 구배 자동계산'!$B$4&lt;&gt;"06_길담 신규점","",IF('⑨ 구배 자동계산'!L14="","",'⑨ 구배 자동계산'!L14))</f>
        <v/>
      </c>
      <c r="G21" s="32" t="str">
        <f>IF('⑨ 구배 자동계산'!$B$4&lt;&gt;"06_길담 신규점","",IF('⑨ 구배 자동계산'!M14="","",'⑨ 구배 자동계산'!M14))</f>
        <v/>
      </c>
      <c r="H21" s="44" t="str">
        <f>IF('⑨ 구배 자동계산'!$B$4&lt;&gt;"06_길담 신규점","",IF('⑨ 구배 자동계산'!N14="","",'⑨ 구배 자동계산'!N14))</f>
        <v/>
      </c>
      <c r="I21" s="32" t="str">
        <f>IF('⑨ 구배 자동계산'!$B$4&lt;&gt;"06_길담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자동계산'!$B$4&lt;&gt;"06_길담 신규점","",IF('⑨ 구배 자동계산'!H15="","",'⑨ 구배 자동계산'!H15))</f>
        <v/>
      </c>
      <c r="C22" s="32" t="str">
        <f>IF('⑨ 구배 자동계산'!$B$4&lt;&gt;"06_길담 신규점","",IF('⑨ 구배 자동계산'!I15="","",'⑨ 구배 자동계산'!I15))</f>
        <v/>
      </c>
      <c r="D22" s="44" t="str">
        <f>IF('⑨ 구배 자동계산'!$B$4&lt;&gt;"06_길담 신규점","",IF('⑨ 구배 자동계산'!J15="","",'⑨ 구배 자동계산'!J15))</f>
        <v/>
      </c>
      <c r="E22" s="32" t="str">
        <f>IF('⑨ 구배 자동계산'!$B$4&lt;&gt;"06_길담 신규점","",IF('⑨ 구배 자동계산'!K15="","",'⑨ 구배 자동계산'!K15))</f>
        <v/>
      </c>
      <c r="F22" s="44" t="str">
        <f>IF('⑨ 구배 자동계산'!$B$4&lt;&gt;"06_길담 신규점","",IF('⑨ 구배 자동계산'!L15="","",'⑨ 구배 자동계산'!L15))</f>
        <v/>
      </c>
      <c r="G22" s="32" t="str">
        <f>IF('⑨ 구배 자동계산'!$B$4&lt;&gt;"06_길담 신규점","",IF('⑨ 구배 자동계산'!M15="","",'⑨ 구배 자동계산'!M15))</f>
        <v/>
      </c>
      <c r="H22" s="44" t="str">
        <f>IF('⑨ 구배 자동계산'!$B$4&lt;&gt;"06_길담 신규점","",IF('⑨ 구배 자동계산'!N15="","",'⑨ 구배 자동계산'!N15))</f>
        <v/>
      </c>
      <c r="I22" s="32" t="str">
        <f>IF('⑨ 구배 자동계산'!$B$4&lt;&gt;"06_길담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자동계산'!$B$4&lt;&gt;"06_길담 신규점","",IF('⑨ 구배 자동계산'!H16="","",'⑨ 구배 자동계산'!H16))</f>
        <v/>
      </c>
      <c r="C23" s="32" t="str">
        <f>IF('⑨ 구배 자동계산'!$B$4&lt;&gt;"06_길담 신규점","",IF('⑨ 구배 자동계산'!I16="","",'⑨ 구배 자동계산'!I16))</f>
        <v/>
      </c>
      <c r="D23" s="44" t="str">
        <f>IF('⑨ 구배 자동계산'!$B$4&lt;&gt;"06_길담 신규점","",IF('⑨ 구배 자동계산'!J16="","",'⑨ 구배 자동계산'!J16))</f>
        <v/>
      </c>
      <c r="E23" s="32" t="str">
        <f>IF('⑨ 구배 자동계산'!$B$4&lt;&gt;"06_길담 신규점","",IF('⑨ 구배 자동계산'!K16="","",'⑨ 구배 자동계산'!K16))</f>
        <v/>
      </c>
      <c r="F23" s="44" t="str">
        <f>IF('⑨ 구배 자동계산'!$B$4&lt;&gt;"06_길담 신규점","",IF('⑨ 구배 자동계산'!L16="","",'⑨ 구배 자동계산'!L16))</f>
        <v/>
      </c>
      <c r="G23" s="32" t="str">
        <f>IF('⑨ 구배 자동계산'!$B$4&lt;&gt;"06_길담 신규점","",IF('⑨ 구배 자동계산'!M16="","",'⑨ 구배 자동계산'!M16))</f>
        <v/>
      </c>
      <c r="H23" s="44" t="str">
        <f>IF('⑨ 구배 자동계산'!$B$4&lt;&gt;"06_길담 신규점","",IF('⑨ 구배 자동계산'!N16="","",'⑨ 구배 자동계산'!N16))</f>
        <v/>
      </c>
      <c r="I23" s="32" t="str">
        <f>IF('⑨ 구배 자동계산'!$B$4&lt;&gt;"06_길담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자동계산'!$B$4&lt;&gt;"06_길담 신규점","",IF('⑨ 구배 자동계산'!H17="","",'⑨ 구배 자동계산'!H17))</f>
        <v/>
      </c>
      <c r="C24" s="32" t="str">
        <f>IF('⑨ 구배 자동계산'!$B$4&lt;&gt;"06_길담 신규점","",IF('⑨ 구배 자동계산'!I17="","",'⑨ 구배 자동계산'!I17))</f>
        <v/>
      </c>
      <c r="D24" s="44" t="str">
        <f>IF('⑨ 구배 자동계산'!$B$4&lt;&gt;"06_길담 신규점","",IF('⑨ 구배 자동계산'!J17="","",'⑨ 구배 자동계산'!J17))</f>
        <v/>
      </c>
      <c r="E24" s="32" t="str">
        <f>IF('⑨ 구배 자동계산'!$B$4&lt;&gt;"06_길담 신규점","",IF('⑨ 구배 자동계산'!K17="","",'⑨ 구배 자동계산'!K17))</f>
        <v/>
      </c>
      <c r="F24" s="44" t="str">
        <f>IF('⑨ 구배 자동계산'!$B$4&lt;&gt;"06_길담 신규점","",IF('⑨ 구배 자동계산'!L17="","",'⑨ 구배 자동계산'!L17))</f>
        <v/>
      </c>
      <c r="G24" s="32" t="str">
        <f>IF('⑨ 구배 자동계산'!$B$4&lt;&gt;"06_길담 신규점","",IF('⑨ 구배 자동계산'!M17="","",'⑨ 구배 자동계산'!M17))</f>
        <v/>
      </c>
      <c r="H24" s="44" t="str">
        <f>IF('⑨ 구배 자동계산'!$B$4&lt;&gt;"06_길담 신규점","",IF('⑨ 구배 자동계산'!N17="","",'⑨ 구배 자동계산'!N17))</f>
        <v/>
      </c>
      <c r="I24" s="32" t="str">
        <f>IF('⑨ 구배 자동계산'!$B$4&lt;&gt;"06_길담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자동계산'!$B$4&lt;&gt;"06_길담 신규점","",IF('⑨ 구배 자동계산'!H18="","",'⑨ 구배 자동계산'!H18))</f>
        <v/>
      </c>
      <c r="C25" s="32" t="str">
        <f>IF('⑨ 구배 자동계산'!$B$4&lt;&gt;"06_길담 신규점","",IF('⑨ 구배 자동계산'!I18="","",'⑨ 구배 자동계산'!I18))</f>
        <v/>
      </c>
      <c r="D25" s="44" t="str">
        <f>IF('⑨ 구배 자동계산'!$B$4&lt;&gt;"06_길담 신규점","",IF('⑨ 구배 자동계산'!J18="","",'⑨ 구배 자동계산'!J18))</f>
        <v/>
      </c>
      <c r="E25" s="32" t="str">
        <f>IF('⑨ 구배 자동계산'!$B$4&lt;&gt;"06_길담 신규점","",IF('⑨ 구배 자동계산'!K18="","",'⑨ 구배 자동계산'!K18))</f>
        <v/>
      </c>
      <c r="F25" s="44" t="str">
        <f>IF('⑨ 구배 자동계산'!$B$4&lt;&gt;"06_길담 신규점","",IF('⑨ 구배 자동계산'!L18="","",'⑨ 구배 자동계산'!L18))</f>
        <v/>
      </c>
      <c r="G25" s="32" t="str">
        <f>IF('⑨ 구배 자동계산'!$B$4&lt;&gt;"06_길담 신규점","",IF('⑨ 구배 자동계산'!M18="","",'⑨ 구배 자동계산'!M18))</f>
        <v/>
      </c>
      <c r="H25" s="44" t="str">
        <f>IF('⑨ 구배 자동계산'!$B$4&lt;&gt;"06_길담 신규점","",IF('⑨ 구배 자동계산'!N18="","",'⑨ 구배 자동계산'!N18))</f>
        <v/>
      </c>
      <c r="I25" s="32" t="str">
        <f>IF('⑨ 구배 자동계산'!$B$4&lt;&gt;"06_길담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자동계산'!$B$4&lt;&gt;"06_길담 신규점","",IF('⑨ 구배 자동계산'!H19="","",'⑨ 구배 자동계산'!H19))</f>
        <v/>
      </c>
      <c r="C26" s="32" t="str">
        <f>IF('⑨ 구배 자동계산'!$B$4&lt;&gt;"06_길담 신규점","",IF('⑨ 구배 자동계산'!I19="","",'⑨ 구배 자동계산'!I19))</f>
        <v/>
      </c>
      <c r="D26" s="44" t="str">
        <f>IF('⑨ 구배 자동계산'!$B$4&lt;&gt;"06_길담 신규점","",IF('⑨ 구배 자동계산'!J19="","",'⑨ 구배 자동계산'!J19))</f>
        <v/>
      </c>
      <c r="E26" s="32" t="str">
        <f>IF('⑨ 구배 자동계산'!$B$4&lt;&gt;"06_길담 신규점","",IF('⑨ 구배 자동계산'!K19="","",'⑨ 구배 자동계산'!K19))</f>
        <v/>
      </c>
      <c r="F26" s="44" t="str">
        <f>IF('⑨ 구배 자동계산'!$B$4&lt;&gt;"06_길담 신규점","",IF('⑨ 구배 자동계산'!L19="","",'⑨ 구배 자동계산'!L19))</f>
        <v/>
      </c>
      <c r="G26" s="32" t="str">
        <f>IF('⑨ 구배 자동계산'!$B$4&lt;&gt;"06_길담 신규점","",IF('⑨ 구배 자동계산'!M19="","",'⑨ 구배 자동계산'!M19))</f>
        <v/>
      </c>
      <c r="H26" s="44" t="str">
        <f>IF('⑨ 구배 자동계산'!$B$4&lt;&gt;"06_길담 신규점","",IF('⑨ 구배 자동계산'!N19="","",'⑨ 구배 자동계산'!N19))</f>
        <v/>
      </c>
      <c r="I26" s="32" t="str">
        <f>IF('⑨ 구배 자동계산'!$B$4&lt;&gt;"06_길담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자동계산'!$B$4&lt;&gt;"06_길담 신규점","",IF('⑨ 구배 자동계산'!H20="","",'⑨ 구배 자동계산'!H20))</f>
        <v/>
      </c>
      <c r="C27" s="41" t="str">
        <f>IF('⑨ 구배 자동계산'!$B$4&lt;&gt;"06_길담 신규점","",IF('⑨ 구배 자동계산'!I20="","",'⑨ 구배 자동계산'!I20))</f>
        <v/>
      </c>
      <c r="D27" s="45" t="str">
        <f>IF('⑨ 구배 자동계산'!$B$4&lt;&gt;"06_길담 신규점","",IF('⑨ 구배 자동계산'!J20="","",'⑨ 구배 자동계산'!J20))</f>
        <v/>
      </c>
      <c r="E27" s="41" t="str">
        <f>IF('⑨ 구배 자동계산'!$B$4&lt;&gt;"06_길담 신규점","",IF('⑨ 구배 자동계산'!K20="","",'⑨ 구배 자동계산'!K20))</f>
        <v/>
      </c>
      <c r="F27" s="45" t="str">
        <f>IF('⑨ 구배 자동계산'!$B$4&lt;&gt;"06_길담 신규점","",IF('⑨ 구배 자동계산'!L20="","",'⑨ 구배 자동계산'!L20))</f>
        <v/>
      </c>
      <c r="G27" s="41" t="str">
        <f>IF('⑨ 구배 자동계산'!$B$4&lt;&gt;"06_길담 신규점","",IF('⑨ 구배 자동계산'!M20="","",'⑨ 구배 자동계산'!M20))</f>
        <v/>
      </c>
      <c r="H27" s="45" t="str">
        <f>IF('⑨ 구배 자동계산'!$B$4&lt;&gt;"06_길담 신규점","",IF('⑨ 구배 자동계산'!N20="","",'⑨ 구배 자동계산'!N20))</f>
        <v/>
      </c>
      <c r="I27" s="41" t="str">
        <f>IF('⑨ 구배 자동계산'!$B$4&lt;&gt;"06_길담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자동계산'!$B$4&lt;&gt;"06_길담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자동계산'!$B$4&lt;&gt;"06_길담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자동계산'!$B$4&lt;&gt;"06_길담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자동계산'!$B$4&lt;&gt;"06_길담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자동계산'!$B$4&lt;&gt;"06_길담 신규점","",IF('⑨ 구배 자동계산'!I23="","",'⑨ 구배 자동계산'!I23))</f>
        <v/>
      </c>
      <c r="D42" s="8"/>
      <c r="E42" s="8"/>
      <c r="F42" s="8"/>
      <c r="G42" s="92" t="str">
        <f>IF('⑨ 구배 자동계산'!$B$4&lt;&gt;"06_길담 신규점","",IF('⑨ 구배 자동계산'!$J23="","",'⑨ 구배 자동계산'!$J23&amp;"  ·  "&amp;'⑨ 구배 자동계산'!$L23))</f>
        <v/>
      </c>
      <c r="H42" s="93"/>
      <c r="I42" s="93"/>
    </row>
    <row r="43" spans="1:35" ht="19.95" customHeight="1" x14ac:dyDescent="0.4">
      <c r="A43" s="8">
        <v>3</v>
      </c>
      <c r="B43" s="33">
        <v>140</v>
      </c>
      <c r="C43" s="32" t="str">
        <f>IF('⑨ 구배 자동계산'!$B$4&lt;&gt;"06_길담 신규점","",IF('⑨ 구배 자동계산'!I24="","",'⑨ 구배 자동계산'!I24))</f>
        <v/>
      </c>
      <c r="D43" s="34">
        <f>IF(COUNT(B43,B42)&lt;2,"",(B42-B43)/100)</f>
        <v>0.45</v>
      </c>
      <c r="E43" s="35" t="str">
        <f>IF(COUNT(C43,C42)&lt;2,"",C43-C42)</f>
        <v/>
      </c>
      <c r="F43" s="36" t="str">
        <f>IF(OR(D43="",E43="",D43=0),"",E43/D43)</f>
        <v/>
      </c>
      <c r="G43" s="92" t="str">
        <f>IF('⑨ 구배 자동계산'!$B$4&lt;&gt;"06_길담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자동계산'!$B$4&lt;&gt;"06_길담 신규점","",IF('⑨ 구배 자동계산'!I25="","",'⑨ 구배 자동계산'!I25))</f>
        <v/>
      </c>
      <c r="D44" s="34">
        <f>IF(COUNT(B44,B43)&lt;2,"",(B43-B44)/100)</f>
        <v>0.45</v>
      </c>
      <c r="E44" s="35" t="str">
        <f>IF(COUNT(C44,C43)&lt;2,"",C44-C43)</f>
        <v/>
      </c>
      <c r="F44" s="36" t="str">
        <f>IF(OR(D44="",E44="",D44=0),"",E44/D44)</f>
        <v/>
      </c>
      <c r="G44" s="92" t="str">
        <f>IF('⑨ 구배 자동계산'!$B$4&lt;&gt;"06_길담 신규점","",IF('⑨ 구배 자동계산'!$J25="","",'⑨ 구배 자동계산'!$J25&amp;"  ·  "&amp;'⑨ 구배 자동계산'!$L25))</f>
        <v/>
      </c>
      <c r="H44" s="93"/>
      <c r="I44" s="93"/>
    </row>
    <row r="45" spans="1:35" ht="19.95" customHeight="1" x14ac:dyDescent="0.4">
      <c r="A45" s="8">
        <v>1</v>
      </c>
      <c r="B45" s="33">
        <v>50</v>
      </c>
      <c r="C45" s="32" t="str">
        <f>IF('⑨ 구배 자동계산'!$B$4&lt;&gt;"06_길담 신규점","",IF('⑨ 구배 자동계산'!I26="","",'⑨ 구배 자동계산'!I26))</f>
        <v/>
      </c>
      <c r="D45" s="34">
        <f>IF(COUNT(B45,B44)&lt;2,"",(B44-B45)/100)</f>
        <v>0.45</v>
      </c>
      <c r="E45" s="35" t="str">
        <f>IF(COUNT(C45,C44)&lt;2,"",C45-C44)</f>
        <v/>
      </c>
      <c r="F45" s="36" t="str">
        <f>IF(OR(D45="",E45="",D45=0),"",E45/D45)</f>
        <v/>
      </c>
      <c r="G45" s="92" t="str">
        <f>IF('⑨ 구배 자동계산'!$B$4&lt;&gt;"06_길담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IF(COUNT(B50,E50)&lt;2,"",ROUND(SQRT(((127.230237-E50)*111320*COS(RADIANS(35.604653)))^2+((35.604653-B50)*110574)^2),1))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S06-P0a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24" priority="1">
      <formula>AND(ISNUMBER(C31),C31&gt;50)</formula>
    </cfRule>
  </conditionalFormatting>
  <conditionalFormatting sqref="D7">
    <cfRule type="expression" dxfId="223" priority="3" stopIfTrue="1">
      <formula>AND($D$7&lt;&gt;"",VALUE(LEFT($D$7,1))&lt;5)</formula>
    </cfRule>
    <cfRule type="expression" dxfId="222" priority="4" stopIfTrue="1">
      <formula>AND($D$7&lt;&gt;"",VALUE(LEFT($D$7,1))&gt;=5)</formula>
    </cfRule>
  </conditionalFormatting>
  <conditionalFormatting sqref="E7">
    <cfRule type="expression" dxfId="221" priority="5" stopIfTrue="1">
      <formula>AND($E$7&lt;&gt;"",VALUE(LEFT($E$7,1))&lt;5)</formula>
    </cfRule>
    <cfRule type="expression" dxfId="22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3D02DE2E-6494-4C8B-9B70-746F7ACA4D75}">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F06ECF60-FD92-4567-9890-ABFE678DC9C9}">
      <formula1>DATE(2026,1,1)</formula1>
      <formula2>DATE(2027,12,31)</formula2>
    </dataValidation>
    <dataValidation type="list" allowBlank="1" sqref="C7" xr:uid="{CFD80631-FE03-4C3B-9DF2-2FB0FD7028A8}">
      <formula1>"맑음,구름 조금,흐림,비,눈,바람 강함"</formula1>
    </dataValidation>
    <dataValidation type="list" allowBlank="1" sqref="H50" xr:uid="{DB9D857C-B2DC-48D8-B1F5-AE17263004A3}">
      <formula1>"RTK-GNSS,네트워크RTK,정적GNSS,휴대GNSS"</formula1>
    </dataValidation>
    <dataValidation type="list" allowBlank="1" sqref="B109" xr:uid="{4EB6E3F8-9632-4533-84DA-3671DA133E2A}">
      <formula1>"동일,조정"</formula1>
    </dataValidation>
    <dataValidation type="list" allowBlank="1" showInputMessage="1" showErrorMessage="1" sqref="F56:F57" xr:uid="{20A9CF05-663B-4695-A314-D252DD320D90}">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&amp;RS06 길담 신규점</oddHeader>
    <oddFooter>&amp;C&amp;9 &amp;P / &amp;N</oddFooter>
  </headerFooter>
  <rowBreaks count="3" manualBreakCount="3">
    <brk id="38" max="16383" man="1"/>
    <brk id="58" max="16383" man="1"/>
    <brk id="10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E1F04-830A-4B7B-B820-9281F52FF9E7}">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373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374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375</v>
      </c>
      <c r="B3" s="68"/>
      <c r="C3" s="68"/>
      <c r="D3" s="68"/>
      <c r="E3" s="68"/>
      <c r="F3" s="8" t="s">
        <v>154</v>
      </c>
      <c r="G3" s="6"/>
      <c r="H3" s="8" t="s">
        <v>155</v>
      </c>
      <c r="I3" s="9" t="s">
        <v>376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자동계산'!$B$4="07_남해 신규점1","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자동계산'!$B$4&lt;&gt;"07_남해 신규점1","",IF('⑨ 구배 자동계산'!H9="","",'⑨ 구배 자동계산'!H9))</f>
        <v/>
      </c>
      <c r="C16" s="30" t="str">
        <f>IF('⑨ 구배 자동계산'!$B$4&lt;&gt;"07_남해 신규점1","",IF('⑨ 구배 자동계산'!I9="","",'⑨ 구배 자동계산'!I9))</f>
        <v/>
      </c>
      <c r="D16" s="43" t="str">
        <f>IF('⑨ 구배 자동계산'!$B$4&lt;&gt;"07_남해 신규점1","",IF('⑨ 구배 자동계산'!J9="","",'⑨ 구배 자동계산'!J9))</f>
        <v/>
      </c>
      <c r="E16" s="30" t="str">
        <f>IF('⑨ 구배 자동계산'!$B$4&lt;&gt;"07_남해 신규점1","",IF('⑨ 구배 자동계산'!K9="","",'⑨ 구배 자동계산'!K9))</f>
        <v/>
      </c>
      <c r="F16" s="43" t="str">
        <f>IF('⑨ 구배 자동계산'!$B$4&lt;&gt;"07_남해 신규점1","",IF('⑨ 구배 자동계산'!L9="","",'⑨ 구배 자동계산'!L9))</f>
        <v/>
      </c>
      <c r="G16" s="30" t="str">
        <f>IF('⑨ 구배 자동계산'!$B$4&lt;&gt;"07_남해 신규점1","",IF('⑨ 구배 자동계산'!M9="","",'⑨ 구배 자동계산'!M9))</f>
        <v/>
      </c>
      <c r="H16" s="43" t="str">
        <f>IF('⑨ 구배 자동계산'!$B$4&lt;&gt;"07_남해 신규점1","",IF('⑨ 구배 자동계산'!N9="","",'⑨ 구배 자동계산'!N9))</f>
        <v/>
      </c>
      <c r="I16" s="30" t="str">
        <f>IF('⑨ 구배 자동계산'!$B$4&lt;&gt;"07_남해 신규점1","",IF('⑨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자동계산'!$B$4&lt;&gt;"07_남해 신규점1","",IF('⑨ 구배 자동계산'!H10="","",'⑨ 구배 자동계산'!H10))</f>
        <v/>
      </c>
      <c r="C17" s="32" t="str">
        <f>IF('⑨ 구배 자동계산'!$B$4&lt;&gt;"07_남해 신규점1","",IF('⑨ 구배 자동계산'!I10="","",'⑨ 구배 자동계산'!I10))</f>
        <v/>
      </c>
      <c r="D17" s="44" t="str">
        <f>IF('⑨ 구배 자동계산'!$B$4&lt;&gt;"07_남해 신규점1","",IF('⑨ 구배 자동계산'!J10="","",'⑨ 구배 자동계산'!J10))</f>
        <v/>
      </c>
      <c r="E17" s="32" t="str">
        <f>IF('⑨ 구배 자동계산'!$B$4&lt;&gt;"07_남해 신규점1","",IF('⑨ 구배 자동계산'!K10="","",'⑨ 구배 자동계산'!K10))</f>
        <v/>
      </c>
      <c r="F17" s="44" t="str">
        <f>IF('⑨ 구배 자동계산'!$B$4&lt;&gt;"07_남해 신규점1","",IF('⑨ 구배 자동계산'!L10="","",'⑨ 구배 자동계산'!L10))</f>
        <v/>
      </c>
      <c r="G17" s="32" t="str">
        <f>IF('⑨ 구배 자동계산'!$B$4&lt;&gt;"07_남해 신규점1","",IF('⑨ 구배 자동계산'!M10="","",'⑨ 구배 자동계산'!M10))</f>
        <v/>
      </c>
      <c r="H17" s="44" t="str">
        <f>IF('⑨ 구배 자동계산'!$B$4&lt;&gt;"07_남해 신규점1","",IF('⑨ 구배 자동계산'!N10="","",'⑨ 구배 자동계산'!N10))</f>
        <v/>
      </c>
      <c r="I17" s="32" t="str">
        <f>IF('⑨ 구배 자동계산'!$B$4&lt;&gt;"07_남해 신규점1","",IF('⑨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자동계산'!$B$4&lt;&gt;"07_남해 신규점1","",IF('⑨ 구배 자동계산'!H11="","",'⑨ 구배 자동계산'!H11))</f>
        <v/>
      </c>
      <c r="C18" s="32" t="str">
        <f>IF('⑨ 구배 자동계산'!$B$4&lt;&gt;"07_남해 신규점1","",IF('⑨ 구배 자동계산'!I11="","",'⑨ 구배 자동계산'!I11))</f>
        <v/>
      </c>
      <c r="D18" s="44" t="str">
        <f>IF('⑨ 구배 자동계산'!$B$4&lt;&gt;"07_남해 신규점1","",IF('⑨ 구배 자동계산'!J11="","",'⑨ 구배 자동계산'!J11))</f>
        <v/>
      </c>
      <c r="E18" s="32" t="str">
        <f>IF('⑨ 구배 자동계산'!$B$4&lt;&gt;"07_남해 신규점1","",IF('⑨ 구배 자동계산'!K11="","",'⑨ 구배 자동계산'!K11))</f>
        <v/>
      </c>
      <c r="F18" s="44" t="str">
        <f>IF('⑨ 구배 자동계산'!$B$4&lt;&gt;"07_남해 신규점1","",IF('⑨ 구배 자동계산'!L11="","",'⑨ 구배 자동계산'!L11))</f>
        <v/>
      </c>
      <c r="G18" s="32" t="str">
        <f>IF('⑨ 구배 자동계산'!$B$4&lt;&gt;"07_남해 신규점1","",IF('⑨ 구배 자동계산'!M11="","",'⑨ 구배 자동계산'!M11))</f>
        <v/>
      </c>
      <c r="H18" s="44" t="str">
        <f>IF('⑨ 구배 자동계산'!$B$4&lt;&gt;"07_남해 신규점1","",IF('⑨ 구배 자동계산'!N11="","",'⑨ 구배 자동계산'!N11))</f>
        <v/>
      </c>
      <c r="I18" s="32" t="str">
        <f>IF('⑨ 구배 자동계산'!$B$4&lt;&gt;"07_남해 신규점1","",IF('⑨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자동계산'!$B$4&lt;&gt;"07_남해 신규점1","",IF('⑨ 구배 자동계산'!H12="","",'⑨ 구배 자동계산'!H12))</f>
        <v/>
      </c>
      <c r="C19" s="32" t="str">
        <f>IF('⑨ 구배 자동계산'!$B$4&lt;&gt;"07_남해 신규점1","",IF('⑨ 구배 자동계산'!I12="","",'⑨ 구배 자동계산'!I12))</f>
        <v/>
      </c>
      <c r="D19" s="44" t="str">
        <f>IF('⑨ 구배 자동계산'!$B$4&lt;&gt;"07_남해 신규점1","",IF('⑨ 구배 자동계산'!J12="","",'⑨ 구배 자동계산'!J12))</f>
        <v/>
      </c>
      <c r="E19" s="32" t="str">
        <f>IF('⑨ 구배 자동계산'!$B$4&lt;&gt;"07_남해 신규점1","",IF('⑨ 구배 자동계산'!K12="","",'⑨ 구배 자동계산'!K12))</f>
        <v/>
      </c>
      <c r="F19" s="44" t="str">
        <f>IF('⑨ 구배 자동계산'!$B$4&lt;&gt;"07_남해 신규점1","",IF('⑨ 구배 자동계산'!L12="","",'⑨ 구배 자동계산'!L12))</f>
        <v/>
      </c>
      <c r="G19" s="32" t="str">
        <f>IF('⑨ 구배 자동계산'!$B$4&lt;&gt;"07_남해 신규점1","",IF('⑨ 구배 자동계산'!M12="","",'⑨ 구배 자동계산'!M12))</f>
        <v/>
      </c>
      <c r="H19" s="44" t="str">
        <f>IF('⑨ 구배 자동계산'!$B$4&lt;&gt;"07_남해 신규점1","",IF('⑨ 구배 자동계산'!N12="","",'⑨ 구배 자동계산'!N12))</f>
        <v/>
      </c>
      <c r="I19" s="32" t="str">
        <f>IF('⑨ 구배 자동계산'!$B$4&lt;&gt;"07_남해 신규점1","",IF('⑨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자동계산'!$B$4&lt;&gt;"07_남해 신규점1","",IF('⑨ 구배 자동계산'!H13="","",'⑨ 구배 자동계산'!H13))</f>
        <v/>
      </c>
      <c r="C20" s="32" t="str">
        <f>IF('⑨ 구배 자동계산'!$B$4&lt;&gt;"07_남해 신규점1","",IF('⑨ 구배 자동계산'!I13="","",'⑨ 구배 자동계산'!I13))</f>
        <v/>
      </c>
      <c r="D20" s="44" t="str">
        <f>IF('⑨ 구배 자동계산'!$B$4&lt;&gt;"07_남해 신규점1","",IF('⑨ 구배 자동계산'!J13="","",'⑨ 구배 자동계산'!J13))</f>
        <v/>
      </c>
      <c r="E20" s="32" t="str">
        <f>IF('⑨ 구배 자동계산'!$B$4&lt;&gt;"07_남해 신규점1","",IF('⑨ 구배 자동계산'!K13="","",'⑨ 구배 자동계산'!K13))</f>
        <v/>
      </c>
      <c r="F20" s="44" t="str">
        <f>IF('⑨ 구배 자동계산'!$B$4&lt;&gt;"07_남해 신규점1","",IF('⑨ 구배 자동계산'!L13="","",'⑨ 구배 자동계산'!L13))</f>
        <v/>
      </c>
      <c r="G20" s="32" t="str">
        <f>IF('⑨ 구배 자동계산'!$B$4&lt;&gt;"07_남해 신규점1","",IF('⑨ 구배 자동계산'!M13="","",'⑨ 구배 자동계산'!M13))</f>
        <v/>
      </c>
      <c r="H20" s="44" t="str">
        <f>IF('⑨ 구배 자동계산'!$B$4&lt;&gt;"07_남해 신규점1","",IF('⑨ 구배 자동계산'!N13="","",'⑨ 구배 자동계산'!N13))</f>
        <v/>
      </c>
      <c r="I20" s="32" t="str">
        <f>IF('⑨ 구배 자동계산'!$B$4&lt;&gt;"07_남해 신규점1","",IF('⑨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자동계산'!$B$4&lt;&gt;"07_남해 신규점1","",IF('⑨ 구배 자동계산'!H14="","",'⑨ 구배 자동계산'!H14))</f>
        <v/>
      </c>
      <c r="C21" s="32" t="str">
        <f>IF('⑨ 구배 자동계산'!$B$4&lt;&gt;"07_남해 신규점1","",IF('⑨ 구배 자동계산'!I14="","",'⑨ 구배 자동계산'!I14))</f>
        <v/>
      </c>
      <c r="D21" s="44" t="str">
        <f>IF('⑨ 구배 자동계산'!$B$4&lt;&gt;"07_남해 신규점1","",IF('⑨ 구배 자동계산'!J14="","",'⑨ 구배 자동계산'!J14))</f>
        <v/>
      </c>
      <c r="E21" s="32" t="str">
        <f>IF('⑨ 구배 자동계산'!$B$4&lt;&gt;"07_남해 신규점1","",IF('⑨ 구배 자동계산'!K14="","",'⑨ 구배 자동계산'!K14))</f>
        <v/>
      </c>
      <c r="F21" s="44" t="str">
        <f>IF('⑨ 구배 자동계산'!$B$4&lt;&gt;"07_남해 신규점1","",IF('⑨ 구배 자동계산'!L14="","",'⑨ 구배 자동계산'!L14))</f>
        <v/>
      </c>
      <c r="G21" s="32" t="str">
        <f>IF('⑨ 구배 자동계산'!$B$4&lt;&gt;"07_남해 신규점1","",IF('⑨ 구배 자동계산'!M14="","",'⑨ 구배 자동계산'!M14))</f>
        <v/>
      </c>
      <c r="H21" s="44" t="str">
        <f>IF('⑨ 구배 자동계산'!$B$4&lt;&gt;"07_남해 신규점1","",IF('⑨ 구배 자동계산'!N14="","",'⑨ 구배 자동계산'!N14))</f>
        <v/>
      </c>
      <c r="I21" s="32" t="str">
        <f>IF('⑨ 구배 자동계산'!$B$4&lt;&gt;"07_남해 신규점1","",IF('⑨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자동계산'!$B$4&lt;&gt;"07_남해 신규점1","",IF('⑨ 구배 자동계산'!H15="","",'⑨ 구배 자동계산'!H15))</f>
        <v/>
      </c>
      <c r="C22" s="32" t="str">
        <f>IF('⑨ 구배 자동계산'!$B$4&lt;&gt;"07_남해 신규점1","",IF('⑨ 구배 자동계산'!I15="","",'⑨ 구배 자동계산'!I15))</f>
        <v/>
      </c>
      <c r="D22" s="44" t="str">
        <f>IF('⑨ 구배 자동계산'!$B$4&lt;&gt;"07_남해 신규점1","",IF('⑨ 구배 자동계산'!J15="","",'⑨ 구배 자동계산'!J15))</f>
        <v/>
      </c>
      <c r="E22" s="32" t="str">
        <f>IF('⑨ 구배 자동계산'!$B$4&lt;&gt;"07_남해 신규점1","",IF('⑨ 구배 자동계산'!K15="","",'⑨ 구배 자동계산'!K15))</f>
        <v/>
      </c>
      <c r="F22" s="44" t="str">
        <f>IF('⑨ 구배 자동계산'!$B$4&lt;&gt;"07_남해 신규점1","",IF('⑨ 구배 자동계산'!L15="","",'⑨ 구배 자동계산'!L15))</f>
        <v/>
      </c>
      <c r="G22" s="32" t="str">
        <f>IF('⑨ 구배 자동계산'!$B$4&lt;&gt;"07_남해 신규점1","",IF('⑨ 구배 자동계산'!M15="","",'⑨ 구배 자동계산'!M15))</f>
        <v/>
      </c>
      <c r="H22" s="44" t="str">
        <f>IF('⑨ 구배 자동계산'!$B$4&lt;&gt;"07_남해 신규점1","",IF('⑨ 구배 자동계산'!N15="","",'⑨ 구배 자동계산'!N15))</f>
        <v/>
      </c>
      <c r="I22" s="32" t="str">
        <f>IF('⑨ 구배 자동계산'!$B$4&lt;&gt;"07_남해 신규점1","",IF('⑨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자동계산'!$B$4&lt;&gt;"07_남해 신규점1","",IF('⑨ 구배 자동계산'!H16="","",'⑨ 구배 자동계산'!H16))</f>
        <v/>
      </c>
      <c r="C23" s="32" t="str">
        <f>IF('⑨ 구배 자동계산'!$B$4&lt;&gt;"07_남해 신규점1","",IF('⑨ 구배 자동계산'!I16="","",'⑨ 구배 자동계산'!I16))</f>
        <v/>
      </c>
      <c r="D23" s="44" t="str">
        <f>IF('⑨ 구배 자동계산'!$B$4&lt;&gt;"07_남해 신규점1","",IF('⑨ 구배 자동계산'!J16="","",'⑨ 구배 자동계산'!J16))</f>
        <v/>
      </c>
      <c r="E23" s="32" t="str">
        <f>IF('⑨ 구배 자동계산'!$B$4&lt;&gt;"07_남해 신규점1","",IF('⑨ 구배 자동계산'!K16="","",'⑨ 구배 자동계산'!K16))</f>
        <v/>
      </c>
      <c r="F23" s="44" t="str">
        <f>IF('⑨ 구배 자동계산'!$B$4&lt;&gt;"07_남해 신규점1","",IF('⑨ 구배 자동계산'!L16="","",'⑨ 구배 자동계산'!L16))</f>
        <v/>
      </c>
      <c r="G23" s="32" t="str">
        <f>IF('⑨ 구배 자동계산'!$B$4&lt;&gt;"07_남해 신규점1","",IF('⑨ 구배 자동계산'!M16="","",'⑨ 구배 자동계산'!M16))</f>
        <v/>
      </c>
      <c r="H23" s="44" t="str">
        <f>IF('⑨ 구배 자동계산'!$B$4&lt;&gt;"07_남해 신규점1","",IF('⑨ 구배 자동계산'!N16="","",'⑨ 구배 자동계산'!N16))</f>
        <v/>
      </c>
      <c r="I23" s="32" t="str">
        <f>IF('⑨ 구배 자동계산'!$B$4&lt;&gt;"07_남해 신규점1","",IF('⑨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자동계산'!$B$4&lt;&gt;"07_남해 신규점1","",IF('⑨ 구배 자동계산'!H17="","",'⑨ 구배 자동계산'!H17))</f>
        <v/>
      </c>
      <c r="C24" s="32" t="str">
        <f>IF('⑨ 구배 자동계산'!$B$4&lt;&gt;"07_남해 신규점1","",IF('⑨ 구배 자동계산'!I17="","",'⑨ 구배 자동계산'!I17))</f>
        <v/>
      </c>
      <c r="D24" s="44" t="str">
        <f>IF('⑨ 구배 자동계산'!$B$4&lt;&gt;"07_남해 신규점1","",IF('⑨ 구배 자동계산'!J17="","",'⑨ 구배 자동계산'!J17))</f>
        <v/>
      </c>
      <c r="E24" s="32" t="str">
        <f>IF('⑨ 구배 자동계산'!$B$4&lt;&gt;"07_남해 신규점1","",IF('⑨ 구배 자동계산'!K17="","",'⑨ 구배 자동계산'!K17))</f>
        <v/>
      </c>
      <c r="F24" s="44" t="str">
        <f>IF('⑨ 구배 자동계산'!$B$4&lt;&gt;"07_남해 신규점1","",IF('⑨ 구배 자동계산'!L17="","",'⑨ 구배 자동계산'!L17))</f>
        <v/>
      </c>
      <c r="G24" s="32" t="str">
        <f>IF('⑨ 구배 자동계산'!$B$4&lt;&gt;"07_남해 신규점1","",IF('⑨ 구배 자동계산'!M17="","",'⑨ 구배 자동계산'!M17))</f>
        <v/>
      </c>
      <c r="H24" s="44" t="str">
        <f>IF('⑨ 구배 자동계산'!$B$4&lt;&gt;"07_남해 신규점1","",IF('⑨ 구배 자동계산'!N17="","",'⑨ 구배 자동계산'!N17))</f>
        <v/>
      </c>
      <c r="I24" s="32" t="str">
        <f>IF('⑨ 구배 자동계산'!$B$4&lt;&gt;"07_남해 신규점1","",IF('⑨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자동계산'!$B$4&lt;&gt;"07_남해 신규점1","",IF('⑨ 구배 자동계산'!H18="","",'⑨ 구배 자동계산'!H18))</f>
        <v/>
      </c>
      <c r="C25" s="32" t="str">
        <f>IF('⑨ 구배 자동계산'!$B$4&lt;&gt;"07_남해 신규점1","",IF('⑨ 구배 자동계산'!I18="","",'⑨ 구배 자동계산'!I18))</f>
        <v/>
      </c>
      <c r="D25" s="44" t="str">
        <f>IF('⑨ 구배 자동계산'!$B$4&lt;&gt;"07_남해 신규점1","",IF('⑨ 구배 자동계산'!J18="","",'⑨ 구배 자동계산'!J18))</f>
        <v/>
      </c>
      <c r="E25" s="32" t="str">
        <f>IF('⑨ 구배 자동계산'!$B$4&lt;&gt;"07_남해 신규점1","",IF('⑨ 구배 자동계산'!K18="","",'⑨ 구배 자동계산'!K18))</f>
        <v/>
      </c>
      <c r="F25" s="44" t="str">
        <f>IF('⑨ 구배 자동계산'!$B$4&lt;&gt;"07_남해 신규점1","",IF('⑨ 구배 자동계산'!L18="","",'⑨ 구배 자동계산'!L18))</f>
        <v/>
      </c>
      <c r="G25" s="32" t="str">
        <f>IF('⑨ 구배 자동계산'!$B$4&lt;&gt;"07_남해 신규점1","",IF('⑨ 구배 자동계산'!M18="","",'⑨ 구배 자동계산'!M18))</f>
        <v/>
      </c>
      <c r="H25" s="44" t="str">
        <f>IF('⑨ 구배 자동계산'!$B$4&lt;&gt;"07_남해 신규점1","",IF('⑨ 구배 자동계산'!N18="","",'⑨ 구배 자동계산'!N18))</f>
        <v/>
      </c>
      <c r="I25" s="32" t="str">
        <f>IF('⑨ 구배 자동계산'!$B$4&lt;&gt;"07_남해 신규점1","",IF('⑨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자동계산'!$B$4&lt;&gt;"07_남해 신규점1","",IF('⑨ 구배 자동계산'!H19="","",'⑨ 구배 자동계산'!H19))</f>
        <v/>
      </c>
      <c r="C26" s="32" t="str">
        <f>IF('⑨ 구배 자동계산'!$B$4&lt;&gt;"07_남해 신규점1","",IF('⑨ 구배 자동계산'!I19="","",'⑨ 구배 자동계산'!I19))</f>
        <v/>
      </c>
      <c r="D26" s="44" t="str">
        <f>IF('⑨ 구배 자동계산'!$B$4&lt;&gt;"07_남해 신규점1","",IF('⑨ 구배 자동계산'!J19="","",'⑨ 구배 자동계산'!J19))</f>
        <v/>
      </c>
      <c r="E26" s="32" t="str">
        <f>IF('⑨ 구배 자동계산'!$B$4&lt;&gt;"07_남해 신규점1","",IF('⑨ 구배 자동계산'!K19="","",'⑨ 구배 자동계산'!K19))</f>
        <v/>
      </c>
      <c r="F26" s="44" t="str">
        <f>IF('⑨ 구배 자동계산'!$B$4&lt;&gt;"07_남해 신규점1","",IF('⑨ 구배 자동계산'!L19="","",'⑨ 구배 자동계산'!L19))</f>
        <v/>
      </c>
      <c r="G26" s="32" t="str">
        <f>IF('⑨ 구배 자동계산'!$B$4&lt;&gt;"07_남해 신규점1","",IF('⑨ 구배 자동계산'!M19="","",'⑨ 구배 자동계산'!M19))</f>
        <v/>
      </c>
      <c r="H26" s="44" t="str">
        <f>IF('⑨ 구배 자동계산'!$B$4&lt;&gt;"07_남해 신규점1","",IF('⑨ 구배 자동계산'!N19="","",'⑨ 구배 자동계산'!N19))</f>
        <v/>
      </c>
      <c r="I26" s="32" t="str">
        <f>IF('⑨ 구배 자동계산'!$B$4&lt;&gt;"07_남해 신규점1","",IF('⑨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자동계산'!$B$4&lt;&gt;"07_남해 신규점1","",IF('⑨ 구배 자동계산'!H20="","",'⑨ 구배 자동계산'!H20))</f>
        <v/>
      </c>
      <c r="C27" s="41" t="str">
        <f>IF('⑨ 구배 자동계산'!$B$4&lt;&gt;"07_남해 신규점1","",IF('⑨ 구배 자동계산'!I20="","",'⑨ 구배 자동계산'!I20))</f>
        <v/>
      </c>
      <c r="D27" s="45" t="str">
        <f>IF('⑨ 구배 자동계산'!$B$4&lt;&gt;"07_남해 신규점1","",IF('⑨ 구배 자동계산'!J20="","",'⑨ 구배 자동계산'!J20))</f>
        <v/>
      </c>
      <c r="E27" s="41" t="str">
        <f>IF('⑨ 구배 자동계산'!$B$4&lt;&gt;"07_남해 신규점1","",IF('⑨ 구배 자동계산'!K20="","",'⑨ 구배 자동계산'!K20))</f>
        <v/>
      </c>
      <c r="F27" s="45" t="str">
        <f>IF('⑨ 구배 자동계산'!$B$4&lt;&gt;"07_남해 신규점1","",IF('⑨ 구배 자동계산'!L20="","",'⑨ 구배 자동계산'!L20))</f>
        <v/>
      </c>
      <c r="G27" s="41" t="str">
        <f>IF('⑨ 구배 자동계산'!$B$4&lt;&gt;"07_남해 신규점1","",IF('⑨ 구배 자동계산'!M20="","",'⑨ 구배 자동계산'!M20))</f>
        <v/>
      </c>
      <c r="H27" s="45" t="str">
        <f>IF('⑨ 구배 자동계산'!$B$4&lt;&gt;"07_남해 신규점1","",IF('⑨ 구배 자동계산'!N20="","",'⑨ 구배 자동계산'!N20))</f>
        <v/>
      </c>
      <c r="I27" s="41" t="str">
        <f>IF('⑨ 구배 자동계산'!$B$4&lt;&gt;"07_남해 신규점1","",IF('⑨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자동계산'!$B$4&lt;&gt;"07_남해 신규점1","",IF('⑨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자동계산'!$B$4&lt;&gt;"07_남해 신규점1","",IF('⑨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자동계산'!$B$4&lt;&gt;"07_남해 신규점1","",IF('⑨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자동계산'!$B$4&lt;&gt;"07_남해 신규점1","",IF('⑨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자동계산'!$B$4&lt;&gt;"07_남해 신규점1","",IF('⑨ 구배 자동계산'!I23="","",'⑨ 구배 자동계산'!I23))</f>
        <v/>
      </c>
      <c r="D42" s="8"/>
      <c r="E42" s="8"/>
      <c r="F42" s="8"/>
      <c r="G42" s="92" t="str">
        <f>IF('⑨ 구배 자동계산'!$B$4&lt;&gt;"07_남해 신규점1","",IF('⑨ 구배 자동계산'!$J23="","",'⑨ 구배 자동계산'!$J23&amp;"  ·  "&amp;'⑨ 구배 자동계산'!$L23))</f>
        <v/>
      </c>
      <c r="H42" s="93"/>
      <c r="I42" s="93"/>
    </row>
    <row r="43" spans="1:35" ht="19.95" customHeight="1" x14ac:dyDescent="0.4">
      <c r="A43" s="8">
        <v>3</v>
      </c>
      <c r="B43" s="33">
        <v>140</v>
      </c>
      <c r="C43" s="32" t="str">
        <f>IF('⑨ 구배 자동계산'!$B$4&lt;&gt;"07_남해 신규점1","",IF('⑨ 구배 자동계산'!I24="","",'⑨ 구배 자동계산'!I24))</f>
        <v/>
      </c>
      <c r="D43" s="34">
        <f>IF(COUNT(B43,B42)&lt;2,"",(B42-B43)/100)</f>
        <v>0.45</v>
      </c>
      <c r="E43" s="35" t="str">
        <f>IF(COUNT(C43,C42)&lt;2,"",C43-C42)</f>
        <v/>
      </c>
      <c r="F43" s="36" t="str">
        <f>IF(OR(D43="",E43="",D43=0),"",E43/D43)</f>
        <v/>
      </c>
      <c r="G43" s="92" t="str">
        <f>IF('⑨ 구배 자동계산'!$B$4&lt;&gt;"07_남해 신규점1","",IF('⑨ 구배 자동계산'!$J24="","",'⑨ 구배 자동계산'!$J24&amp;"  ·  "&amp;'⑨ 구배 자동계산'!$L24))</f>
        <v/>
      </c>
      <c r="H43" s="93"/>
      <c r="I43" s="93"/>
      <c r="AH43" t="s">
        <v>234</v>
      </c>
    </row>
    <row r="44" spans="1:35" ht="19.95" customHeight="1" x14ac:dyDescent="0.4">
      <c r="A44" s="8">
        <v>2</v>
      </c>
      <c r="B44" s="33">
        <v>95</v>
      </c>
      <c r="C44" s="32" t="str">
        <f>IF('⑨ 구배 자동계산'!$B$4&lt;&gt;"07_남해 신규점1","",IF('⑨ 구배 자동계산'!I25="","",'⑨ 구배 자동계산'!I25))</f>
        <v/>
      </c>
      <c r="D44" s="34">
        <f>IF(COUNT(B44,B43)&lt;2,"",(B43-B44)/100)</f>
        <v>0.45</v>
      </c>
      <c r="E44" s="35" t="str">
        <f>IF(COUNT(C44,C43)&lt;2,"",C44-C43)</f>
        <v/>
      </c>
      <c r="F44" s="36" t="str">
        <f>IF(OR(D44="",E44="",D44=0),"",E44/D44)</f>
        <v/>
      </c>
      <c r="G44" s="92" t="str">
        <f>IF('⑨ 구배 자동계산'!$B$4&lt;&gt;"07_남해 신규점1","",IF('⑨ 구배 자동계산'!$J25="","",'⑨ 구배 자동계산'!$J25&amp;"  ·  "&amp;'⑨ 구배 자동계산'!$L25))</f>
        <v/>
      </c>
      <c r="H44" s="93"/>
      <c r="I44" s="93"/>
    </row>
    <row r="45" spans="1:35" ht="19.95" customHeight="1" x14ac:dyDescent="0.4">
      <c r="A45" s="8">
        <v>1</v>
      </c>
      <c r="B45" s="33">
        <v>50</v>
      </c>
      <c r="C45" s="32" t="str">
        <f>IF('⑨ 구배 자동계산'!$B$4&lt;&gt;"07_남해 신규점1","",IF('⑨ 구배 자동계산'!I26="","",'⑨ 구배 자동계산'!I26))</f>
        <v/>
      </c>
      <c r="D45" s="34">
        <f>IF(COUNT(B45,B44)&lt;2,"",(B44-B45)/100)</f>
        <v>0.45</v>
      </c>
      <c r="E45" s="35" t="str">
        <f>IF(COUNT(C45,C44)&lt;2,"",C45-C44)</f>
        <v/>
      </c>
      <c r="F45" s="36" t="str">
        <f>IF(OR(D45="",E45="",D45=0),"",E45/D45)</f>
        <v/>
      </c>
      <c r="G45" s="92" t="str">
        <f>IF('⑨ 구배 자동계산'!$B$4&lt;&gt;"07_남해 신규점1","",IF('⑨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IF(COUNT(B50,E50)&lt;2,"",ROUND(SQRT(((127.981473-E50)*111320*COS(RADIANS(34.852281)))^2+((34.852281-B50)*110574)^2),1))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S07-P0a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19" priority="1">
      <formula>AND(ISNUMBER(C31),C31&gt;50)</formula>
    </cfRule>
  </conditionalFormatting>
  <conditionalFormatting sqref="D7">
    <cfRule type="expression" dxfId="218" priority="3" stopIfTrue="1">
      <formula>AND($D$7&lt;&gt;"",VALUE(LEFT($D$7,1))&lt;5)</formula>
    </cfRule>
    <cfRule type="expression" dxfId="217" priority="4" stopIfTrue="1">
      <formula>AND($D$7&lt;&gt;"",VALUE(LEFT($D$7,1))&gt;=5)</formula>
    </cfRule>
  </conditionalFormatting>
  <conditionalFormatting sqref="E7">
    <cfRule type="expression" dxfId="216" priority="5" stopIfTrue="1">
      <formula>AND($E$7&lt;&gt;"",VALUE(LEFT($E$7,1))&lt;5)</formula>
    </cfRule>
    <cfRule type="expression" dxfId="21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0773CC96-9335-402A-967A-89D17E942FC5}">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5E9A22F2-0948-40C9-BA61-9E0A6C0E64BF}">
      <formula1>DATE(2026,1,1)</formula1>
      <formula2>DATE(2027,12,31)</formula2>
    </dataValidation>
    <dataValidation type="list" allowBlank="1" sqref="C7" xr:uid="{50103ACB-5283-4D02-B3CC-C844868B2ADB}">
      <formula1>"맑음,구름 조금,흐림,비,눈,바람 강함"</formula1>
    </dataValidation>
    <dataValidation type="list" allowBlank="1" sqref="H50" xr:uid="{E83E67CD-AF42-415C-9686-C8D0F9E35F73}">
      <formula1>"RTK-GNSS,네트워크RTK,정적GNSS,휴대GNSS"</formula1>
    </dataValidation>
    <dataValidation type="list" allowBlank="1" sqref="B109" xr:uid="{AC50EB92-B5D8-4807-85F3-B6B96B42E9A0}">
      <formula1>"동일,조정"</formula1>
    </dataValidation>
    <dataValidation type="list" allowBlank="1" showInputMessage="1" showErrorMessage="1" sqref="F56:F57" xr:uid="{F59B9C8D-E572-46E9-AE23-7D6423BE296D}">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&amp;RS07 남해 신규점1</oddHeader>
    <oddFooter>&amp;C&amp;9 &amp;P / &amp;N</oddFooter>
  </headerFooter>
  <rowBreaks count="3" manualBreakCount="3">
    <brk id="38" max="16383" man="1"/>
    <brk id="58" max="16383" man="1"/>
    <brk id="106"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B283A-5FB0-4354-ABF9-4CDE432E7F7E}">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377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378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379</v>
      </c>
      <c r="B3" s="68"/>
      <c r="C3" s="68"/>
      <c r="D3" s="68"/>
      <c r="E3" s="68"/>
      <c r="F3" s="8" t="s">
        <v>154</v>
      </c>
      <c r="G3" s="6"/>
      <c r="H3" s="8" t="s">
        <v>155</v>
      </c>
      <c r="I3" s="9" t="s">
        <v>380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자동계산'!$B$4="08_청일 신규점2","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자동계산'!$B$4&lt;&gt;"08_청일 신규점2","",IF('⑨ 구배 자동계산'!H9="","",'⑨ 구배 자동계산'!H9))</f>
        <v/>
      </c>
      <c r="C16" s="30" t="str">
        <f>IF('⑨ 구배 자동계산'!$B$4&lt;&gt;"08_청일 신규점2","",IF('⑨ 구배 자동계산'!I9="","",'⑨ 구배 자동계산'!I9))</f>
        <v/>
      </c>
      <c r="D16" s="43" t="str">
        <f>IF('⑨ 구배 자동계산'!$B$4&lt;&gt;"08_청일 신규점2","",IF('⑨ 구배 자동계산'!J9="","",'⑨ 구배 자동계산'!J9))</f>
        <v/>
      </c>
      <c r="E16" s="30" t="str">
        <f>IF('⑨ 구배 자동계산'!$B$4&lt;&gt;"08_청일 신규점2","",IF('⑨ 구배 자동계산'!K9="","",'⑨ 구배 자동계산'!K9))</f>
        <v/>
      </c>
      <c r="F16" s="43" t="str">
        <f>IF('⑨ 구배 자동계산'!$B$4&lt;&gt;"08_청일 신규점2","",IF('⑨ 구배 자동계산'!L9="","",'⑨ 구배 자동계산'!L9))</f>
        <v/>
      </c>
      <c r="G16" s="30" t="str">
        <f>IF('⑨ 구배 자동계산'!$B$4&lt;&gt;"08_청일 신규점2","",IF('⑨ 구배 자동계산'!M9="","",'⑨ 구배 자동계산'!M9))</f>
        <v/>
      </c>
      <c r="H16" s="43" t="str">
        <f>IF('⑨ 구배 자동계산'!$B$4&lt;&gt;"08_청일 신규점2","",IF('⑨ 구배 자동계산'!N9="","",'⑨ 구배 자동계산'!N9))</f>
        <v/>
      </c>
      <c r="I16" s="30" t="str">
        <f>IF('⑨ 구배 자동계산'!$B$4&lt;&gt;"08_청일 신규점2","",IF('⑨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자동계산'!$B$4&lt;&gt;"08_청일 신규점2","",IF('⑨ 구배 자동계산'!H10="","",'⑨ 구배 자동계산'!H10))</f>
        <v/>
      </c>
      <c r="C17" s="32" t="str">
        <f>IF('⑨ 구배 자동계산'!$B$4&lt;&gt;"08_청일 신규점2","",IF('⑨ 구배 자동계산'!I10="","",'⑨ 구배 자동계산'!I10))</f>
        <v/>
      </c>
      <c r="D17" s="44" t="str">
        <f>IF('⑨ 구배 자동계산'!$B$4&lt;&gt;"08_청일 신규점2","",IF('⑨ 구배 자동계산'!J10="","",'⑨ 구배 자동계산'!J10))</f>
        <v/>
      </c>
      <c r="E17" s="32" t="str">
        <f>IF('⑨ 구배 자동계산'!$B$4&lt;&gt;"08_청일 신규점2","",IF('⑨ 구배 자동계산'!K10="","",'⑨ 구배 자동계산'!K10))</f>
        <v/>
      </c>
      <c r="F17" s="44" t="str">
        <f>IF('⑨ 구배 자동계산'!$B$4&lt;&gt;"08_청일 신규점2","",IF('⑨ 구배 자동계산'!L10="","",'⑨ 구배 자동계산'!L10))</f>
        <v/>
      </c>
      <c r="G17" s="32" t="str">
        <f>IF('⑨ 구배 자동계산'!$B$4&lt;&gt;"08_청일 신규점2","",IF('⑨ 구배 자동계산'!M10="","",'⑨ 구배 자동계산'!M10))</f>
        <v/>
      </c>
      <c r="H17" s="44" t="str">
        <f>IF('⑨ 구배 자동계산'!$B$4&lt;&gt;"08_청일 신규점2","",IF('⑨ 구배 자동계산'!N10="","",'⑨ 구배 자동계산'!N10))</f>
        <v/>
      </c>
      <c r="I17" s="32" t="str">
        <f>IF('⑨ 구배 자동계산'!$B$4&lt;&gt;"08_청일 신규점2","",IF('⑨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자동계산'!$B$4&lt;&gt;"08_청일 신규점2","",IF('⑨ 구배 자동계산'!H11="","",'⑨ 구배 자동계산'!H11))</f>
        <v/>
      </c>
      <c r="C18" s="32" t="str">
        <f>IF('⑨ 구배 자동계산'!$B$4&lt;&gt;"08_청일 신규점2","",IF('⑨ 구배 자동계산'!I11="","",'⑨ 구배 자동계산'!I11))</f>
        <v/>
      </c>
      <c r="D18" s="44" t="str">
        <f>IF('⑨ 구배 자동계산'!$B$4&lt;&gt;"08_청일 신규점2","",IF('⑨ 구배 자동계산'!J11="","",'⑨ 구배 자동계산'!J11))</f>
        <v/>
      </c>
      <c r="E18" s="32" t="str">
        <f>IF('⑨ 구배 자동계산'!$B$4&lt;&gt;"08_청일 신규점2","",IF('⑨ 구배 자동계산'!K11="","",'⑨ 구배 자동계산'!K11))</f>
        <v/>
      </c>
      <c r="F18" s="44" t="str">
        <f>IF('⑨ 구배 자동계산'!$B$4&lt;&gt;"08_청일 신규점2","",IF('⑨ 구배 자동계산'!L11="","",'⑨ 구배 자동계산'!L11))</f>
        <v/>
      </c>
      <c r="G18" s="32" t="str">
        <f>IF('⑨ 구배 자동계산'!$B$4&lt;&gt;"08_청일 신규점2","",IF('⑨ 구배 자동계산'!M11="","",'⑨ 구배 자동계산'!M11))</f>
        <v/>
      </c>
      <c r="H18" s="44" t="str">
        <f>IF('⑨ 구배 자동계산'!$B$4&lt;&gt;"08_청일 신규점2","",IF('⑨ 구배 자동계산'!N11="","",'⑨ 구배 자동계산'!N11))</f>
        <v/>
      </c>
      <c r="I18" s="32" t="str">
        <f>IF('⑨ 구배 자동계산'!$B$4&lt;&gt;"08_청일 신규점2","",IF('⑨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자동계산'!$B$4&lt;&gt;"08_청일 신규점2","",IF('⑨ 구배 자동계산'!H12="","",'⑨ 구배 자동계산'!H12))</f>
        <v/>
      </c>
      <c r="C19" s="32" t="str">
        <f>IF('⑨ 구배 자동계산'!$B$4&lt;&gt;"08_청일 신규점2","",IF('⑨ 구배 자동계산'!I12="","",'⑨ 구배 자동계산'!I12))</f>
        <v/>
      </c>
      <c r="D19" s="44" t="str">
        <f>IF('⑨ 구배 자동계산'!$B$4&lt;&gt;"08_청일 신규점2","",IF('⑨ 구배 자동계산'!J12="","",'⑨ 구배 자동계산'!J12))</f>
        <v/>
      </c>
      <c r="E19" s="32" t="str">
        <f>IF('⑨ 구배 자동계산'!$B$4&lt;&gt;"08_청일 신규점2","",IF('⑨ 구배 자동계산'!K12="","",'⑨ 구배 자동계산'!K12))</f>
        <v/>
      </c>
      <c r="F19" s="44" t="str">
        <f>IF('⑨ 구배 자동계산'!$B$4&lt;&gt;"08_청일 신규점2","",IF('⑨ 구배 자동계산'!L12="","",'⑨ 구배 자동계산'!L12))</f>
        <v/>
      </c>
      <c r="G19" s="32" t="str">
        <f>IF('⑨ 구배 자동계산'!$B$4&lt;&gt;"08_청일 신규점2","",IF('⑨ 구배 자동계산'!M12="","",'⑨ 구배 자동계산'!M12))</f>
        <v/>
      </c>
      <c r="H19" s="44" t="str">
        <f>IF('⑨ 구배 자동계산'!$B$4&lt;&gt;"08_청일 신규점2","",IF('⑨ 구배 자동계산'!N12="","",'⑨ 구배 자동계산'!N12))</f>
        <v/>
      </c>
      <c r="I19" s="32" t="str">
        <f>IF('⑨ 구배 자동계산'!$B$4&lt;&gt;"08_청일 신규점2","",IF('⑨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자동계산'!$B$4&lt;&gt;"08_청일 신규점2","",IF('⑨ 구배 자동계산'!H13="","",'⑨ 구배 자동계산'!H13))</f>
        <v/>
      </c>
      <c r="C20" s="32" t="str">
        <f>IF('⑨ 구배 자동계산'!$B$4&lt;&gt;"08_청일 신규점2","",IF('⑨ 구배 자동계산'!I13="","",'⑨ 구배 자동계산'!I13))</f>
        <v/>
      </c>
      <c r="D20" s="44" t="str">
        <f>IF('⑨ 구배 자동계산'!$B$4&lt;&gt;"08_청일 신규점2","",IF('⑨ 구배 자동계산'!J13="","",'⑨ 구배 자동계산'!J13))</f>
        <v/>
      </c>
      <c r="E20" s="32" t="str">
        <f>IF('⑨ 구배 자동계산'!$B$4&lt;&gt;"08_청일 신규점2","",IF('⑨ 구배 자동계산'!K13="","",'⑨ 구배 자동계산'!K13))</f>
        <v/>
      </c>
      <c r="F20" s="44" t="str">
        <f>IF('⑨ 구배 자동계산'!$B$4&lt;&gt;"08_청일 신규점2","",IF('⑨ 구배 자동계산'!L13="","",'⑨ 구배 자동계산'!L13))</f>
        <v/>
      </c>
      <c r="G20" s="32" t="str">
        <f>IF('⑨ 구배 자동계산'!$B$4&lt;&gt;"08_청일 신규점2","",IF('⑨ 구배 자동계산'!M13="","",'⑨ 구배 자동계산'!M13))</f>
        <v/>
      </c>
      <c r="H20" s="44" t="str">
        <f>IF('⑨ 구배 자동계산'!$B$4&lt;&gt;"08_청일 신규점2","",IF('⑨ 구배 자동계산'!N13="","",'⑨ 구배 자동계산'!N13))</f>
        <v/>
      </c>
      <c r="I20" s="32" t="str">
        <f>IF('⑨ 구배 자동계산'!$B$4&lt;&gt;"08_청일 신규점2","",IF('⑨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자동계산'!$B$4&lt;&gt;"08_청일 신규점2","",IF('⑨ 구배 자동계산'!H14="","",'⑨ 구배 자동계산'!H14))</f>
        <v/>
      </c>
      <c r="C21" s="32" t="str">
        <f>IF('⑨ 구배 자동계산'!$B$4&lt;&gt;"08_청일 신규점2","",IF('⑨ 구배 자동계산'!I14="","",'⑨ 구배 자동계산'!I14))</f>
        <v/>
      </c>
      <c r="D21" s="44" t="str">
        <f>IF('⑨ 구배 자동계산'!$B$4&lt;&gt;"08_청일 신규점2","",IF('⑨ 구배 자동계산'!J14="","",'⑨ 구배 자동계산'!J14))</f>
        <v/>
      </c>
      <c r="E21" s="32" t="str">
        <f>IF('⑨ 구배 자동계산'!$B$4&lt;&gt;"08_청일 신규점2","",IF('⑨ 구배 자동계산'!K14="","",'⑨ 구배 자동계산'!K14))</f>
        <v/>
      </c>
      <c r="F21" s="44" t="str">
        <f>IF('⑨ 구배 자동계산'!$B$4&lt;&gt;"08_청일 신규점2","",IF('⑨ 구배 자동계산'!L14="","",'⑨ 구배 자동계산'!L14))</f>
        <v/>
      </c>
      <c r="G21" s="32" t="str">
        <f>IF('⑨ 구배 자동계산'!$B$4&lt;&gt;"08_청일 신규점2","",IF('⑨ 구배 자동계산'!M14="","",'⑨ 구배 자동계산'!M14))</f>
        <v/>
      </c>
      <c r="H21" s="44" t="str">
        <f>IF('⑨ 구배 자동계산'!$B$4&lt;&gt;"08_청일 신규점2","",IF('⑨ 구배 자동계산'!N14="","",'⑨ 구배 자동계산'!N14))</f>
        <v/>
      </c>
      <c r="I21" s="32" t="str">
        <f>IF('⑨ 구배 자동계산'!$B$4&lt;&gt;"08_청일 신규점2","",IF('⑨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자동계산'!$B$4&lt;&gt;"08_청일 신규점2","",IF('⑨ 구배 자동계산'!H15="","",'⑨ 구배 자동계산'!H15))</f>
        <v/>
      </c>
      <c r="C22" s="32" t="str">
        <f>IF('⑨ 구배 자동계산'!$B$4&lt;&gt;"08_청일 신규점2","",IF('⑨ 구배 자동계산'!I15="","",'⑨ 구배 자동계산'!I15))</f>
        <v/>
      </c>
      <c r="D22" s="44" t="str">
        <f>IF('⑨ 구배 자동계산'!$B$4&lt;&gt;"08_청일 신규점2","",IF('⑨ 구배 자동계산'!J15="","",'⑨ 구배 자동계산'!J15))</f>
        <v/>
      </c>
      <c r="E22" s="32" t="str">
        <f>IF('⑨ 구배 자동계산'!$B$4&lt;&gt;"08_청일 신규점2","",IF('⑨ 구배 자동계산'!K15="","",'⑨ 구배 자동계산'!K15))</f>
        <v/>
      </c>
      <c r="F22" s="44" t="str">
        <f>IF('⑨ 구배 자동계산'!$B$4&lt;&gt;"08_청일 신규점2","",IF('⑨ 구배 자동계산'!L15="","",'⑨ 구배 자동계산'!L15))</f>
        <v/>
      </c>
      <c r="G22" s="32" t="str">
        <f>IF('⑨ 구배 자동계산'!$B$4&lt;&gt;"08_청일 신규점2","",IF('⑨ 구배 자동계산'!M15="","",'⑨ 구배 자동계산'!M15))</f>
        <v/>
      </c>
      <c r="H22" s="44" t="str">
        <f>IF('⑨ 구배 자동계산'!$B$4&lt;&gt;"08_청일 신규점2","",IF('⑨ 구배 자동계산'!N15="","",'⑨ 구배 자동계산'!N15))</f>
        <v/>
      </c>
      <c r="I22" s="32" t="str">
        <f>IF('⑨ 구배 자동계산'!$B$4&lt;&gt;"08_청일 신규점2","",IF('⑨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자동계산'!$B$4&lt;&gt;"08_청일 신규점2","",IF('⑨ 구배 자동계산'!H16="","",'⑨ 구배 자동계산'!H16))</f>
        <v/>
      </c>
      <c r="C23" s="32" t="str">
        <f>IF('⑨ 구배 자동계산'!$B$4&lt;&gt;"08_청일 신규점2","",IF('⑨ 구배 자동계산'!I16="","",'⑨ 구배 자동계산'!I16))</f>
        <v/>
      </c>
      <c r="D23" s="44" t="str">
        <f>IF('⑨ 구배 자동계산'!$B$4&lt;&gt;"08_청일 신규점2","",IF('⑨ 구배 자동계산'!J16="","",'⑨ 구배 자동계산'!J16))</f>
        <v/>
      </c>
      <c r="E23" s="32" t="str">
        <f>IF('⑨ 구배 자동계산'!$B$4&lt;&gt;"08_청일 신규점2","",IF('⑨ 구배 자동계산'!K16="","",'⑨ 구배 자동계산'!K16))</f>
        <v/>
      </c>
      <c r="F23" s="44" t="str">
        <f>IF('⑨ 구배 자동계산'!$B$4&lt;&gt;"08_청일 신규점2","",IF('⑨ 구배 자동계산'!L16="","",'⑨ 구배 자동계산'!L16))</f>
        <v/>
      </c>
      <c r="G23" s="32" t="str">
        <f>IF('⑨ 구배 자동계산'!$B$4&lt;&gt;"08_청일 신규점2","",IF('⑨ 구배 자동계산'!M16="","",'⑨ 구배 자동계산'!M16))</f>
        <v/>
      </c>
      <c r="H23" s="44" t="str">
        <f>IF('⑨ 구배 자동계산'!$B$4&lt;&gt;"08_청일 신규점2","",IF('⑨ 구배 자동계산'!N16="","",'⑨ 구배 자동계산'!N16))</f>
        <v/>
      </c>
      <c r="I23" s="32" t="str">
        <f>IF('⑨ 구배 자동계산'!$B$4&lt;&gt;"08_청일 신규점2","",IF('⑨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자동계산'!$B$4&lt;&gt;"08_청일 신규점2","",IF('⑨ 구배 자동계산'!H17="","",'⑨ 구배 자동계산'!H17))</f>
        <v/>
      </c>
      <c r="C24" s="32" t="str">
        <f>IF('⑨ 구배 자동계산'!$B$4&lt;&gt;"08_청일 신규점2","",IF('⑨ 구배 자동계산'!I17="","",'⑨ 구배 자동계산'!I17))</f>
        <v/>
      </c>
      <c r="D24" s="44" t="str">
        <f>IF('⑨ 구배 자동계산'!$B$4&lt;&gt;"08_청일 신규점2","",IF('⑨ 구배 자동계산'!J17="","",'⑨ 구배 자동계산'!J17))</f>
        <v/>
      </c>
      <c r="E24" s="32" t="str">
        <f>IF('⑨ 구배 자동계산'!$B$4&lt;&gt;"08_청일 신규점2","",IF('⑨ 구배 자동계산'!K17="","",'⑨ 구배 자동계산'!K17))</f>
        <v/>
      </c>
      <c r="F24" s="44" t="str">
        <f>IF('⑨ 구배 자동계산'!$B$4&lt;&gt;"08_청일 신규점2","",IF('⑨ 구배 자동계산'!L17="","",'⑨ 구배 자동계산'!L17))</f>
        <v/>
      </c>
      <c r="G24" s="32" t="str">
        <f>IF('⑨ 구배 자동계산'!$B$4&lt;&gt;"08_청일 신규점2","",IF('⑨ 구배 자동계산'!M17="","",'⑨ 구배 자동계산'!M17))</f>
        <v/>
      </c>
      <c r="H24" s="44" t="str">
        <f>IF('⑨ 구배 자동계산'!$B$4&lt;&gt;"08_청일 신규점2","",IF('⑨ 구배 자동계산'!N17="","",'⑨ 구배 자동계산'!N17))</f>
        <v/>
      </c>
      <c r="I24" s="32" t="str">
        <f>IF('⑨ 구배 자동계산'!$B$4&lt;&gt;"08_청일 신규점2","",IF('⑨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자동계산'!$B$4&lt;&gt;"08_청일 신규점2","",IF('⑨ 구배 자동계산'!H18="","",'⑨ 구배 자동계산'!H18))</f>
        <v/>
      </c>
      <c r="C25" s="32" t="str">
        <f>IF('⑨ 구배 자동계산'!$B$4&lt;&gt;"08_청일 신규점2","",IF('⑨ 구배 자동계산'!I18="","",'⑨ 구배 자동계산'!I18))</f>
        <v/>
      </c>
      <c r="D25" s="44" t="str">
        <f>IF('⑨ 구배 자동계산'!$B$4&lt;&gt;"08_청일 신규점2","",IF('⑨ 구배 자동계산'!J18="","",'⑨ 구배 자동계산'!J18))</f>
        <v/>
      </c>
      <c r="E25" s="32" t="str">
        <f>IF('⑨ 구배 자동계산'!$B$4&lt;&gt;"08_청일 신규점2","",IF('⑨ 구배 자동계산'!K18="","",'⑨ 구배 자동계산'!K18))</f>
        <v/>
      </c>
      <c r="F25" s="44" t="str">
        <f>IF('⑨ 구배 자동계산'!$B$4&lt;&gt;"08_청일 신규점2","",IF('⑨ 구배 자동계산'!L18="","",'⑨ 구배 자동계산'!L18))</f>
        <v/>
      </c>
      <c r="G25" s="32" t="str">
        <f>IF('⑨ 구배 자동계산'!$B$4&lt;&gt;"08_청일 신규점2","",IF('⑨ 구배 자동계산'!M18="","",'⑨ 구배 자동계산'!M18))</f>
        <v/>
      </c>
      <c r="H25" s="44" t="str">
        <f>IF('⑨ 구배 자동계산'!$B$4&lt;&gt;"08_청일 신규점2","",IF('⑨ 구배 자동계산'!N18="","",'⑨ 구배 자동계산'!N18))</f>
        <v/>
      </c>
      <c r="I25" s="32" t="str">
        <f>IF('⑨ 구배 자동계산'!$B$4&lt;&gt;"08_청일 신규점2","",IF('⑨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자동계산'!$B$4&lt;&gt;"08_청일 신규점2","",IF('⑨ 구배 자동계산'!H19="","",'⑨ 구배 자동계산'!H19))</f>
        <v/>
      </c>
      <c r="C26" s="32" t="str">
        <f>IF('⑨ 구배 자동계산'!$B$4&lt;&gt;"08_청일 신규점2","",IF('⑨ 구배 자동계산'!I19="","",'⑨ 구배 자동계산'!I19))</f>
        <v/>
      </c>
      <c r="D26" s="44" t="str">
        <f>IF('⑨ 구배 자동계산'!$B$4&lt;&gt;"08_청일 신규점2","",IF('⑨ 구배 자동계산'!J19="","",'⑨ 구배 자동계산'!J19))</f>
        <v/>
      </c>
      <c r="E26" s="32" t="str">
        <f>IF('⑨ 구배 자동계산'!$B$4&lt;&gt;"08_청일 신규점2","",IF('⑨ 구배 자동계산'!K19="","",'⑨ 구배 자동계산'!K19))</f>
        <v/>
      </c>
      <c r="F26" s="44" t="str">
        <f>IF('⑨ 구배 자동계산'!$B$4&lt;&gt;"08_청일 신규점2","",IF('⑨ 구배 자동계산'!L19="","",'⑨ 구배 자동계산'!L19))</f>
        <v/>
      </c>
      <c r="G26" s="32" t="str">
        <f>IF('⑨ 구배 자동계산'!$B$4&lt;&gt;"08_청일 신규점2","",IF('⑨ 구배 자동계산'!M19="","",'⑨ 구배 자동계산'!M19))</f>
        <v/>
      </c>
      <c r="H26" s="44" t="str">
        <f>IF('⑨ 구배 자동계산'!$B$4&lt;&gt;"08_청일 신규점2","",IF('⑨ 구배 자동계산'!N19="","",'⑨ 구배 자동계산'!N19))</f>
        <v/>
      </c>
      <c r="I26" s="32" t="str">
        <f>IF('⑨ 구배 자동계산'!$B$4&lt;&gt;"08_청일 신규점2","",IF('⑨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자동계산'!$B$4&lt;&gt;"08_청일 신규점2","",IF('⑨ 구배 자동계산'!H20="","",'⑨ 구배 자동계산'!H20))</f>
        <v/>
      </c>
      <c r="C27" s="41" t="str">
        <f>IF('⑨ 구배 자동계산'!$B$4&lt;&gt;"08_청일 신규점2","",IF('⑨ 구배 자동계산'!I20="","",'⑨ 구배 자동계산'!I20))</f>
        <v/>
      </c>
      <c r="D27" s="45" t="str">
        <f>IF('⑨ 구배 자동계산'!$B$4&lt;&gt;"08_청일 신규점2","",IF('⑨ 구배 자동계산'!J20="","",'⑨ 구배 자동계산'!J20))</f>
        <v/>
      </c>
      <c r="E27" s="41" t="str">
        <f>IF('⑨ 구배 자동계산'!$B$4&lt;&gt;"08_청일 신규점2","",IF('⑨ 구배 자동계산'!K20="","",'⑨ 구배 자동계산'!K20))</f>
        <v/>
      </c>
      <c r="F27" s="45" t="str">
        <f>IF('⑨ 구배 자동계산'!$B$4&lt;&gt;"08_청일 신규점2","",IF('⑨ 구배 자동계산'!L20="","",'⑨ 구배 자동계산'!L20))</f>
        <v/>
      </c>
      <c r="G27" s="41" t="str">
        <f>IF('⑨ 구배 자동계산'!$B$4&lt;&gt;"08_청일 신규점2","",IF('⑨ 구배 자동계산'!M20="","",'⑨ 구배 자동계산'!M20))</f>
        <v/>
      </c>
      <c r="H27" s="45" t="str">
        <f>IF('⑨ 구배 자동계산'!$B$4&lt;&gt;"08_청일 신규점2","",IF('⑨ 구배 자동계산'!N20="","",'⑨ 구배 자동계산'!N20))</f>
        <v/>
      </c>
      <c r="I27" s="41" t="str">
        <f>IF('⑨ 구배 자동계산'!$B$4&lt;&gt;"08_청일 신규점2","",IF('⑨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자동계산'!$B$4&lt;&gt;"08_청일 신규점2","",IF('⑨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자동계산'!$B$4&lt;&gt;"08_청일 신규점2","",IF('⑨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자동계산'!$B$4&lt;&gt;"08_청일 신규점2","",IF('⑨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자동계산'!$B$4&lt;&gt;"08_청일 신규점2","",IF('⑨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자동계산'!$B$4&lt;&gt;"08_청일 신규점2","",IF('⑨ 구배 자동계산'!I23="","",'⑨ 구배 자동계산'!I23))</f>
        <v/>
      </c>
      <c r="D42" s="8"/>
      <c r="E42" s="8"/>
      <c r="F42" s="8"/>
      <c r="G42" s="92" t="str">
        <f>IF('⑨ 구배 자동계산'!$B$4&lt;&gt;"08_청일 신규점2","",IF('⑨ 구배 자동계산'!$J23="","",'⑨ 구배 자동계산'!$J23&amp;"  ·  "&amp;'⑨ 구배 자동계산'!$L23))</f>
        <v/>
      </c>
      <c r="H42" s="93"/>
      <c r="I42" s="93"/>
    </row>
    <row r="43" spans="1:35" ht="19.95" customHeight="1" x14ac:dyDescent="0.4">
      <c r="A43" s="8">
        <v>3</v>
      </c>
      <c r="B43" s="33">
        <v>140</v>
      </c>
      <c r="C43" s="32" t="str">
        <f>IF('⑨ 구배 자동계산'!$B$4&lt;&gt;"08_청일 신규점2","",IF('⑨ 구배 자동계산'!I24="","",'⑨ 구배 자동계산'!I24))</f>
        <v/>
      </c>
      <c r="D43" s="34">
        <f>IF(COUNT(B43,B42)&lt;2,"",(B42-B43)/100)</f>
        <v>0.45</v>
      </c>
      <c r="E43" s="35" t="str">
        <f>IF(COUNT(C43,C42)&lt;2,"",C43-C42)</f>
        <v/>
      </c>
      <c r="F43" s="36" t="str">
        <f>IF(OR(D43="",E43="",D43=0),"",E43/D43)</f>
        <v/>
      </c>
      <c r="G43" s="92" t="str">
        <f>IF('⑨ 구배 자동계산'!$B$4&lt;&gt;"08_청일 신규점2","",IF('⑨ 구배 자동계산'!$J24="","",'⑨ 구배 자동계산'!$J24&amp;"  ·  "&amp;'⑨ 구배 자동계산'!$L24))</f>
        <v/>
      </c>
      <c r="H43" s="93"/>
      <c r="I43" s="93"/>
      <c r="AH43" t="s">
        <v>234</v>
      </c>
    </row>
    <row r="44" spans="1:35" ht="19.95" customHeight="1" x14ac:dyDescent="0.4">
      <c r="A44" s="8">
        <v>2</v>
      </c>
      <c r="B44" s="33">
        <v>95</v>
      </c>
      <c r="C44" s="32" t="str">
        <f>IF('⑨ 구배 자동계산'!$B$4&lt;&gt;"08_청일 신규점2","",IF('⑨ 구배 자동계산'!I25="","",'⑨ 구배 자동계산'!I25))</f>
        <v/>
      </c>
      <c r="D44" s="34">
        <f>IF(COUNT(B44,B43)&lt;2,"",(B43-B44)/100)</f>
        <v>0.45</v>
      </c>
      <c r="E44" s="35" t="str">
        <f>IF(COUNT(C44,C43)&lt;2,"",C44-C43)</f>
        <v/>
      </c>
      <c r="F44" s="36" t="str">
        <f>IF(OR(D44="",E44="",D44=0),"",E44/D44)</f>
        <v/>
      </c>
      <c r="G44" s="92" t="str">
        <f>IF('⑨ 구배 자동계산'!$B$4&lt;&gt;"08_청일 신규점2","",IF('⑨ 구배 자동계산'!$J25="","",'⑨ 구배 자동계산'!$J25&amp;"  ·  "&amp;'⑨ 구배 자동계산'!$L25))</f>
        <v/>
      </c>
      <c r="H44" s="93"/>
      <c r="I44" s="93"/>
    </row>
    <row r="45" spans="1:35" ht="19.95" customHeight="1" x14ac:dyDescent="0.4">
      <c r="A45" s="8">
        <v>1</v>
      </c>
      <c r="B45" s="33">
        <v>50</v>
      </c>
      <c r="C45" s="32" t="str">
        <f>IF('⑨ 구배 자동계산'!$B$4&lt;&gt;"08_청일 신규점2","",IF('⑨ 구배 자동계산'!I26="","",'⑨ 구배 자동계산'!I26))</f>
        <v/>
      </c>
      <c r="D45" s="34">
        <f>IF(COUNT(B45,B44)&lt;2,"",(B44-B45)/100)</f>
        <v>0.45</v>
      </c>
      <c r="E45" s="35" t="str">
        <f>IF(COUNT(C45,C44)&lt;2,"",C45-C44)</f>
        <v/>
      </c>
      <c r="F45" s="36" t="str">
        <f>IF(OR(D45="",E45="",D45=0),"",E45/D45)</f>
        <v/>
      </c>
      <c r="G45" s="92" t="str">
        <f>IF('⑨ 구배 자동계산'!$B$4&lt;&gt;"08_청일 신규점2","",IF('⑨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IF(COUNT(B50,E50)&lt;2,"",ROUND(SQRT(((128.1698-E50)*111320*COS(RADIANS(37.618578)))^2+((37.618578-B50)*110574)^2),1))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S08-P0a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14" priority="1">
      <formula>AND(ISNUMBER(C31),C31&gt;50)</formula>
    </cfRule>
  </conditionalFormatting>
  <conditionalFormatting sqref="D7">
    <cfRule type="expression" dxfId="213" priority="3" stopIfTrue="1">
      <formula>AND($D$7&lt;&gt;"",VALUE(LEFT($D$7,1))&lt;5)</formula>
    </cfRule>
    <cfRule type="expression" dxfId="212" priority="4" stopIfTrue="1">
      <formula>AND($D$7&lt;&gt;"",VALUE(LEFT($D$7,1))&gt;=5)</formula>
    </cfRule>
  </conditionalFormatting>
  <conditionalFormatting sqref="E7">
    <cfRule type="expression" dxfId="211" priority="5" stopIfTrue="1">
      <formula>AND($E$7&lt;&gt;"",VALUE(LEFT($E$7,1))&lt;5)</formula>
    </cfRule>
    <cfRule type="expression" dxfId="21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EFF990D2-70BE-48BB-8B81-C8A824EDDF11}">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7EB322E6-C66B-45CD-92CB-6911370953F1}">
      <formula1>DATE(2026,1,1)</formula1>
      <formula2>DATE(2027,12,31)</formula2>
    </dataValidation>
    <dataValidation type="list" allowBlank="1" sqref="C7" xr:uid="{181CE080-66EB-433E-86FC-975446D3186D}">
      <formula1>"맑음,구름 조금,흐림,비,눈,바람 강함"</formula1>
    </dataValidation>
    <dataValidation type="list" allowBlank="1" sqref="H50" xr:uid="{72D91925-6C20-41BC-964B-A49BCE1D5798}">
      <formula1>"RTK-GNSS,네트워크RTK,정적GNSS,휴대GNSS"</formula1>
    </dataValidation>
    <dataValidation type="list" allowBlank="1" sqref="B109" xr:uid="{AA8192F9-D0F5-4E55-9011-B4ABDF659C4F}">
      <formula1>"동일,조정"</formula1>
    </dataValidation>
    <dataValidation type="list" allowBlank="1" showInputMessage="1" showErrorMessage="1" sqref="F56:F57" xr:uid="{E4262741-CF15-48F6-B928-F75F2D3FA0DD}">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&amp;RS08 청일 신규점2</oddHeader>
    <oddFooter>&amp;C&amp;9 &amp;P / &amp;N</oddFooter>
  </headerFooter>
  <rowBreaks count="3" manualBreakCount="3">
    <brk id="38" max="16383" man="1"/>
    <brk id="58" max="16383" man="1"/>
    <brk id="10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29369-8725-4D2F-8BF7-D19504457942}">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381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382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383</v>
      </c>
      <c r="B3" s="68"/>
      <c r="C3" s="68"/>
      <c r="D3" s="68"/>
      <c r="E3" s="68"/>
      <c r="F3" s="8" t="s">
        <v>154</v>
      </c>
      <c r="G3" s="6"/>
      <c r="H3" s="8" t="s">
        <v>155</v>
      </c>
      <c r="I3" s="9" t="s">
        <v>384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자동계산'!$B$4="09_어론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자동계산'!$B$4&lt;&gt;"09_어론 신규점","",IF('⑨ 구배 자동계산'!H9="","",'⑨ 구배 자동계산'!H9))</f>
        <v/>
      </c>
      <c r="C16" s="30" t="str">
        <f>IF('⑨ 구배 자동계산'!$B$4&lt;&gt;"09_어론 신규점","",IF('⑨ 구배 자동계산'!I9="","",'⑨ 구배 자동계산'!I9))</f>
        <v/>
      </c>
      <c r="D16" s="43" t="str">
        <f>IF('⑨ 구배 자동계산'!$B$4&lt;&gt;"09_어론 신규점","",IF('⑨ 구배 자동계산'!J9="","",'⑨ 구배 자동계산'!J9))</f>
        <v/>
      </c>
      <c r="E16" s="30" t="str">
        <f>IF('⑨ 구배 자동계산'!$B$4&lt;&gt;"09_어론 신규점","",IF('⑨ 구배 자동계산'!K9="","",'⑨ 구배 자동계산'!K9))</f>
        <v/>
      </c>
      <c r="F16" s="43" t="str">
        <f>IF('⑨ 구배 자동계산'!$B$4&lt;&gt;"09_어론 신규점","",IF('⑨ 구배 자동계산'!L9="","",'⑨ 구배 자동계산'!L9))</f>
        <v/>
      </c>
      <c r="G16" s="30" t="str">
        <f>IF('⑨ 구배 자동계산'!$B$4&lt;&gt;"09_어론 신규점","",IF('⑨ 구배 자동계산'!M9="","",'⑨ 구배 자동계산'!M9))</f>
        <v/>
      </c>
      <c r="H16" s="43" t="str">
        <f>IF('⑨ 구배 자동계산'!$B$4&lt;&gt;"09_어론 신규점","",IF('⑨ 구배 자동계산'!N9="","",'⑨ 구배 자동계산'!N9))</f>
        <v/>
      </c>
      <c r="I16" s="30" t="str">
        <f>IF('⑨ 구배 자동계산'!$B$4&lt;&gt;"09_어론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자동계산'!$B$4&lt;&gt;"09_어론 신규점","",IF('⑨ 구배 자동계산'!H10="","",'⑨ 구배 자동계산'!H10))</f>
        <v/>
      </c>
      <c r="C17" s="32" t="str">
        <f>IF('⑨ 구배 자동계산'!$B$4&lt;&gt;"09_어론 신규점","",IF('⑨ 구배 자동계산'!I10="","",'⑨ 구배 자동계산'!I10))</f>
        <v/>
      </c>
      <c r="D17" s="44" t="str">
        <f>IF('⑨ 구배 자동계산'!$B$4&lt;&gt;"09_어론 신규점","",IF('⑨ 구배 자동계산'!J10="","",'⑨ 구배 자동계산'!J10))</f>
        <v/>
      </c>
      <c r="E17" s="32" t="str">
        <f>IF('⑨ 구배 자동계산'!$B$4&lt;&gt;"09_어론 신규점","",IF('⑨ 구배 자동계산'!K10="","",'⑨ 구배 자동계산'!K10))</f>
        <v/>
      </c>
      <c r="F17" s="44" t="str">
        <f>IF('⑨ 구배 자동계산'!$B$4&lt;&gt;"09_어론 신규점","",IF('⑨ 구배 자동계산'!L10="","",'⑨ 구배 자동계산'!L10))</f>
        <v/>
      </c>
      <c r="G17" s="32" t="str">
        <f>IF('⑨ 구배 자동계산'!$B$4&lt;&gt;"09_어론 신규점","",IF('⑨ 구배 자동계산'!M10="","",'⑨ 구배 자동계산'!M10))</f>
        <v/>
      </c>
      <c r="H17" s="44" t="str">
        <f>IF('⑨ 구배 자동계산'!$B$4&lt;&gt;"09_어론 신규점","",IF('⑨ 구배 자동계산'!N10="","",'⑨ 구배 자동계산'!N10))</f>
        <v/>
      </c>
      <c r="I17" s="32" t="str">
        <f>IF('⑨ 구배 자동계산'!$B$4&lt;&gt;"09_어론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자동계산'!$B$4&lt;&gt;"09_어론 신규점","",IF('⑨ 구배 자동계산'!H11="","",'⑨ 구배 자동계산'!H11))</f>
        <v/>
      </c>
      <c r="C18" s="32" t="str">
        <f>IF('⑨ 구배 자동계산'!$B$4&lt;&gt;"09_어론 신규점","",IF('⑨ 구배 자동계산'!I11="","",'⑨ 구배 자동계산'!I11))</f>
        <v/>
      </c>
      <c r="D18" s="44" t="str">
        <f>IF('⑨ 구배 자동계산'!$B$4&lt;&gt;"09_어론 신규점","",IF('⑨ 구배 자동계산'!J11="","",'⑨ 구배 자동계산'!J11))</f>
        <v/>
      </c>
      <c r="E18" s="32" t="str">
        <f>IF('⑨ 구배 자동계산'!$B$4&lt;&gt;"09_어론 신규점","",IF('⑨ 구배 자동계산'!K11="","",'⑨ 구배 자동계산'!K11))</f>
        <v/>
      </c>
      <c r="F18" s="44" t="str">
        <f>IF('⑨ 구배 자동계산'!$B$4&lt;&gt;"09_어론 신규점","",IF('⑨ 구배 자동계산'!L11="","",'⑨ 구배 자동계산'!L11))</f>
        <v/>
      </c>
      <c r="G18" s="32" t="str">
        <f>IF('⑨ 구배 자동계산'!$B$4&lt;&gt;"09_어론 신규점","",IF('⑨ 구배 자동계산'!M11="","",'⑨ 구배 자동계산'!M11))</f>
        <v/>
      </c>
      <c r="H18" s="44" t="str">
        <f>IF('⑨ 구배 자동계산'!$B$4&lt;&gt;"09_어론 신규점","",IF('⑨ 구배 자동계산'!N11="","",'⑨ 구배 자동계산'!N11))</f>
        <v/>
      </c>
      <c r="I18" s="32" t="str">
        <f>IF('⑨ 구배 자동계산'!$B$4&lt;&gt;"09_어론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자동계산'!$B$4&lt;&gt;"09_어론 신규점","",IF('⑨ 구배 자동계산'!H12="","",'⑨ 구배 자동계산'!H12))</f>
        <v/>
      </c>
      <c r="C19" s="32" t="str">
        <f>IF('⑨ 구배 자동계산'!$B$4&lt;&gt;"09_어론 신규점","",IF('⑨ 구배 자동계산'!I12="","",'⑨ 구배 자동계산'!I12))</f>
        <v/>
      </c>
      <c r="D19" s="44" t="str">
        <f>IF('⑨ 구배 자동계산'!$B$4&lt;&gt;"09_어론 신규점","",IF('⑨ 구배 자동계산'!J12="","",'⑨ 구배 자동계산'!J12))</f>
        <v/>
      </c>
      <c r="E19" s="32" t="str">
        <f>IF('⑨ 구배 자동계산'!$B$4&lt;&gt;"09_어론 신규점","",IF('⑨ 구배 자동계산'!K12="","",'⑨ 구배 자동계산'!K12))</f>
        <v/>
      </c>
      <c r="F19" s="44" t="str">
        <f>IF('⑨ 구배 자동계산'!$B$4&lt;&gt;"09_어론 신규점","",IF('⑨ 구배 자동계산'!L12="","",'⑨ 구배 자동계산'!L12))</f>
        <v/>
      </c>
      <c r="G19" s="32" t="str">
        <f>IF('⑨ 구배 자동계산'!$B$4&lt;&gt;"09_어론 신규점","",IF('⑨ 구배 자동계산'!M12="","",'⑨ 구배 자동계산'!M12))</f>
        <v/>
      </c>
      <c r="H19" s="44" t="str">
        <f>IF('⑨ 구배 자동계산'!$B$4&lt;&gt;"09_어론 신규점","",IF('⑨ 구배 자동계산'!N12="","",'⑨ 구배 자동계산'!N12))</f>
        <v/>
      </c>
      <c r="I19" s="32" t="str">
        <f>IF('⑨ 구배 자동계산'!$B$4&lt;&gt;"09_어론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자동계산'!$B$4&lt;&gt;"09_어론 신규점","",IF('⑨ 구배 자동계산'!H13="","",'⑨ 구배 자동계산'!H13))</f>
        <v/>
      </c>
      <c r="C20" s="32" t="str">
        <f>IF('⑨ 구배 자동계산'!$B$4&lt;&gt;"09_어론 신규점","",IF('⑨ 구배 자동계산'!I13="","",'⑨ 구배 자동계산'!I13))</f>
        <v/>
      </c>
      <c r="D20" s="44" t="str">
        <f>IF('⑨ 구배 자동계산'!$B$4&lt;&gt;"09_어론 신규점","",IF('⑨ 구배 자동계산'!J13="","",'⑨ 구배 자동계산'!J13))</f>
        <v/>
      </c>
      <c r="E20" s="32" t="str">
        <f>IF('⑨ 구배 자동계산'!$B$4&lt;&gt;"09_어론 신규점","",IF('⑨ 구배 자동계산'!K13="","",'⑨ 구배 자동계산'!K13))</f>
        <v/>
      </c>
      <c r="F20" s="44" t="str">
        <f>IF('⑨ 구배 자동계산'!$B$4&lt;&gt;"09_어론 신규점","",IF('⑨ 구배 자동계산'!L13="","",'⑨ 구배 자동계산'!L13))</f>
        <v/>
      </c>
      <c r="G20" s="32" t="str">
        <f>IF('⑨ 구배 자동계산'!$B$4&lt;&gt;"09_어론 신규점","",IF('⑨ 구배 자동계산'!M13="","",'⑨ 구배 자동계산'!M13))</f>
        <v/>
      </c>
      <c r="H20" s="44" t="str">
        <f>IF('⑨ 구배 자동계산'!$B$4&lt;&gt;"09_어론 신규점","",IF('⑨ 구배 자동계산'!N13="","",'⑨ 구배 자동계산'!N13))</f>
        <v/>
      </c>
      <c r="I20" s="32" t="str">
        <f>IF('⑨ 구배 자동계산'!$B$4&lt;&gt;"09_어론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자동계산'!$B$4&lt;&gt;"09_어론 신규점","",IF('⑨ 구배 자동계산'!H14="","",'⑨ 구배 자동계산'!H14))</f>
        <v/>
      </c>
      <c r="C21" s="32" t="str">
        <f>IF('⑨ 구배 자동계산'!$B$4&lt;&gt;"09_어론 신규점","",IF('⑨ 구배 자동계산'!I14="","",'⑨ 구배 자동계산'!I14))</f>
        <v/>
      </c>
      <c r="D21" s="44" t="str">
        <f>IF('⑨ 구배 자동계산'!$B$4&lt;&gt;"09_어론 신규점","",IF('⑨ 구배 자동계산'!J14="","",'⑨ 구배 자동계산'!J14))</f>
        <v/>
      </c>
      <c r="E21" s="32" t="str">
        <f>IF('⑨ 구배 자동계산'!$B$4&lt;&gt;"09_어론 신규점","",IF('⑨ 구배 자동계산'!K14="","",'⑨ 구배 자동계산'!K14))</f>
        <v/>
      </c>
      <c r="F21" s="44" t="str">
        <f>IF('⑨ 구배 자동계산'!$B$4&lt;&gt;"09_어론 신규점","",IF('⑨ 구배 자동계산'!L14="","",'⑨ 구배 자동계산'!L14))</f>
        <v/>
      </c>
      <c r="G21" s="32" t="str">
        <f>IF('⑨ 구배 자동계산'!$B$4&lt;&gt;"09_어론 신규점","",IF('⑨ 구배 자동계산'!M14="","",'⑨ 구배 자동계산'!M14))</f>
        <v/>
      </c>
      <c r="H21" s="44" t="str">
        <f>IF('⑨ 구배 자동계산'!$B$4&lt;&gt;"09_어론 신규점","",IF('⑨ 구배 자동계산'!N14="","",'⑨ 구배 자동계산'!N14))</f>
        <v/>
      </c>
      <c r="I21" s="32" t="str">
        <f>IF('⑨ 구배 자동계산'!$B$4&lt;&gt;"09_어론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자동계산'!$B$4&lt;&gt;"09_어론 신규점","",IF('⑨ 구배 자동계산'!H15="","",'⑨ 구배 자동계산'!H15))</f>
        <v/>
      </c>
      <c r="C22" s="32" t="str">
        <f>IF('⑨ 구배 자동계산'!$B$4&lt;&gt;"09_어론 신규점","",IF('⑨ 구배 자동계산'!I15="","",'⑨ 구배 자동계산'!I15))</f>
        <v/>
      </c>
      <c r="D22" s="44" t="str">
        <f>IF('⑨ 구배 자동계산'!$B$4&lt;&gt;"09_어론 신규점","",IF('⑨ 구배 자동계산'!J15="","",'⑨ 구배 자동계산'!J15))</f>
        <v/>
      </c>
      <c r="E22" s="32" t="str">
        <f>IF('⑨ 구배 자동계산'!$B$4&lt;&gt;"09_어론 신규점","",IF('⑨ 구배 자동계산'!K15="","",'⑨ 구배 자동계산'!K15))</f>
        <v/>
      </c>
      <c r="F22" s="44" t="str">
        <f>IF('⑨ 구배 자동계산'!$B$4&lt;&gt;"09_어론 신규점","",IF('⑨ 구배 자동계산'!L15="","",'⑨ 구배 자동계산'!L15))</f>
        <v/>
      </c>
      <c r="G22" s="32" t="str">
        <f>IF('⑨ 구배 자동계산'!$B$4&lt;&gt;"09_어론 신규점","",IF('⑨ 구배 자동계산'!M15="","",'⑨ 구배 자동계산'!M15))</f>
        <v/>
      </c>
      <c r="H22" s="44" t="str">
        <f>IF('⑨ 구배 자동계산'!$B$4&lt;&gt;"09_어론 신규점","",IF('⑨ 구배 자동계산'!N15="","",'⑨ 구배 자동계산'!N15))</f>
        <v/>
      </c>
      <c r="I22" s="32" t="str">
        <f>IF('⑨ 구배 자동계산'!$B$4&lt;&gt;"09_어론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자동계산'!$B$4&lt;&gt;"09_어론 신규점","",IF('⑨ 구배 자동계산'!H16="","",'⑨ 구배 자동계산'!H16))</f>
        <v/>
      </c>
      <c r="C23" s="32" t="str">
        <f>IF('⑨ 구배 자동계산'!$B$4&lt;&gt;"09_어론 신규점","",IF('⑨ 구배 자동계산'!I16="","",'⑨ 구배 자동계산'!I16))</f>
        <v/>
      </c>
      <c r="D23" s="44" t="str">
        <f>IF('⑨ 구배 자동계산'!$B$4&lt;&gt;"09_어론 신규점","",IF('⑨ 구배 자동계산'!J16="","",'⑨ 구배 자동계산'!J16))</f>
        <v/>
      </c>
      <c r="E23" s="32" t="str">
        <f>IF('⑨ 구배 자동계산'!$B$4&lt;&gt;"09_어론 신규점","",IF('⑨ 구배 자동계산'!K16="","",'⑨ 구배 자동계산'!K16))</f>
        <v/>
      </c>
      <c r="F23" s="44" t="str">
        <f>IF('⑨ 구배 자동계산'!$B$4&lt;&gt;"09_어론 신규점","",IF('⑨ 구배 자동계산'!L16="","",'⑨ 구배 자동계산'!L16))</f>
        <v/>
      </c>
      <c r="G23" s="32" t="str">
        <f>IF('⑨ 구배 자동계산'!$B$4&lt;&gt;"09_어론 신규점","",IF('⑨ 구배 자동계산'!M16="","",'⑨ 구배 자동계산'!M16))</f>
        <v/>
      </c>
      <c r="H23" s="44" t="str">
        <f>IF('⑨ 구배 자동계산'!$B$4&lt;&gt;"09_어론 신규점","",IF('⑨ 구배 자동계산'!N16="","",'⑨ 구배 자동계산'!N16))</f>
        <v/>
      </c>
      <c r="I23" s="32" t="str">
        <f>IF('⑨ 구배 자동계산'!$B$4&lt;&gt;"09_어론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자동계산'!$B$4&lt;&gt;"09_어론 신규점","",IF('⑨ 구배 자동계산'!H17="","",'⑨ 구배 자동계산'!H17))</f>
        <v/>
      </c>
      <c r="C24" s="32" t="str">
        <f>IF('⑨ 구배 자동계산'!$B$4&lt;&gt;"09_어론 신규점","",IF('⑨ 구배 자동계산'!I17="","",'⑨ 구배 자동계산'!I17))</f>
        <v/>
      </c>
      <c r="D24" s="44" t="str">
        <f>IF('⑨ 구배 자동계산'!$B$4&lt;&gt;"09_어론 신규점","",IF('⑨ 구배 자동계산'!J17="","",'⑨ 구배 자동계산'!J17))</f>
        <v/>
      </c>
      <c r="E24" s="32" t="str">
        <f>IF('⑨ 구배 자동계산'!$B$4&lt;&gt;"09_어론 신규점","",IF('⑨ 구배 자동계산'!K17="","",'⑨ 구배 자동계산'!K17))</f>
        <v/>
      </c>
      <c r="F24" s="44" t="str">
        <f>IF('⑨ 구배 자동계산'!$B$4&lt;&gt;"09_어론 신규점","",IF('⑨ 구배 자동계산'!L17="","",'⑨ 구배 자동계산'!L17))</f>
        <v/>
      </c>
      <c r="G24" s="32" t="str">
        <f>IF('⑨ 구배 자동계산'!$B$4&lt;&gt;"09_어론 신규점","",IF('⑨ 구배 자동계산'!M17="","",'⑨ 구배 자동계산'!M17))</f>
        <v/>
      </c>
      <c r="H24" s="44" t="str">
        <f>IF('⑨ 구배 자동계산'!$B$4&lt;&gt;"09_어론 신규점","",IF('⑨ 구배 자동계산'!N17="","",'⑨ 구배 자동계산'!N17))</f>
        <v/>
      </c>
      <c r="I24" s="32" t="str">
        <f>IF('⑨ 구배 자동계산'!$B$4&lt;&gt;"09_어론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자동계산'!$B$4&lt;&gt;"09_어론 신규점","",IF('⑨ 구배 자동계산'!H18="","",'⑨ 구배 자동계산'!H18))</f>
        <v/>
      </c>
      <c r="C25" s="32" t="str">
        <f>IF('⑨ 구배 자동계산'!$B$4&lt;&gt;"09_어론 신규점","",IF('⑨ 구배 자동계산'!I18="","",'⑨ 구배 자동계산'!I18))</f>
        <v/>
      </c>
      <c r="D25" s="44" t="str">
        <f>IF('⑨ 구배 자동계산'!$B$4&lt;&gt;"09_어론 신규점","",IF('⑨ 구배 자동계산'!J18="","",'⑨ 구배 자동계산'!J18))</f>
        <v/>
      </c>
      <c r="E25" s="32" t="str">
        <f>IF('⑨ 구배 자동계산'!$B$4&lt;&gt;"09_어론 신규점","",IF('⑨ 구배 자동계산'!K18="","",'⑨ 구배 자동계산'!K18))</f>
        <v/>
      </c>
      <c r="F25" s="44" t="str">
        <f>IF('⑨ 구배 자동계산'!$B$4&lt;&gt;"09_어론 신규점","",IF('⑨ 구배 자동계산'!L18="","",'⑨ 구배 자동계산'!L18))</f>
        <v/>
      </c>
      <c r="G25" s="32" t="str">
        <f>IF('⑨ 구배 자동계산'!$B$4&lt;&gt;"09_어론 신규점","",IF('⑨ 구배 자동계산'!M18="","",'⑨ 구배 자동계산'!M18))</f>
        <v/>
      </c>
      <c r="H25" s="44" t="str">
        <f>IF('⑨ 구배 자동계산'!$B$4&lt;&gt;"09_어론 신규점","",IF('⑨ 구배 자동계산'!N18="","",'⑨ 구배 자동계산'!N18))</f>
        <v/>
      </c>
      <c r="I25" s="32" t="str">
        <f>IF('⑨ 구배 자동계산'!$B$4&lt;&gt;"09_어론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자동계산'!$B$4&lt;&gt;"09_어론 신규점","",IF('⑨ 구배 자동계산'!H19="","",'⑨ 구배 자동계산'!H19))</f>
        <v/>
      </c>
      <c r="C26" s="32" t="str">
        <f>IF('⑨ 구배 자동계산'!$B$4&lt;&gt;"09_어론 신규점","",IF('⑨ 구배 자동계산'!I19="","",'⑨ 구배 자동계산'!I19))</f>
        <v/>
      </c>
      <c r="D26" s="44" t="str">
        <f>IF('⑨ 구배 자동계산'!$B$4&lt;&gt;"09_어론 신규점","",IF('⑨ 구배 자동계산'!J19="","",'⑨ 구배 자동계산'!J19))</f>
        <v/>
      </c>
      <c r="E26" s="32" t="str">
        <f>IF('⑨ 구배 자동계산'!$B$4&lt;&gt;"09_어론 신규점","",IF('⑨ 구배 자동계산'!K19="","",'⑨ 구배 자동계산'!K19))</f>
        <v/>
      </c>
      <c r="F26" s="44" t="str">
        <f>IF('⑨ 구배 자동계산'!$B$4&lt;&gt;"09_어론 신규점","",IF('⑨ 구배 자동계산'!L19="","",'⑨ 구배 자동계산'!L19))</f>
        <v/>
      </c>
      <c r="G26" s="32" t="str">
        <f>IF('⑨ 구배 자동계산'!$B$4&lt;&gt;"09_어론 신규점","",IF('⑨ 구배 자동계산'!M19="","",'⑨ 구배 자동계산'!M19))</f>
        <v/>
      </c>
      <c r="H26" s="44" t="str">
        <f>IF('⑨ 구배 자동계산'!$B$4&lt;&gt;"09_어론 신규점","",IF('⑨ 구배 자동계산'!N19="","",'⑨ 구배 자동계산'!N19))</f>
        <v/>
      </c>
      <c r="I26" s="32" t="str">
        <f>IF('⑨ 구배 자동계산'!$B$4&lt;&gt;"09_어론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자동계산'!$B$4&lt;&gt;"09_어론 신규점","",IF('⑨ 구배 자동계산'!H20="","",'⑨ 구배 자동계산'!H20))</f>
        <v/>
      </c>
      <c r="C27" s="41" t="str">
        <f>IF('⑨ 구배 자동계산'!$B$4&lt;&gt;"09_어론 신규점","",IF('⑨ 구배 자동계산'!I20="","",'⑨ 구배 자동계산'!I20))</f>
        <v/>
      </c>
      <c r="D27" s="45" t="str">
        <f>IF('⑨ 구배 자동계산'!$B$4&lt;&gt;"09_어론 신규점","",IF('⑨ 구배 자동계산'!J20="","",'⑨ 구배 자동계산'!J20))</f>
        <v/>
      </c>
      <c r="E27" s="41" t="str">
        <f>IF('⑨ 구배 자동계산'!$B$4&lt;&gt;"09_어론 신규점","",IF('⑨ 구배 자동계산'!K20="","",'⑨ 구배 자동계산'!K20))</f>
        <v/>
      </c>
      <c r="F27" s="45" t="str">
        <f>IF('⑨ 구배 자동계산'!$B$4&lt;&gt;"09_어론 신규점","",IF('⑨ 구배 자동계산'!L20="","",'⑨ 구배 자동계산'!L20))</f>
        <v/>
      </c>
      <c r="G27" s="41" t="str">
        <f>IF('⑨ 구배 자동계산'!$B$4&lt;&gt;"09_어론 신규점","",IF('⑨ 구배 자동계산'!M20="","",'⑨ 구배 자동계산'!M20))</f>
        <v/>
      </c>
      <c r="H27" s="45" t="str">
        <f>IF('⑨ 구배 자동계산'!$B$4&lt;&gt;"09_어론 신규점","",IF('⑨ 구배 자동계산'!N20="","",'⑨ 구배 자동계산'!N20))</f>
        <v/>
      </c>
      <c r="I27" s="41" t="str">
        <f>IF('⑨ 구배 자동계산'!$B$4&lt;&gt;"09_어론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자동계산'!$B$4&lt;&gt;"09_어론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자동계산'!$B$4&lt;&gt;"09_어론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자동계산'!$B$4&lt;&gt;"09_어론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자동계산'!$B$4&lt;&gt;"09_어론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자동계산'!$B$4&lt;&gt;"09_어론 신규점","",IF('⑨ 구배 자동계산'!I23="","",'⑨ 구배 자동계산'!I23))</f>
        <v/>
      </c>
      <c r="D42" s="8"/>
      <c r="E42" s="8"/>
      <c r="F42" s="8"/>
      <c r="G42" s="92" t="str">
        <f>IF('⑨ 구배 자동계산'!$B$4&lt;&gt;"09_어론 신규점","",IF('⑨ 구배 자동계산'!$J23="","",'⑨ 구배 자동계산'!$J23&amp;"  ·  "&amp;'⑨ 구배 자동계산'!$L23))</f>
        <v/>
      </c>
      <c r="H42" s="93"/>
      <c r="I42" s="93"/>
    </row>
    <row r="43" spans="1:35" ht="19.95" customHeight="1" x14ac:dyDescent="0.4">
      <c r="A43" s="8">
        <v>3</v>
      </c>
      <c r="B43" s="33">
        <v>140</v>
      </c>
      <c r="C43" s="32" t="str">
        <f>IF('⑨ 구배 자동계산'!$B$4&lt;&gt;"09_어론 신규점","",IF('⑨ 구배 자동계산'!I24="","",'⑨ 구배 자동계산'!I24))</f>
        <v/>
      </c>
      <c r="D43" s="34">
        <f>IF(COUNT(B43,B42)&lt;2,"",(B42-B43)/100)</f>
        <v>0.45</v>
      </c>
      <c r="E43" s="35" t="str">
        <f>IF(COUNT(C43,C42)&lt;2,"",C43-C42)</f>
        <v/>
      </c>
      <c r="F43" s="36" t="str">
        <f>IF(OR(D43="",E43="",D43=0),"",E43/D43)</f>
        <v/>
      </c>
      <c r="G43" s="92" t="str">
        <f>IF('⑨ 구배 자동계산'!$B$4&lt;&gt;"09_어론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자동계산'!$B$4&lt;&gt;"09_어론 신규점","",IF('⑨ 구배 자동계산'!I25="","",'⑨ 구배 자동계산'!I25))</f>
        <v/>
      </c>
      <c r="D44" s="34">
        <f>IF(COUNT(B44,B43)&lt;2,"",(B43-B44)/100)</f>
        <v>0.45</v>
      </c>
      <c r="E44" s="35" t="str">
        <f>IF(COUNT(C44,C43)&lt;2,"",C44-C43)</f>
        <v/>
      </c>
      <c r="F44" s="36" t="str">
        <f>IF(OR(D44="",E44="",D44=0),"",E44/D44)</f>
        <v/>
      </c>
      <c r="G44" s="92" t="str">
        <f>IF('⑨ 구배 자동계산'!$B$4&lt;&gt;"09_어론 신규점","",IF('⑨ 구배 자동계산'!$J25="","",'⑨ 구배 자동계산'!$J25&amp;"  ·  "&amp;'⑨ 구배 자동계산'!$L25))</f>
        <v/>
      </c>
      <c r="H44" s="93"/>
      <c r="I44" s="93"/>
    </row>
    <row r="45" spans="1:35" ht="19.95" customHeight="1" x14ac:dyDescent="0.4">
      <c r="A45" s="8">
        <v>1</v>
      </c>
      <c r="B45" s="33">
        <v>50</v>
      </c>
      <c r="C45" s="32" t="str">
        <f>IF('⑨ 구배 자동계산'!$B$4&lt;&gt;"09_어론 신규점","",IF('⑨ 구배 자동계산'!I26="","",'⑨ 구배 자동계산'!I26))</f>
        <v/>
      </c>
      <c r="D45" s="34">
        <f>IF(COUNT(B45,B44)&lt;2,"",(B44-B45)/100)</f>
        <v>0.45</v>
      </c>
      <c r="E45" s="35" t="str">
        <f>IF(COUNT(C45,C44)&lt;2,"",C45-C44)</f>
        <v/>
      </c>
      <c r="F45" s="36" t="str">
        <f>IF(OR(D45="",E45="",D45=0),"",E45/D45)</f>
        <v/>
      </c>
      <c r="G45" s="92" t="str">
        <f>IF('⑨ 구배 자동계산'!$B$4&lt;&gt;"09_어론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IF(COUNT(B50,E50)&lt;2,"",ROUND(SQRT(((128.075858-E50)*111320*COS(RADIANS(37.776326)))^2+((37.776326-B50)*110574)^2),1))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S09-P0a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09" priority="1">
      <formula>AND(ISNUMBER(C31),C31&gt;50)</formula>
    </cfRule>
  </conditionalFormatting>
  <conditionalFormatting sqref="D7">
    <cfRule type="expression" dxfId="208" priority="3" stopIfTrue="1">
      <formula>AND($D$7&lt;&gt;"",VALUE(LEFT($D$7,1))&lt;5)</formula>
    </cfRule>
    <cfRule type="expression" dxfId="207" priority="4" stopIfTrue="1">
      <formula>AND($D$7&lt;&gt;"",VALUE(LEFT($D$7,1))&gt;=5)</formula>
    </cfRule>
  </conditionalFormatting>
  <conditionalFormatting sqref="E7">
    <cfRule type="expression" dxfId="206" priority="5" stopIfTrue="1">
      <formula>AND($E$7&lt;&gt;"",VALUE(LEFT($E$7,1))&lt;5)</formula>
    </cfRule>
    <cfRule type="expression" dxfId="20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5B60389C-64B7-483D-832D-A969568C07B5}">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BF413182-2BA5-4AF0-8811-8EC95CF292C1}">
      <formula1>DATE(2026,1,1)</formula1>
      <formula2>DATE(2027,12,31)</formula2>
    </dataValidation>
    <dataValidation type="list" allowBlank="1" sqref="C7" xr:uid="{622246C5-AEED-42F8-B561-3C3A45FCD88E}">
      <formula1>"맑음,구름 조금,흐림,비,눈,바람 강함"</formula1>
    </dataValidation>
    <dataValidation type="list" allowBlank="1" sqref="H50" xr:uid="{91788CFC-F4C0-45F6-80C0-D5C7545EAB63}">
      <formula1>"RTK-GNSS,네트워크RTK,정적GNSS,휴대GNSS"</formula1>
    </dataValidation>
    <dataValidation type="list" allowBlank="1" sqref="B109" xr:uid="{643CC74F-040F-4969-B533-C3D52227EB3E}">
      <formula1>"동일,조정"</formula1>
    </dataValidation>
    <dataValidation type="list" allowBlank="1" showInputMessage="1" showErrorMessage="1" sqref="F56:F57" xr:uid="{40B40974-3623-4BCC-847B-141020E80F1E}">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&amp;RS09 어론 신규점</oddHeader>
    <oddFooter>&amp;C&amp;9 &amp;P / &amp;N</oddFooter>
  </headerFooter>
  <rowBreaks count="3" manualBreakCount="3">
    <brk id="38" max="16383" man="1"/>
    <brk id="58" max="16383" man="1"/>
    <brk id="106"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770B8-4B0A-49B1-AAED-2A891AD36E8A}">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385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386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387</v>
      </c>
      <c r="B3" s="68"/>
      <c r="C3" s="68"/>
      <c r="D3" s="68"/>
      <c r="E3" s="68"/>
      <c r="F3" s="8" t="s">
        <v>154</v>
      </c>
      <c r="G3" s="6"/>
      <c r="H3" s="8" t="s">
        <v>155</v>
      </c>
      <c r="I3" s="9" t="s">
        <v>388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자동계산'!$B$4="10_예안 신규점1","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자동계산'!$B$4&lt;&gt;"10_예안 신규점1","",IF('⑨ 구배 자동계산'!H9="","",'⑨ 구배 자동계산'!H9))</f>
        <v/>
      </c>
      <c r="C16" s="30" t="str">
        <f>IF('⑨ 구배 자동계산'!$B$4&lt;&gt;"10_예안 신규점1","",IF('⑨ 구배 자동계산'!I9="","",'⑨ 구배 자동계산'!I9))</f>
        <v/>
      </c>
      <c r="D16" s="43" t="str">
        <f>IF('⑨ 구배 자동계산'!$B$4&lt;&gt;"10_예안 신규점1","",IF('⑨ 구배 자동계산'!J9="","",'⑨ 구배 자동계산'!J9))</f>
        <v/>
      </c>
      <c r="E16" s="30" t="str">
        <f>IF('⑨ 구배 자동계산'!$B$4&lt;&gt;"10_예안 신규점1","",IF('⑨ 구배 자동계산'!K9="","",'⑨ 구배 자동계산'!K9))</f>
        <v/>
      </c>
      <c r="F16" s="43" t="str">
        <f>IF('⑨ 구배 자동계산'!$B$4&lt;&gt;"10_예안 신규점1","",IF('⑨ 구배 자동계산'!L9="","",'⑨ 구배 자동계산'!L9))</f>
        <v/>
      </c>
      <c r="G16" s="30" t="str">
        <f>IF('⑨ 구배 자동계산'!$B$4&lt;&gt;"10_예안 신규점1","",IF('⑨ 구배 자동계산'!M9="","",'⑨ 구배 자동계산'!M9))</f>
        <v/>
      </c>
      <c r="H16" s="43" t="str">
        <f>IF('⑨ 구배 자동계산'!$B$4&lt;&gt;"10_예안 신규점1","",IF('⑨ 구배 자동계산'!N9="","",'⑨ 구배 자동계산'!N9))</f>
        <v/>
      </c>
      <c r="I16" s="30" t="str">
        <f>IF('⑨ 구배 자동계산'!$B$4&lt;&gt;"10_예안 신규점1","",IF('⑨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자동계산'!$B$4&lt;&gt;"10_예안 신규점1","",IF('⑨ 구배 자동계산'!H10="","",'⑨ 구배 자동계산'!H10))</f>
        <v/>
      </c>
      <c r="C17" s="32" t="str">
        <f>IF('⑨ 구배 자동계산'!$B$4&lt;&gt;"10_예안 신규점1","",IF('⑨ 구배 자동계산'!I10="","",'⑨ 구배 자동계산'!I10))</f>
        <v/>
      </c>
      <c r="D17" s="44" t="str">
        <f>IF('⑨ 구배 자동계산'!$B$4&lt;&gt;"10_예안 신규점1","",IF('⑨ 구배 자동계산'!J10="","",'⑨ 구배 자동계산'!J10))</f>
        <v/>
      </c>
      <c r="E17" s="32" t="str">
        <f>IF('⑨ 구배 자동계산'!$B$4&lt;&gt;"10_예안 신규점1","",IF('⑨ 구배 자동계산'!K10="","",'⑨ 구배 자동계산'!K10))</f>
        <v/>
      </c>
      <c r="F17" s="44" t="str">
        <f>IF('⑨ 구배 자동계산'!$B$4&lt;&gt;"10_예안 신규점1","",IF('⑨ 구배 자동계산'!L10="","",'⑨ 구배 자동계산'!L10))</f>
        <v/>
      </c>
      <c r="G17" s="32" t="str">
        <f>IF('⑨ 구배 자동계산'!$B$4&lt;&gt;"10_예안 신규점1","",IF('⑨ 구배 자동계산'!M10="","",'⑨ 구배 자동계산'!M10))</f>
        <v/>
      </c>
      <c r="H17" s="44" t="str">
        <f>IF('⑨ 구배 자동계산'!$B$4&lt;&gt;"10_예안 신규점1","",IF('⑨ 구배 자동계산'!N10="","",'⑨ 구배 자동계산'!N10))</f>
        <v/>
      </c>
      <c r="I17" s="32" t="str">
        <f>IF('⑨ 구배 자동계산'!$B$4&lt;&gt;"10_예안 신규점1","",IF('⑨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자동계산'!$B$4&lt;&gt;"10_예안 신규점1","",IF('⑨ 구배 자동계산'!H11="","",'⑨ 구배 자동계산'!H11))</f>
        <v/>
      </c>
      <c r="C18" s="32" t="str">
        <f>IF('⑨ 구배 자동계산'!$B$4&lt;&gt;"10_예안 신규점1","",IF('⑨ 구배 자동계산'!I11="","",'⑨ 구배 자동계산'!I11))</f>
        <v/>
      </c>
      <c r="D18" s="44" t="str">
        <f>IF('⑨ 구배 자동계산'!$B$4&lt;&gt;"10_예안 신규점1","",IF('⑨ 구배 자동계산'!J11="","",'⑨ 구배 자동계산'!J11))</f>
        <v/>
      </c>
      <c r="E18" s="32" t="str">
        <f>IF('⑨ 구배 자동계산'!$B$4&lt;&gt;"10_예안 신규점1","",IF('⑨ 구배 자동계산'!K11="","",'⑨ 구배 자동계산'!K11))</f>
        <v/>
      </c>
      <c r="F18" s="44" t="str">
        <f>IF('⑨ 구배 자동계산'!$B$4&lt;&gt;"10_예안 신규점1","",IF('⑨ 구배 자동계산'!L11="","",'⑨ 구배 자동계산'!L11))</f>
        <v/>
      </c>
      <c r="G18" s="32" t="str">
        <f>IF('⑨ 구배 자동계산'!$B$4&lt;&gt;"10_예안 신규점1","",IF('⑨ 구배 자동계산'!M11="","",'⑨ 구배 자동계산'!M11))</f>
        <v/>
      </c>
      <c r="H18" s="44" t="str">
        <f>IF('⑨ 구배 자동계산'!$B$4&lt;&gt;"10_예안 신규점1","",IF('⑨ 구배 자동계산'!N11="","",'⑨ 구배 자동계산'!N11))</f>
        <v/>
      </c>
      <c r="I18" s="32" t="str">
        <f>IF('⑨ 구배 자동계산'!$B$4&lt;&gt;"10_예안 신규점1","",IF('⑨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자동계산'!$B$4&lt;&gt;"10_예안 신규점1","",IF('⑨ 구배 자동계산'!H12="","",'⑨ 구배 자동계산'!H12))</f>
        <v/>
      </c>
      <c r="C19" s="32" t="str">
        <f>IF('⑨ 구배 자동계산'!$B$4&lt;&gt;"10_예안 신규점1","",IF('⑨ 구배 자동계산'!I12="","",'⑨ 구배 자동계산'!I12))</f>
        <v/>
      </c>
      <c r="D19" s="44" t="str">
        <f>IF('⑨ 구배 자동계산'!$B$4&lt;&gt;"10_예안 신규점1","",IF('⑨ 구배 자동계산'!J12="","",'⑨ 구배 자동계산'!J12))</f>
        <v/>
      </c>
      <c r="E19" s="32" t="str">
        <f>IF('⑨ 구배 자동계산'!$B$4&lt;&gt;"10_예안 신규점1","",IF('⑨ 구배 자동계산'!K12="","",'⑨ 구배 자동계산'!K12))</f>
        <v/>
      </c>
      <c r="F19" s="44" t="str">
        <f>IF('⑨ 구배 자동계산'!$B$4&lt;&gt;"10_예안 신규점1","",IF('⑨ 구배 자동계산'!L12="","",'⑨ 구배 자동계산'!L12))</f>
        <v/>
      </c>
      <c r="G19" s="32" t="str">
        <f>IF('⑨ 구배 자동계산'!$B$4&lt;&gt;"10_예안 신규점1","",IF('⑨ 구배 자동계산'!M12="","",'⑨ 구배 자동계산'!M12))</f>
        <v/>
      </c>
      <c r="H19" s="44" t="str">
        <f>IF('⑨ 구배 자동계산'!$B$4&lt;&gt;"10_예안 신규점1","",IF('⑨ 구배 자동계산'!N12="","",'⑨ 구배 자동계산'!N12))</f>
        <v/>
      </c>
      <c r="I19" s="32" t="str">
        <f>IF('⑨ 구배 자동계산'!$B$4&lt;&gt;"10_예안 신규점1","",IF('⑨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자동계산'!$B$4&lt;&gt;"10_예안 신규점1","",IF('⑨ 구배 자동계산'!H13="","",'⑨ 구배 자동계산'!H13))</f>
        <v/>
      </c>
      <c r="C20" s="32" t="str">
        <f>IF('⑨ 구배 자동계산'!$B$4&lt;&gt;"10_예안 신규점1","",IF('⑨ 구배 자동계산'!I13="","",'⑨ 구배 자동계산'!I13))</f>
        <v/>
      </c>
      <c r="D20" s="44" t="str">
        <f>IF('⑨ 구배 자동계산'!$B$4&lt;&gt;"10_예안 신규점1","",IF('⑨ 구배 자동계산'!J13="","",'⑨ 구배 자동계산'!J13))</f>
        <v/>
      </c>
      <c r="E20" s="32" t="str">
        <f>IF('⑨ 구배 자동계산'!$B$4&lt;&gt;"10_예안 신규점1","",IF('⑨ 구배 자동계산'!K13="","",'⑨ 구배 자동계산'!K13))</f>
        <v/>
      </c>
      <c r="F20" s="44" t="str">
        <f>IF('⑨ 구배 자동계산'!$B$4&lt;&gt;"10_예안 신규점1","",IF('⑨ 구배 자동계산'!L13="","",'⑨ 구배 자동계산'!L13))</f>
        <v/>
      </c>
      <c r="G20" s="32" t="str">
        <f>IF('⑨ 구배 자동계산'!$B$4&lt;&gt;"10_예안 신규점1","",IF('⑨ 구배 자동계산'!M13="","",'⑨ 구배 자동계산'!M13))</f>
        <v/>
      </c>
      <c r="H20" s="44" t="str">
        <f>IF('⑨ 구배 자동계산'!$B$4&lt;&gt;"10_예안 신규점1","",IF('⑨ 구배 자동계산'!N13="","",'⑨ 구배 자동계산'!N13))</f>
        <v/>
      </c>
      <c r="I20" s="32" t="str">
        <f>IF('⑨ 구배 자동계산'!$B$4&lt;&gt;"10_예안 신규점1","",IF('⑨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자동계산'!$B$4&lt;&gt;"10_예안 신규점1","",IF('⑨ 구배 자동계산'!H14="","",'⑨ 구배 자동계산'!H14))</f>
        <v/>
      </c>
      <c r="C21" s="32" t="str">
        <f>IF('⑨ 구배 자동계산'!$B$4&lt;&gt;"10_예안 신규점1","",IF('⑨ 구배 자동계산'!I14="","",'⑨ 구배 자동계산'!I14))</f>
        <v/>
      </c>
      <c r="D21" s="44" t="str">
        <f>IF('⑨ 구배 자동계산'!$B$4&lt;&gt;"10_예안 신규점1","",IF('⑨ 구배 자동계산'!J14="","",'⑨ 구배 자동계산'!J14))</f>
        <v/>
      </c>
      <c r="E21" s="32" t="str">
        <f>IF('⑨ 구배 자동계산'!$B$4&lt;&gt;"10_예안 신규점1","",IF('⑨ 구배 자동계산'!K14="","",'⑨ 구배 자동계산'!K14))</f>
        <v/>
      </c>
      <c r="F21" s="44" t="str">
        <f>IF('⑨ 구배 자동계산'!$B$4&lt;&gt;"10_예안 신규점1","",IF('⑨ 구배 자동계산'!L14="","",'⑨ 구배 자동계산'!L14))</f>
        <v/>
      </c>
      <c r="G21" s="32" t="str">
        <f>IF('⑨ 구배 자동계산'!$B$4&lt;&gt;"10_예안 신규점1","",IF('⑨ 구배 자동계산'!M14="","",'⑨ 구배 자동계산'!M14))</f>
        <v/>
      </c>
      <c r="H21" s="44" t="str">
        <f>IF('⑨ 구배 자동계산'!$B$4&lt;&gt;"10_예안 신규점1","",IF('⑨ 구배 자동계산'!N14="","",'⑨ 구배 자동계산'!N14))</f>
        <v/>
      </c>
      <c r="I21" s="32" t="str">
        <f>IF('⑨ 구배 자동계산'!$B$4&lt;&gt;"10_예안 신규점1","",IF('⑨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자동계산'!$B$4&lt;&gt;"10_예안 신규점1","",IF('⑨ 구배 자동계산'!H15="","",'⑨ 구배 자동계산'!H15))</f>
        <v/>
      </c>
      <c r="C22" s="32" t="str">
        <f>IF('⑨ 구배 자동계산'!$B$4&lt;&gt;"10_예안 신규점1","",IF('⑨ 구배 자동계산'!I15="","",'⑨ 구배 자동계산'!I15))</f>
        <v/>
      </c>
      <c r="D22" s="44" t="str">
        <f>IF('⑨ 구배 자동계산'!$B$4&lt;&gt;"10_예안 신규점1","",IF('⑨ 구배 자동계산'!J15="","",'⑨ 구배 자동계산'!J15))</f>
        <v/>
      </c>
      <c r="E22" s="32" t="str">
        <f>IF('⑨ 구배 자동계산'!$B$4&lt;&gt;"10_예안 신규점1","",IF('⑨ 구배 자동계산'!K15="","",'⑨ 구배 자동계산'!K15))</f>
        <v/>
      </c>
      <c r="F22" s="44" t="str">
        <f>IF('⑨ 구배 자동계산'!$B$4&lt;&gt;"10_예안 신규점1","",IF('⑨ 구배 자동계산'!L15="","",'⑨ 구배 자동계산'!L15))</f>
        <v/>
      </c>
      <c r="G22" s="32" t="str">
        <f>IF('⑨ 구배 자동계산'!$B$4&lt;&gt;"10_예안 신규점1","",IF('⑨ 구배 자동계산'!M15="","",'⑨ 구배 자동계산'!M15))</f>
        <v/>
      </c>
      <c r="H22" s="44" t="str">
        <f>IF('⑨ 구배 자동계산'!$B$4&lt;&gt;"10_예안 신규점1","",IF('⑨ 구배 자동계산'!N15="","",'⑨ 구배 자동계산'!N15))</f>
        <v/>
      </c>
      <c r="I22" s="32" t="str">
        <f>IF('⑨ 구배 자동계산'!$B$4&lt;&gt;"10_예안 신규점1","",IF('⑨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자동계산'!$B$4&lt;&gt;"10_예안 신규점1","",IF('⑨ 구배 자동계산'!H16="","",'⑨ 구배 자동계산'!H16))</f>
        <v/>
      </c>
      <c r="C23" s="32" t="str">
        <f>IF('⑨ 구배 자동계산'!$B$4&lt;&gt;"10_예안 신규점1","",IF('⑨ 구배 자동계산'!I16="","",'⑨ 구배 자동계산'!I16))</f>
        <v/>
      </c>
      <c r="D23" s="44" t="str">
        <f>IF('⑨ 구배 자동계산'!$B$4&lt;&gt;"10_예안 신규점1","",IF('⑨ 구배 자동계산'!J16="","",'⑨ 구배 자동계산'!J16))</f>
        <v/>
      </c>
      <c r="E23" s="32" t="str">
        <f>IF('⑨ 구배 자동계산'!$B$4&lt;&gt;"10_예안 신규점1","",IF('⑨ 구배 자동계산'!K16="","",'⑨ 구배 자동계산'!K16))</f>
        <v/>
      </c>
      <c r="F23" s="44" t="str">
        <f>IF('⑨ 구배 자동계산'!$B$4&lt;&gt;"10_예안 신규점1","",IF('⑨ 구배 자동계산'!L16="","",'⑨ 구배 자동계산'!L16))</f>
        <v/>
      </c>
      <c r="G23" s="32" t="str">
        <f>IF('⑨ 구배 자동계산'!$B$4&lt;&gt;"10_예안 신규점1","",IF('⑨ 구배 자동계산'!M16="","",'⑨ 구배 자동계산'!M16))</f>
        <v/>
      </c>
      <c r="H23" s="44" t="str">
        <f>IF('⑨ 구배 자동계산'!$B$4&lt;&gt;"10_예안 신규점1","",IF('⑨ 구배 자동계산'!N16="","",'⑨ 구배 자동계산'!N16))</f>
        <v/>
      </c>
      <c r="I23" s="32" t="str">
        <f>IF('⑨ 구배 자동계산'!$B$4&lt;&gt;"10_예안 신규점1","",IF('⑨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자동계산'!$B$4&lt;&gt;"10_예안 신규점1","",IF('⑨ 구배 자동계산'!H17="","",'⑨ 구배 자동계산'!H17))</f>
        <v/>
      </c>
      <c r="C24" s="32" t="str">
        <f>IF('⑨ 구배 자동계산'!$B$4&lt;&gt;"10_예안 신규점1","",IF('⑨ 구배 자동계산'!I17="","",'⑨ 구배 자동계산'!I17))</f>
        <v/>
      </c>
      <c r="D24" s="44" t="str">
        <f>IF('⑨ 구배 자동계산'!$B$4&lt;&gt;"10_예안 신규점1","",IF('⑨ 구배 자동계산'!J17="","",'⑨ 구배 자동계산'!J17))</f>
        <v/>
      </c>
      <c r="E24" s="32" t="str">
        <f>IF('⑨ 구배 자동계산'!$B$4&lt;&gt;"10_예안 신규점1","",IF('⑨ 구배 자동계산'!K17="","",'⑨ 구배 자동계산'!K17))</f>
        <v/>
      </c>
      <c r="F24" s="44" t="str">
        <f>IF('⑨ 구배 자동계산'!$B$4&lt;&gt;"10_예안 신규점1","",IF('⑨ 구배 자동계산'!L17="","",'⑨ 구배 자동계산'!L17))</f>
        <v/>
      </c>
      <c r="G24" s="32" t="str">
        <f>IF('⑨ 구배 자동계산'!$B$4&lt;&gt;"10_예안 신규점1","",IF('⑨ 구배 자동계산'!M17="","",'⑨ 구배 자동계산'!M17))</f>
        <v/>
      </c>
      <c r="H24" s="44" t="str">
        <f>IF('⑨ 구배 자동계산'!$B$4&lt;&gt;"10_예안 신규점1","",IF('⑨ 구배 자동계산'!N17="","",'⑨ 구배 자동계산'!N17))</f>
        <v/>
      </c>
      <c r="I24" s="32" t="str">
        <f>IF('⑨ 구배 자동계산'!$B$4&lt;&gt;"10_예안 신규점1","",IF('⑨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자동계산'!$B$4&lt;&gt;"10_예안 신규점1","",IF('⑨ 구배 자동계산'!H18="","",'⑨ 구배 자동계산'!H18))</f>
        <v/>
      </c>
      <c r="C25" s="32" t="str">
        <f>IF('⑨ 구배 자동계산'!$B$4&lt;&gt;"10_예안 신규점1","",IF('⑨ 구배 자동계산'!I18="","",'⑨ 구배 자동계산'!I18))</f>
        <v/>
      </c>
      <c r="D25" s="44" t="str">
        <f>IF('⑨ 구배 자동계산'!$B$4&lt;&gt;"10_예안 신규점1","",IF('⑨ 구배 자동계산'!J18="","",'⑨ 구배 자동계산'!J18))</f>
        <v/>
      </c>
      <c r="E25" s="32" t="str">
        <f>IF('⑨ 구배 자동계산'!$B$4&lt;&gt;"10_예안 신규점1","",IF('⑨ 구배 자동계산'!K18="","",'⑨ 구배 자동계산'!K18))</f>
        <v/>
      </c>
      <c r="F25" s="44" t="str">
        <f>IF('⑨ 구배 자동계산'!$B$4&lt;&gt;"10_예안 신규점1","",IF('⑨ 구배 자동계산'!L18="","",'⑨ 구배 자동계산'!L18))</f>
        <v/>
      </c>
      <c r="G25" s="32" t="str">
        <f>IF('⑨ 구배 자동계산'!$B$4&lt;&gt;"10_예안 신규점1","",IF('⑨ 구배 자동계산'!M18="","",'⑨ 구배 자동계산'!M18))</f>
        <v/>
      </c>
      <c r="H25" s="44" t="str">
        <f>IF('⑨ 구배 자동계산'!$B$4&lt;&gt;"10_예안 신규점1","",IF('⑨ 구배 자동계산'!N18="","",'⑨ 구배 자동계산'!N18))</f>
        <v/>
      </c>
      <c r="I25" s="32" t="str">
        <f>IF('⑨ 구배 자동계산'!$B$4&lt;&gt;"10_예안 신규점1","",IF('⑨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자동계산'!$B$4&lt;&gt;"10_예안 신규점1","",IF('⑨ 구배 자동계산'!H19="","",'⑨ 구배 자동계산'!H19))</f>
        <v/>
      </c>
      <c r="C26" s="32" t="str">
        <f>IF('⑨ 구배 자동계산'!$B$4&lt;&gt;"10_예안 신규점1","",IF('⑨ 구배 자동계산'!I19="","",'⑨ 구배 자동계산'!I19))</f>
        <v/>
      </c>
      <c r="D26" s="44" t="str">
        <f>IF('⑨ 구배 자동계산'!$B$4&lt;&gt;"10_예안 신규점1","",IF('⑨ 구배 자동계산'!J19="","",'⑨ 구배 자동계산'!J19))</f>
        <v/>
      </c>
      <c r="E26" s="32" t="str">
        <f>IF('⑨ 구배 자동계산'!$B$4&lt;&gt;"10_예안 신규점1","",IF('⑨ 구배 자동계산'!K19="","",'⑨ 구배 자동계산'!K19))</f>
        <v/>
      </c>
      <c r="F26" s="44" t="str">
        <f>IF('⑨ 구배 자동계산'!$B$4&lt;&gt;"10_예안 신규점1","",IF('⑨ 구배 자동계산'!L19="","",'⑨ 구배 자동계산'!L19))</f>
        <v/>
      </c>
      <c r="G26" s="32" t="str">
        <f>IF('⑨ 구배 자동계산'!$B$4&lt;&gt;"10_예안 신규점1","",IF('⑨ 구배 자동계산'!M19="","",'⑨ 구배 자동계산'!M19))</f>
        <v/>
      </c>
      <c r="H26" s="44" t="str">
        <f>IF('⑨ 구배 자동계산'!$B$4&lt;&gt;"10_예안 신규점1","",IF('⑨ 구배 자동계산'!N19="","",'⑨ 구배 자동계산'!N19))</f>
        <v/>
      </c>
      <c r="I26" s="32" t="str">
        <f>IF('⑨ 구배 자동계산'!$B$4&lt;&gt;"10_예안 신규점1","",IF('⑨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자동계산'!$B$4&lt;&gt;"10_예안 신규점1","",IF('⑨ 구배 자동계산'!H20="","",'⑨ 구배 자동계산'!H20))</f>
        <v/>
      </c>
      <c r="C27" s="41" t="str">
        <f>IF('⑨ 구배 자동계산'!$B$4&lt;&gt;"10_예안 신규점1","",IF('⑨ 구배 자동계산'!I20="","",'⑨ 구배 자동계산'!I20))</f>
        <v/>
      </c>
      <c r="D27" s="45" t="str">
        <f>IF('⑨ 구배 자동계산'!$B$4&lt;&gt;"10_예안 신규점1","",IF('⑨ 구배 자동계산'!J20="","",'⑨ 구배 자동계산'!J20))</f>
        <v/>
      </c>
      <c r="E27" s="41" t="str">
        <f>IF('⑨ 구배 자동계산'!$B$4&lt;&gt;"10_예안 신규점1","",IF('⑨ 구배 자동계산'!K20="","",'⑨ 구배 자동계산'!K20))</f>
        <v/>
      </c>
      <c r="F27" s="45" t="str">
        <f>IF('⑨ 구배 자동계산'!$B$4&lt;&gt;"10_예안 신규점1","",IF('⑨ 구배 자동계산'!L20="","",'⑨ 구배 자동계산'!L20))</f>
        <v/>
      </c>
      <c r="G27" s="41" t="str">
        <f>IF('⑨ 구배 자동계산'!$B$4&lt;&gt;"10_예안 신규점1","",IF('⑨ 구배 자동계산'!M20="","",'⑨ 구배 자동계산'!M20))</f>
        <v/>
      </c>
      <c r="H27" s="45" t="str">
        <f>IF('⑨ 구배 자동계산'!$B$4&lt;&gt;"10_예안 신규점1","",IF('⑨ 구배 자동계산'!N20="","",'⑨ 구배 자동계산'!N20))</f>
        <v/>
      </c>
      <c r="I27" s="41" t="str">
        <f>IF('⑨ 구배 자동계산'!$B$4&lt;&gt;"10_예안 신규점1","",IF('⑨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자동계산'!$B$4&lt;&gt;"10_예안 신규점1","",IF('⑨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자동계산'!$B$4&lt;&gt;"10_예안 신규점1","",IF('⑨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자동계산'!$B$4&lt;&gt;"10_예안 신규점1","",IF('⑨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자동계산'!$B$4&lt;&gt;"10_예안 신규점1","",IF('⑨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자동계산'!$B$4&lt;&gt;"10_예안 신규점1","",IF('⑨ 구배 자동계산'!I23="","",'⑨ 구배 자동계산'!I23))</f>
        <v/>
      </c>
      <c r="D42" s="8"/>
      <c r="E42" s="8"/>
      <c r="F42" s="8"/>
      <c r="G42" s="92" t="str">
        <f>IF('⑨ 구배 자동계산'!$B$4&lt;&gt;"10_예안 신규점1","",IF('⑨ 구배 자동계산'!$J23="","",'⑨ 구배 자동계산'!$J23&amp;"  ·  "&amp;'⑨ 구배 자동계산'!$L23))</f>
        <v/>
      </c>
      <c r="H42" s="93"/>
      <c r="I42" s="93"/>
    </row>
    <row r="43" spans="1:35" ht="19.95" customHeight="1" x14ac:dyDescent="0.4">
      <c r="A43" s="8">
        <v>3</v>
      </c>
      <c r="B43" s="33">
        <v>140</v>
      </c>
      <c r="C43" s="32" t="str">
        <f>IF('⑨ 구배 자동계산'!$B$4&lt;&gt;"10_예안 신규점1","",IF('⑨ 구배 자동계산'!I24="","",'⑨ 구배 자동계산'!I24))</f>
        <v/>
      </c>
      <c r="D43" s="34">
        <f>IF(COUNT(B43,B42)&lt;2,"",(B42-B43)/100)</f>
        <v>0.45</v>
      </c>
      <c r="E43" s="35" t="str">
        <f>IF(COUNT(C43,C42)&lt;2,"",C43-C42)</f>
        <v/>
      </c>
      <c r="F43" s="36" t="str">
        <f>IF(OR(D43="",E43="",D43=0),"",E43/D43)</f>
        <v/>
      </c>
      <c r="G43" s="92" t="str">
        <f>IF('⑨ 구배 자동계산'!$B$4&lt;&gt;"10_예안 신규점1","",IF('⑨ 구배 자동계산'!$J24="","",'⑨ 구배 자동계산'!$J24&amp;"  ·  "&amp;'⑨ 구배 자동계산'!$L24))</f>
        <v/>
      </c>
      <c r="H43" s="93"/>
      <c r="I43" s="93"/>
      <c r="AH43" t="s">
        <v>234</v>
      </c>
    </row>
    <row r="44" spans="1:35" ht="19.95" customHeight="1" x14ac:dyDescent="0.4">
      <c r="A44" s="8">
        <v>2</v>
      </c>
      <c r="B44" s="33">
        <v>95</v>
      </c>
      <c r="C44" s="32" t="str">
        <f>IF('⑨ 구배 자동계산'!$B$4&lt;&gt;"10_예안 신규점1","",IF('⑨ 구배 자동계산'!I25="","",'⑨ 구배 자동계산'!I25))</f>
        <v/>
      </c>
      <c r="D44" s="34">
        <f>IF(COUNT(B44,B43)&lt;2,"",(B43-B44)/100)</f>
        <v>0.45</v>
      </c>
      <c r="E44" s="35" t="str">
        <f>IF(COUNT(C44,C43)&lt;2,"",C44-C43)</f>
        <v/>
      </c>
      <c r="F44" s="36" t="str">
        <f>IF(OR(D44="",E44="",D44=0),"",E44/D44)</f>
        <v/>
      </c>
      <c r="G44" s="92" t="str">
        <f>IF('⑨ 구배 자동계산'!$B$4&lt;&gt;"10_예안 신규점1","",IF('⑨ 구배 자동계산'!$J25="","",'⑨ 구배 자동계산'!$J25&amp;"  ·  "&amp;'⑨ 구배 자동계산'!$L25))</f>
        <v/>
      </c>
      <c r="H44" s="93"/>
      <c r="I44" s="93"/>
    </row>
    <row r="45" spans="1:35" ht="19.95" customHeight="1" x14ac:dyDescent="0.4">
      <c r="A45" s="8">
        <v>1</v>
      </c>
      <c r="B45" s="33">
        <v>50</v>
      </c>
      <c r="C45" s="32" t="str">
        <f>IF('⑨ 구배 자동계산'!$B$4&lt;&gt;"10_예안 신규점1","",IF('⑨ 구배 자동계산'!I26="","",'⑨ 구배 자동계산'!I26))</f>
        <v/>
      </c>
      <c r="D45" s="34">
        <f>IF(COUNT(B45,B44)&lt;2,"",(B44-B45)/100)</f>
        <v>0.45</v>
      </c>
      <c r="E45" s="35" t="str">
        <f>IF(COUNT(C45,C44)&lt;2,"",C45-C44)</f>
        <v/>
      </c>
      <c r="F45" s="36" t="str">
        <f>IF(OR(D45="",E45="",D45=0),"",E45/D45)</f>
        <v/>
      </c>
      <c r="G45" s="92" t="str">
        <f>IF('⑨ 구배 자동계산'!$B$4&lt;&gt;"10_예안 신규점1","",IF('⑨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IF(COUNT(B50,E50)&lt;2,"",ROUND(SQRT(((128.853559-E50)*111320*COS(RADIANS(36.745399)))^2+((36.745399-B50)*110574)^2),1))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S10-P0a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04" priority="1">
      <formula>AND(ISNUMBER(C31),C31&gt;50)</formula>
    </cfRule>
  </conditionalFormatting>
  <conditionalFormatting sqref="D7">
    <cfRule type="expression" dxfId="203" priority="3" stopIfTrue="1">
      <formula>AND($D$7&lt;&gt;"",VALUE(LEFT($D$7,1))&lt;5)</formula>
    </cfRule>
    <cfRule type="expression" dxfId="202" priority="4" stopIfTrue="1">
      <formula>AND($D$7&lt;&gt;"",VALUE(LEFT($D$7,1))&gt;=5)</formula>
    </cfRule>
  </conditionalFormatting>
  <conditionalFormatting sqref="E7">
    <cfRule type="expression" dxfId="201" priority="5" stopIfTrue="1">
      <formula>AND($E$7&lt;&gt;"",VALUE(LEFT($E$7,1))&lt;5)</formula>
    </cfRule>
    <cfRule type="expression" dxfId="20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2E4FDD67-8ED2-4701-974D-DB8F0188719C}">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9662CC53-A5D7-41D0-85DA-8BA302F6A160}">
      <formula1>DATE(2026,1,1)</formula1>
      <formula2>DATE(2027,12,31)</formula2>
    </dataValidation>
    <dataValidation type="list" allowBlank="1" sqref="C7" xr:uid="{B058DF56-5F83-4179-A7F0-A0A0ACE2A1A3}">
      <formula1>"맑음,구름 조금,흐림,비,눈,바람 강함"</formula1>
    </dataValidation>
    <dataValidation type="list" allowBlank="1" sqref="H50" xr:uid="{AA504EF4-2241-4416-82D9-1FAAD3AD2746}">
      <formula1>"RTK-GNSS,네트워크RTK,정적GNSS,휴대GNSS"</formula1>
    </dataValidation>
    <dataValidation type="list" allowBlank="1" sqref="B109" xr:uid="{60AFECB5-CD29-4071-A080-F72199022F2D}">
      <formula1>"동일,조정"</formula1>
    </dataValidation>
    <dataValidation type="list" allowBlank="1" showInputMessage="1" showErrorMessage="1" sqref="F56:F57" xr:uid="{A3DD2595-049B-44F4-A78F-59D5F14D5931}">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&amp;RS10 예안 신규점1</oddHeader>
    <oddFooter>&amp;C&amp;9 &amp;P / &amp;N</oddFooter>
  </headerFooter>
  <rowBreaks count="3" manualBreakCount="3">
    <brk id="38" max="16383" man="1"/>
    <brk id="58" max="16383" man="1"/>
    <brk id="10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E481A-0C5C-47B6-BF7D-E693183A8A3E}">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389</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390</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391</v>
      </c>
      <c r="B3" s="68"/>
      <c r="C3" s="68"/>
      <c r="D3" s="68"/>
      <c r="E3" s="68"/>
      <c r="F3" s="8" t="s">
        <v>154</v>
      </c>
      <c r="G3" s="6"/>
      <c r="H3" s="8" t="s">
        <v>155</v>
      </c>
      <c r="I3" s="9" t="s">
        <v>392</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자동계산'!$B$4="11_소천 신규점4","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자동계산'!$B$4&lt;&gt;"11_소천 신규점4","",IF('⑨ 구배 자동계산'!H9="","",'⑨ 구배 자동계산'!H9))</f>
        <v/>
      </c>
      <c r="C16" s="30" t="str">
        <f>IF('⑨ 구배 자동계산'!$B$4&lt;&gt;"11_소천 신규점4","",IF('⑨ 구배 자동계산'!I9="","",'⑨ 구배 자동계산'!I9))</f>
        <v/>
      </c>
      <c r="D16" s="43" t="str">
        <f>IF('⑨ 구배 자동계산'!$B$4&lt;&gt;"11_소천 신규점4","",IF('⑨ 구배 자동계산'!J9="","",'⑨ 구배 자동계산'!J9))</f>
        <v/>
      </c>
      <c r="E16" s="30" t="str">
        <f>IF('⑨ 구배 자동계산'!$B$4&lt;&gt;"11_소천 신규점4","",IF('⑨ 구배 자동계산'!K9="","",'⑨ 구배 자동계산'!K9))</f>
        <v/>
      </c>
      <c r="F16" s="43" t="str">
        <f>IF('⑨ 구배 자동계산'!$B$4&lt;&gt;"11_소천 신규점4","",IF('⑨ 구배 자동계산'!L9="","",'⑨ 구배 자동계산'!L9))</f>
        <v/>
      </c>
      <c r="G16" s="30" t="str">
        <f>IF('⑨ 구배 자동계산'!$B$4&lt;&gt;"11_소천 신규점4","",IF('⑨ 구배 자동계산'!M9="","",'⑨ 구배 자동계산'!M9))</f>
        <v/>
      </c>
      <c r="H16" s="43" t="str">
        <f>IF('⑨ 구배 자동계산'!$B$4&lt;&gt;"11_소천 신규점4","",IF('⑨ 구배 자동계산'!N9="","",'⑨ 구배 자동계산'!N9))</f>
        <v/>
      </c>
      <c r="I16" s="30" t="str">
        <f>IF('⑨ 구배 자동계산'!$B$4&lt;&gt;"11_소천 신규점4","",IF('⑨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자동계산'!$B$4&lt;&gt;"11_소천 신규점4","",IF('⑨ 구배 자동계산'!H10="","",'⑨ 구배 자동계산'!H10))</f>
        <v/>
      </c>
      <c r="C17" s="32" t="str">
        <f>IF('⑨ 구배 자동계산'!$B$4&lt;&gt;"11_소천 신규점4","",IF('⑨ 구배 자동계산'!I10="","",'⑨ 구배 자동계산'!I10))</f>
        <v/>
      </c>
      <c r="D17" s="44" t="str">
        <f>IF('⑨ 구배 자동계산'!$B$4&lt;&gt;"11_소천 신규점4","",IF('⑨ 구배 자동계산'!J10="","",'⑨ 구배 자동계산'!J10))</f>
        <v/>
      </c>
      <c r="E17" s="32" t="str">
        <f>IF('⑨ 구배 자동계산'!$B$4&lt;&gt;"11_소천 신규점4","",IF('⑨ 구배 자동계산'!K10="","",'⑨ 구배 자동계산'!K10))</f>
        <v/>
      </c>
      <c r="F17" s="44" t="str">
        <f>IF('⑨ 구배 자동계산'!$B$4&lt;&gt;"11_소천 신규점4","",IF('⑨ 구배 자동계산'!L10="","",'⑨ 구배 자동계산'!L10))</f>
        <v/>
      </c>
      <c r="G17" s="32" t="str">
        <f>IF('⑨ 구배 자동계산'!$B$4&lt;&gt;"11_소천 신규점4","",IF('⑨ 구배 자동계산'!M10="","",'⑨ 구배 자동계산'!M10))</f>
        <v/>
      </c>
      <c r="H17" s="44" t="str">
        <f>IF('⑨ 구배 자동계산'!$B$4&lt;&gt;"11_소천 신규점4","",IF('⑨ 구배 자동계산'!N10="","",'⑨ 구배 자동계산'!N10))</f>
        <v/>
      </c>
      <c r="I17" s="32" t="str">
        <f>IF('⑨ 구배 자동계산'!$B$4&lt;&gt;"11_소천 신규점4","",IF('⑨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자동계산'!$B$4&lt;&gt;"11_소천 신규점4","",IF('⑨ 구배 자동계산'!H11="","",'⑨ 구배 자동계산'!H11))</f>
        <v/>
      </c>
      <c r="C18" s="32" t="str">
        <f>IF('⑨ 구배 자동계산'!$B$4&lt;&gt;"11_소천 신규점4","",IF('⑨ 구배 자동계산'!I11="","",'⑨ 구배 자동계산'!I11))</f>
        <v/>
      </c>
      <c r="D18" s="44" t="str">
        <f>IF('⑨ 구배 자동계산'!$B$4&lt;&gt;"11_소천 신규점4","",IF('⑨ 구배 자동계산'!J11="","",'⑨ 구배 자동계산'!J11))</f>
        <v/>
      </c>
      <c r="E18" s="32" t="str">
        <f>IF('⑨ 구배 자동계산'!$B$4&lt;&gt;"11_소천 신규점4","",IF('⑨ 구배 자동계산'!K11="","",'⑨ 구배 자동계산'!K11))</f>
        <v/>
      </c>
      <c r="F18" s="44" t="str">
        <f>IF('⑨ 구배 자동계산'!$B$4&lt;&gt;"11_소천 신규점4","",IF('⑨ 구배 자동계산'!L11="","",'⑨ 구배 자동계산'!L11))</f>
        <v/>
      </c>
      <c r="G18" s="32" t="str">
        <f>IF('⑨ 구배 자동계산'!$B$4&lt;&gt;"11_소천 신규점4","",IF('⑨ 구배 자동계산'!M11="","",'⑨ 구배 자동계산'!M11))</f>
        <v/>
      </c>
      <c r="H18" s="44" t="str">
        <f>IF('⑨ 구배 자동계산'!$B$4&lt;&gt;"11_소천 신규점4","",IF('⑨ 구배 자동계산'!N11="","",'⑨ 구배 자동계산'!N11))</f>
        <v/>
      </c>
      <c r="I18" s="32" t="str">
        <f>IF('⑨ 구배 자동계산'!$B$4&lt;&gt;"11_소천 신규점4","",IF('⑨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자동계산'!$B$4&lt;&gt;"11_소천 신규점4","",IF('⑨ 구배 자동계산'!H12="","",'⑨ 구배 자동계산'!H12))</f>
        <v/>
      </c>
      <c r="C19" s="32" t="str">
        <f>IF('⑨ 구배 자동계산'!$B$4&lt;&gt;"11_소천 신규점4","",IF('⑨ 구배 자동계산'!I12="","",'⑨ 구배 자동계산'!I12))</f>
        <v/>
      </c>
      <c r="D19" s="44" t="str">
        <f>IF('⑨ 구배 자동계산'!$B$4&lt;&gt;"11_소천 신규점4","",IF('⑨ 구배 자동계산'!J12="","",'⑨ 구배 자동계산'!J12))</f>
        <v/>
      </c>
      <c r="E19" s="32" t="str">
        <f>IF('⑨ 구배 자동계산'!$B$4&lt;&gt;"11_소천 신규점4","",IF('⑨ 구배 자동계산'!K12="","",'⑨ 구배 자동계산'!K12))</f>
        <v/>
      </c>
      <c r="F19" s="44" t="str">
        <f>IF('⑨ 구배 자동계산'!$B$4&lt;&gt;"11_소천 신규점4","",IF('⑨ 구배 자동계산'!L12="","",'⑨ 구배 자동계산'!L12))</f>
        <v/>
      </c>
      <c r="G19" s="32" t="str">
        <f>IF('⑨ 구배 자동계산'!$B$4&lt;&gt;"11_소천 신규점4","",IF('⑨ 구배 자동계산'!M12="","",'⑨ 구배 자동계산'!M12))</f>
        <v/>
      </c>
      <c r="H19" s="44" t="str">
        <f>IF('⑨ 구배 자동계산'!$B$4&lt;&gt;"11_소천 신규점4","",IF('⑨ 구배 자동계산'!N12="","",'⑨ 구배 자동계산'!N12))</f>
        <v/>
      </c>
      <c r="I19" s="32" t="str">
        <f>IF('⑨ 구배 자동계산'!$B$4&lt;&gt;"11_소천 신규점4","",IF('⑨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자동계산'!$B$4&lt;&gt;"11_소천 신규점4","",IF('⑨ 구배 자동계산'!H13="","",'⑨ 구배 자동계산'!H13))</f>
        <v/>
      </c>
      <c r="C20" s="32" t="str">
        <f>IF('⑨ 구배 자동계산'!$B$4&lt;&gt;"11_소천 신규점4","",IF('⑨ 구배 자동계산'!I13="","",'⑨ 구배 자동계산'!I13))</f>
        <v/>
      </c>
      <c r="D20" s="44" t="str">
        <f>IF('⑨ 구배 자동계산'!$B$4&lt;&gt;"11_소천 신규점4","",IF('⑨ 구배 자동계산'!J13="","",'⑨ 구배 자동계산'!J13))</f>
        <v/>
      </c>
      <c r="E20" s="32" t="str">
        <f>IF('⑨ 구배 자동계산'!$B$4&lt;&gt;"11_소천 신규점4","",IF('⑨ 구배 자동계산'!K13="","",'⑨ 구배 자동계산'!K13))</f>
        <v/>
      </c>
      <c r="F20" s="44" t="str">
        <f>IF('⑨ 구배 자동계산'!$B$4&lt;&gt;"11_소천 신규점4","",IF('⑨ 구배 자동계산'!L13="","",'⑨ 구배 자동계산'!L13))</f>
        <v/>
      </c>
      <c r="G20" s="32" t="str">
        <f>IF('⑨ 구배 자동계산'!$B$4&lt;&gt;"11_소천 신규점4","",IF('⑨ 구배 자동계산'!M13="","",'⑨ 구배 자동계산'!M13))</f>
        <v/>
      </c>
      <c r="H20" s="44" t="str">
        <f>IF('⑨ 구배 자동계산'!$B$4&lt;&gt;"11_소천 신규점4","",IF('⑨ 구배 자동계산'!N13="","",'⑨ 구배 자동계산'!N13))</f>
        <v/>
      </c>
      <c r="I20" s="32" t="str">
        <f>IF('⑨ 구배 자동계산'!$B$4&lt;&gt;"11_소천 신규점4","",IF('⑨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자동계산'!$B$4&lt;&gt;"11_소천 신규점4","",IF('⑨ 구배 자동계산'!H14="","",'⑨ 구배 자동계산'!H14))</f>
        <v/>
      </c>
      <c r="C21" s="32" t="str">
        <f>IF('⑨ 구배 자동계산'!$B$4&lt;&gt;"11_소천 신규점4","",IF('⑨ 구배 자동계산'!I14="","",'⑨ 구배 자동계산'!I14))</f>
        <v/>
      </c>
      <c r="D21" s="44" t="str">
        <f>IF('⑨ 구배 자동계산'!$B$4&lt;&gt;"11_소천 신규점4","",IF('⑨ 구배 자동계산'!J14="","",'⑨ 구배 자동계산'!J14))</f>
        <v/>
      </c>
      <c r="E21" s="32" t="str">
        <f>IF('⑨ 구배 자동계산'!$B$4&lt;&gt;"11_소천 신규점4","",IF('⑨ 구배 자동계산'!K14="","",'⑨ 구배 자동계산'!K14))</f>
        <v/>
      </c>
      <c r="F21" s="44" t="str">
        <f>IF('⑨ 구배 자동계산'!$B$4&lt;&gt;"11_소천 신규점4","",IF('⑨ 구배 자동계산'!L14="","",'⑨ 구배 자동계산'!L14))</f>
        <v/>
      </c>
      <c r="G21" s="32" t="str">
        <f>IF('⑨ 구배 자동계산'!$B$4&lt;&gt;"11_소천 신규점4","",IF('⑨ 구배 자동계산'!M14="","",'⑨ 구배 자동계산'!M14))</f>
        <v/>
      </c>
      <c r="H21" s="44" t="str">
        <f>IF('⑨ 구배 자동계산'!$B$4&lt;&gt;"11_소천 신규점4","",IF('⑨ 구배 자동계산'!N14="","",'⑨ 구배 자동계산'!N14))</f>
        <v/>
      </c>
      <c r="I21" s="32" t="str">
        <f>IF('⑨ 구배 자동계산'!$B$4&lt;&gt;"11_소천 신규점4","",IF('⑨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자동계산'!$B$4&lt;&gt;"11_소천 신규점4","",IF('⑨ 구배 자동계산'!H15="","",'⑨ 구배 자동계산'!H15))</f>
        <v/>
      </c>
      <c r="C22" s="32" t="str">
        <f>IF('⑨ 구배 자동계산'!$B$4&lt;&gt;"11_소천 신규점4","",IF('⑨ 구배 자동계산'!I15="","",'⑨ 구배 자동계산'!I15))</f>
        <v/>
      </c>
      <c r="D22" s="44" t="str">
        <f>IF('⑨ 구배 자동계산'!$B$4&lt;&gt;"11_소천 신규점4","",IF('⑨ 구배 자동계산'!J15="","",'⑨ 구배 자동계산'!J15))</f>
        <v/>
      </c>
      <c r="E22" s="32" t="str">
        <f>IF('⑨ 구배 자동계산'!$B$4&lt;&gt;"11_소천 신규점4","",IF('⑨ 구배 자동계산'!K15="","",'⑨ 구배 자동계산'!K15))</f>
        <v/>
      </c>
      <c r="F22" s="44" t="str">
        <f>IF('⑨ 구배 자동계산'!$B$4&lt;&gt;"11_소천 신규점4","",IF('⑨ 구배 자동계산'!L15="","",'⑨ 구배 자동계산'!L15))</f>
        <v/>
      </c>
      <c r="G22" s="32" t="str">
        <f>IF('⑨ 구배 자동계산'!$B$4&lt;&gt;"11_소천 신규점4","",IF('⑨ 구배 자동계산'!M15="","",'⑨ 구배 자동계산'!M15))</f>
        <v/>
      </c>
      <c r="H22" s="44" t="str">
        <f>IF('⑨ 구배 자동계산'!$B$4&lt;&gt;"11_소천 신규점4","",IF('⑨ 구배 자동계산'!N15="","",'⑨ 구배 자동계산'!N15))</f>
        <v/>
      </c>
      <c r="I22" s="32" t="str">
        <f>IF('⑨ 구배 자동계산'!$B$4&lt;&gt;"11_소천 신규점4","",IF('⑨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자동계산'!$B$4&lt;&gt;"11_소천 신규점4","",IF('⑨ 구배 자동계산'!H16="","",'⑨ 구배 자동계산'!H16))</f>
        <v/>
      </c>
      <c r="C23" s="32" t="str">
        <f>IF('⑨ 구배 자동계산'!$B$4&lt;&gt;"11_소천 신규점4","",IF('⑨ 구배 자동계산'!I16="","",'⑨ 구배 자동계산'!I16))</f>
        <v/>
      </c>
      <c r="D23" s="44" t="str">
        <f>IF('⑨ 구배 자동계산'!$B$4&lt;&gt;"11_소천 신규점4","",IF('⑨ 구배 자동계산'!J16="","",'⑨ 구배 자동계산'!J16))</f>
        <v/>
      </c>
      <c r="E23" s="32" t="str">
        <f>IF('⑨ 구배 자동계산'!$B$4&lt;&gt;"11_소천 신규점4","",IF('⑨ 구배 자동계산'!K16="","",'⑨ 구배 자동계산'!K16))</f>
        <v/>
      </c>
      <c r="F23" s="44" t="str">
        <f>IF('⑨ 구배 자동계산'!$B$4&lt;&gt;"11_소천 신규점4","",IF('⑨ 구배 자동계산'!L16="","",'⑨ 구배 자동계산'!L16))</f>
        <v/>
      </c>
      <c r="G23" s="32" t="str">
        <f>IF('⑨ 구배 자동계산'!$B$4&lt;&gt;"11_소천 신규점4","",IF('⑨ 구배 자동계산'!M16="","",'⑨ 구배 자동계산'!M16))</f>
        <v/>
      </c>
      <c r="H23" s="44" t="str">
        <f>IF('⑨ 구배 자동계산'!$B$4&lt;&gt;"11_소천 신규점4","",IF('⑨ 구배 자동계산'!N16="","",'⑨ 구배 자동계산'!N16))</f>
        <v/>
      </c>
      <c r="I23" s="32" t="str">
        <f>IF('⑨ 구배 자동계산'!$B$4&lt;&gt;"11_소천 신규점4","",IF('⑨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자동계산'!$B$4&lt;&gt;"11_소천 신규점4","",IF('⑨ 구배 자동계산'!H17="","",'⑨ 구배 자동계산'!H17))</f>
        <v/>
      </c>
      <c r="C24" s="32" t="str">
        <f>IF('⑨ 구배 자동계산'!$B$4&lt;&gt;"11_소천 신규점4","",IF('⑨ 구배 자동계산'!I17="","",'⑨ 구배 자동계산'!I17))</f>
        <v/>
      </c>
      <c r="D24" s="44" t="str">
        <f>IF('⑨ 구배 자동계산'!$B$4&lt;&gt;"11_소천 신규점4","",IF('⑨ 구배 자동계산'!J17="","",'⑨ 구배 자동계산'!J17))</f>
        <v/>
      </c>
      <c r="E24" s="32" t="str">
        <f>IF('⑨ 구배 자동계산'!$B$4&lt;&gt;"11_소천 신규점4","",IF('⑨ 구배 자동계산'!K17="","",'⑨ 구배 자동계산'!K17))</f>
        <v/>
      </c>
      <c r="F24" s="44" t="str">
        <f>IF('⑨ 구배 자동계산'!$B$4&lt;&gt;"11_소천 신규점4","",IF('⑨ 구배 자동계산'!L17="","",'⑨ 구배 자동계산'!L17))</f>
        <v/>
      </c>
      <c r="G24" s="32" t="str">
        <f>IF('⑨ 구배 자동계산'!$B$4&lt;&gt;"11_소천 신규점4","",IF('⑨ 구배 자동계산'!M17="","",'⑨ 구배 자동계산'!M17))</f>
        <v/>
      </c>
      <c r="H24" s="44" t="str">
        <f>IF('⑨ 구배 자동계산'!$B$4&lt;&gt;"11_소천 신규점4","",IF('⑨ 구배 자동계산'!N17="","",'⑨ 구배 자동계산'!N17))</f>
        <v/>
      </c>
      <c r="I24" s="32" t="str">
        <f>IF('⑨ 구배 자동계산'!$B$4&lt;&gt;"11_소천 신규점4","",IF('⑨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자동계산'!$B$4&lt;&gt;"11_소천 신규점4","",IF('⑨ 구배 자동계산'!H18="","",'⑨ 구배 자동계산'!H18))</f>
        <v/>
      </c>
      <c r="C25" s="32" t="str">
        <f>IF('⑨ 구배 자동계산'!$B$4&lt;&gt;"11_소천 신규점4","",IF('⑨ 구배 자동계산'!I18="","",'⑨ 구배 자동계산'!I18))</f>
        <v/>
      </c>
      <c r="D25" s="44" t="str">
        <f>IF('⑨ 구배 자동계산'!$B$4&lt;&gt;"11_소천 신규점4","",IF('⑨ 구배 자동계산'!J18="","",'⑨ 구배 자동계산'!J18))</f>
        <v/>
      </c>
      <c r="E25" s="32" t="str">
        <f>IF('⑨ 구배 자동계산'!$B$4&lt;&gt;"11_소천 신규점4","",IF('⑨ 구배 자동계산'!K18="","",'⑨ 구배 자동계산'!K18))</f>
        <v/>
      </c>
      <c r="F25" s="44" t="str">
        <f>IF('⑨ 구배 자동계산'!$B$4&lt;&gt;"11_소천 신규점4","",IF('⑨ 구배 자동계산'!L18="","",'⑨ 구배 자동계산'!L18))</f>
        <v/>
      </c>
      <c r="G25" s="32" t="str">
        <f>IF('⑨ 구배 자동계산'!$B$4&lt;&gt;"11_소천 신규점4","",IF('⑨ 구배 자동계산'!M18="","",'⑨ 구배 자동계산'!M18))</f>
        <v/>
      </c>
      <c r="H25" s="44" t="str">
        <f>IF('⑨ 구배 자동계산'!$B$4&lt;&gt;"11_소천 신규점4","",IF('⑨ 구배 자동계산'!N18="","",'⑨ 구배 자동계산'!N18))</f>
        <v/>
      </c>
      <c r="I25" s="32" t="str">
        <f>IF('⑨ 구배 자동계산'!$B$4&lt;&gt;"11_소천 신규점4","",IF('⑨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자동계산'!$B$4&lt;&gt;"11_소천 신규점4","",IF('⑨ 구배 자동계산'!H19="","",'⑨ 구배 자동계산'!H19))</f>
        <v/>
      </c>
      <c r="C26" s="32" t="str">
        <f>IF('⑨ 구배 자동계산'!$B$4&lt;&gt;"11_소천 신규점4","",IF('⑨ 구배 자동계산'!I19="","",'⑨ 구배 자동계산'!I19))</f>
        <v/>
      </c>
      <c r="D26" s="44" t="str">
        <f>IF('⑨ 구배 자동계산'!$B$4&lt;&gt;"11_소천 신규점4","",IF('⑨ 구배 자동계산'!J19="","",'⑨ 구배 자동계산'!J19))</f>
        <v/>
      </c>
      <c r="E26" s="32" t="str">
        <f>IF('⑨ 구배 자동계산'!$B$4&lt;&gt;"11_소천 신규점4","",IF('⑨ 구배 자동계산'!K19="","",'⑨ 구배 자동계산'!K19))</f>
        <v/>
      </c>
      <c r="F26" s="44" t="str">
        <f>IF('⑨ 구배 자동계산'!$B$4&lt;&gt;"11_소천 신규점4","",IF('⑨ 구배 자동계산'!L19="","",'⑨ 구배 자동계산'!L19))</f>
        <v/>
      </c>
      <c r="G26" s="32" t="str">
        <f>IF('⑨ 구배 자동계산'!$B$4&lt;&gt;"11_소천 신규점4","",IF('⑨ 구배 자동계산'!M19="","",'⑨ 구배 자동계산'!M19))</f>
        <v/>
      </c>
      <c r="H26" s="44" t="str">
        <f>IF('⑨ 구배 자동계산'!$B$4&lt;&gt;"11_소천 신규점4","",IF('⑨ 구배 자동계산'!N19="","",'⑨ 구배 자동계산'!N19))</f>
        <v/>
      </c>
      <c r="I26" s="32" t="str">
        <f>IF('⑨ 구배 자동계산'!$B$4&lt;&gt;"11_소천 신규점4","",IF('⑨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자동계산'!$B$4&lt;&gt;"11_소천 신규점4","",IF('⑨ 구배 자동계산'!H20="","",'⑨ 구배 자동계산'!H20))</f>
        <v/>
      </c>
      <c r="C27" s="41" t="str">
        <f>IF('⑨ 구배 자동계산'!$B$4&lt;&gt;"11_소천 신규점4","",IF('⑨ 구배 자동계산'!I20="","",'⑨ 구배 자동계산'!I20))</f>
        <v/>
      </c>
      <c r="D27" s="45" t="str">
        <f>IF('⑨ 구배 자동계산'!$B$4&lt;&gt;"11_소천 신규점4","",IF('⑨ 구배 자동계산'!J20="","",'⑨ 구배 자동계산'!J20))</f>
        <v/>
      </c>
      <c r="E27" s="41" t="str">
        <f>IF('⑨ 구배 자동계산'!$B$4&lt;&gt;"11_소천 신규점4","",IF('⑨ 구배 자동계산'!K20="","",'⑨ 구배 자동계산'!K20))</f>
        <v/>
      </c>
      <c r="F27" s="45" t="str">
        <f>IF('⑨ 구배 자동계산'!$B$4&lt;&gt;"11_소천 신규점4","",IF('⑨ 구배 자동계산'!L20="","",'⑨ 구배 자동계산'!L20))</f>
        <v/>
      </c>
      <c r="G27" s="41" t="str">
        <f>IF('⑨ 구배 자동계산'!$B$4&lt;&gt;"11_소천 신규점4","",IF('⑨ 구배 자동계산'!M20="","",'⑨ 구배 자동계산'!M20))</f>
        <v/>
      </c>
      <c r="H27" s="45" t="str">
        <f>IF('⑨ 구배 자동계산'!$B$4&lt;&gt;"11_소천 신규점4","",IF('⑨ 구배 자동계산'!N20="","",'⑨ 구배 자동계산'!N20))</f>
        <v/>
      </c>
      <c r="I27" s="41" t="str">
        <f>IF('⑨ 구배 자동계산'!$B$4&lt;&gt;"11_소천 신규점4","",IF('⑨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자동계산'!$B$4&lt;&gt;"11_소천 신규점4","",IF('⑨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자동계산'!$B$4&lt;&gt;"11_소천 신규점4","",IF('⑨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자동계산'!$B$4&lt;&gt;"11_소천 신규점4","",IF('⑨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자동계산'!$B$4&lt;&gt;"11_소천 신규점4","",IF('⑨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자동계산'!$B$4&lt;&gt;"11_소천 신규점4","",IF('⑨ 구배 자동계산'!I23="","",'⑨ 구배 자동계산'!I23))</f>
        <v/>
      </c>
      <c r="D42" s="8"/>
      <c r="E42" s="8"/>
      <c r="F42" s="8"/>
      <c r="G42" s="92" t="str">
        <f>IF('⑨ 구배 자동계산'!$B$4&lt;&gt;"11_소천 신규점4","",IF('⑨ 구배 자동계산'!$J23="","",'⑨ 구배 자동계산'!$J23&amp;"  ·  "&amp;'⑨ 구배 자동계산'!$L23))</f>
        <v/>
      </c>
      <c r="H42" s="93"/>
      <c r="I42" s="93"/>
    </row>
    <row r="43" spans="1:35" ht="19.95" customHeight="1" x14ac:dyDescent="0.4">
      <c r="A43" s="8">
        <v>3</v>
      </c>
      <c r="B43" s="33">
        <v>140</v>
      </c>
      <c r="C43" s="32" t="str">
        <f>IF('⑨ 구배 자동계산'!$B$4&lt;&gt;"11_소천 신규점4","",IF('⑨ 구배 자동계산'!I24="","",'⑨ 구배 자동계산'!I24))</f>
        <v/>
      </c>
      <c r="D43" s="34">
        <f>IF(COUNT(B43,B42)&lt;2,"",(B42-B43)/100)</f>
        <v>0.45</v>
      </c>
      <c r="E43" s="35" t="str">
        <f>IF(COUNT(C43,C42)&lt;2,"",C43-C42)</f>
        <v/>
      </c>
      <c r="F43" s="36" t="str">
        <f>IF(OR(D43="",E43="",D43=0),"",E43/D43)</f>
        <v/>
      </c>
      <c r="G43" s="92" t="str">
        <f>IF('⑨ 구배 자동계산'!$B$4&lt;&gt;"11_소천 신규점4","",IF('⑨ 구배 자동계산'!$J24="","",'⑨ 구배 자동계산'!$J24&amp;"  ·  "&amp;'⑨ 구배 자동계산'!$L24))</f>
        <v/>
      </c>
      <c r="H43" s="93"/>
      <c r="I43" s="93"/>
      <c r="AH43" t="s">
        <v>234</v>
      </c>
    </row>
    <row r="44" spans="1:35" ht="19.95" customHeight="1" x14ac:dyDescent="0.4">
      <c r="A44" s="8">
        <v>2</v>
      </c>
      <c r="B44" s="33">
        <v>95</v>
      </c>
      <c r="C44" s="32" t="str">
        <f>IF('⑨ 구배 자동계산'!$B$4&lt;&gt;"11_소천 신규점4","",IF('⑨ 구배 자동계산'!I25="","",'⑨ 구배 자동계산'!I25))</f>
        <v/>
      </c>
      <c r="D44" s="34">
        <f>IF(COUNT(B44,B43)&lt;2,"",(B43-B44)/100)</f>
        <v>0.45</v>
      </c>
      <c r="E44" s="35" t="str">
        <f>IF(COUNT(C44,C43)&lt;2,"",C44-C43)</f>
        <v/>
      </c>
      <c r="F44" s="36" t="str">
        <f>IF(OR(D44="",E44="",D44=0),"",E44/D44)</f>
        <v/>
      </c>
      <c r="G44" s="92" t="str">
        <f>IF('⑨ 구배 자동계산'!$B$4&lt;&gt;"11_소천 신규점4","",IF('⑨ 구배 자동계산'!$J25="","",'⑨ 구배 자동계산'!$J25&amp;"  ·  "&amp;'⑨ 구배 자동계산'!$L25))</f>
        <v/>
      </c>
      <c r="H44" s="93"/>
      <c r="I44" s="93"/>
    </row>
    <row r="45" spans="1:35" ht="19.95" customHeight="1" x14ac:dyDescent="0.4">
      <c r="A45" s="8">
        <v>1</v>
      </c>
      <c r="B45" s="33">
        <v>50</v>
      </c>
      <c r="C45" s="32" t="str">
        <f>IF('⑨ 구배 자동계산'!$B$4&lt;&gt;"11_소천 신규점4","",IF('⑨ 구배 자동계산'!I26="","",'⑨ 구배 자동계산'!I26))</f>
        <v/>
      </c>
      <c r="D45" s="34">
        <f>IF(COUNT(B45,B44)&lt;2,"",(B44-B45)/100)</f>
        <v>0.45</v>
      </c>
      <c r="E45" s="35" t="str">
        <f>IF(COUNT(C45,C44)&lt;2,"",C45-C44)</f>
        <v/>
      </c>
      <c r="F45" s="36" t="str">
        <f>IF(OR(D45="",E45="",D45=0),"",E45/D45)</f>
        <v/>
      </c>
      <c r="G45" s="92" t="str">
        <f>IF('⑨ 구배 자동계산'!$B$4&lt;&gt;"11_소천 신규점4","",IF('⑨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IF(COUNT(B50,E50)&lt;2,"",ROUND(SQRT(((129.154341-E50)*111320*COS(RADIANS(36.765848)))^2+((36.765848-B50)*110574)^2),1))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S11-P0a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99" priority="1">
      <formula>AND(ISNUMBER(C31),C31&gt;50)</formula>
    </cfRule>
  </conditionalFormatting>
  <conditionalFormatting sqref="D7">
    <cfRule type="expression" dxfId="198" priority="3" stopIfTrue="1">
      <formula>AND($D$7&lt;&gt;"",VALUE(LEFT($D$7,1))&lt;5)</formula>
    </cfRule>
    <cfRule type="expression" dxfId="197" priority="4" stopIfTrue="1">
      <formula>AND($D$7&lt;&gt;"",VALUE(LEFT($D$7,1))&gt;=5)</formula>
    </cfRule>
  </conditionalFormatting>
  <conditionalFormatting sqref="E7">
    <cfRule type="expression" dxfId="196" priority="5" stopIfTrue="1">
      <formula>AND($E$7&lt;&gt;"",VALUE(LEFT($E$7,1))&lt;5)</formula>
    </cfRule>
    <cfRule type="expression" dxfId="19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E14F4456-4667-4473-B717-B46534319094}">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88DB956B-00F3-423C-A6AB-A8CA6D09452D}">
      <formula1>DATE(2026,1,1)</formula1>
      <formula2>DATE(2027,12,31)</formula2>
    </dataValidation>
    <dataValidation type="list" allowBlank="1" sqref="C7" xr:uid="{C620BCFB-32D1-4DE3-9C5B-928690039741}">
      <formula1>"맑음,구름 조금,흐림,비,눈,바람 강함"</formula1>
    </dataValidation>
    <dataValidation type="list" allowBlank="1" sqref="H50" xr:uid="{5B032143-1922-4700-9EED-015DA8B5D82C}">
      <formula1>"RTK-GNSS,네트워크RTK,정적GNSS,휴대GNSS"</formula1>
    </dataValidation>
    <dataValidation type="list" allowBlank="1" sqref="B109" xr:uid="{853A59EC-2AA4-4F0C-948E-6841265561B8}">
      <formula1>"동일,조정"</formula1>
    </dataValidation>
    <dataValidation type="list" allowBlank="1" showInputMessage="1" showErrorMessage="1" sqref="F56:F57" xr:uid="{0980A6DB-FF75-49D4-904B-BCF22601FD25}">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&amp;RS11 소천 신규점4</oddHeader>
    <oddFooter>&amp;C&amp;9 &amp;P / &amp;N</oddFooter>
  </headerFooter>
  <rowBreaks count="3" manualBreakCount="3">
    <brk id="38" max="16383" man="1"/>
    <brk id="58" max="16383" man="1"/>
    <brk id="106"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8DBF-CC56-44E4-A3C2-0713A3C2A6C5}">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393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394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395</v>
      </c>
      <c r="B3" s="68"/>
      <c r="C3" s="68"/>
      <c r="D3" s="68"/>
      <c r="E3" s="68"/>
      <c r="F3" s="8" t="s">
        <v>154</v>
      </c>
      <c r="G3" s="6"/>
      <c r="H3" s="8" t="s">
        <v>155</v>
      </c>
      <c r="I3" s="9" t="s">
        <v>396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자동계산'!$B$4="12_순창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자동계산'!$B$4&lt;&gt;"12_순창 신규점","",IF('⑨ 구배 자동계산'!H9="","",'⑨ 구배 자동계산'!H9))</f>
        <v/>
      </c>
      <c r="C16" s="30" t="str">
        <f>IF('⑨ 구배 자동계산'!$B$4&lt;&gt;"12_순창 신규점","",IF('⑨ 구배 자동계산'!I9="","",'⑨ 구배 자동계산'!I9))</f>
        <v/>
      </c>
      <c r="D16" s="43" t="str">
        <f>IF('⑨ 구배 자동계산'!$B$4&lt;&gt;"12_순창 신규점","",IF('⑨ 구배 자동계산'!J9="","",'⑨ 구배 자동계산'!J9))</f>
        <v/>
      </c>
      <c r="E16" s="30" t="str">
        <f>IF('⑨ 구배 자동계산'!$B$4&lt;&gt;"12_순창 신규점","",IF('⑨ 구배 자동계산'!K9="","",'⑨ 구배 자동계산'!K9))</f>
        <v/>
      </c>
      <c r="F16" s="43" t="str">
        <f>IF('⑨ 구배 자동계산'!$B$4&lt;&gt;"12_순창 신규점","",IF('⑨ 구배 자동계산'!L9="","",'⑨ 구배 자동계산'!L9))</f>
        <v/>
      </c>
      <c r="G16" s="30" t="str">
        <f>IF('⑨ 구배 자동계산'!$B$4&lt;&gt;"12_순창 신규점","",IF('⑨ 구배 자동계산'!M9="","",'⑨ 구배 자동계산'!M9))</f>
        <v/>
      </c>
      <c r="H16" s="43" t="str">
        <f>IF('⑨ 구배 자동계산'!$B$4&lt;&gt;"12_순창 신규점","",IF('⑨ 구배 자동계산'!N9="","",'⑨ 구배 자동계산'!N9))</f>
        <v/>
      </c>
      <c r="I16" s="30" t="str">
        <f>IF('⑨ 구배 자동계산'!$B$4&lt;&gt;"12_순창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자동계산'!$B$4&lt;&gt;"12_순창 신규점","",IF('⑨ 구배 자동계산'!H10="","",'⑨ 구배 자동계산'!H10))</f>
        <v/>
      </c>
      <c r="C17" s="32" t="str">
        <f>IF('⑨ 구배 자동계산'!$B$4&lt;&gt;"12_순창 신규점","",IF('⑨ 구배 자동계산'!I10="","",'⑨ 구배 자동계산'!I10))</f>
        <v/>
      </c>
      <c r="D17" s="44" t="str">
        <f>IF('⑨ 구배 자동계산'!$B$4&lt;&gt;"12_순창 신규점","",IF('⑨ 구배 자동계산'!J10="","",'⑨ 구배 자동계산'!J10))</f>
        <v/>
      </c>
      <c r="E17" s="32" t="str">
        <f>IF('⑨ 구배 자동계산'!$B$4&lt;&gt;"12_순창 신규점","",IF('⑨ 구배 자동계산'!K10="","",'⑨ 구배 자동계산'!K10))</f>
        <v/>
      </c>
      <c r="F17" s="44" t="str">
        <f>IF('⑨ 구배 자동계산'!$B$4&lt;&gt;"12_순창 신규점","",IF('⑨ 구배 자동계산'!L10="","",'⑨ 구배 자동계산'!L10))</f>
        <v/>
      </c>
      <c r="G17" s="32" t="str">
        <f>IF('⑨ 구배 자동계산'!$B$4&lt;&gt;"12_순창 신규점","",IF('⑨ 구배 자동계산'!M10="","",'⑨ 구배 자동계산'!M10))</f>
        <v/>
      </c>
      <c r="H17" s="44" t="str">
        <f>IF('⑨ 구배 자동계산'!$B$4&lt;&gt;"12_순창 신규점","",IF('⑨ 구배 자동계산'!N10="","",'⑨ 구배 자동계산'!N10))</f>
        <v/>
      </c>
      <c r="I17" s="32" t="str">
        <f>IF('⑨ 구배 자동계산'!$B$4&lt;&gt;"12_순창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자동계산'!$B$4&lt;&gt;"12_순창 신규점","",IF('⑨ 구배 자동계산'!H11="","",'⑨ 구배 자동계산'!H11))</f>
        <v/>
      </c>
      <c r="C18" s="32" t="str">
        <f>IF('⑨ 구배 자동계산'!$B$4&lt;&gt;"12_순창 신규점","",IF('⑨ 구배 자동계산'!I11="","",'⑨ 구배 자동계산'!I11))</f>
        <v/>
      </c>
      <c r="D18" s="44" t="str">
        <f>IF('⑨ 구배 자동계산'!$B$4&lt;&gt;"12_순창 신규점","",IF('⑨ 구배 자동계산'!J11="","",'⑨ 구배 자동계산'!J11))</f>
        <v/>
      </c>
      <c r="E18" s="32" t="str">
        <f>IF('⑨ 구배 자동계산'!$B$4&lt;&gt;"12_순창 신규점","",IF('⑨ 구배 자동계산'!K11="","",'⑨ 구배 자동계산'!K11))</f>
        <v/>
      </c>
      <c r="F18" s="44" t="str">
        <f>IF('⑨ 구배 자동계산'!$B$4&lt;&gt;"12_순창 신규점","",IF('⑨ 구배 자동계산'!L11="","",'⑨ 구배 자동계산'!L11))</f>
        <v/>
      </c>
      <c r="G18" s="32" t="str">
        <f>IF('⑨ 구배 자동계산'!$B$4&lt;&gt;"12_순창 신규점","",IF('⑨ 구배 자동계산'!M11="","",'⑨ 구배 자동계산'!M11))</f>
        <v/>
      </c>
      <c r="H18" s="44" t="str">
        <f>IF('⑨ 구배 자동계산'!$B$4&lt;&gt;"12_순창 신규점","",IF('⑨ 구배 자동계산'!N11="","",'⑨ 구배 자동계산'!N11))</f>
        <v/>
      </c>
      <c r="I18" s="32" t="str">
        <f>IF('⑨ 구배 자동계산'!$B$4&lt;&gt;"12_순창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자동계산'!$B$4&lt;&gt;"12_순창 신규점","",IF('⑨ 구배 자동계산'!H12="","",'⑨ 구배 자동계산'!H12))</f>
        <v/>
      </c>
      <c r="C19" s="32" t="str">
        <f>IF('⑨ 구배 자동계산'!$B$4&lt;&gt;"12_순창 신규점","",IF('⑨ 구배 자동계산'!I12="","",'⑨ 구배 자동계산'!I12))</f>
        <v/>
      </c>
      <c r="D19" s="44" t="str">
        <f>IF('⑨ 구배 자동계산'!$B$4&lt;&gt;"12_순창 신규점","",IF('⑨ 구배 자동계산'!J12="","",'⑨ 구배 자동계산'!J12))</f>
        <v/>
      </c>
      <c r="E19" s="32" t="str">
        <f>IF('⑨ 구배 자동계산'!$B$4&lt;&gt;"12_순창 신규점","",IF('⑨ 구배 자동계산'!K12="","",'⑨ 구배 자동계산'!K12))</f>
        <v/>
      </c>
      <c r="F19" s="44" t="str">
        <f>IF('⑨ 구배 자동계산'!$B$4&lt;&gt;"12_순창 신규점","",IF('⑨ 구배 자동계산'!L12="","",'⑨ 구배 자동계산'!L12))</f>
        <v/>
      </c>
      <c r="G19" s="32" t="str">
        <f>IF('⑨ 구배 자동계산'!$B$4&lt;&gt;"12_순창 신규점","",IF('⑨ 구배 자동계산'!M12="","",'⑨ 구배 자동계산'!M12))</f>
        <v/>
      </c>
      <c r="H19" s="44" t="str">
        <f>IF('⑨ 구배 자동계산'!$B$4&lt;&gt;"12_순창 신규점","",IF('⑨ 구배 자동계산'!N12="","",'⑨ 구배 자동계산'!N12))</f>
        <v/>
      </c>
      <c r="I19" s="32" t="str">
        <f>IF('⑨ 구배 자동계산'!$B$4&lt;&gt;"12_순창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자동계산'!$B$4&lt;&gt;"12_순창 신규점","",IF('⑨ 구배 자동계산'!H13="","",'⑨ 구배 자동계산'!H13))</f>
        <v/>
      </c>
      <c r="C20" s="32" t="str">
        <f>IF('⑨ 구배 자동계산'!$B$4&lt;&gt;"12_순창 신규점","",IF('⑨ 구배 자동계산'!I13="","",'⑨ 구배 자동계산'!I13))</f>
        <v/>
      </c>
      <c r="D20" s="44" t="str">
        <f>IF('⑨ 구배 자동계산'!$B$4&lt;&gt;"12_순창 신규점","",IF('⑨ 구배 자동계산'!J13="","",'⑨ 구배 자동계산'!J13))</f>
        <v/>
      </c>
      <c r="E20" s="32" t="str">
        <f>IF('⑨ 구배 자동계산'!$B$4&lt;&gt;"12_순창 신규점","",IF('⑨ 구배 자동계산'!K13="","",'⑨ 구배 자동계산'!K13))</f>
        <v/>
      </c>
      <c r="F20" s="44" t="str">
        <f>IF('⑨ 구배 자동계산'!$B$4&lt;&gt;"12_순창 신규점","",IF('⑨ 구배 자동계산'!L13="","",'⑨ 구배 자동계산'!L13))</f>
        <v/>
      </c>
      <c r="G20" s="32" t="str">
        <f>IF('⑨ 구배 자동계산'!$B$4&lt;&gt;"12_순창 신규점","",IF('⑨ 구배 자동계산'!M13="","",'⑨ 구배 자동계산'!M13))</f>
        <v/>
      </c>
      <c r="H20" s="44" t="str">
        <f>IF('⑨ 구배 자동계산'!$B$4&lt;&gt;"12_순창 신규점","",IF('⑨ 구배 자동계산'!N13="","",'⑨ 구배 자동계산'!N13))</f>
        <v/>
      </c>
      <c r="I20" s="32" t="str">
        <f>IF('⑨ 구배 자동계산'!$B$4&lt;&gt;"12_순창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자동계산'!$B$4&lt;&gt;"12_순창 신규점","",IF('⑨ 구배 자동계산'!H14="","",'⑨ 구배 자동계산'!H14))</f>
        <v/>
      </c>
      <c r="C21" s="32" t="str">
        <f>IF('⑨ 구배 자동계산'!$B$4&lt;&gt;"12_순창 신규점","",IF('⑨ 구배 자동계산'!I14="","",'⑨ 구배 자동계산'!I14))</f>
        <v/>
      </c>
      <c r="D21" s="44" t="str">
        <f>IF('⑨ 구배 자동계산'!$B$4&lt;&gt;"12_순창 신규점","",IF('⑨ 구배 자동계산'!J14="","",'⑨ 구배 자동계산'!J14))</f>
        <v/>
      </c>
      <c r="E21" s="32" t="str">
        <f>IF('⑨ 구배 자동계산'!$B$4&lt;&gt;"12_순창 신규점","",IF('⑨ 구배 자동계산'!K14="","",'⑨ 구배 자동계산'!K14))</f>
        <v/>
      </c>
      <c r="F21" s="44" t="str">
        <f>IF('⑨ 구배 자동계산'!$B$4&lt;&gt;"12_순창 신규점","",IF('⑨ 구배 자동계산'!L14="","",'⑨ 구배 자동계산'!L14))</f>
        <v/>
      </c>
      <c r="G21" s="32" t="str">
        <f>IF('⑨ 구배 자동계산'!$B$4&lt;&gt;"12_순창 신규점","",IF('⑨ 구배 자동계산'!M14="","",'⑨ 구배 자동계산'!M14))</f>
        <v/>
      </c>
      <c r="H21" s="44" t="str">
        <f>IF('⑨ 구배 자동계산'!$B$4&lt;&gt;"12_순창 신규점","",IF('⑨ 구배 자동계산'!N14="","",'⑨ 구배 자동계산'!N14))</f>
        <v/>
      </c>
      <c r="I21" s="32" t="str">
        <f>IF('⑨ 구배 자동계산'!$B$4&lt;&gt;"12_순창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자동계산'!$B$4&lt;&gt;"12_순창 신규점","",IF('⑨ 구배 자동계산'!H15="","",'⑨ 구배 자동계산'!H15))</f>
        <v/>
      </c>
      <c r="C22" s="32" t="str">
        <f>IF('⑨ 구배 자동계산'!$B$4&lt;&gt;"12_순창 신규점","",IF('⑨ 구배 자동계산'!I15="","",'⑨ 구배 자동계산'!I15))</f>
        <v/>
      </c>
      <c r="D22" s="44" t="str">
        <f>IF('⑨ 구배 자동계산'!$B$4&lt;&gt;"12_순창 신규점","",IF('⑨ 구배 자동계산'!J15="","",'⑨ 구배 자동계산'!J15))</f>
        <v/>
      </c>
      <c r="E22" s="32" t="str">
        <f>IF('⑨ 구배 자동계산'!$B$4&lt;&gt;"12_순창 신규점","",IF('⑨ 구배 자동계산'!K15="","",'⑨ 구배 자동계산'!K15))</f>
        <v/>
      </c>
      <c r="F22" s="44" t="str">
        <f>IF('⑨ 구배 자동계산'!$B$4&lt;&gt;"12_순창 신규점","",IF('⑨ 구배 자동계산'!L15="","",'⑨ 구배 자동계산'!L15))</f>
        <v/>
      </c>
      <c r="G22" s="32" t="str">
        <f>IF('⑨ 구배 자동계산'!$B$4&lt;&gt;"12_순창 신규점","",IF('⑨ 구배 자동계산'!M15="","",'⑨ 구배 자동계산'!M15))</f>
        <v/>
      </c>
      <c r="H22" s="44" t="str">
        <f>IF('⑨ 구배 자동계산'!$B$4&lt;&gt;"12_순창 신규점","",IF('⑨ 구배 자동계산'!N15="","",'⑨ 구배 자동계산'!N15))</f>
        <v/>
      </c>
      <c r="I22" s="32" t="str">
        <f>IF('⑨ 구배 자동계산'!$B$4&lt;&gt;"12_순창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자동계산'!$B$4&lt;&gt;"12_순창 신규점","",IF('⑨ 구배 자동계산'!H16="","",'⑨ 구배 자동계산'!H16))</f>
        <v/>
      </c>
      <c r="C23" s="32" t="str">
        <f>IF('⑨ 구배 자동계산'!$B$4&lt;&gt;"12_순창 신규점","",IF('⑨ 구배 자동계산'!I16="","",'⑨ 구배 자동계산'!I16))</f>
        <v/>
      </c>
      <c r="D23" s="44" t="str">
        <f>IF('⑨ 구배 자동계산'!$B$4&lt;&gt;"12_순창 신규점","",IF('⑨ 구배 자동계산'!J16="","",'⑨ 구배 자동계산'!J16))</f>
        <v/>
      </c>
      <c r="E23" s="32" t="str">
        <f>IF('⑨ 구배 자동계산'!$B$4&lt;&gt;"12_순창 신규점","",IF('⑨ 구배 자동계산'!K16="","",'⑨ 구배 자동계산'!K16))</f>
        <v/>
      </c>
      <c r="F23" s="44" t="str">
        <f>IF('⑨ 구배 자동계산'!$B$4&lt;&gt;"12_순창 신규점","",IF('⑨ 구배 자동계산'!L16="","",'⑨ 구배 자동계산'!L16))</f>
        <v/>
      </c>
      <c r="G23" s="32" t="str">
        <f>IF('⑨ 구배 자동계산'!$B$4&lt;&gt;"12_순창 신규점","",IF('⑨ 구배 자동계산'!M16="","",'⑨ 구배 자동계산'!M16))</f>
        <v/>
      </c>
      <c r="H23" s="44" t="str">
        <f>IF('⑨ 구배 자동계산'!$B$4&lt;&gt;"12_순창 신규점","",IF('⑨ 구배 자동계산'!N16="","",'⑨ 구배 자동계산'!N16))</f>
        <v/>
      </c>
      <c r="I23" s="32" t="str">
        <f>IF('⑨ 구배 자동계산'!$B$4&lt;&gt;"12_순창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자동계산'!$B$4&lt;&gt;"12_순창 신규점","",IF('⑨ 구배 자동계산'!H17="","",'⑨ 구배 자동계산'!H17))</f>
        <v/>
      </c>
      <c r="C24" s="32" t="str">
        <f>IF('⑨ 구배 자동계산'!$B$4&lt;&gt;"12_순창 신규점","",IF('⑨ 구배 자동계산'!I17="","",'⑨ 구배 자동계산'!I17))</f>
        <v/>
      </c>
      <c r="D24" s="44" t="str">
        <f>IF('⑨ 구배 자동계산'!$B$4&lt;&gt;"12_순창 신규점","",IF('⑨ 구배 자동계산'!J17="","",'⑨ 구배 자동계산'!J17))</f>
        <v/>
      </c>
      <c r="E24" s="32" t="str">
        <f>IF('⑨ 구배 자동계산'!$B$4&lt;&gt;"12_순창 신규점","",IF('⑨ 구배 자동계산'!K17="","",'⑨ 구배 자동계산'!K17))</f>
        <v/>
      </c>
      <c r="F24" s="44" t="str">
        <f>IF('⑨ 구배 자동계산'!$B$4&lt;&gt;"12_순창 신규점","",IF('⑨ 구배 자동계산'!L17="","",'⑨ 구배 자동계산'!L17))</f>
        <v/>
      </c>
      <c r="G24" s="32" t="str">
        <f>IF('⑨ 구배 자동계산'!$B$4&lt;&gt;"12_순창 신규점","",IF('⑨ 구배 자동계산'!M17="","",'⑨ 구배 자동계산'!M17))</f>
        <v/>
      </c>
      <c r="H24" s="44" t="str">
        <f>IF('⑨ 구배 자동계산'!$B$4&lt;&gt;"12_순창 신규점","",IF('⑨ 구배 자동계산'!N17="","",'⑨ 구배 자동계산'!N17))</f>
        <v/>
      </c>
      <c r="I24" s="32" t="str">
        <f>IF('⑨ 구배 자동계산'!$B$4&lt;&gt;"12_순창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자동계산'!$B$4&lt;&gt;"12_순창 신규점","",IF('⑨ 구배 자동계산'!H18="","",'⑨ 구배 자동계산'!H18))</f>
        <v/>
      </c>
      <c r="C25" s="32" t="str">
        <f>IF('⑨ 구배 자동계산'!$B$4&lt;&gt;"12_순창 신규점","",IF('⑨ 구배 자동계산'!I18="","",'⑨ 구배 자동계산'!I18))</f>
        <v/>
      </c>
      <c r="D25" s="44" t="str">
        <f>IF('⑨ 구배 자동계산'!$B$4&lt;&gt;"12_순창 신규점","",IF('⑨ 구배 자동계산'!J18="","",'⑨ 구배 자동계산'!J18))</f>
        <v/>
      </c>
      <c r="E25" s="32" t="str">
        <f>IF('⑨ 구배 자동계산'!$B$4&lt;&gt;"12_순창 신규점","",IF('⑨ 구배 자동계산'!K18="","",'⑨ 구배 자동계산'!K18))</f>
        <v/>
      </c>
      <c r="F25" s="44" t="str">
        <f>IF('⑨ 구배 자동계산'!$B$4&lt;&gt;"12_순창 신규점","",IF('⑨ 구배 자동계산'!L18="","",'⑨ 구배 자동계산'!L18))</f>
        <v/>
      </c>
      <c r="G25" s="32" t="str">
        <f>IF('⑨ 구배 자동계산'!$B$4&lt;&gt;"12_순창 신규점","",IF('⑨ 구배 자동계산'!M18="","",'⑨ 구배 자동계산'!M18))</f>
        <v/>
      </c>
      <c r="H25" s="44" t="str">
        <f>IF('⑨ 구배 자동계산'!$B$4&lt;&gt;"12_순창 신규점","",IF('⑨ 구배 자동계산'!N18="","",'⑨ 구배 자동계산'!N18))</f>
        <v/>
      </c>
      <c r="I25" s="32" t="str">
        <f>IF('⑨ 구배 자동계산'!$B$4&lt;&gt;"12_순창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자동계산'!$B$4&lt;&gt;"12_순창 신규점","",IF('⑨ 구배 자동계산'!H19="","",'⑨ 구배 자동계산'!H19))</f>
        <v/>
      </c>
      <c r="C26" s="32" t="str">
        <f>IF('⑨ 구배 자동계산'!$B$4&lt;&gt;"12_순창 신규점","",IF('⑨ 구배 자동계산'!I19="","",'⑨ 구배 자동계산'!I19))</f>
        <v/>
      </c>
      <c r="D26" s="44" t="str">
        <f>IF('⑨ 구배 자동계산'!$B$4&lt;&gt;"12_순창 신규점","",IF('⑨ 구배 자동계산'!J19="","",'⑨ 구배 자동계산'!J19))</f>
        <v/>
      </c>
      <c r="E26" s="32" t="str">
        <f>IF('⑨ 구배 자동계산'!$B$4&lt;&gt;"12_순창 신규점","",IF('⑨ 구배 자동계산'!K19="","",'⑨ 구배 자동계산'!K19))</f>
        <v/>
      </c>
      <c r="F26" s="44" t="str">
        <f>IF('⑨ 구배 자동계산'!$B$4&lt;&gt;"12_순창 신규점","",IF('⑨ 구배 자동계산'!L19="","",'⑨ 구배 자동계산'!L19))</f>
        <v/>
      </c>
      <c r="G26" s="32" t="str">
        <f>IF('⑨ 구배 자동계산'!$B$4&lt;&gt;"12_순창 신규점","",IF('⑨ 구배 자동계산'!M19="","",'⑨ 구배 자동계산'!M19))</f>
        <v/>
      </c>
      <c r="H26" s="44" t="str">
        <f>IF('⑨ 구배 자동계산'!$B$4&lt;&gt;"12_순창 신규점","",IF('⑨ 구배 자동계산'!N19="","",'⑨ 구배 자동계산'!N19))</f>
        <v/>
      </c>
      <c r="I26" s="32" t="str">
        <f>IF('⑨ 구배 자동계산'!$B$4&lt;&gt;"12_순창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자동계산'!$B$4&lt;&gt;"12_순창 신규점","",IF('⑨ 구배 자동계산'!H20="","",'⑨ 구배 자동계산'!H20))</f>
        <v/>
      </c>
      <c r="C27" s="41" t="str">
        <f>IF('⑨ 구배 자동계산'!$B$4&lt;&gt;"12_순창 신규점","",IF('⑨ 구배 자동계산'!I20="","",'⑨ 구배 자동계산'!I20))</f>
        <v/>
      </c>
      <c r="D27" s="45" t="str">
        <f>IF('⑨ 구배 자동계산'!$B$4&lt;&gt;"12_순창 신규점","",IF('⑨ 구배 자동계산'!J20="","",'⑨ 구배 자동계산'!J20))</f>
        <v/>
      </c>
      <c r="E27" s="41" t="str">
        <f>IF('⑨ 구배 자동계산'!$B$4&lt;&gt;"12_순창 신규점","",IF('⑨ 구배 자동계산'!K20="","",'⑨ 구배 자동계산'!K20))</f>
        <v/>
      </c>
      <c r="F27" s="45" t="str">
        <f>IF('⑨ 구배 자동계산'!$B$4&lt;&gt;"12_순창 신규점","",IF('⑨ 구배 자동계산'!L20="","",'⑨ 구배 자동계산'!L20))</f>
        <v/>
      </c>
      <c r="G27" s="41" t="str">
        <f>IF('⑨ 구배 자동계산'!$B$4&lt;&gt;"12_순창 신규점","",IF('⑨ 구배 자동계산'!M20="","",'⑨ 구배 자동계산'!M20))</f>
        <v/>
      </c>
      <c r="H27" s="45" t="str">
        <f>IF('⑨ 구배 자동계산'!$B$4&lt;&gt;"12_순창 신규점","",IF('⑨ 구배 자동계산'!N20="","",'⑨ 구배 자동계산'!N20))</f>
        <v/>
      </c>
      <c r="I27" s="41" t="str">
        <f>IF('⑨ 구배 자동계산'!$B$4&lt;&gt;"12_순창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자동계산'!$B$4&lt;&gt;"12_순창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자동계산'!$B$4&lt;&gt;"12_순창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자동계산'!$B$4&lt;&gt;"12_순창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자동계산'!$B$4&lt;&gt;"12_순창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자동계산'!$B$4&lt;&gt;"12_순창 신규점","",IF('⑨ 구배 자동계산'!I23="","",'⑨ 구배 자동계산'!I23))</f>
        <v/>
      </c>
      <c r="D42" s="8"/>
      <c r="E42" s="8"/>
      <c r="F42" s="8"/>
      <c r="G42" s="92" t="str">
        <f>IF('⑨ 구배 자동계산'!$B$4&lt;&gt;"12_순창 신규점","",IF('⑨ 구배 자동계산'!$J23="","",'⑨ 구배 자동계산'!$J23&amp;"  ·  "&amp;'⑨ 구배 자동계산'!$L23))</f>
        <v/>
      </c>
      <c r="H42" s="93"/>
      <c r="I42" s="93"/>
    </row>
    <row r="43" spans="1:35" ht="19.95" customHeight="1" x14ac:dyDescent="0.4">
      <c r="A43" s="8">
        <v>3</v>
      </c>
      <c r="B43" s="33">
        <v>140</v>
      </c>
      <c r="C43" s="32" t="str">
        <f>IF('⑨ 구배 자동계산'!$B$4&lt;&gt;"12_순창 신규점","",IF('⑨ 구배 자동계산'!I24="","",'⑨ 구배 자동계산'!I24))</f>
        <v/>
      </c>
      <c r="D43" s="34">
        <f>IF(COUNT(B43,B42)&lt;2,"",(B42-B43)/100)</f>
        <v>0.45</v>
      </c>
      <c r="E43" s="35" t="str">
        <f>IF(COUNT(C43,C42)&lt;2,"",C43-C42)</f>
        <v/>
      </c>
      <c r="F43" s="36" t="str">
        <f>IF(OR(D43="",E43="",D43=0),"",E43/D43)</f>
        <v/>
      </c>
      <c r="G43" s="92" t="str">
        <f>IF('⑨ 구배 자동계산'!$B$4&lt;&gt;"12_순창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자동계산'!$B$4&lt;&gt;"12_순창 신규점","",IF('⑨ 구배 자동계산'!I25="","",'⑨ 구배 자동계산'!I25))</f>
        <v/>
      </c>
      <c r="D44" s="34">
        <f>IF(COUNT(B44,B43)&lt;2,"",(B43-B44)/100)</f>
        <v>0.45</v>
      </c>
      <c r="E44" s="35" t="str">
        <f>IF(COUNT(C44,C43)&lt;2,"",C44-C43)</f>
        <v/>
      </c>
      <c r="F44" s="36" t="str">
        <f>IF(OR(D44="",E44="",D44=0),"",E44/D44)</f>
        <v/>
      </c>
      <c r="G44" s="92" t="str">
        <f>IF('⑨ 구배 자동계산'!$B$4&lt;&gt;"12_순창 신규점","",IF('⑨ 구배 자동계산'!$J25="","",'⑨ 구배 자동계산'!$J25&amp;"  ·  "&amp;'⑨ 구배 자동계산'!$L25))</f>
        <v/>
      </c>
      <c r="H44" s="93"/>
      <c r="I44" s="93"/>
    </row>
    <row r="45" spans="1:35" ht="19.95" customHeight="1" x14ac:dyDescent="0.4">
      <c r="A45" s="8">
        <v>1</v>
      </c>
      <c r="B45" s="33">
        <v>50</v>
      </c>
      <c r="C45" s="32" t="str">
        <f>IF('⑨ 구배 자동계산'!$B$4&lt;&gt;"12_순창 신규점","",IF('⑨ 구배 자동계산'!I26="","",'⑨ 구배 자동계산'!I26))</f>
        <v/>
      </c>
      <c r="D45" s="34">
        <f>IF(COUNT(B45,B44)&lt;2,"",(B44-B45)/100)</f>
        <v>0.45</v>
      </c>
      <c r="E45" s="35" t="str">
        <f>IF(COUNT(C45,C44)&lt;2,"",C45-C44)</f>
        <v/>
      </c>
      <c r="F45" s="36" t="str">
        <f>IF(OR(D45="",E45="",D45=0),"",E45/D45)</f>
        <v/>
      </c>
      <c r="G45" s="92" t="str">
        <f>IF('⑨ 구배 자동계산'!$B$4&lt;&gt;"12_순창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IF(COUNT(B50,E50)&lt;2,"",ROUND(SQRT(((127.092148-E50)*111320*COS(RADIANS(35.284821)))^2+((35.284821-B50)*110574)^2),1))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S12-P0a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94" priority="1">
      <formula>AND(ISNUMBER(C31),C31&gt;50)</formula>
    </cfRule>
  </conditionalFormatting>
  <conditionalFormatting sqref="D7">
    <cfRule type="expression" dxfId="193" priority="3" stopIfTrue="1">
      <formula>AND($D$7&lt;&gt;"",VALUE(LEFT($D$7,1))&lt;5)</formula>
    </cfRule>
    <cfRule type="expression" dxfId="192" priority="4" stopIfTrue="1">
      <formula>AND($D$7&lt;&gt;"",VALUE(LEFT($D$7,1))&gt;=5)</formula>
    </cfRule>
  </conditionalFormatting>
  <conditionalFormatting sqref="E7">
    <cfRule type="expression" dxfId="191" priority="5" stopIfTrue="1">
      <formula>AND($E$7&lt;&gt;"",VALUE(LEFT($E$7,1))&lt;5)</formula>
    </cfRule>
    <cfRule type="expression" dxfId="19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8489960E-ECBD-4257-9805-52B1BBFD3BF5}">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A7CCE8AD-41B6-4C50-BC09-5D7625F0BB4C}">
      <formula1>DATE(2026,1,1)</formula1>
      <formula2>DATE(2027,12,31)</formula2>
    </dataValidation>
    <dataValidation type="list" allowBlank="1" sqref="C7" xr:uid="{DF15F5F6-626F-4575-BC7A-0A9033B06F92}">
      <formula1>"맑음,구름 조금,흐림,비,눈,바람 강함"</formula1>
    </dataValidation>
    <dataValidation type="list" allowBlank="1" sqref="H50" xr:uid="{E1A1F882-F8CC-40ED-A0FA-1E252F6FD232}">
      <formula1>"RTK-GNSS,네트워크RTK,정적GNSS,휴대GNSS"</formula1>
    </dataValidation>
    <dataValidation type="list" allowBlank="1" sqref="B109" xr:uid="{E544D89D-BC13-4B23-9DC5-90423FCCEB80}">
      <formula1>"동일,조정"</formula1>
    </dataValidation>
    <dataValidation type="list" allowBlank="1" showInputMessage="1" showErrorMessage="1" sqref="F56:F57" xr:uid="{CB248FD5-C253-450F-92EA-1947541B4B04}">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&amp;RS12 순창 신규점</oddHeader>
    <oddFooter>&amp;C&amp;9 &amp;P / &amp;N</oddFooter>
  </headerFooter>
  <rowBreaks count="3" manualBreakCount="3">
    <brk id="38" max="16383" man="1"/>
    <brk id="58" max="16383" man="1"/>
    <brk id="106"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63633-02E3-4A36-9658-7687F8D50FEF}">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397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398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399</v>
      </c>
      <c r="B3" s="68"/>
      <c r="C3" s="68"/>
      <c r="D3" s="68"/>
      <c r="E3" s="68"/>
      <c r="F3" s="8" t="s">
        <v>154</v>
      </c>
      <c r="G3" s="6"/>
      <c r="H3" s="8" t="s">
        <v>155</v>
      </c>
      <c r="I3" s="9" t="s">
        <v>400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자동계산'!$B$4="13_순천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자동계산'!$B$4&lt;&gt;"13_순천 신규점","",IF('⑨ 구배 자동계산'!H9="","",'⑨ 구배 자동계산'!H9))</f>
        <v/>
      </c>
      <c r="C16" s="30" t="str">
        <f>IF('⑨ 구배 자동계산'!$B$4&lt;&gt;"13_순천 신규점","",IF('⑨ 구배 자동계산'!I9="","",'⑨ 구배 자동계산'!I9))</f>
        <v/>
      </c>
      <c r="D16" s="43" t="str">
        <f>IF('⑨ 구배 자동계산'!$B$4&lt;&gt;"13_순천 신규점","",IF('⑨ 구배 자동계산'!J9="","",'⑨ 구배 자동계산'!J9))</f>
        <v/>
      </c>
      <c r="E16" s="30" t="str">
        <f>IF('⑨ 구배 자동계산'!$B$4&lt;&gt;"13_순천 신규점","",IF('⑨ 구배 자동계산'!K9="","",'⑨ 구배 자동계산'!K9))</f>
        <v/>
      </c>
      <c r="F16" s="43" t="str">
        <f>IF('⑨ 구배 자동계산'!$B$4&lt;&gt;"13_순천 신규점","",IF('⑨ 구배 자동계산'!L9="","",'⑨ 구배 자동계산'!L9))</f>
        <v/>
      </c>
      <c r="G16" s="30" t="str">
        <f>IF('⑨ 구배 자동계산'!$B$4&lt;&gt;"13_순천 신규점","",IF('⑨ 구배 자동계산'!M9="","",'⑨ 구배 자동계산'!M9))</f>
        <v/>
      </c>
      <c r="H16" s="43" t="str">
        <f>IF('⑨ 구배 자동계산'!$B$4&lt;&gt;"13_순천 신규점","",IF('⑨ 구배 자동계산'!N9="","",'⑨ 구배 자동계산'!N9))</f>
        <v/>
      </c>
      <c r="I16" s="30" t="str">
        <f>IF('⑨ 구배 자동계산'!$B$4&lt;&gt;"13_순천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자동계산'!$B$4&lt;&gt;"13_순천 신규점","",IF('⑨ 구배 자동계산'!H10="","",'⑨ 구배 자동계산'!H10))</f>
        <v/>
      </c>
      <c r="C17" s="32" t="str">
        <f>IF('⑨ 구배 자동계산'!$B$4&lt;&gt;"13_순천 신규점","",IF('⑨ 구배 자동계산'!I10="","",'⑨ 구배 자동계산'!I10))</f>
        <v/>
      </c>
      <c r="D17" s="44" t="str">
        <f>IF('⑨ 구배 자동계산'!$B$4&lt;&gt;"13_순천 신규점","",IF('⑨ 구배 자동계산'!J10="","",'⑨ 구배 자동계산'!J10))</f>
        <v/>
      </c>
      <c r="E17" s="32" t="str">
        <f>IF('⑨ 구배 자동계산'!$B$4&lt;&gt;"13_순천 신규점","",IF('⑨ 구배 자동계산'!K10="","",'⑨ 구배 자동계산'!K10))</f>
        <v/>
      </c>
      <c r="F17" s="44" t="str">
        <f>IF('⑨ 구배 자동계산'!$B$4&lt;&gt;"13_순천 신규점","",IF('⑨ 구배 자동계산'!L10="","",'⑨ 구배 자동계산'!L10))</f>
        <v/>
      </c>
      <c r="G17" s="32" t="str">
        <f>IF('⑨ 구배 자동계산'!$B$4&lt;&gt;"13_순천 신규점","",IF('⑨ 구배 자동계산'!M10="","",'⑨ 구배 자동계산'!M10))</f>
        <v/>
      </c>
      <c r="H17" s="44" t="str">
        <f>IF('⑨ 구배 자동계산'!$B$4&lt;&gt;"13_순천 신규점","",IF('⑨ 구배 자동계산'!N10="","",'⑨ 구배 자동계산'!N10))</f>
        <v/>
      </c>
      <c r="I17" s="32" t="str">
        <f>IF('⑨ 구배 자동계산'!$B$4&lt;&gt;"13_순천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자동계산'!$B$4&lt;&gt;"13_순천 신규점","",IF('⑨ 구배 자동계산'!H11="","",'⑨ 구배 자동계산'!H11))</f>
        <v/>
      </c>
      <c r="C18" s="32" t="str">
        <f>IF('⑨ 구배 자동계산'!$B$4&lt;&gt;"13_순천 신규점","",IF('⑨ 구배 자동계산'!I11="","",'⑨ 구배 자동계산'!I11))</f>
        <v/>
      </c>
      <c r="D18" s="44" t="str">
        <f>IF('⑨ 구배 자동계산'!$B$4&lt;&gt;"13_순천 신규점","",IF('⑨ 구배 자동계산'!J11="","",'⑨ 구배 자동계산'!J11))</f>
        <v/>
      </c>
      <c r="E18" s="32" t="str">
        <f>IF('⑨ 구배 자동계산'!$B$4&lt;&gt;"13_순천 신규점","",IF('⑨ 구배 자동계산'!K11="","",'⑨ 구배 자동계산'!K11))</f>
        <v/>
      </c>
      <c r="F18" s="44" t="str">
        <f>IF('⑨ 구배 자동계산'!$B$4&lt;&gt;"13_순천 신규점","",IF('⑨ 구배 자동계산'!L11="","",'⑨ 구배 자동계산'!L11))</f>
        <v/>
      </c>
      <c r="G18" s="32" t="str">
        <f>IF('⑨ 구배 자동계산'!$B$4&lt;&gt;"13_순천 신규점","",IF('⑨ 구배 자동계산'!M11="","",'⑨ 구배 자동계산'!M11))</f>
        <v/>
      </c>
      <c r="H18" s="44" t="str">
        <f>IF('⑨ 구배 자동계산'!$B$4&lt;&gt;"13_순천 신규점","",IF('⑨ 구배 자동계산'!N11="","",'⑨ 구배 자동계산'!N11))</f>
        <v/>
      </c>
      <c r="I18" s="32" t="str">
        <f>IF('⑨ 구배 자동계산'!$B$4&lt;&gt;"13_순천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자동계산'!$B$4&lt;&gt;"13_순천 신규점","",IF('⑨ 구배 자동계산'!H12="","",'⑨ 구배 자동계산'!H12))</f>
        <v/>
      </c>
      <c r="C19" s="32" t="str">
        <f>IF('⑨ 구배 자동계산'!$B$4&lt;&gt;"13_순천 신규점","",IF('⑨ 구배 자동계산'!I12="","",'⑨ 구배 자동계산'!I12))</f>
        <v/>
      </c>
      <c r="D19" s="44" t="str">
        <f>IF('⑨ 구배 자동계산'!$B$4&lt;&gt;"13_순천 신규점","",IF('⑨ 구배 자동계산'!J12="","",'⑨ 구배 자동계산'!J12))</f>
        <v/>
      </c>
      <c r="E19" s="32" t="str">
        <f>IF('⑨ 구배 자동계산'!$B$4&lt;&gt;"13_순천 신규점","",IF('⑨ 구배 자동계산'!K12="","",'⑨ 구배 자동계산'!K12))</f>
        <v/>
      </c>
      <c r="F19" s="44" t="str">
        <f>IF('⑨ 구배 자동계산'!$B$4&lt;&gt;"13_순천 신규점","",IF('⑨ 구배 자동계산'!L12="","",'⑨ 구배 자동계산'!L12))</f>
        <v/>
      </c>
      <c r="G19" s="32" t="str">
        <f>IF('⑨ 구배 자동계산'!$B$4&lt;&gt;"13_순천 신규점","",IF('⑨ 구배 자동계산'!M12="","",'⑨ 구배 자동계산'!M12))</f>
        <v/>
      </c>
      <c r="H19" s="44" t="str">
        <f>IF('⑨ 구배 자동계산'!$B$4&lt;&gt;"13_순천 신규점","",IF('⑨ 구배 자동계산'!N12="","",'⑨ 구배 자동계산'!N12))</f>
        <v/>
      </c>
      <c r="I19" s="32" t="str">
        <f>IF('⑨ 구배 자동계산'!$B$4&lt;&gt;"13_순천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자동계산'!$B$4&lt;&gt;"13_순천 신규점","",IF('⑨ 구배 자동계산'!H13="","",'⑨ 구배 자동계산'!H13))</f>
        <v/>
      </c>
      <c r="C20" s="32" t="str">
        <f>IF('⑨ 구배 자동계산'!$B$4&lt;&gt;"13_순천 신규점","",IF('⑨ 구배 자동계산'!I13="","",'⑨ 구배 자동계산'!I13))</f>
        <v/>
      </c>
      <c r="D20" s="44" t="str">
        <f>IF('⑨ 구배 자동계산'!$B$4&lt;&gt;"13_순천 신규점","",IF('⑨ 구배 자동계산'!J13="","",'⑨ 구배 자동계산'!J13))</f>
        <v/>
      </c>
      <c r="E20" s="32" t="str">
        <f>IF('⑨ 구배 자동계산'!$B$4&lt;&gt;"13_순천 신규점","",IF('⑨ 구배 자동계산'!K13="","",'⑨ 구배 자동계산'!K13))</f>
        <v/>
      </c>
      <c r="F20" s="44" t="str">
        <f>IF('⑨ 구배 자동계산'!$B$4&lt;&gt;"13_순천 신규점","",IF('⑨ 구배 자동계산'!L13="","",'⑨ 구배 자동계산'!L13))</f>
        <v/>
      </c>
      <c r="G20" s="32" t="str">
        <f>IF('⑨ 구배 자동계산'!$B$4&lt;&gt;"13_순천 신규점","",IF('⑨ 구배 자동계산'!M13="","",'⑨ 구배 자동계산'!M13))</f>
        <v/>
      </c>
      <c r="H20" s="44" t="str">
        <f>IF('⑨ 구배 자동계산'!$B$4&lt;&gt;"13_순천 신규점","",IF('⑨ 구배 자동계산'!N13="","",'⑨ 구배 자동계산'!N13))</f>
        <v/>
      </c>
      <c r="I20" s="32" t="str">
        <f>IF('⑨ 구배 자동계산'!$B$4&lt;&gt;"13_순천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자동계산'!$B$4&lt;&gt;"13_순천 신규점","",IF('⑨ 구배 자동계산'!H14="","",'⑨ 구배 자동계산'!H14))</f>
        <v/>
      </c>
      <c r="C21" s="32" t="str">
        <f>IF('⑨ 구배 자동계산'!$B$4&lt;&gt;"13_순천 신규점","",IF('⑨ 구배 자동계산'!I14="","",'⑨ 구배 자동계산'!I14))</f>
        <v/>
      </c>
      <c r="D21" s="44" t="str">
        <f>IF('⑨ 구배 자동계산'!$B$4&lt;&gt;"13_순천 신규점","",IF('⑨ 구배 자동계산'!J14="","",'⑨ 구배 자동계산'!J14))</f>
        <v/>
      </c>
      <c r="E21" s="32" t="str">
        <f>IF('⑨ 구배 자동계산'!$B$4&lt;&gt;"13_순천 신규점","",IF('⑨ 구배 자동계산'!K14="","",'⑨ 구배 자동계산'!K14))</f>
        <v/>
      </c>
      <c r="F21" s="44" t="str">
        <f>IF('⑨ 구배 자동계산'!$B$4&lt;&gt;"13_순천 신규점","",IF('⑨ 구배 자동계산'!L14="","",'⑨ 구배 자동계산'!L14))</f>
        <v/>
      </c>
      <c r="G21" s="32" t="str">
        <f>IF('⑨ 구배 자동계산'!$B$4&lt;&gt;"13_순천 신규점","",IF('⑨ 구배 자동계산'!M14="","",'⑨ 구배 자동계산'!M14))</f>
        <v/>
      </c>
      <c r="H21" s="44" t="str">
        <f>IF('⑨ 구배 자동계산'!$B$4&lt;&gt;"13_순천 신규점","",IF('⑨ 구배 자동계산'!N14="","",'⑨ 구배 자동계산'!N14))</f>
        <v/>
      </c>
      <c r="I21" s="32" t="str">
        <f>IF('⑨ 구배 자동계산'!$B$4&lt;&gt;"13_순천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자동계산'!$B$4&lt;&gt;"13_순천 신규점","",IF('⑨ 구배 자동계산'!H15="","",'⑨ 구배 자동계산'!H15))</f>
        <v/>
      </c>
      <c r="C22" s="32" t="str">
        <f>IF('⑨ 구배 자동계산'!$B$4&lt;&gt;"13_순천 신규점","",IF('⑨ 구배 자동계산'!I15="","",'⑨ 구배 자동계산'!I15))</f>
        <v/>
      </c>
      <c r="D22" s="44" t="str">
        <f>IF('⑨ 구배 자동계산'!$B$4&lt;&gt;"13_순천 신규점","",IF('⑨ 구배 자동계산'!J15="","",'⑨ 구배 자동계산'!J15))</f>
        <v/>
      </c>
      <c r="E22" s="32" t="str">
        <f>IF('⑨ 구배 자동계산'!$B$4&lt;&gt;"13_순천 신규점","",IF('⑨ 구배 자동계산'!K15="","",'⑨ 구배 자동계산'!K15))</f>
        <v/>
      </c>
      <c r="F22" s="44" t="str">
        <f>IF('⑨ 구배 자동계산'!$B$4&lt;&gt;"13_순천 신규점","",IF('⑨ 구배 자동계산'!L15="","",'⑨ 구배 자동계산'!L15))</f>
        <v/>
      </c>
      <c r="G22" s="32" t="str">
        <f>IF('⑨ 구배 자동계산'!$B$4&lt;&gt;"13_순천 신규점","",IF('⑨ 구배 자동계산'!M15="","",'⑨ 구배 자동계산'!M15))</f>
        <v/>
      </c>
      <c r="H22" s="44" t="str">
        <f>IF('⑨ 구배 자동계산'!$B$4&lt;&gt;"13_순천 신규점","",IF('⑨ 구배 자동계산'!N15="","",'⑨ 구배 자동계산'!N15))</f>
        <v/>
      </c>
      <c r="I22" s="32" t="str">
        <f>IF('⑨ 구배 자동계산'!$B$4&lt;&gt;"13_순천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자동계산'!$B$4&lt;&gt;"13_순천 신규점","",IF('⑨ 구배 자동계산'!H16="","",'⑨ 구배 자동계산'!H16))</f>
        <v/>
      </c>
      <c r="C23" s="32" t="str">
        <f>IF('⑨ 구배 자동계산'!$B$4&lt;&gt;"13_순천 신규점","",IF('⑨ 구배 자동계산'!I16="","",'⑨ 구배 자동계산'!I16))</f>
        <v/>
      </c>
      <c r="D23" s="44" t="str">
        <f>IF('⑨ 구배 자동계산'!$B$4&lt;&gt;"13_순천 신규점","",IF('⑨ 구배 자동계산'!J16="","",'⑨ 구배 자동계산'!J16))</f>
        <v/>
      </c>
      <c r="E23" s="32" t="str">
        <f>IF('⑨ 구배 자동계산'!$B$4&lt;&gt;"13_순천 신규점","",IF('⑨ 구배 자동계산'!K16="","",'⑨ 구배 자동계산'!K16))</f>
        <v/>
      </c>
      <c r="F23" s="44" t="str">
        <f>IF('⑨ 구배 자동계산'!$B$4&lt;&gt;"13_순천 신규점","",IF('⑨ 구배 자동계산'!L16="","",'⑨ 구배 자동계산'!L16))</f>
        <v/>
      </c>
      <c r="G23" s="32" t="str">
        <f>IF('⑨ 구배 자동계산'!$B$4&lt;&gt;"13_순천 신규점","",IF('⑨ 구배 자동계산'!M16="","",'⑨ 구배 자동계산'!M16))</f>
        <v/>
      </c>
      <c r="H23" s="44" t="str">
        <f>IF('⑨ 구배 자동계산'!$B$4&lt;&gt;"13_순천 신규점","",IF('⑨ 구배 자동계산'!N16="","",'⑨ 구배 자동계산'!N16))</f>
        <v/>
      </c>
      <c r="I23" s="32" t="str">
        <f>IF('⑨ 구배 자동계산'!$B$4&lt;&gt;"13_순천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자동계산'!$B$4&lt;&gt;"13_순천 신규점","",IF('⑨ 구배 자동계산'!H17="","",'⑨ 구배 자동계산'!H17))</f>
        <v/>
      </c>
      <c r="C24" s="32" t="str">
        <f>IF('⑨ 구배 자동계산'!$B$4&lt;&gt;"13_순천 신규점","",IF('⑨ 구배 자동계산'!I17="","",'⑨ 구배 자동계산'!I17))</f>
        <v/>
      </c>
      <c r="D24" s="44" t="str">
        <f>IF('⑨ 구배 자동계산'!$B$4&lt;&gt;"13_순천 신규점","",IF('⑨ 구배 자동계산'!J17="","",'⑨ 구배 자동계산'!J17))</f>
        <v/>
      </c>
      <c r="E24" s="32" t="str">
        <f>IF('⑨ 구배 자동계산'!$B$4&lt;&gt;"13_순천 신규점","",IF('⑨ 구배 자동계산'!K17="","",'⑨ 구배 자동계산'!K17))</f>
        <v/>
      </c>
      <c r="F24" s="44" t="str">
        <f>IF('⑨ 구배 자동계산'!$B$4&lt;&gt;"13_순천 신규점","",IF('⑨ 구배 자동계산'!L17="","",'⑨ 구배 자동계산'!L17))</f>
        <v/>
      </c>
      <c r="G24" s="32" t="str">
        <f>IF('⑨ 구배 자동계산'!$B$4&lt;&gt;"13_순천 신규점","",IF('⑨ 구배 자동계산'!M17="","",'⑨ 구배 자동계산'!M17))</f>
        <v/>
      </c>
      <c r="H24" s="44" t="str">
        <f>IF('⑨ 구배 자동계산'!$B$4&lt;&gt;"13_순천 신규점","",IF('⑨ 구배 자동계산'!N17="","",'⑨ 구배 자동계산'!N17))</f>
        <v/>
      </c>
      <c r="I24" s="32" t="str">
        <f>IF('⑨ 구배 자동계산'!$B$4&lt;&gt;"13_순천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자동계산'!$B$4&lt;&gt;"13_순천 신규점","",IF('⑨ 구배 자동계산'!H18="","",'⑨ 구배 자동계산'!H18))</f>
        <v/>
      </c>
      <c r="C25" s="32" t="str">
        <f>IF('⑨ 구배 자동계산'!$B$4&lt;&gt;"13_순천 신규점","",IF('⑨ 구배 자동계산'!I18="","",'⑨ 구배 자동계산'!I18))</f>
        <v/>
      </c>
      <c r="D25" s="44" t="str">
        <f>IF('⑨ 구배 자동계산'!$B$4&lt;&gt;"13_순천 신규점","",IF('⑨ 구배 자동계산'!J18="","",'⑨ 구배 자동계산'!J18))</f>
        <v/>
      </c>
      <c r="E25" s="32" t="str">
        <f>IF('⑨ 구배 자동계산'!$B$4&lt;&gt;"13_순천 신규점","",IF('⑨ 구배 자동계산'!K18="","",'⑨ 구배 자동계산'!K18))</f>
        <v/>
      </c>
      <c r="F25" s="44" t="str">
        <f>IF('⑨ 구배 자동계산'!$B$4&lt;&gt;"13_순천 신규점","",IF('⑨ 구배 자동계산'!L18="","",'⑨ 구배 자동계산'!L18))</f>
        <v/>
      </c>
      <c r="G25" s="32" t="str">
        <f>IF('⑨ 구배 자동계산'!$B$4&lt;&gt;"13_순천 신규점","",IF('⑨ 구배 자동계산'!M18="","",'⑨ 구배 자동계산'!M18))</f>
        <v/>
      </c>
      <c r="H25" s="44" t="str">
        <f>IF('⑨ 구배 자동계산'!$B$4&lt;&gt;"13_순천 신규점","",IF('⑨ 구배 자동계산'!N18="","",'⑨ 구배 자동계산'!N18))</f>
        <v/>
      </c>
      <c r="I25" s="32" t="str">
        <f>IF('⑨ 구배 자동계산'!$B$4&lt;&gt;"13_순천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자동계산'!$B$4&lt;&gt;"13_순천 신규점","",IF('⑨ 구배 자동계산'!H19="","",'⑨ 구배 자동계산'!H19))</f>
        <v/>
      </c>
      <c r="C26" s="32" t="str">
        <f>IF('⑨ 구배 자동계산'!$B$4&lt;&gt;"13_순천 신규점","",IF('⑨ 구배 자동계산'!I19="","",'⑨ 구배 자동계산'!I19))</f>
        <v/>
      </c>
      <c r="D26" s="44" t="str">
        <f>IF('⑨ 구배 자동계산'!$B$4&lt;&gt;"13_순천 신규점","",IF('⑨ 구배 자동계산'!J19="","",'⑨ 구배 자동계산'!J19))</f>
        <v/>
      </c>
      <c r="E26" s="32" t="str">
        <f>IF('⑨ 구배 자동계산'!$B$4&lt;&gt;"13_순천 신규점","",IF('⑨ 구배 자동계산'!K19="","",'⑨ 구배 자동계산'!K19))</f>
        <v/>
      </c>
      <c r="F26" s="44" t="str">
        <f>IF('⑨ 구배 자동계산'!$B$4&lt;&gt;"13_순천 신규점","",IF('⑨ 구배 자동계산'!L19="","",'⑨ 구배 자동계산'!L19))</f>
        <v/>
      </c>
      <c r="G26" s="32" t="str">
        <f>IF('⑨ 구배 자동계산'!$B$4&lt;&gt;"13_순천 신규점","",IF('⑨ 구배 자동계산'!M19="","",'⑨ 구배 자동계산'!M19))</f>
        <v/>
      </c>
      <c r="H26" s="44" t="str">
        <f>IF('⑨ 구배 자동계산'!$B$4&lt;&gt;"13_순천 신규점","",IF('⑨ 구배 자동계산'!N19="","",'⑨ 구배 자동계산'!N19))</f>
        <v/>
      </c>
      <c r="I26" s="32" t="str">
        <f>IF('⑨ 구배 자동계산'!$B$4&lt;&gt;"13_순천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자동계산'!$B$4&lt;&gt;"13_순천 신규점","",IF('⑨ 구배 자동계산'!H20="","",'⑨ 구배 자동계산'!H20))</f>
        <v/>
      </c>
      <c r="C27" s="41" t="str">
        <f>IF('⑨ 구배 자동계산'!$B$4&lt;&gt;"13_순천 신규점","",IF('⑨ 구배 자동계산'!I20="","",'⑨ 구배 자동계산'!I20))</f>
        <v/>
      </c>
      <c r="D27" s="45" t="str">
        <f>IF('⑨ 구배 자동계산'!$B$4&lt;&gt;"13_순천 신규점","",IF('⑨ 구배 자동계산'!J20="","",'⑨ 구배 자동계산'!J20))</f>
        <v/>
      </c>
      <c r="E27" s="41" t="str">
        <f>IF('⑨ 구배 자동계산'!$B$4&lt;&gt;"13_순천 신규점","",IF('⑨ 구배 자동계산'!K20="","",'⑨ 구배 자동계산'!K20))</f>
        <v/>
      </c>
      <c r="F27" s="45" t="str">
        <f>IF('⑨ 구배 자동계산'!$B$4&lt;&gt;"13_순천 신규점","",IF('⑨ 구배 자동계산'!L20="","",'⑨ 구배 자동계산'!L20))</f>
        <v/>
      </c>
      <c r="G27" s="41" t="str">
        <f>IF('⑨ 구배 자동계산'!$B$4&lt;&gt;"13_순천 신규점","",IF('⑨ 구배 자동계산'!M20="","",'⑨ 구배 자동계산'!M20))</f>
        <v/>
      </c>
      <c r="H27" s="45" t="str">
        <f>IF('⑨ 구배 자동계산'!$B$4&lt;&gt;"13_순천 신규점","",IF('⑨ 구배 자동계산'!N20="","",'⑨ 구배 자동계산'!N20))</f>
        <v/>
      </c>
      <c r="I27" s="41" t="str">
        <f>IF('⑨ 구배 자동계산'!$B$4&lt;&gt;"13_순천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자동계산'!$B$4&lt;&gt;"13_순천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자동계산'!$B$4&lt;&gt;"13_순천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자동계산'!$B$4&lt;&gt;"13_순천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자동계산'!$B$4&lt;&gt;"13_순천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자동계산'!$B$4&lt;&gt;"13_순천 신규점","",IF('⑨ 구배 자동계산'!I23="","",'⑨ 구배 자동계산'!I23))</f>
        <v/>
      </c>
      <c r="D42" s="8"/>
      <c r="E42" s="8"/>
      <c r="F42" s="8"/>
      <c r="G42" s="92" t="str">
        <f>IF('⑨ 구배 자동계산'!$B$4&lt;&gt;"13_순천 신규점","",IF('⑨ 구배 자동계산'!$J23="","",'⑨ 구배 자동계산'!$J23&amp;"  ·  "&amp;'⑨ 구배 자동계산'!$L23))</f>
        <v/>
      </c>
      <c r="H42" s="93"/>
      <c r="I42" s="93"/>
    </row>
    <row r="43" spans="1:35" ht="19.95" customHeight="1" x14ac:dyDescent="0.4">
      <c r="A43" s="8">
        <v>3</v>
      </c>
      <c r="B43" s="33">
        <v>140</v>
      </c>
      <c r="C43" s="32" t="str">
        <f>IF('⑨ 구배 자동계산'!$B$4&lt;&gt;"13_순천 신규점","",IF('⑨ 구배 자동계산'!I24="","",'⑨ 구배 자동계산'!I24))</f>
        <v/>
      </c>
      <c r="D43" s="34">
        <f>IF(COUNT(B43,B42)&lt;2,"",(B42-B43)/100)</f>
        <v>0.45</v>
      </c>
      <c r="E43" s="35" t="str">
        <f>IF(COUNT(C43,C42)&lt;2,"",C43-C42)</f>
        <v/>
      </c>
      <c r="F43" s="36" t="str">
        <f>IF(OR(D43="",E43="",D43=0),"",E43/D43)</f>
        <v/>
      </c>
      <c r="G43" s="92" t="str">
        <f>IF('⑨ 구배 자동계산'!$B$4&lt;&gt;"13_순천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자동계산'!$B$4&lt;&gt;"13_순천 신규점","",IF('⑨ 구배 자동계산'!I25="","",'⑨ 구배 자동계산'!I25))</f>
        <v/>
      </c>
      <c r="D44" s="34">
        <f>IF(COUNT(B44,B43)&lt;2,"",(B43-B44)/100)</f>
        <v>0.45</v>
      </c>
      <c r="E44" s="35" t="str">
        <f>IF(COUNT(C44,C43)&lt;2,"",C44-C43)</f>
        <v/>
      </c>
      <c r="F44" s="36" t="str">
        <f>IF(OR(D44="",E44="",D44=0),"",E44/D44)</f>
        <v/>
      </c>
      <c r="G44" s="92" t="str">
        <f>IF('⑨ 구배 자동계산'!$B$4&lt;&gt;"13_순천 신규점","",IF('⑨ 구배 자동계산'!$J25="","",'⑨ 구배 자동계산'!$J25&amp;"  ·  "&amp;'⑨ 구배 자동계산'!$L25))</f>
        <v/>
      </c>
      <c r="H44" s="93"/>
      <c r="I44" s="93"/>
    </row>
    <row r="45" spans="1:35" ht="19.95" customHeight="1" x14ac:dyDescent="0.4">
      <c r="A45" s="8">
        <v>1</v>
      </c>
      <c r="B45" s="33">
        <v>50</v>
      </c>
      <c r="C45" s="32" t="str">
        <f>IF('⑨ 구배 자동계산'!$B$4&lt;&gt;"13_순천 신규점","",IF('⑨ 구배 자동계산'!I26="","",'⑨ 구배 자동계산'!I26))</f>
        <v/>
      </c>
      <c r="D45" s="34">
        <f>IF(COUNT(B45,B44)&lt;2,"",(B44-B45)/100)</f>
        <v>0.45</v>
      </c>
      <c r="E45" s="35" t="str">
        <f>IF(COUNT(C45,C44)&lt;2,"",C45-C44)</f>
        <v/>
      </c>
      <c r="F45" s="36" t="str">
        <f>IF(OR(D45="",E45="",D45=0),"",E45/D45)</f>
        <v/>
      </c>
      <c r="G45" s="92" t="str">
        <f>IF('⑨ 구배 자동계산'!$B$4&lt;&gt;"13_순천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IF(COUNT(B50,E50)&lt;2,"",ROUND(SQRT(((127.294737-E50)*111320*COS(RADIANS(34.904713)))^2+((34.904713-B50)*110574)^2),1))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S13-P0a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89" priority="1">
      <formula>AND(ISNUMBER(C31),C31&gt;50)</formula>
    </cfRule>
  </conditionalFormatting>
  <conditionalFormatting sqref="D7">
    <cfRule type="expression" dxfId="188" priority="3" stopIfTrue="1">
      <formula>AND($D$7&lt;&gt;"",VALUE(LEFT($D$7,1))&lt;5)</formula>
    </cfRule>
    <cfRule type="expression" dxfId="187" priority="4" stopIfTrue="1">
      <formula>AND($D$7&lt;&gt;"",VALUE(LEFT($D$7,1))&gt;=5)</formula>
    </cfRule>
  </conditionalFormatting>
  <conditionalFormatting sqref="E7">
    <cfRule type="expression" dxfId="186" priority="5" stopIfTrue="1">
      <formula>AND($E$7&lt;&gt;"",VALUE(LEFT($E$7,1))&lt;5)</formula>
    </cfRule>
    <cfRule type="expression" dxfId="18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24446D58-28B8-4A65-AEFA-17AD8370EB2C}">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77615AB3-EDBF-4D39-980A-6D5BABD1B952}">
      <formula1>DATE(2026,1,1)</formula1>
      <formula2>DATE(2027,12,31)</formula2>
    </dataValidation>
    <dataValidation type="list" allowBlank="1" sqref="C7" xr:uid="{270B8B07-9493-4E19-932B-1CCE5F447C1A}">
      <formula1>"맑음,구름 조금,흐림,비,눈,바람 강함"</formula1>
    </dataValidation>
    <dataValidation type="list" allowBlank="1" sqref="H50" xr:uid="{45064DA8-A8E6-402A-B74F-6C94E4EF56E4}">
      <formula1>"RTK-GNSS,네트워크RTK,정적GNSS,휴대GNSS"</formula1>
    </dataValidation>
    <dataValidation type="list" allowBlank="1" sqref="B109" xr:uid="{A6ADA946-B816-4022-BB87-324F98BECB8B}">
      <formula1>"동일,조정"</formula1>
    </dataValidation>
    <dataValidation type="list" allowBlank="1" showInputMessage="1" showErrorMessage="1" sqref="F56:F57" xr:uid="{BC826E7D-13FE-4B4A-A516-02AB8831B1B3}">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&amp;RS13 순천 신규점</oddHeader>
    <oddFooter>&amp;C&amp;9 &amp;P / &amp;N</oddFooter>
  </headerFooter>
  <rowBreaks count="3" manualBreakCount="3">
    <brk id="38" max="16383" man="1"/>
    <brk id="58" max="16383" man="1"/>
    <brk id="106"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2244-5AC1-4BD9-A848-4EB4AF58DF32}">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401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402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403</v>
      </c>
      <c r="B3" s="68"/>
      <c r="C3" s="68"/>
      <c r="D3" s="68"/>
      <c r="E3" s="68"/>
      <c r="F3" s="8" t="s">
        <v>154</v>
      </c>
      <c r="G3" s="6"/>
      <c r="H3" s="8" t="s">
        <v>155</v>
      </c>
      <c r="I3" s="9" t="s">
        <v>404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자동계산'!$B$4="14_청송 신규점1","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자동계산'!$B$4&lt;&gt;"14_청송 신규점1","",IF('⑨ 구배 자동계산'!H9="","",'⑨ 구배 자동계산'!H9))</f>
        <v/>
      </c>
      <c r="C16" s="30" t="str">
        <f>IF('⑨ 구배 자동계산'!$B$4&lt;&gt;"14_청송 신규점1","",IF('⑨ 구배 자동계산'!I9="","",'⑨ 구배 자동계산'!I9))</f>
        <v/>
      </c>
      <c r="D16" s="43" t="str">
        <f>IF('⑨ 구배 자동계산'!$B$4&lt;&gt;"14_청송 신규점1","",IF('⑨ 구배 자동계산'!J9="","",'⑨ 구배 자동계산'!J9))</f>
        <v/>
      </c>
      <c r="E16" s="30" t="str">
        <f>IF('⑨ 구배 자동계산'!$B$4&lt;&gt;"14_청송 신규점1","",IF('⑨ 구배 자동계산'!K9="","",'⑨ 구배 자동계산'!K9))</f>
        <v/>
      </c>
      <c r="F16" s="43" t="str">
        <f>IF('⑨ 구배 자동계산'!$B$4&lt;&gt;"14_청송 신규점1","",IF('⑨ 구배 자동계산'!L9="","",'⑨ 구배 자동계산'!L9))</f>
        <v/>
      </c>
      <c r="G16" s="30" t="str">
        <f>IF('⑨ 구배 자동계산'!$B$4&lt;&gt;"14_청송 신규점1","",IF('⑨ 구배 자동계산'!M9="","",'⑨ 구배 자동계산'!M9))</f>
        <v/>
      </c>
      <c r="H16" s="43" t="str">
        <f>IF('⑨ 구배 자동계산'!$B$4&lt;&gt;"14_청송 신규점1","",IF('⑨ 구배 자동계산'!N9="","",'⑨ 구배 자동계산'!N9))</f>
        <v/>
      </c>
      <c r="I16" s="30" t="str">
        <f>IF('⑨ 구배 자동계산'!$B$4&lt;&gt;"14_청송 신규점1","",IF('⑨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자동계산'!$B$4&lt;&gt;"14_청송 신규점1","",IF('⑨ 구배 자동계산'!H10="","",'⑨ 구배 자동계산'!H10))</f>
        <v/>
      </c>
      <c r="C17" s="32" t="str">
        <f>IF('⑨ 구배 자동계산'!$B$4&lt;&gt;"14_청송 신규점1","",IF('⑨ 구배 자동계산'!I10="","",'⑨ 구배 자동계산'!I10))</f>
        <v/>
      </c>
      <c r="D17" s="44" t="str">
        <f>IF('⑨ 구배 자동계산'!$B$4&lt;&gt;"14_청송 신규점1","",IF('⑨ 구배 자동계산'!J10="","",'⑨ 구배 자동계산'!J10))</f>
        <v/>
      </c>
      <c r="E17" s="32" t="str">
        <f>IF('⑨ 구배 자동계산'!$B$4&lt;&gt;"14_청송 신규점1","",IF('⑨ 구배 자동계산'!K10="","",'⑨ 구배 자동계산'!K10))</f>
        <v/>
      </c>
      <c r="F17" s="44" t="str">
        <f>IF('⑨ 구배 자동계산'!$B$4&lt;&gt;"14_청송 신규점1","",IF('⑨ 구배 자동계산'!L10="","",'⑨ 구배 자동계산'!L10))</f>
        <v/>
      </c>
      <c r="G17" s="32" t="str">
        <f>IF('⑨ 구배 자동계산'!$B$4&lt;&gt;"14_청송 신규점1","",IF('⑨ 구배 자동계산'!M10="","",'⑨ 구배 자동계산'!M10))</f>
        <v/>
      </c>
      <c r="H17" s="44" t="str">
        <f>IF('⑨ 구배 자동계산'!$B$4&lt;&gt;"14_청송 신규점1","",IF('⑨ 구배 자동계산'!N10="","",'⑨ 구배 자동계산'!N10))</f>
        <v/>
      </c>
      <c r="I17" s="32" t="str">
        <f>IF('⑨ 구배 자동계산'!$B$4&lt;&gt;"14_청송 신규점1","",IF('⑨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자동계산'!$B$4&lt;&gt;"14_청송 신규점1","",IF('⑨ 구배 자동계산'!H11="","",'⑨ 구배 자동계산'!H11))</f>
        <v/>
      </c>
      <c r="C18" s="32" t="str">
        <f>IF('⑨ 구배 자동계산'!$B$4&lt;&gt;"14_청송 신규점1","",IF('⑨ 구배 자동계산'!I11="","",'⑨ 구배 자동계산'!I11))</f>
        <v/>
      </c>
      <c r="D18" s="44" t="str">
        <f>IF('⑨ 구배 자동계산'!$B$4&lt;&gt;"14_청송 신규점1","",IF('⑨ 구배 자동계산'!J11="","",'⑨ 구배 자동계산'!J11))</f>
        <v/>
      </c>
      <c r="E18" s="32" t="str">
        <f>IF('⑨ 구배 자동계산'!$B$4&lt;&gt;"14_청송 신규점1","",IF('⑨ 구배 자동계산'!K11="","",'⑨ 구배 자동계산'!K11))</f>
        <v/>
      </c>
      <c r="F18" s="44" t="str">
        <f>IF('⑨ 구배 자동계산'!$B$4&lt;&gt;"14_청송 신규점1","",IF('⑨ 구배 자동계산'!L11="","",'⑨ 구배 자동계산'!L11))</f>
        <v/>
      </c>
      <c r="G18" s="32" t="str">
        <f>IF('⑨ 구배 자동계산'!$B$4&lt;&gt;"14_청송 신규점1","",IF('⑨ 구배 자동계산'!M11="","",'⑨ 구배 자동계산'!M11))</f>
        <v/>
      </c>
      <c r="H18" s="44" t="str">
        <f>IF('⑨ 구배 자동계산'!$B$4&lt;&gt;"14_청송 신규점1","",IF('⑨ 구배 자동계산'!N11="","",'⑨ 구배 자동계산'!N11))</f>
        <v/>
      </c>
      <c r="I18" s="32" t="str">
        <f>IF('⑨ 구배 자동계산'!$B$4&lt;&gt;"14_청송 신규점1","",IF('⑨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자동계산'!$B$4&lt;&gt;"14_청송 신규점1","",IF('⑨ 구배 자동계산'!H12="","",'⑨ 구배 자동계산'!H12))</f>
        <v/>
      </c>
      <c r="C19" s="32" t="str">
        <f>IF('⑨ 구배 자동계산'!$B$4&lt;&gt;"14_청송 신규점1","",IF('⑨ 구배 자동계산'!I12="","",'⑨ 구배 자동계산'!I12))</f>
        <v/>
      </c>
      <c r="D19" s="44" t="str">
        <f>IF('⑨ 구배 자동계산'!$B$4&lt;&gt;"14_청송 신규점1","",IF('⑨ 구배 자동계산'!J12="","",'⑨ 구배 자동계산'!J12))</f>
        <v/>
      </c>
      <c r="E19" s="32" t="str">
        <f>IF('⑨ 구배 자동계산'!$B$4&lt;&gt;"14_청송 신규점1","",IF('⑨ 구배 자동계산'!K12="","",'⑨ 구배 자동계산'!K12))</f>
        <v/>
      </c>
      <c r="F19" s="44" t="str">
        <f>IF('⑨ 구배 자동계산'!$B$4&lt;&gt;"14_청송 신규점1","",IF('⑨ 구배 자동계산'!L12="","",'⑨ 구배 자동계산'!L12))</f>
        <v/>
      </c>
      <c r="G19" s="32" t="str">
        <f>IF('⑨ 구배 자동계산'!$B$4&lt;&gt;"14_청송 신규점1","",IF('⑨ 구배 자동계산'!M12="","",'⑨ 구배 자동계산'!M12))</f>
        <v/>
      </c>
      <c r="H19" s="44" t="str">
        <f>IF('⑨ 구배 자동계산'!$B$4&lt;&gt;"14_청송 신규점1","",IF('⑨ 구배 자동계산'!N12="","",'⑨ 구배 자동계산'!N12))</f>
        <v/>
      </c>
      <c r="I19" s="32" t="str">
        <f>IF('⑨ 구배 자동계산'!$B$4&lt;&gt;"14_청송 신규점1","",IF('⑨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자동계산'!$B$4&lt;&gt;"14_청송 신규점1","",IF('⑨ 구배 자동계산'!H13="","",'⑨ 구배 자동계산'!H13))</f>
        <v/>
      </c>
      <c r="C20" s="32" t="str">
        <f>IF('⑨ 구배 자동계산'!$B$4&lt;&gt;"14_청송 신규점1","",IF('⑨ 구배 자동계산'!I13="","",'⑨ 구배 자동계산'!I13))</f>
        <v/>
      </c>
      <c r="D20" s="44" t="str">
        <f>IF('⑨ 구배 자동계산'!$B$4&lt;&gt;"14_청송 신규점1","",IF('⑨ 구배 자동계산'!J13="","",'⑨ 구배 자동계산'!J13))</f>
        <v/>
      </c>
      <c r="E20" s="32" t="str">
        <f>IF('⑨ 구배 자동계산'!$B$4&lt;&gt;"14_청송 신규점1","",IF('⑨ 구배 자동계산'!K13="","",'⑨ 구배 자동계산'!K13))</f>
        <v/>
      </c>
      <c r="F20" s="44" t="str">
        <f>IF('⑨ 구배 자동계산'!$B$4&lt;&gt;"14_청송 신규점1","",IF('⑨ 구배 자동계산'!L13="","",'⑨ 구배 자동계산'!L13))</f>
        <v/>
      </c>
      <c r="G20" s="32" t="str">
        <f>IF('⑨ 구배 자동계산'!$B$4&lt;&gt;"14_청송 신규점1","",IF('⑨ 구배 자동계산'!M13="","",'⑨ 구배 자동계산'!M13))</f>
        <v/>
      </c>
      <c r="H20" s="44" t="str">
        <f>IF('⑨ 구배 자동계산'!$B$4&lt;&gt;"14_청송 신규점1","",IF('⑨ 구배 자동계산'!N13="","",'⑨ 구배 자동계산'!N13))</f>
        <v/>
      </c>
      <c r="I20" s="32" t="str">
        <f>IF('⑨ 구배 자동계산'!$B$4&lt;&gt;"14_청송 신규점1","",IF('⑨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자동계산'!$B$4&lt;&gt;"14_청송 신규점1","",IF('⑨ 구배 자동계산'!H14="","",'⑨ 구배 자동계산'!H14))</f>
        <v/>
      </c>
      <c r="C21" s="32" t="str">
        <f>IF('⑨ 구배 자동계산'!$B$4&lt;&gt;"14_청송 신규점1","",IF('⑨ 구배 자동계산'!I14="","",'⑨ 구배 자동계산'!I14))</f>
        <v/>
      </c>
      <c r="D21" s="44" t="str">
        <f>IF('⑨ 구배 자동계산'!$B$4&lt;&gt;"14_청송 신규점1","",IF('⑨ 구배 자동계산'!J14="","",'⑨ 구배 자동계산'!J14))</f>
        <v/>
      </c>
      <c r="E21" s="32" t="str">
        <f>IF('⑨ 구배 자동계산'!$B$4&lt;&gt;"14_청송 신규점1","",IF('⑨ 구배 자동계산'!K14="","",'⑨ 구배 자동계산'!K14))</f>
        <v/>
      </c>
      <c r="F21" s="44" t="str">
        <f>IF('⑨ 구배 자동계산'!$B$4&lt;&gt;"14_청송 신규점1","",IF('⑨ 구배 자동계산'!L14="","",'⑨ 구배 자동계산'!L14))</f>
        <v/>
      </c>
      <c r="G21" s="32" t="str">
        <f>IF('⑨ 구배 자동계산'!$B$4&lt;&gt;"14_청송 신규점1","",IF('⑨ 구배 자동계산'!M14="","",'⑨ 구배 자동계산'!M14))</f>
        <v/>
      </c>
      <c r="H21" s="44" t="str">
        <f>IF('⑨ 구배 자동계산'!$B$4&lt;&gt;"14_청송 신규점1","",IF('⑨ 구배 자동계산'!N14="","",'⑨ 구배 자동계산'!N14))</f>
        <v/>
      </c>
      <c r="I21" s="32" t="str">
        <f>IF('⑨ 구배 자동계산'!$B$4&lt;&gt;"14_청송 신규점1","",IF('⑨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자동계산'!$B$4&lt;&gt;"14_청송 신규점1","",IF('⑨ 구배 자동계산'!H15="","",'⑨ 구배 자동계산'!H15))</f>
        <v/>
      </c>
      <c r="C22" s="32" t="str">
        <f>IF('⑨ 구배 자동계산'!$B$4&lt;&gt;"14_청송 신규점1","",IF('⑨ 구배 자동계산'!I15="","",'⑨ 구배 자동계산'!I15))</f>
        <v/>
      </c>
      <c r="D22" s="44" t="str">
        <f>IF('⑨ 구배 자동계산'!$B$4&lt;&gt;"14_청송 신규점1","",IF('⑨ 구배 자동계산'!J15="","",'⑨ 구배 자동계산'!J15))</f>
        <v/>
      </c>
      <c r="E22" s="32" t="str">
        <f>IF('⑨ 구배 자동계산'!$B$4&lt;&gt;"14_청송 신규점1","",IF('⑨ 구배 자동계산'!K15="","",'⑨ 구배 자동계산'!K15))</f>
        <v/>
      </c>
      <c r="F22" s="44" t="str">
        <f>IF('⑨ 구배 자동계산'!$B$4&lt;&gt;"14_청송 신규점1","",IF('⑨ 구배 자동계산'!L15="","",'⑨ 구배 자동계산'!L15))</f>
        <v/>
      </c>
      <c r="G22" s="32" t="str">
        <f>IF('⑨ 구배 자동계산'!$B$4&lt;&gt;"14_청송 신규점1","",IF('⑨ 구배 자동계산'!M15="","",'⑨ 구배 자동계산'!M15))</f>
        <v/>
      </c>
      <c r="H22" s="44" t="str">
        <f>IF('⑨ 구배 자동계산'!$B$4&lt;&gt;"14_청송 신규점1","",IF('⑨ 구배 자동계산'!N15="","",'⑨ 구배 자동계산'!N15))</f>
        <v/>
      </c>
      <c r="I22" s="32" t="str">
        <f>IF('⑨ 구배 자동계산'!$B$4&lt;&gt;"14_청송 신규점1","",IF('⑨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자동계산'!$B$4&lt;&gt;"14_청송 신규점1","",IF('⑨ 구배 자동계산'!H16="","",'⑨ 구배 자동계산'!H16))</f>
        <v/>
      </c>
      <c r="C23" s="32" t="str">
        <f>IF('⑨ 구배 자동계산'!$B$4&lt;&gt;"14_청송 신규점1","",IF('⑨ 구배 자동계산'!I16="","",'⑨ 구배 자동계산'!I16))</f>
        <v/>
      </c>
      <c r="D23" s="44" t="str">
        <f>IF('⑨ 구배 자동계산'!$B$4&lt;&gt;"14_청송 신규점1","",IF('⑨ 구배 자동계산'!J16="","",'⑨ 구배 자동계산'!J16))</f>
        <v/>
      </c>
      <c r="E23" s="32" t="str">
        <f>IF('⑨ 구배 자동계산'!$B$4&lt;&gt;"14_청송 신규점1","",IF('⑨ 구배 자동계산'!K16="","",'⑨ 구배 자동계산'!K16))</f>
        <v/>
      </c>
      <c r="F23" s="44" t="str">
        <f>IF('⑨ 구배 자동계산'!$B$4&lt;&gt;"14_청송 신규점1","",IF('⑨ 구배 자동계산'!L16="","",'⑨ 구배 자동계산'!L16))</f>
        <v/>
      </c>
      <c r="G23" s="32" t="str">
        <f>IF('⑨ 구배 자동계산'!$B$4&lt;&gt;"14_청송 신규점1","",IF('⑨ 구배 자동계산'!M16="","",'⑨ 구배 자동계산'!M16))</f>
        <v/>
      </c>
      <c r="H23" s="44" t="str">
        <f>IF('⑨ 구배 자동계산'!$B$4&lt;&gt;"14_청송 신규점1","",IF('⑨ 구배 자동계산'!N16="","",'⑨ 구배 자동계산'!N16))</f>
        <v/>
      </c>
      <c r="I23" s="32" t="str">
        <f>IF('⑨ 구배 자동계산'!$B$4&lt;&gt;"14_청송 신규점1","",IF('⑨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자동계산'!$B$4&lt;&gt;"14_청송 신규점1","",IF('⑨ 구배 자동계산'!H17="","",'⑨ 구배 자동계산'!H17))</f>
        <v/>
      </c>
      <c r="C24" s="32" t="str">
        <f>IF('⑨ 구배 자동계산'!$B$4&lt;&gt;"14_청송 신규점1","",IF('⑨ 구배 자동계산'!I17="","",'⑨ 구배 자동계산'!I17))</f>
        <v/>
      </c>
      <c r="D24" s="44" t="str">
        <f>IF('⑨ 구배 자동계산'!$B$4&lt;&gt;"14_청송 신규점1","",IF('⑨ 구배 자동계산'!J17="","",'⑨ 구배 자동계산'!J17))</f>
        <v/>
      </c>
      <c r="E24" s="32" t="str">
        <f>IF('⑨ 구배 자동계산'!$B$4&lt;&gt;"14_청송 신규점1","",IF('⑨ 구배 자동계산'!K17="","",'⑨ 구배 자동계산'!K17))</f>
        <v/>
      </c>
      <c r="F24" s="44" t="str">
        <f>IF('⑨ 구배 자동계산'!$B$4&lt;&gt;"14_청송 신규점1","",IF('⑨ 구배 자동계산'!L17="","",'⑨ 구배 자동계산'!L17))</f>
        <v/>
      </c>
      <c r="G24" s="32" t="str">
        <f>IF('⑨ 구배 자동계산'!$B$4&lt;&gt;"14_청송 신규점1","",IF('⑨ 구배 자동계산'!M17="","",'⑨ 구배 자동계산'!M17))</f>
        <v/>
      </c>
      <c r="H24" s="44" t="str">
        <f>IF('⑨ 구배 자동계산'!$B$4&lt;&gt;"14_청송 신규점1","",IF('⑨ 구배 자동계산'!N17="","",'⑨ 구배 자동계산'!N17))</f>
        <v/>
      </c>
      <c r="I24" s="32" t="str">
        <f>IF('⑨ 구배 자동계산'!$B$4&lt;&gt;"14_청송 신규점1","",IF('⑨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자동계산'!$B$4&lt;&gt;"14_청송 신규점1","",IF('⑨ 구배 자동계산'!H18="","",'⑨ 구배 자동계산'!H18))</f>
        <v/>
      </c>
      <c r="C25" s="32" t="str">
        <f>IF('⑨ 구배 자동계산'!$B$4&lt;&gt;"14_청송 신규점1","",IF('⑨ 구배 자동계산'!I18="","",'⑨ 구배 자동계산'!I18))</f>
        <v/>
      </c>
      <c r="D25" s="44" t="str">
        <f>IF('⑨ 구배 자동계산'!$B$4&lt;&gt;"14_청송 신규점1","",IF('⑨ 구배 자동계산'!J18="","",'⑨ 구배 자동계산'!J18))</f>
        <v/>
      </c>
      <c r="E25" s="32" t="str">
        <f>IF('⑨ 구배 자동계산'!$B$4&lt;&gt;"14_청송 신규점1","",IF('⑨ 구배 자동계산'!K18="","",'⑨ 구배 자동계산'!K18))</f>
        <v/>
      </c>
      <c r="F25" s="44" t="str">
        <f>IF('⑨ 구배 자동계산'!$B$4&lt;&gt;"14_청송 신규점1","",IF('⑨ 구배 자동계산'!L18="","",'⑨ 구배 자동계산'!L18))</f>
        <v/>
      </c>
      <c r="G25" s="32" t="str">
        <f>IF('⑨ 구배 자동계산'!$B$4&lt;&gt;"14_청송 신규점1","",IF('⑨ 구배 자동계산'!M18="","",'⑨ 구배 자동계산'!M18))</f>
        <v/>
      </c>
      <c r="H25" s="44" t="str">
        <f>IF('⑨ 구배 자동계산'!$B$4&lt;&gt;"14_청송 신규점1","",IF('⑨ 구배 자동계산'!N18="","",'⑨ 구배 자동계산'!N18))</f>
        <v/>
      </c>
      <c r="I25" s="32" t="str">
        <f>IF('⑨ 구배 자동계산'!$B$4&lt;&gt;"14_청송 신규점1","",IF('⑨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자동계산'!$B$4&lt;&gt;"14_청송 신규점1","",IF('⑨ 구배 자동계산'!H19="","",'⑨ 구배 자동계산'!H19))</f>
        <v/>
      </c>
      <c r="C26" s="32" t="str">
        <f>IF('⑨ 구배 자동계산'!$B$4&lt;&gt;"14_청송 신규점1","",IF('⑨ 구배 자동계산'!I19="","",'⑨ 구배 자동계산'!I19))</f>
        <v/>
      </c>
      <c r="D26" s="44" t="str">
        <f>IF('⑨ 구배 자동계산'!$B$4&lt;&gt;"14_청송 신규점1","",IF('⑨ 구배 자동계산'!J19="","",'⑨ 구배 자동계산'!J19))</f>
        <v/>
      </c>
      <c r="E26" s="32" t="str">
        <f>IF('⑨ 구배 자동계산'!$B$4&lt;&gt;"14_청송 신규점1","",IF('⑨ 구배 자동계산'!K19="","",'⑨ 구배 자동계산'!K19))</f>
        <v/>
      </c>
      <c r="F26" s="44" t="str">
        <f>IF('⑨ 구배 자동계산'!$B$4&lt;&gt;"14_청송 신규점1","",IF('⑨ 구배 자동계산'!L19="","",'⑨ 구배 자동계산'!L19))</f>
        <v/>
      </c>
      <c r="G26" s="32" t="str">
        <f>IF('⑨ 구배 자동계산'!$B$4&lt;&gt;"14_청송 신규점1","",IF('⑨ 구배 자동계산'!M19="","",'⑨ 구배 자동계산'!M19))</f>
        <v/>
      </c>
      <c r="H26" s="44" t="str">
        <f>IF('⑨ 구배 자동계산'!$B$4&lt;&gt;"14_청송 신규점1","",IF('⑨ 구배 자동계산'!N19="","",'⑨ 구배 자동계산'!N19))</f>
        <v/>
      </c>
      <c r="I26" s="32" t="str">
        <f>IF('⑨ 구배 자동계산'!$B$4&lt;&gt;"14_청송 신규점1","",IF('⑨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자동계산'!$B$4&lt;&gt;"14_청송 신규점1","",IF('⑨ 구배 자동계산'!H20="","",'⑨ 구배 자동계산'!H20))</f>
        <v/>
      </c>
      <c r="C27" s="41" t="str">
        <f>IF('⑨ 구배 자동계산'!$B$4&lt;&gt;"14_청송 신규점1","",IF('⑨ 구배 자동계산'!I20="","",'⑨ 구배 자동계산'!I20))</f>
        <v/>
      </c>
      <c r="D27" s="45" t="str">
        <f>IF('⑨ 구배 자동계산'!$B$4&lt;&gt;"14_청송 신규점1","",IF('⑨ 구배 자동계산'!J20="","",'⑨ 구배 자동계산'!J20))</f>
        <v/>
      </c>
      <c r="E27" s="41" t="str">
        <f>IF('⑨ 구배 자동계산'!$B$4&lt;&gt;"14_청송 신규점1","",IF('⑨ 구배 자동계산'!K20="","",'⑨ 구배 자동계산'!K20))</f>
        <v/>
      </c>
      <c r="F27" s="45" t="str">
        <f>IF('⑨ 구배 자동계산'!$B$4&lt;&gt;"14_청송 신규점1","",IF('⑨ 구배 자동계산'!L20="","",'⑨ 구배 자동계산'!L20))</f>
        <v/>
      </c>
      <c r="G27" s="41" t="str">
        <f>IF('⑨ 구배 자동계산'!$B$4&lt;&gt;"14_청송 신규점1","",IF('⑨ 구배 자동계산'!M20="","",'⑨ 구배 자동계산'!M20))</f>
        <v/>
      </c>
      <c r="H27" s="45" t="str">
        <f>IF('⑨ 구배 자동계산'!$B$4&lt;&gt;"14_청송 신규점1","",IF('⑨ 구배 자동계산'!N20="","",'⑨ 구배 자동계산'!N20))</f>
        <v/>
      </c>
      <c r="I27" s="41" t="str">
        <f>IF('⑨ 구배 자동계산'!$B$4&lt;&gt;"14_청송 신규점1","",IF('⑨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자동계산'!$B$4&lt;&gt;"14_청송 신규점1","",IF('⑨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자동계산'!$B$4&lt;&gt;"14_청송 신규점1","",IF('⑨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자동계산'!$B$4&lt;&gt;"14_청송 신규점1","",IF('⑨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자동계산'!$B$4&lt;&gt;"14_청송 신규점1","",IF('⑨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자동계산'!$B$4&lt;&gt;"14_청송 신규점1","",IF('⑨ 구배 자동계산'!I23="","",'⑨ 구배 자동계산'!I23))</f>
        <v/>
      </c>
      <c r="D42" s="8"/>
      <c r="E42" s="8"/>
      <c r="F42" s="8"/>
      <c r="G42" s="92" t="str">
        <f>IF('⑨ 구배 자동계산'!$B$4&lt;&gt;"14_청송 신규점1","",IF('⑨ 구배 자동계산'!$J23="","",'⑨ 구배 자동계산'!$J23&amp;"  ·  "&amp;'⑨ 구배 자동계산'!$L23))</f>
        <v/>
      </c>
      <c r="H42" s="93"/>
      <c r="I42" s="93"/>
    </row>
    <row r="43" spans="1:35" ht="19.95" customHeight="1" x14ac:dyDescent="0.4">
      <c r="A43" s="8">
        <v>3</v>
      </c>
      <c r="B43" s="33">
        <v>140</v>
      </c>
      <c r="C43" s="32" t="str">
        <f>IF('⑨ 구배 자동계산'!$B$4&lt;&gt;"14_청송 신규점1","",IF('⑨ 구배 자동계산'!I24="","",'⑨ 구배 자동계산'!I24))</f>
        <v/>
      </c>
      <c r="D43" s="34">
        <f>IF(COUNT(B43,B42)&lt;2,"",(B42-B43)/100)</f>
        <v>0.45</v>
      </c>
      <c r="E43" s="35" t="str">
        <f>IF(COUNT(C43,C42)&lt;2,"",C43-C42)</f>
        <v/>
      </c>
      <c r="F43" s="36" t="str">
        <f>IF(OR(D43="",E43="",D43=0),"",E43/D43)</f>
        <v/>
      </c>
      <c r="G43" s="92" t="str">
        <f>IF('⑨ 구배 자동계산'!$B$4&lt;&gt;"14_청송 신규점1","",IF('⑨ 구배 자동계산'!$J24="","",'⑨ 구배 자동계산'!$J24&amp;"  ·  "&amp;'⑨ 구배 자동계산'!$L24))</f>
        <v/>
      </c>
      <c r="H43" s="93"/>
      <c r="I43" s="93"/>
      <c r="AH43" t="s">
        <v>234</v>
      </c>
    </row>
    <row r="44" spans="1:35" ht="19.95" customHeight="1" x14ac:dyDescent="0.4">
      <c r="A44" s="8">
        <v>2</v>
      </c>
      <c r="B44" s="33">
        <v>95</v>
      </c>
      <c r="C44" s="32" t="str">
        <f>IF('⑨ 구배 자동계산'!$B$4&lt;&gt;"14_청송 신규점1","",IF('⑨ 구배 자동계산'!I25="","",'⑨ 구배 자동계산'!I25))</f>
        <v/>
      </c>
      <c r="D44" s="34">
        <f>IF(COUNT(B44,B43)&lt;2,"",(B43-B44)/100)</f>
        <v>0.45</v>
      </c>
      <c r="E44" s="35" t="str">
        <f>IF(COUNT(C44,C43)&lt;2,"",C44-C43)</f>
        <v/>
      </c>
      <c r="F44" s="36" t="str">
        <f>IF(OR(D44="",E44="",D44=0),"",E44/D44)</f>
        <v/>
      </c>
      <c r="G44" s="92" t="str">
        <f>IF('⑨ 구배 자동계산'!$B$4&lt;&gt;"14_청송 신규점1","",IF('⑨ 구배 자동계산'!$J25="","",'⑨ 구배 자동계산'!$J25&amp;"  ·  "&amp;'⑨ 구배 자동계산'!$L25))</f>
        <v/>
      </c>
      <c r="H44" s="93"/>
      <c r="I44" s="93"/>
    </row>
    <row r="45" spans="1:35" ht="19.95" customHeight="1" x14ac:dyDescent="0.4">
      <c r="A45" s="8">
        <v>1</v>
      </c>
      <c r="B45" s="33">
        <v>50</v>
      </c>
      <c r="C45" s="32" t="str">
        <f>IF('⑨ 구배 자동계산'!$B$4&lt;&gt;"14_청송 신규점1","",IF('⑨ 구배 자동계산'!I26="","",'⑨ 구배 자동계산'!I26))</f>
        <v/>
      </c>
      <c r="D45" s="34">
        <f>IF(COUNT(B45,B44)&lt;2,"",(B44-B45)/100)</f>
        <v>0.45</v>
      </c>
      <c r="E45" s="35" t="str">
        <f>IF(COUNT(C45,C44)&lt;2,"",C45-C44)</f>
        <v/>
      </c>
      <c r="F45" s="36" t="str">
        <f>IF(OR(D45="",E45="",D45=0),"",E45/D45)</f>
        <v/>
      </c>
      <c r="G45" s="92" t="str">
        <f>IF('⑨ 구배 자동계산'!$B$4&lt;&gt;"14_청송 신규점1","",IF('⑨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IF(COUNT(B50,E50)&lt;2,"",ROUND(SQRT(((129.145795-E50)*111320*COS(RADIANS(36.382888)))^2+((36.382888-B50)*110574)^2),1))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S14-P0a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84" priority="1">
      <formula>AND(ISNUMBER(C31),C31&gt;50)</formula>
    </cfRule>
  </conditionalFormatting>
  <conditionalFormatting sqref="D7">
    <cfRule type="expression" dxfId="183" priority="3" stopIfTrue="1">
      <formula>AND($D$7&lt;&gt;"",VALUE(LEFT($D$7,1))&lt;5)</formula>
    </cfRule>
    <cfRule type="expression" dxfId="182" priority="4" stopIfTrue="1">
      <formula>AND($D$7&lt;&gt;"",VALUE(LEFT($D$7,1))&gt;=5)</formula>
    </cfRule>
  </conditionalFormatting>
  <conditionalFormatting sqref="E7">
    <cfRule type="expression" dxfId="181" priority="5" stopIfTrue="1">
      <formula>AND($E$7&lt;&gt;"",VALUE(LEFT($E$7,1))&lt;5)</formula>
    </cfRule>
    <cfRule type="expression" dxfId="18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79DCFDC3-BA30-4ACF-B4DE-10DCCA97BABD}">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3FA5C5E5-028D-4C20-AF59-9D733A73CC02}">
      <formula1>DATE(2026,1,1)</formula1>
      <formula2>DATE(2027,12,31)</formula2>
    </dataValidation>
    <dataValidation type="list" allowBlank="1" sqref="C7" xr:uid="{D31397A9-A15C-45C5-AE18-585196A871CB}">
      <formula1>"맑음,구름 조금,흐림,비,눈,바람 강함"</formula1>
    </dataValidation>
    <dataValidation type="list" allowBlank="1" sqref="H50" xr:uid="{9218EF84-D5FF-47F7-A21B-9447F99334F3}">
      <formula1>"RTK-GNSS,네트워크RTK,정적GNSS,휴대GNSS"</formula1>
    </dataValidation>
    <dataValidation type="list" allowBlank="1" sqref="B109" xr:uid="{CF10C629-B35F-48BC-88A7-E749E3C3D7A3}">
      <formula1>"동일,조정"</formula1>
    </dataValidation>
    <dataValidation type="list" allowBlank="1" showInputMessage="1" showErrorMessage="1" sqref="F56:F57" xr:uid="{923C3CAB-C04D-4DCA-B8BE-31CAAEFE721F}">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&amp;RS14 청송 신규점1</oddHeader>
    <oddFooter>&amp;C&amp;9 &amp;P / &amp;N</oddFooter>
  </headerFooter>
  <rowBreaks count="3" manualBreakCount="3">
    <brk id="38" max="16383" man="1"/>
    <brk id="58" max="16383" man="1"/>
    <brk id="106"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1EC57-ADB7-4212-98B5-4822BB28DD2F}">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405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406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407</v>
      </c>
      <c r="B3" s="68"/>
      <c r="C3" s="68"/>
      <c r="D3" s="68"/>
      <c r="E3" s="68"/>
      <c r="F3" s="8" t="s">
        <v>154</v>
      </c>
      <c r="G3" s="6"/>
      <c r="H3" s="8" t="s">
        <v>155</v>
      </c>
      <c r="I3" s="9" t="s">
        <v>408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자동계산'!$B$4="15_의성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자동계산'!$B$4&lt;&gt;"15_의성 신규점","",IF('⑨ 구배 자동계산'!H9="","",'⑨ 구배 자동계산'!H9))</f>
        <v/>
      </c>
      <c r="C16" s="30" t="str">
        <f>IF('⑨ 구배 자동계산'!$B$4&lt;&gt;"15_의성 신규점","",IF('⑨ 구배 자동계산'!I9="","",'⑨ 구배 자동계산'!I9))</f>
        <v/>
      </c>
      <c r="D16" s="43" t="str">
        <f>IF('⑨ 구배 자동계산'!$B$4&lt;&gt;"15_의성 신규점","",IF('⑨ 구배 자동계산'!J9="","",'⑨ 구배 자동계산'!J9))</f>
        <v/>
      </c>
      <c r="E16" s="30" t="str">
        <f>IF('⑨ 구배 자동계산'!$B$4&lt;&gt;"15_의성 신규점","",IF('⑨ 구배 자동계산'!K9="","",'⑨ 구배 자동계산'!K9))</f>
        <v/>
      </c>
      <c r="F16" s="43" t="str">
        <f>IF('⑨ 구배 자동계산'!$B$4&lt;&gt;"15_의성 신규점","",IF('⑨ 구배 자동계산'!L9="","",'⑨ 구배 자동계산'!L9))</f>
        <v/>
      </c>
      <c r="G16" s="30" t="str">
        <f>IF('⑨ 구배 자동계산'!$B$4&lt;&gt;"15_의성 신규점","",IF('⑨ 구배 자동계산'!M9="","",'⑨ 구배 자동계산'!M9))</f>
        <v/>
      </c>
      <c r="H16" s="43" t="str">
        <f>IF('⑨ 구배 자동계산'!$B$4&lt;&gt;"15_의성 신규점","",IF('⑨ 구배 자동계산'!N9="","",'⑨ 구배 자동계산'!N9))</f>
        <v/>
      </c>
      <c r="I16" s="30" t="str">
        <f>IF('⑨ 구배 자동계산'!$B$4&lt;&gt;"15_의성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자동계산'!$B$4&lt;&gt;"15_의성 신규점","",IF('⑨ 구배 자동계산'!H10="","",'⑨ 구배 자동계산'!H10))</f>
        <v/>
      </c>
      <c r="C17" s="32" t="str">
        <f>IF('⑨ 구배 자동계산'!$B$4&lt;&gt;"15_의성 신규점","",IF('⑨ 구배 자동계산'!I10="","",'⑨ 구배 자동계산'!I10))</f>
        <v/>
      </c>
      <c r="D17" s="44" t="str">
        <f>IF('⑨ 구배 자동계산'!$B$4&lt;&gt;"15_의성 신규점","",IF('⑨ 구배 자동계산'!J10="","",'⑨ 구배 자동계산'!J10))</f>
        <v/>
      </c>
      <c r="E17" s="32" t="str">
        <f>IF('⑨ 구배 자동계산'!$B$4&lt;&gt;"15_의성 신규점","",IF('⑨ 구배 자동계산'!K10="","",'⑨ 구배 자동계산'!K10))</f>
        <v/>
      </c>
      <c r="F17" s="44" t="str">
        <f>IF('⑨ 구배 자동계산'!$B$4&lt;&gt;"15_의성 신규점","",IF('⑨ 구배 자동계산'!L10="","",'⑨ 구배 자동계산'!L10))</f>
        <v/>
      </c>
      <c r="G17" s="32" t="str">
        <f>IF('⑨ 구배 자동계산'!$B$4&lt;&gt;"15_의성 신규점","",IF('⑨ 구배 자동계산'!M10="","",'⑨ 구배 자동계산'!M10))</f>
        <v/>
      </c>
      <c r="H17" s="44" t="str">
        <f>IF('⑨ 구배 자동계산'!$B$4&lt;&gt;"15_의성 신규점","",IF('⑨ 구배 자동계산'!N10="","",'⑨ 구배 자동계산'!N10))</f>
        <v/>
      </c>
      <c r="I17" s="32" t="str">
        <f>IF('⑨ 구배 자동계산'!$B$4&lt;&gt;"15_의성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자동계산'!$B$4&lt;&gt;"15_의성 신규점","",IF('⑨ 구배 자동계산'!H11="","",'⑨ 구배 자동계산'!H11))</f>
        <v/>
      </c>
      <c r="C18" s="32" t="str">
        <f>IF('⑨ 구배 자동계산'!$B$4&lt;&gt;"15_의성 신규점","",IF('⑨ 구배 자동계산'!I11="","",'⑨ 구배 자동계산'!I11))</f>
        <v/>
      </c>
      <c r="D18" s="44" t="str">
        <f>IF('⑨ 구배 자동계산'!$B$4&lt;&gt;"15_의성 신규점","",IF('⑨ 구배 자동계산'!J11="","",'⑨ 구배 자동계산'!J11))</f>
        <v/>
      </c>
      <c r="E18" s="32" t="str">
        <f>IF('⑨ 구배 자동계산'!$B$4&lt;&gt;"15_의성 신규점","",IF('⑨ 구배 자동계산'!K11="","",'⑨ 구배 자동계산'!K11))</f>
        <v/>
      </c>
      <c r="F18" s="44" t="str">
        <f>IF('⑨ 구배 자동계산'!$B$4&lt;&gt;"15_의성 신규점","",IF('⑨ 구배 자동계산'!L11="","",'⑨ 구배 자동계산'!L11))</f>
        <v/>
      </c>
      <c r="G18" s="32" t="str">
        <f>IF('⑨ 구배 자동계산'!$B$4&lt;&gt;"15_의성 신규점","",IF('⑨ 구배 자동계산'!M11="","",'⑨ 구배 자동계산'!M11))</f>
        <v/>
      </c>
      <c r="H18" s="44" t="str">
        <f>IF('⑨ 구배 자동계산'!$B$4&lt;&gt;"15_의성 신규점","",IF('⑨ 구배 자동계산'!N11="","",'⑨ 구배 자동계산'!N11))</f>
        <v/>
      </c>
      <c r="I18" s="32" t="str">
        <f>IF('⑨ 구배 자동계산'!$B$4&lt;&gt;"15_의성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자동계산'!$B$4&lt;&gt;"15_의성 신규점","",IF('⑨ 구배 자동계산'!H12="","",'⑨ 구배 자동계산'!H12))</f>
        <v/>
      </c>
      <c r="C19" s="32" t="str">
        <f>IF('⑨ 구배 자동계산'!$B$4&lt;&gt;"15_의성 신규점","",IF('⑨ 구배 자동계산'!I12="","",'⑨ 구배 자동계산'!I12))</f>
        <v/>
      </c>
      <c r="D19" s="44" t="str">
        <f>IF('⑨ 구배 자동계산'!$B$4&lt;&gt;"15_의성 신규점","",IF('⑨ 구배 자동계산'!J12="","",'⑨ 구배 자동계산'!J12))</f>
        <v/>
      </c>
      <c r="E19" s="32" t="str">
        <f>IF('⑨ 구배 자동계산'!$B$4&lt;&gt;"15_의성 신규점","",IF('⑨ 구배 자동계산'!K12="","",'⑨ 구배 자동계산'!K12))</f>
        <v/>
      </c>
      <c r="F19" s="44" t="str">
        <f>IF('⑨ 구배 자동계산'!$B$4&lt;&gt;"15_의성 신규점","",IF('⑨ 구배 자동계산'!L12="","",'⑨ 구배 자동계산'!L12))</f>
        <v/>
      </c>
      <c r="G19" s="32" t="str">
        <f>IF('⑨ 구배 자동계산'!$B$4&lt;&gt;"15_의성 신규점","",IF('⑨ 구배 자동계산'!M12="","",'⑨ 구배 자동계산'!M12))</f>
        <v/>
      </c>
      <c r="H19" s="44" t="str">
        <f>IF('⑨ 구배 자동계산'!$B$4&lt;&gt;"15_의성 신규점","",IF('⑨ 구배 자동계산'!N12="","",'⑨ 구배 자동계산'!N12))</f>
        <v/>
      </c>
      <c r="I19" s="32" t="str">
        <f>IF('⑨ 구배 자동계산'!$B$4&lt;&gt;"15_의성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자동계산'!$B$4&lt;&gt;"15_의성 신규점","",IF('⑨ 구배 자동계산'!H13="","",'⑨ 구배 자동계산'!H13))</f>
        <v/>
      </c>
      <c r="C20" s="32" t="str">
        <f>IF('⑨ 구배 자동계산'!$B$4&lt;&gt;"15_의성 신규점","",IF('⑨ 구배 자동계산'!I13="","",'⑨ 구배 자동계산'!I13))</f>
        <v/>
      </c>
      <c r="D20" s="44" t="str">
        <f>IF('⑨ 구배 자동계산'!$B$4&lt;&gt;"15_의성 신규점","",IF('⑨ 구배 자동계산'!J13="","",'⑨ 구배 자동계산'!J13))</f>
        <v/>
      </c>
      <c r="E20" s="32" t="str">
        <f>IF('⑨ 구배 자동계산'!$B$4&lt;&gt;"15_의성 신규점","",IF('⑨ 구배 자동계산'!K13="","",'⑨ 구배 자동계산'!K13))</f>
        <v/>
      </c>
      <c r="F20" s="44" t="str">
        <f>IF('⑨ 구배 자동계산'!$B$4&lt;&gt;"15_의성 신규점","",IF('⑨ 구배 자동계산'!L13="","",'⑨ 구배 자동계산'!L13))</f>
        <v/>
      </c>
      <c r="G20" s="32" t="str">
        <f>IF('⑨ 구배 자동계산'!$B$4&lt;&gt;"15_의성 신규점","",IF('⑨ 구배 자동계산'!M13="","",'⑨ 구배 자동계산'!M13))</f>
        <v/>
      </c>
      <c r="H20" s="44" t="str">
        <f>IF('⑨ 구배 자동계산'!$B$4&lt;&gt;"15_의성 신규점","",IF('⑨ 구배 자동계산'!N13="","",'⑨ 구배 자동계산'!N13))</f>
        <v/>
      </c>
      <c r="I20" s="32" t="str">
        <f>IF('⑨ 구배 자동계산'!$B$4&lt;&gt;"15_의성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자동계산'!$B$4&lt;&gt;"15_의성 신규점","",IF('⑨ 구배 자동계산'!H14="","",'⑨ 구배 자동계산'!H14))</f>
        <v/>
      </c>
      <c r="C21" s="32" t="str">
        <f>IF('⑨ 구배 자동계산'!$B$4&lt;&gt;"15_의성 신규점","",IF('⑨ 구배 자동계산'!I14="","",'⑨ 구배 자동계산'!I14))</f>
        <v/>
      </c>
      <c r="D21" s="44" t="str">
        <f>IF('⑨ 구배 자동계산'!$B$4&lt;&gt;"15_의성 신규점","",IF('⑨ 구배 자동계산'!J14="","",'⑨ 구배 자동계산'!J14))</f>
        <v/>
      </c>
      <c r="E21" s="32" t="str">
        <f>IF('⑨ 구배 자동계산'!$B$4&lt;&gt;"15_의성 신규점","",IF('⑨ 구배 자동계산'!K14="","",'⑨ 구배 자동계산'!K14))</f>
        <v/>
      </c>
      <c r="F21" s="44" t="str">
        <f>IF('⑨ 구배 자동계산'!$B$4&lt;&gt;"15_의성 신규점","",IF('⑨ 구배 자동계산'!L14="","",'⑨ 구배 자동계산'!L14))</f>
        <v/>
      </c>
      <c r="G21" s="32" t="str">
        <f>IF('⑨ 구배 자동계산'!$B$4&lt;&gt;"15_의성 신규점","",IF('⑨ 구배 자동계산'!M14="","",'⑨ 구배 자동계산'!M14))</f>
        <v/>
      </c>
      <c r="H21" s="44" t="str">
        <f>IF('⑨ 구배 자동계산'!$B$4&lt;&gt;"15_의성 신규점","",IF('⑨ 구배 자동계산'!N14="","",'⑨ 구배 자동계산'!N14))</f>
        <v/>
      </c>
      <c r="I21" s="32" t="str">
        <f>IF('⑨ 구배 자동계산'!$B$4&lt;&gt;"15_의성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자동계산'!$B$4&lt;&gt;"15_의성 신규점","",IF('⑨ 구배 자동계산'!H15="","",'⑨ 구배 자동계산'!H15))</f>
        <v/>
      </c>
      <c r="C22" s="32" t="str">
        <f>IF('⑨ 구배 자동계산'!$B$4&lt;&gt;"15_의성 신규점","",IF('⑨ 구배 자동계산'!I15="","",'⑨ 구배 자동계산'!I15))</f>
        <v/>
      </c>
      <c r="D22" s="44" t="str">
        <f>IF('⑨ 구배 자동계산'!$B$4&lt;&gt;"15_의성 신규점","",IF('⑨ 구배 자동계산'!J15="","",'⑨ 구배 자동계산'!J15))</f>
        <v/>
      </c>
      <c r="E22" s="32" t="str">
        <f>IF('⑨ 구배 자동계산'!$B$4&lt;&gt;"15_의성 신규점","",IF('⑨ 구배 자동계산'!K15="","",'⑨ 구배 자동계산'!K15))</f>
        <v/>
      </c>
      <c r="F22" s="44" t="str">
        <f>IF('⑨ 구배 자동계산'!$B$4&lt;&gt;"15_의성 신규점","",IF('⑨ 구배 자동계산'!L15="","",'⑨ 구배 자동계산'!L15))</f>
        <v/>
      </c>
      <c r="G22" s="32" t="str">
        <f>IF('⑨ 구배 자동계산'!$B$4&lt;&gt;"15_의성 신규점","",IF('⑨ 구배 자동계산'!M15="","",'⑨ 구배 자동계산'!M15))</f>
        <v/>
      </c>
      <c r="H22" s="44" t="str">
        <f>IF('⑨ 구배 자동계산'!$B$4&lt;&gt;"15_의성 신규점","",IF('⑨ 구배 자동계산'!N15="","",'⑨ 구배 자동계산'!N15))</f>
        <v/>
      </c>
      <c r="I22" s="32" t="str">
        <f>IF('⑨ 구배 자동계산'!$B$4&lt;&gt;"15_의성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자동계산'!$B$4&lt;&gt;"15_의성 신규점","",IF('⑨ 구배 자동계산'!H16="","",'⑨ 구배 자동계산'!H16))</f>
        <v/>
      </c>
      <c r="C23" s="32" t="str">
        <f>IF('⑨ 구배 자동계산'!$B$4&lt;&gt;"15_의성 신규점","",IF('⑨ 구배 자동계산'!I16="","",'⑨ 구배 자동계산'!I16))</f>
        <v/>
      </c>
      <c r="D23" s="44" t="str">
        <f>IF('⑨ 구배 자동계산'!$B$4&lt;&gt;"15_의성 신규점","",IF('⑨ 구배 자동계산'!J16="","",'⑨ 구배 자동계산'!J16))</f>
        <v/>
      </c>
      <c r="E23" s="32" t="str">
        <f>IF('⑨ 구배 자동계산'!$B$4&lt;&gt;"15_의성 신규점","",IF('⑨ 구배 자동계산'!K16="","",'⑨ 구배 자동계산'!K16))</f>
        <v/>
      </c>
      <c r="F23" s="44" t="str">
        <f>IF('⑨ 구배 자동계산'!$B$4&lt;&gt;"15_의성 신규점","",IF('⑨ 구배 자동계산'!L16="","",'⑨ 구배 자동계산'!L16))</f>
        <v/>
      </c>
      <c r="G23" s="32" t="str">
        <f>IF('⑨ 구배 자동계산'!$B$4&lt;&gt;"15_의성 신규점","",IF('⑨ 구배 자동계산'!M16="","",'⑨ 구배 자동계산'!M16))</f>
        <v/>
      </c>
      <c r="H23" s="44" t="str">
        <f>IF('⑨ 구배 자동계산'!$B$4&lt;&gt;"15_의성 신규점","",IF('⑨ 구배 자동계산'!N16="","",'⑨ 구배 자동계산'!N16))</f>
        <v/>
      </c>
      <c r="I23" s="32" t="str">
        <f>IF('⑨ 구배 자동계산'!$B$4&lt;&gt;"15_의성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자동계산'!$B$4&lt;&gt;"15_의성 신규점","",IF('⑨ 구배 자동계산'!H17="","",'⑨ 구배 자동계산'!H17))</f>
        <v/>
      </c>
      <c r="C24" s="32" t="str">
        <f>IF('⑨ 구배 자동계산'!$B$4&lt;&gt;"15_의성 신규점","",IF('⑨ 구배 자동계산'!I17="","",'⑨ 구배 자동계산'!I17))</f>
        <v/>
      </c>
      <c r="D24" s="44" t="str">
        <f>IF('⑨ 구배 자동계산'!$B$4&lt;&gt;"15_의성 신규점","",IF('⑨ 구배 자동계산'!J17="","",'⑨ 구배 자동계산'!J17))</f>
        <v/>
      </c>
      <c r="E24" s="32" t="str">
        <f>IF('⑨ 구배 자동계산'!$B$4&lt;&gt;"15_의성 신규점","",IF('⑨ 구배 자동계산'!K17="","",'⑨ 구배 자동계산'!K17))</f>
        <v/>
      </c>
      <c r="F24" s="44" t="str">
        <f>IF('⑨ 구배 자동계산'!$B$4&lt;&gt;"15_의성 신규점","",IF('⑨ 구배 자동계산'!L17="","",'⑨ 구배 자동계산'!L17))</f>
        <v/>
      </c>
      <c r="G24" s="32" t="str">
        <f>IF('⑨ 구배 자동계산'!$B$4&lt;&gt;"15_의성 신규점","",IF('⑨ 구배 자동계산'!M17="","",'⑨ 구배 자동계산'!M17))</f>
        <v/>
      </c>
      <c r="H24" s="44" t="str">
        <f>IF('⑨ 구배 자동계산'!$B$4&lt;&gt;"15_의성 신규점","",IF('⑨ 구배 자동계산'!N17="","",'⑨ 구배 자동계산'!N17))</f>
        <v/>
      </c>
      <c r="I24" s="32" t="str">
        <f>IF('⑨ 구배 자동계산'!$B$4&lt;&gt;"15_의성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자동계산'!$B$4&lt;&gt;"15_의성 신규점","",IF('⑨ 구배 자동계산'!H18="","",'⑨ 구배 자동계산'!H18))</f>
        <v/>
      </c>
      <c r="C25" s="32" t="str">
        <f>IF('⑨ 구배 자동계산'!$B$4&lt;&gt;"15_의성 신규점","",IF('⑨ 구배 자동계산'!I18="","",'⑨ 구배 자동계산'!I18))</f>
        <v/>
      </c>
      <c r="D25" s="44" t="str">
        <f>IF('⑨ 구배 자동계산'!$B$4&lt;&gt;"15_의성 신규점","",IF('⑨ 구배 자동계산'!J18="","",'⑨ 구배 자동계산'!J18))</f>
        <v/>
      </c>
      <c r="E25" s="32" t="str">
        <f>IF('⑨ 구배 자동계산'!$B$4&lt;&gt;"15_의성 신규점","",IF('⑨ 구배 자동계산'!K18="","",'⑨ 구배 자동계산'!K18))</f>
        <v/>
      </c>
      <c r="F25" s="44" t="str">
        <f>IF('⑨ 구배 자동계산'!$B$4&lt;&gt;"15_의성 신규점","",IF('⑨ 구배 자동계산'!L18="","",'⑨ 구배 자동계산'!L18))</f>
        <v/>
      </c>
      <c r="G25" s="32" t="str">
        <f>IF('⑨ 구배 자동계산'!$B$4&lt;&gt;"15_의성 신규점","",IF('⑨ 구배 자동계산'!M18="","",'⑨ 구배 자동계산'!M18))</f>
        <v/>
      </c>
      <c r="H25" s="44" t="str">
        <f>IF('⑨ 구배 자동계산'!$B$4&lt;&gt;"15_의성 신규점","",IF('⑨ 구배 자동계산'!N18="","",'⑨ 구배 자동계산'!N18))</f>
        <v/>
      </c>
      <c r="I25" s="32" t="str">
        <f>IF('⑨ 구배 자동계산'!$B$4&lt;&gt;"15_의성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자동계산'!$B$4&lt;&gt;"15_의성 신규점","",IF('⑨ 구배 자동계산'!H19="","",'⑨ 구배 자동계산'!H19))</f>
        <v/>
      </c>
      <c r="C26" s="32" t="str">
        <f>IF('⑨ 구배 자동계산'!$B$4&lt;&gt;"15_의성 신규점","",IF('⑨ 구배 자동계산'!I19="","",'⑨ 구배 자동계산'!I19))</f>
        <v/>
      </c>
      <c r="D26" s="44" t="str">
        <f>IF('⑨ 구배 자동계산'!$B$4&lt;&gt;"15_의성 신규점","",IF('⑨ 구배 자동계산'!J19="","",'⑨ 구배 자동계산'!J19))</f>
        <v/>
      </c>
      <c r="E26" s="32" t="str">
        <f>IF('⑨ 구배 자동계산'!$B$4&lt;&gt;"15_의성 신규점","",IF('⑨ 구배 자동계산'!K19="","",'⑨ 구배 자동계산'!K19))</f>
        <v/>
      </c>
      <c r="F26" s="44" t="str">
        <f>IF('⑨ 구배 자동계산'!$B$4&lt;&gt;"15_의성 신규점","",IF('⑨ 구배 자동계산'!L19="","",'⑨ 구배 자동계산'!L19))</f>
        <v/>
      </c>
      <c r="G26" s="32" t="str">
        <f>IF('⑨ 구배 자동계산'!$B$4&lt;&gt;"15_의성 신규점","",IF('⑨ 구배 자동계산'!M19="","",'⑨ 구배 자동계산'!M19))</f>
        <v/>
      </c>
      <c r="H26" s="44" t="str">
        <f>IF('⑨ 구배 자동계산'!$B$4&lt;&gt;"15_의성 신규점","",IF('⑨ 구배 자동계산'!N19="","",'⑨ 구배 자동계산'!N19))</f>
        <v/>
      </c>
      <c r="I26" s="32" t="str">
        <f>IF('⑨ 구배 자동계산'!$B$4&lt;&gt;"15_의성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자동계산'!$B$4&lt;&gt;"15_의성 신규점","",IF('⑨ 구배 자동계산'!H20="","",'⑨ 구배 자동계산'!H20))</f>
        <v/>
      </c>
      <c r="C27" s="41" t="str">
        <f>IF('⑨ 구배 자동계산'!$B$4&lt;&gt;"15_의성 신규점","",IF('⑨ 구배 자동계산'!I20="","",'⑨ 구배 자동계산'!I20))</f>
        <v/>
      </c>
      <c r="D27" s="45" t="str">
        <f>IF('⑨ 구배 자동계산'!$B$4&lt;&gt;"15_의성 신규점","",IF('⑨ 구배 자동계산'!J20="","",'⑨ 구배 자동계산'!J20))</f>
        <v/>
      </c>
      <c r="E27" s="41" t="str">
        <f>IF('⑨ 구배 자동계산'!$B$4&lt;&gt;"15_의성 신규점","",IF('⑨ 구배 자동계산'!K20="","",'⑨ 구배 자동계산'!K20))</f>
        <v/>
      </c>
      <c r="F27" s="45" t="str">
        <f>IF('⑨ 구배 자동계산'!$B$4&lt;&gt;"15_의성 신규점","",IF('⑨ 구배 자동계산'!L20="","",'⑨ 구배 자동계산'!L20))</f>
        <v/>
      </c>
      <c r="G27" s="41" t="str">
        <f>IF('⑨ 구배 자동계산'!$B$4&lt;&gt;"15_의성 신규점","",IF('⑨ 구배 자동계산'!M20="","",'⑨ 구배 자동계산'!M20))</f>
        <v/>
      </c>
      <c r="H27" s="45" t="str">
        <f>IF('⑨ 구배 자동계산'!$B$4&lt;&gt;"15_의성 신규점","",IF('⑨ 구배 자동계산'!N20="","",'⑨ 구배 자동계산'!N20))</f>
        <v/>
      </c>
      <c r="I27" s="41" t="str">
        <f>IF('⑨ 구배 자동계산'!$B$4&lt;&gt;"15_의성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자동계산'!$B$4&lt;&gt;"15_의성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자동계산'!$B$4&lt;&gt;"15_의성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자동계산'!$B$4&lt;&gt;"15_의성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자동계산'!$B$4&lt;&gt;"15_의성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자동계산'!$B$4&lt;&gt;"15_의성 신규점","",IF('⑨ 구배 자동계산'!I23="","",'⑨ 구배 자동계산'!I23))</f>
        <v/>
      </c>
      <c r="D42" s="8"/>
      <c r="E42" s="8"/>
      <c r="F42" s="8"/>
      <c r="G42" s="92" t="str">
        <f>IF('⑨ 구배 자동계산'!$B$4&lt;&gt;"15_의성 신규점","",IF('⑨ 구배 자동계산'!$J23="","",'⑨ 구배 자동계산'!$J23&amp;"  ·  "&amp;'⑨ 구배 자동계산'!$L23))</f>
        <v/>
      </c>
      <c r="H42" s="93"/>
      <c r="I42" s="93"/>
    </row>
    <row r="43" spans="1:35" ht="19.95" customHeight="1" x14ac:dyDescent="0.4">
      <c r="A43" s="8">
        <v>3</v>
      </c>
      <c r="B43" s="33">
        <v>140</v>
      </c>
      <c r="C43" s="32" t="str">
        <f>IF('⑨ 구배 자동계산'!$B$4&lt;&gt;"15_의성 신규점","",IF('⑨ 구배 자동계산'!I24="","",'⑨ 구배 자동계산'!I24))</f>
        <v/>
      </c>
      <c r="D43" s="34">
        <f>IF(COUNT(B43,B42)&lt;2,"",(B42-B43)/100)</f>
        <v>0.45</v>
      </c>
      <c r="E43" s="35" t="str">
        <f>IF(COUNT(C43,C42)&lt;2,"",C43-C42)</f>
        <v/>
      </c>
      <c r="F43" s="36" t="str">
        <f>IF(OR(D43="",E43="",D43=0),"",E43/D43)</f>
        <v/>
      </c>
      <c r="G43" s="92" t="str">
        <f>IF('⑨ 구배 자동계산'!$B$4&lt;&gt;"15_의성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자동계산'!$B$4&lt;&gt;"15_의성 신규점","",IF('⑨ 구배 자동계산'!I25="","",'⑨ 구배 자동계산'!I25))</f>
        <v/>
      </c>
      <c r="D44" s="34">
        <f>IF(COUNT(B44,B43)&lt;2,"",(B43-B44)/100)</f>
        <v>0.45</v>
      </c>
      <c r="E44" s="35" t="str">
        <f>IF(COUNT(C44,C43)&lt;2,"",C44-C43)</f>
        <v/>
      </c>
      <c r="F44" s="36" t="str">
        <f>IF(OR(D44="",E44="",D44=0),"",E44/D44)</f>
        <v/>
      </c>
      <c r="G44" s="92" t="str">
        <f>IF('⑨ 구배 자동계산'!$B$4&lt;&gt;"15_의성 신규점","",IF('⑨ 구배 자동계산'!$J25="","",'⑨ 구배 자동계산'!$J25&amp;"  ·  "&amp;'⑨ 구배 자동계산'!$L25))</f>
        <v/>
      </c>
      <c r="H44" s="93"/>
      <c r="I44" s="93"/>
    </row>
    <row r="45" spans="1:35" ht="19.95" customHeight="1" x14ac:dyDescent="0.4">
      <c r="A45" s="8">
        <v>1</v>
      </c>
      <c r="B45" s="33">
        <v>50</v>
      </c>
      <c r="C45" s="32" t="str">
        <f>IF('⑨ 구배 자동계산'!$B$4&lt;&gt;"15_의성 신규점","",IF('⑨ 구배 자동계산'!I26="","",'⑨ 구배 자동계산'!I26))</f>
        <v/>
      </c>
      <c r="D45" s="34">
        <f>IF(COUNT(B45,B44)&lt;2,"",(B44-B45)/100)</f>
        <v>0.45</v>
      </c>
      <c r="E45" s="35" t="str">
        <f>IF(COUNT(C45,C44)&lt;2,"",C45-C44)</f>
        <v/>
      </c>
      <c r="F45" s="36" t="str">
        <f>IF(OR(D45="",E45="",D45=0),"",E45/D45)</f>
        <v/>
      </c>
      <c r="G45" s="92" t="str">
        <f>IF('⑨ 구배 자동계산'!$B$4&lt;&gt;"15_의성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IF(COUNT(B50,E50)&lt;2,"",ROUND(SQRT(((128.508751-E50)*111320*COS(RADIANS(36.4767)))^2+((36.4767-B50)*110574)^2),1))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S15-P0a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79" priority="1">
      <formula>AND(ISNUMBER(C31),C31&gt;50)</formula>
    </cfRule>
  </conditionalFormatting>
  <conditionalFormatting sqref="D7">
    <cfRule type="expression" dxfId="178" priority="3" stopIfTrue="1">
      <formula>AND($D$7&lt;&gt;"",VALUE(LEFT($D$7,1))&lt;5)</formula>
    </cfRule>
    <cfRule type="expression" dxfId="177" priority="4" stopIfTrue="1">
      <formula>AND($D$7&lt;&gt;"",VALUE(LEFT($D$7,1))&gt;=5)</formula>
    </cfRule>
  </conditionalFormatting>
  <conditionalFormatting sqref="E7">
    <cfRule type="expression" dxfId="176" priority="5" stopIfTrue="1">
      <formula>AND($E$7&lt;&gt;"",VALUE(LEFT($E$7,1))&lt;5)</formula>
    </cfRule>
    <cfRule type="expression" dxfId="17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179976A9-38D3-43FC-93C0-6AD01A412AF2}">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C24F3646-C126-4EFC-89C5-47DBD5BB4C36}">
      <formula1>DATE(2026,1,1)</formula1>
      <formula2>DATE(2027,12,31)</formula2>
    </dataValidation>
    <dataValidation type="list" allowBlank="1" sqref="C7" xr:uid="{CAEA0066-C345-4EC9-9062-15157EF5570B}">
      <formula1>"맑음,구름 조금,흐림,비,눈,바람 강함"</formula1>
    </dataValidation>
    <dataValidation type="list" allowBlank="1" sqref="H50" xr:uid="{5D1E0114-566F-45A5-8C4E-BEF1599BF394}">
      <formula1>"RTK-GNSS,네트워크RTK,정적GNSS,휴대GNSS"</formula1>
    </dataValidation>
    <dataValidation type="list" allowBlank="1" sqref="B109" xr:uid="{8A88C16B-5356-4756-B1AA-39D6E270B10B}">
      <formula1>"동일,조정"</formula1>
    </dataValidation>
    <dataValidation type="list" allowBlank="1" showInputMessage="1" showErrorMessage="1" sqref="F56:F57" xr:uid="{B769DE8A-68B1-44A3-8AB7-98B11E74BD76}">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&amp;RS15 의성 신규점</oddHeader>
    <oddFooter>&amp;C&amp;9 &amp;P / &amp;N</oddFooter>
  </headerFooter>
  <rowBreaks count="3" manualBreakCount="3">
    <brk id="38" max="16383" man="1"/>
    <brk id="58" max="16383" man="1"/>
    <brk id="106"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28E97-A345-448A-9ACB-DF40B5F49F3A}">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409</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410</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411</v>
      </c>
      <c r="B3" s="68"/>
      <c r="C3" s="68"/>
      <c r="D3" s="68"/>
      <c r="E3" s="68"/>
      <c r="F3" s="8" t="s">
        <v>154</v>
      </c>
      <c r="G3" s="6"/>
      <c r="H3" s="8" t="s">
        <v>155</v>
      </c>
      <c r="I3" s="9" t="s">
        <v>412</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자동계산'!$B$4="16_예천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자동계산'!$B$4&lt;&gt;"16_예천 신규점","",IF('⑨ 구배 자동계산'!H9="","",'⑨ 구배 자동계산'!H9))</f>
        <v/>
      </c>
      <c r="C16" s="30" t="str">
        <f>IF('⑨ 구배 자동계산'!$B$4&lt;&gt;"16_예천 신규점","",IF('⑨ 구배 자동계산'!I9="","",'⑨ 구배 자동계산'!I9))</f>
        <v/>
      </c>
      <c r="D16" s="43" t="str">
        <f>IF('⑨ 구배 자동계산'!$B$4&lt;&gt;"16_예천 신규점","",IF('⑨ 구배 자동계산'!J9="","",'⑨ 구배 자동계산'!J9))</f>
        <v/>
      </c>
      <c r="E16" s="30" t="str">
        <f>IF('⑨ 구배 자동계산'!$B$4&lt;&gt;"16_예천 신규점","",IF('⑨ 구배 자동계산'!K9="","",'⑨ 구배 자동계산'!K9))</f>
        <v/>
      </c>
      <c r="F16" s="43" t="str">
        <f>IF('⑨ 구배 자동계산'!$B$4&lt;&gt;"16_예천 신규점","",IF('⑨ 구배 자동계산'!L9="","",'⑨ 구배 자동계산'!L9))</f>
        <v/>
      </c>
      <c r="G16" s="30" t="str">
        <f>IF('⑨ 구배 자동계산'!$B$4&lt;&gt;"16_예천 신규점","",IF('⑨ 구배 자동계산'!M9="","",'⑨ 구배 자동계산'!M9))</f>
        <v/>
      </c>
      <c r="H16" s="43" t="str">
        <f>IF('⑨ 구배 자동계산'!$B$4&lt;&gt;"16_예천 신규점","",IF('⑨ 구배 자동계산'!N9="","",'⑨ 구배 자동계산'!N9))</f>
        <v/>
      </c>
      <c r="I16" s="30" t="str">
        <f>IF('⑨ 구배 자동계산'!$B$4&lt;&gt;"16_예천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자동계산'!$B$4&lt;&gt;"16_예천 신규점","",IF('⑨ 구배 자동계산'!H10="","",'⑨ 구배 자동계산'!H10))</f>
        <v/>
      </c>
      <c r="C17" s="32" t="str">
        <f>IF('⑨ 구배 자동계산'!$B$4&lt;&gt;"16_예천 신규점","",IF('⑨ 구배 자동계산'!I10="","",'⑨ 구배 자동계산'!I10))</f>
        <v/>
      </c>
      <c r="D17" s="44" t="str">
        <f>IF('⑨ 구배 자동계산'!$B$4&lt;&gt;"16_예천 신규점","",IF('⑨ 구배 자동계산'!J10="","",'⑨ 구배 자동계산'!J10))</f>
        <v/>
      </c>
      <c r="E17" s="32" t="str">
        <f>IF('⑨ 구배 자동계산'!$B$4&lt;&gt;"16_예천 신규점","",IF('⑨ 구배 자동계산'!K10="","",'⑨ 구배 자동계산'!K10))</f>
        <v/>
      </c>
      <c r="F17" s="44" t="str">
        <f>IF('⑨ 구배 자동계산'!$B$4&lt;&gt;"16_예천 신규점","",IF('⑨ 구배 자동계산'!L10="","",'⑨ 구배 자동계산'!L10))</f>
        <v/>
      </c>
      <c r="G17" s="32" t="str">
        <f>IF('⑨ 구배 자동계산'!$B$4&lt;&gt;"16_예천 신규점","",IF('⑨ 구배 자동계산'!M10="","",'⑨ 구배 자동계산'!M10))</f>
        <v/>
      </c>
      <c r="H17" s="44" t="str">
        <f>IF('⑨ 구배 자동계산'!$B$4&lt;&gt;"16_예천 신규점","",IF('⑨ 구배 자동계산'!N10="","",'⑨ 구배 자동계산'!N10))</f>
        <v/>
      </c>
      <c r="I17" s="32" t="str">
        <f>IF('⑨ 구배 자동계산'!$B$4&lt;&gt;"16_예천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자동계산'!$B$4&lt;&gt;"16_예천 신규점","",IF('⑨ 구배 자동계산'!H11="","",'⑨ 구배 자동계산'!H11))</f>
        <v/>
      </c>
      <c r="C18" s="32" t="str">
        <f>IF('⑨ 구배 자동계산'!$B$4&lt;&gt;"16_예천 신규점","",IF('⑨ 구배 자동계산'!I11="","",'⑨ 구배 자동계산'!I11))</f>
        <v/>
      </c>
      <c r="D18" s="44" t="str">
        <f>IF('⑨ 구배 자동계산'!$B$4&lt;&gt;"16_예천 신규점","",IF('⑨ 구배 자동계산'!J11="","",'⑨ 구배 자동계산'!J11))</f>
        <v/>
      </c>
      <c r="E18" s="32" t="str">
        <f>IF('⑨ 구배 자동계산'!$B$4&lt;&gt;"16_예천 신규점","",IF('⑨ 구배 자동계산'!K11="","",'⑨ 구배 자동계산'!K11))</f>
        <v/>
      </c>
      <c r="F18" s="44" t="str">
        <f>IF('⑨ 구배 자동계산'!$B$4&lt;&gt;"16_예천 신규점","",IF('⑨ 구배 자동계산'!L11="","",'⑨ 구배 자동계산'!L11))</f>
        <v/>
      </c>
      <c r="G18" s="32" t="str">
        <f>IF('⑨ 구배 자동계산'!$B$4&lt;&gt;"16_예천 신규점","",IF('⑨ 구배 자동계산'!M11="","",'⑨ 구배 자동계산'!M11))</f>
        <v/>
      </c>
      <c r="H18" s="44" t="str">
        <f>IF('⑨ 구배 자동계산'!$B$4&lt;&gt;"16_예천 신규점","",IF('⑨ 구배 자동계산'!N11="","",'⑨ 구배 자동계산'!N11))</f>
        <v/>
      </c>
      <c r="I18" s="32" t="str">
        <f>IF('⑨ 구배 자동계산'!$B$4&lt;&gt;"16_예천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자동계산'!$B$4&lt;&gt;"16_예천 신규점","",IF('⑨ 구배 자동계산'!H12="","",'⑨ 구배 자동계산'!H12))</f>
        <v/>
      </c>
      <c r="C19" s="32" t="str">
        <f>IF('⑨ 구배 자동계산'!$B$4&lt;&gt;"16_예천 신규점","",IF('⑨ 구배 자동계산'!I12="","",'⑨ 구배 자동계산'!I12))</f>
        <v/>
      </c>
      <c r="D19" s="44" t="str">
        <f>IF('⑨ 구배 자동계산'!$B$4&lt;&gt;"16_예천 신규점","",IF('⑨ 구배 자동계산'!J12="","",'⑨ 구배 자동계산'!J12))</f>
        <v/>
      </c>
      <c r="E19" s="32" t="str">
        <f>IF('⑨ 구배 자동계산'!$B$4&lt;&gt;"16_예천 신규점","",IF('⑨ 구배 자동계산'!K12="","",'⑨ 구배 자동계산'!K12))</f>
        <v/>
      </c>
      <c r="F19" s="44" t="str">
        <f>IF('⑨ 구배 자동계산'!$B$4&lt;&gt;"16_예천 신규점","",IF('⑨ 구배 자동계산'!L12="","",'⑨ 구배 자동계산'!L12))</f>
        <v/>
      </c>
      <c r="G19" s="32" t="str">
        <f>IF('⑨ 구배 자동계산'!$B$4&lt;&gt;"16_예천 신규점","",IF('⑨ 구배 자동계산'!M12="","",'⑨ 구배 자동계산'!M12))</f>
        <v/>
      </c>
      <c r="H19" s="44" t="str">
        <f>IF('⑨ 구배 자동계산'!$B$4&lt;&gt;"16_예천 신규점","",IF('⑨ 구배 자동계산'!N12="","",'⑨ 구배 자동계산'!N12))</f>
        <v/>
      </c>
      <c r="I19" s="32" t="str">
        <f>IF('⑨ 구배 자동계산'!$B$4&lt;&gt;"16_예천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자동계산'!$B$4&lt;&gt;"16_예천 신규점","",IF('⑨ 구배 자동계산'!H13="","",'⑨ 구배 자동계산'!H13))</f>
        <v/>
      </c>
      <c r="C20" s="32" t="str">
        <f>IF('⑨ 구배 자동계산'!$B$4&lt;&gt;"16_예천 신규점","",IF('⑨ 구배 자동계산'!I13="","",'⑨ 구배 자동계산'!I13))</f>
        <v/>
      </c>
      <c r="D20" s="44" t="str">
        <f>IF('⑨ 구배 자동계산'!$B$4&lt;&gt;"16_예천 신규점","",IF('⑨ 구배 자동계산'!J13="","",'⑨ 구배 자동계산'!J13))</f>
        <v/>
      </c>
      <c r="E20" s="32" t="str">
        <f>IF('⑨ 구배 자동계산'!$B$4&lt;&gt;"16_예천 신규점","",IF('⑨ 구배 자동계산'!K13="","",'⑨ 구배 자동계산'!K13))</f>
        <v/>
      </c>
      <c r="F20" s="44" t="str">
        <f>IF('⑨ 구배 자동계산'!$B$4&lt;&gt;"16_예천 신규점","",IF('⑨ 구배 자동계산'!L13="","",'⑨ 구배 자동계산'!L13))</f>
        <v/>
      </c>
      <c r="G20" s="32" t="str">
        <f>IF('⑨ 구배 자동계산'!$B$4&lt;&gt;"16_예천 신규점","",IF('⑨ 구배 자동계산'!M13="","",'⑨ 구배 자동계산'!M13))</f>
        <v/>
      </c>
      <c r="H20" s="44" t="str">
        <f>IF('⑨ 구배 자동계산'!$B$4&lt;&gt;"16_예천 신규점","",IF('⑨ 구배 자동계산'!N13="","",'⑨ 구배 자동계산'!N13))</f>
        <v/>
      </c>
      <c r="I20" s="32" t="str">
        <f>IF('⑨ 구배 자동계산'!$B$4&lt;&gt;"16_예천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자동계산'!$B$4&lt;&gt;"16_예천 신규점","",IF('⑨ 구배 자동계산'!H14="","",'⑨ 구배 자동계산'!H14))</f>
        <v/>
      </c>
      <c r="C21" s="32" t="str">
        <f>IF('⑨ 구배 자동계산'!$B$4&lt;&gt;"16_예천 신규점","",IF('⑨ 구배 자동계산'!I14="","",'⑨ 구배 자동계산'!I14))</f>
        <v/>
      </c>
      <c r="D21" s="44" t="str">
        <f>IF('⑨ 구배 자동계산'!$B$4&lt;&gt;"16_예천 신규점","",IF('⑨ 구배 자동계산'!J14="","",'⑨ 구배 자동계산'!J14))</f>
        <v/>
      </c>
      <c r="E21" s="32" t="str">
        <f>IF('⑨ 구배 자동계산'!$B$4&lt;&gt;"16_예천 신규점","",IF('⑨ 구배 자동계산'!K14="","",'⑨ 구배 자동계산'!K14))</f>
        <v/>
      </c>
      <c r="F21" s="44" t="str">
        <f>IF('⑨ 구배 자동계산'!$B$4&lt;&gt;"16_예천 신규점","",IF('⑨ 구배 자동계산'!L14="","",'⑨ 구배 자동계산'!L14))</f>
        <v/>
      </c>
      <c r="G21" s="32" t="str">
        <f>IF('⑨ 구배 자동계산'!$B$4&lt;&gt;"16_예천 신규점","",IF('⑨ 구배 자동계산'!M14="","",'⑨ 구배 자동계산'!M14))</f>
        <v/>
      </c>
      <c r="H21" s="44" t="str">
        <f>IF('⑨ 구배 자동계산'!$B$4&lt;&gt;"16_예천 신규점","",IF('⑨ 구배 자동계산'!N14="","",'⑨ 구배 자동계산'!N14))</f>
        <v/>
      </c>
      <c r="I21" s="32" t="str">
        <f>IF('⑨ 구배 자동계산'!$B$4&lt;&gt;"16_예천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자동계산'!$B$4&lt;&gt;"16_예천 신규점","",IF('⑨ 구배 자동계산'!H15="","",'⑨ 구배 자동계산'!H15))</f>
        <v/>
      </c>
      <c r="C22" s="32" t="str">
        <f>IF('⑨ 구배 자동계산'!$B$4&lt;&gt;"16_예천 신규점","",IF('⑨ 구배 자동계산'!I15="","",'⑨ 구배 자동계산'!I15))</f>
        <v/>
      </c>
      <c r="D22" s="44" t="str">
        <f>IF('⑨ 구배 자동계산'!$B$4&lt;&gt;"16_예천 신규점","",IF('⑨ 구배 자동계산'!J15="","",'⑨ 구배 자동계산'!J15))</f>
        <v/>
      </c>
      <c r="E22" s="32" t="str">
        <f>IF('⑨ 구배 자동계산'!$B$4&lt;&gt;"16_예천 신규점","",IF('⑨ 구배 자동계산'!K15="","",'⑨ 구배 자동계산'!K15))</f>
        <v/>
      </c>
      <c r="F22" s="44" t="str">
        <f>IF('⑨ 구배 자동계산'!$B$4&lt;&gt;"16_예천 신규점","",IF('⑨ 구배 자동계산'!L15="","",'⑨ 구배 자동계산'!L15))</f>
        <v/>
      </c>
      <c r="G22" s="32" t="str">
        <f>IF('⑨ 구배 자동계산'!$B$4&lt;&gt;"16_예천 신규점","",IF('⑨ 구배 자동계산'!M15="","",'⑨ 구배 자동계산'!M15))</f>
        <v/>
      </c>
      <c r="H22" s="44" t="str">
        <f>IF('⑨ 구배 자동계산'!$B$4&lt;&gt;"16_예천 신규점","",IF('⑨ 구배 자동계산'!N15="","",'⑨ 구배 자동계산'!N15))</f>
        <v/>
      </c>
      <c r="I22" s="32" t="str">
        <f>IF('⑨ 구배 자동계산'!$B$4&lt;&gt;"16_예천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자동계산'!$B$4&lt;&gt;"16_예천 신규점","",IF('⑨ 구배 자동계산'!H16="","",'⑨ 구배 자동계산'!H16))</f>
        <v/>
      </c>
      <c r="C23" s="32" t="str">
        <f>IF('⑨ 구배 자동계산'!$B$4&lt;&gt;"16_예천 신규점","",IF('⑨ 구배 자동계산'!I16="","",'⑨ 구배 자동계산'!I16))</f>
        <v/>
      </c>
      <c r="D23" s="44" t="str">
        <f>IF('⑨ 구배 자동계산'!$B$4&lt;&gt;"16_예천 신규점","",IF('⑨ 구배 자동계산'!J16="","",'⑨ 구배 자동계산'!J16))</f>
        <v/>
      </c>
      <c r="E23" s="32" t="str">
        <f>IF('⑨ 구배 자동계산'!$B$4&lt;&gt;"16_예천 신규점","",IF('⑨ 구배 자동계산'!K16="","",'⑨ 구배 자동계산'!K16))</f>
        <v/>
      </c>
      <c r="F23" s="44" t="str">
        <f>IF('⑨ 구배 자동계산'!$B$4&lt;&gt;"16_예천 신규점","",IF('⑨ 구배 자동계산'!L16="","",'⑨ 구배 자동계산'!L16))</f>
        <v/>
      </c>
      <c r="G23" s="32" t="str">
        <f>IF('⑨ 구배 자동계산'!$B$4&lt;&gt;"16_예천 신규점","",IF('⑨ 구배 자동계산'!M16="","",'⑨ 구배 자동계산'!M16))</f>
        <v/>
      </c>
      <c r="H23" s="44" t="str">
        <f>IF('⑨ 구배 자동계산'!$B$4&lt;&gt;"16_예천 신규점","",IF('⑨ 구배 자동계산'!N16="","",'⑨ 구배 자동계산'!N16))</f>
        <v/>
      </c>
      <c r="I23" s="32" t="str">
        <f>IF('⑨ 구배 자동계산'!$B$4&lt;&gt;"16_예천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자동계산'!$B$4&lt;&gt;"16_예천 신규점","",IF('⑨ 구배 자동계산'!H17="","",'⑨ 구배 자동계산'!H17))</f>
        <v/>
      </c>
      <c r="C24" s="32" t="str">
        <f>IF('⑨ 구배 자동계산'!$B$4&lt;&gt;"16_예천 신규점","",IF('⑨ 구배 자동계산'!I17="","",'⑨ 구배 자동계산'!I17))</f>
        <v/>
      </c>
      <c r="D24" s="44" t="str">
        <f>IF('⑨ 구배 자동계산'!$B$4&lt;&gt;"16_예천 신규점","",IF('⑨ 구배 자동계산'!J17="","",'⑨ 구배 자동계산'!J17))</f>
        <v/>
      </c>
      <c r="E24" s="32" t="str">
        <f>IF('⑨ 구배 자동계산'!$B$4&lt;&gt;"16_예천 신규점","",IF('⑨ 구배 자동계산'!K17="","",'⑨ 구배 자동계산'!K17))</f>
        <v/>
      </c>
      <c r="F24" s="44" t="str">
        <f>IF('⑨ 구배 자동계산'!$B$4&lt;&gt;"16_예천 신규점","",IF('⑨ 구배 자동계산'!L17="","",'⑨ 구배 자동계산'!L17))</f>
        <v/>
      </c>
      <c r="G24" s="32" t="str">
        <f>IF('⑨ 구배 자동계산'!$B$4&lt;&gt;"16_예천 신규점","",IF('⑨ 구배 자동계산'!M17="","",'⑨ 구배 자동계산'!M17))</f>
        <v/>
      </c>
      <c r="H24" s="44" t="str">
        <f>IF('⑨ 구배 자동계산'!$B$4&lt;&gt;"16_예천 신규점","",IF('⑨ 구배 자동계산'!N17="","",'⑨ 구배 자동계산'!N17))</f>
        <v/>
      </c>
      <c r="I24" s="32" t="str">
        <f>IF('⑨ 구배 자동계산'!$B$4&lt;&gt;"16_예천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자동계산'!$B$4&lt;&gt;"16_예천 신규점","",IF('⑨ 구배 자동계산'!H18="","",'⑨ 구배 자동계산'!H18))</f>
        <v/>
      </c>
      <c r="C25" s="32" t="str">
        <f>IF('⑨ 구배 자동계산'!$B$4&lt;&gt;"16_예천 신규점","",IF('⑨ 구배 자동계산'!I18="","",'⑨ 구배 자동계산'!I18))</f>
        <v/>
      </c>
      <c r="D25" s="44" t="str">
        <f>IF('⑨ 구배 자동계산'!$B$4&lt;&gt;"16_예천 신규점","",IF('⑨ 구배 자동계산'!J18="","",'⑨ 구배 자동계산'!J18))</f>
        <v/>
      </c>
      <c r="E25" s="32" t="str">
        <f>IF('⑨ 구배 자동계산'!$B$4&lt;&gt;"16_예천 신규점","",IF('⑨ 구배 자동계산'!K18="","",'⑨ 구배 자동계산'!K18))</f>
        <v/>
      </c>
      <c r="F25" s="44" t="str">
        <f>IF('⑨ 구배 자동계산'!$B$4&lt;&gt;"16_예천 신규점","",IF('⑨ 구배 자동계산'!L18="","",'⑨ 구배 자동계산'!L18))</f>
        <v/>
      </c>
      <c r="G25" s="32" t="str">
        <f>IF('⑨ 구배 자동계산'!$B$4&lt;&gt;"16_예천 신규점","",IF('⑨ 구배 자동계산'!M18="","",'⑨ 구배 자동계산'!M18))</f>
        <v/>
      </c>
      <c r="H25" s="44" t="str">
        <f>IF('⑨ 구배 자동계산'!$B$4&lt;&gt;"16_예천 신규점","",IF('⑨ 구배 자동계산'!N18="","",'⑨ 구배 자동계산'!N18))</f>
        <v/>
      </c>
      <c r="I25" s="32" t="str">
        <f>IF('⑨ 구배 자동계산'!$B$4&lt;&gt;"16_예천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자동계산'!$B$4&lt;&gt;"16_예천 신규점","",IF('⑨ 구배 자동계산'!H19="","",'⑨ 구배 자동계산'!H19))</f>
        <v/>
      </c>
      <c r="C26" s="32" t="str">
        <f>IF('⑨ 구배 자동계산'!$B$4&lt;&gt;"16_예천 신규점","",IF('⑨ 구배 자동계산'!I19="","",'⑨ 구배 자동계산'!I19))</f>
        <v/>
      </c>
      <c r="D26" s="44" t="str">
        <f>IF('⑨ 구배 자동계산'!$B$4&lt;&gt;"16_예천 신규점","",IF('⑨ 구배 자동계산'!J19="","",'⑨ 구배 자동계산'!J19))</f>
        <v/>
      </c>
      <c r="E26" s="32" t="str">
        <f>IF('⑨ 구배 자동계산'!$B$4&lt;&gt;"16_예천 신규점","",IF('⑨ 구배 자동계산'!K19="","",'⑨ 구배 자동계산'!K19))</f>
        <v/>
      </c>
      <c r="F26" s="44" t="str">
        <f>IF('⑨ 구배 자동계산'!$B$4&lt;&gt;"16_예천 신규점","",IF('⑨ 구배 자동계산'!L19="","",'⑨ 구배 자동계산'!L19))</f>
        <v/>
      </c>
      <c r="G26" s="32" t="str">
        <f>IF('⑨ 구배 자동계산'!$B$4&lt;&gt;"16_예천 신규점","",IF('⑨ 구배 자동계산'!M19="","",'⑨ 구배 자동계산'!M19))</f>
        <v/>
      </c>
      <c r="H26" s="44" t="str">
        <f>IF('⑨ 구배 자동계산'!$B$4&lt;&gt;"16_예천 신규점","",IF('⑨ 구배 자동계산'!N19="","",'⑨ 구배 자동계산'!N19))</f>
        <v/>
      </c>
      <c r="I26" s="32" t="str">
        <f>IF('⑨ 구배 자동계산'!$B$4&lt;&gt;"16_예천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자동계산'!$B$4&lt;&gt;"16_예천 신규점","",IF('⑨ 구배 자동계산'!H20="","",'⑨ 구배 자동계산'!H20))</f>
        <v/>
      </c>
      <c r="C27" s="41" t="str">
        <f>IF('⑨ 구배 자동계산'!$B$4&lt;&gt;"16_예천 신규점","",IF('⑨ 구배 자동계산'!I20="","",'⑨ 구배 자동계산'!I20))</f>
        <v/>
      </c>
      <c r="D27" s="45" t="str">
        <f>IF('⑨ 구배 자동계산'!$B$4&lt;&gt;"16_예천 신규점","",IF('⑨ 구배 자동계산'!J20="","",'⑨ 구배 자동계산'!J20))</f>
        <v/>
      </c>
      <c r="E27" s="41" t="str">
        <f>IF('⑨ 구배 자동계산'!$B$4&lt;&gt;"16_예천 신규점","",IF('⑨ 구배 자동계산'!K20="","",'⑨ 구배 자동계산'!K20))</f>
        <v/>
      </c>
      <c r="F27" s="45" t="str">
        <f>IF('⑨ 구배 자동계산'!$B$4&lt;&gt;"16_예천 신규점","",IF('⑨ 구배 자동계산'!L20="","",'⑨ 구배 자동계산'!L20))</f>
        <v/>
      </c>
      <c r="G27" s="41" t="str">
        <f>IF('⑨ 구배 자동계산'!$B$4&lt;&gt;"16_예천 신규점","",IF('⑨ 구배 자동계산'!M20="","",'⑨ 구배 자동계산'!M20))</f>
        <v/>
      </c>
      <c r="H27" s="45" t="str">
        <f>IF('⑨ 구배 자동계산'!$B$4&lt;&gt;"16_예천 신규점","",IF('⑨ 구배 자동계산'!N20="","",'⑨ 구배 자동계산'!N20))</f>
        <v/>
      </c>
      <c r="I27" s="41" t="str">
        <f>IF('⑨ 구배 자동계산'!$B$4&lt;&gt;"16_예천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자동계산'!$B$4&lt;&gt;"16_예천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자동계산'!$B$4&lt;&gt;"16_예천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자동계산'!$B$4&lt;&gt;"16_예천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자동계산'!$B$4&lt;&gt;"16_예천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자동계산'!$B$4&lt;&gt;"16_예천 신규점","",IF('⑨ 구배 자동계산'!I23="","",'⑨ 구배 자동계산'!I23))</f>
        <v/>
      </c>
      <c r="D42" s="8"/>
      <c r="E42" s="8"/>
      <c r="F42" s="8"/>
      <c r="G42" s="92" t="str">
        <f>IF('⑨ 구배 자동계산'!$B$4&lt;&gt;"16_예천 신규점","",IF('⑨ 구배 자동계산'!$J23="","",'⑨ 구배 자동계산'!$J23&amp;"  ·  "&amp;'⑨ 구배 자동계산'!$L23))</f>
        <v/>
      </c>
      <c r="H42" s="93"/>
      <c r="I42" s="93"/>
    </row>
    <row r="43" spans="1:35" ht="19.95" customHeight="1" x14ac:dyDescent="0.4">
      <c r="A43" s="8">
        <v>3</v>
      </c>
      <c r="B43" s="33">
        <v>140</v>
      </c>
      <c r="C43" s="32" t="str">
        <f>IF('⑨ 구배 자동계산'!$B$4&lt;&gt;"16_예천 신규점","",IF('⑨ 구배 자동계산'!I24="","",'⑨ 구배 자동계산'!I24))</f>
        <v/>
      </c>
      <c r="D43" s="34">
        <f>IF(COUNT(B43,B42)&lt;2,"",(B42-B43)/100)</f>
        <v>0.45</v>
      </c>
      <c r="E43" s="35" t="str">
        <f>IF(COUNT(C43,C42)&lt;2,"",C43-C42)</f>
        <v/>
      </c>
      <c r="F43" s="36" t="str">
        <f>IF(OR(D43="",E43="",D43=0),"",E43/D43)</f>
        <v/>
      </c>
      <c r="G43" s="92" t="str">
        <f>IF('⑨ 구배 자동계산'!$B$4&lt;&gt;"16_예천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자동계산'!$B$4&lt;&gt;"16_예천 신규점","",IF('⑨ 구배 자동계산'!I25="","",'⑨ 구배 자동계산'!I25))</f>
        <v/>
      </c>
      <c r="D44" s="34">
        <f>IF(COUNT(B44,B43)&lt;2,"",(B43-B44)/100)</f>
        <v>0.45</v>
      </c>
      <c r="E44" s="35" t="str">
        <f>IF(COUNT(C44,C43)&lt;2,"",C44-C43)</f>
        <v/>
      </c>
      <c r="F44" s="36" t="str">
        <f>IF(OR(D44="",E44="",D44=0),"",E44/D44)</f>
        <v/>
      </c>
      <c r="G44" s="92" t="str">
        <f>IF('⑨ 구배 자동계산'!$B$4&lt;&gt;"16_예천 신규점","",IF('⑨ 구배 자동계산'!$J25="","",'⑨ 구배 자동계산'!$J25&amp;"  ·  "&amp;'⑨ 구배 자동계산'!$L25))</f>
        <v/>
      </c>
      <c r="H44" s="93"/>
      <c r="I44" s="93"/>
    </row>
    <row r="45" spans="1:35" ht="19.95" customHeight="1" x14ac:dyDescent="0.4">
      <c r="A45" s="8">
        <v>1</v>
      </c>
      <c r="B45" s="33">
        <v>50</v>
      </c>
      <c r="C45" s="32" t="str">
        <f>IF('⑨ 구배 자동계산'!$B$4&lt;&gt;"16_예천 신규점","",IF('⑨ 구배 자동계산'!I26="","",'⑨ 구배 자동계산'!I26))</f>
        <v/>
      </c>
      <c r="D45" s="34">
        <f>IF(COUNT(B45,B44)&lt;2,"",(B44-B45)/100)</f>
        <v>0.45</v>
      </c>
      <c r="E45" s="35" t="str">
        <f>IF(COUNT(C45,C44)&lt;2,"",C45-C44)</f>
        <v/>
      </c>
      <c r="F45" s="36" t="str">
        <f>IF(OR(D45="",E45="",D45=0),"",E45/D45)</f>
        <v/>
      </c>
      <c r="G45" s="92" t="str">
        <f>IF('⑨ 구배 자동계산'!$B$4&lt;&gt;"16_예천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IF(COUNT(B50,E50)&lt;2,"",ROUND(SQRT(((128.494519-E50)*111320*COS(RADIANS(36.50939)))^2+((36.50939-B50)*110574)^2),1))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S16-P0a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74" priority="1">
      <formula>AND(ISNUMBER(C31),C31&gt;50)</formula>
    </cfRule>
  </conditionalFormatting>
  <conditionalFormatting sqref="D7">
    <cfRule type="expression" dxfId="173" priority="3" stopIfTrue="1">
      <formula>AND($D$7&lt;&gt;"",VALUE(LEFT($D$7,1))&lt;5)</formula>
    </cfRule>
    <cfRule type="expression" dxfId="172" priority="4" stopIfTrue="1">
      <formula>AND($D$7&lt;&gt;"",VALUE(LEFT($D$7,1))&gt;=5)</formula>
    </cfRule>
  </conditionalFormatting>
  <conditionalFormatting sqref="E7">
    <cfRule type="expression" dxfId="171" priority="5" stopIfTrue="1">
      <formula>AND($E$7&lt;&gt;"",VALUE(LEFT($E$7,1))&lt;5)</formula>
    </cfRule>
    <cfRule type="expression" dxfId="17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A4AF42E2-CD4D-4448-85B9-06AA502D7F10}">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7B87FBD5-EAC8-4B99-9E53-F3CA99060AAA}">
      <formula1>DATE(2026,1,1)</formula1>
      <formula2>DATE(2027,12,31)</formula2>
    </dataValidation>
    <dataValidation type="list" allowBlank="1" sqref="C7" xr:uid="{65AA5137-0190-4E33-821F-139EE4FA5654}">
      <formula1>"맑음,구름 조금,흐림,비,눈,바람 강함"</formula1>
    </dataValidation>
    <dataValidation type="list" allowBlank="1" sqref="H50" xr:uid="{196EF8D7-854F-4170-AAC5-B6601F10D86B}">
      <formula1>"RTK-GNSS,네트워크RTK,정적GNSS,휴대GNSS"</formula1>
    </dataValidation>
    <dataValidation type="list" allowBlank="1" sqref="B109" xr:uid="{70D3DDD9-8906-4686-978A-8844A2C2428C}">
      <formula1>"동일,조정"</formula1>
    </dataValidation>
    <dataValidation type="list" allowBlank="1" showInputMessage="1" showErrorMessage="1" sqref="F56:F57" xr:uid="{A04095F0-C86C-4ABD-AF4B-3AFEAE118AE5}">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&amp;RS16 예천 신규점</oddHeader>
    <oddFooter>&amp;C&amp;9 &amp;P / &amp;N</oddFooter>
  </headerFooter>
  <rowBreaks count="3" manualBreakCount="3">
    <brk id="38" max="16383" man="1"/>
    <brk id="58" max="16383" man="1"/>
    <brk id="106"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4B56-937B-4B87-8B80-BE092C4BA0E1}">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413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414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415</v>
      </c>
      <c r="B3" s="68"/>
      <c r="C3" s="68"/>
      <c r="D3" s="68"/>
      <c r="E3" s="68"/>
      <c r="F3" s="8" t="s">
        <v>154</v>
      </c>
      <c r="G3" s="6"/>
      <c r="H3" s="8" t="s">
        <v>155</v>
      </c>
      <c r="I3" s="9" t="s">
        <v>416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자동계산'!$B$4="17_영양 신규점4","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자동계산'!$B$4&lt;&gt;"17_영양 신규점4","",IF('⑨ 구배 자동계산'!H9="","",'⑨ 구배 자동계산'!H9))</f>
        <v/>
      </c>
      <c r="C16" s="30" t="str">
        <f>IF('⑨ 구배 자동계산'!$B$4&lt;&gt;"17_영양 신규점4","",IF('⑨ 구배 자동계산'!I9="","",'⑨ 구배 자동계산'!I9))</f>
        <v/>
      </c>
      <c r="D16" s="43" t="str">
        <f>IF('⑨ 구배 자동계산'!$B$4&lt;&gt;"17_영양 신규점4","",IF('⑨ 구배 자동계산'!J9="","",'⑨ 구배 자동계산'!J9))</f>
        <v/>
      </c>
      <c r="E16" s="30" t="str">
        <f>IF('⑨ 구배 자동계산'!$B$4&lt;&gt;"17_영양 신규점4","",IF('⑨ 구배 자동계산'!K9="","",'⑨ 구배 자동계산'!K9))</f>
        <v/>
      </c>
      <c r="F16" s="43" t="str">
        <f>IF('⑨ 구배 자동계산'!$B$4&lt;&gt;"17_영양 신규점4","",IF('⑨ 구배 자동계산'!L9="","",'⑨ 구배 자동계산'!L9))</f>
        <v/>
      </c>
      <c r="G16" s="30" t="str">
        <f>IF('⑨ 구배 자동계산'!$B$4&lt;&gt;"17_영양 신규점4","",IF('⑨ 구배 자동계산'!M9="","",'⑨ 구배 자동계산'!M9))</f>
        <v/>
      </c>
      <c r="H16" s="43" t="str">
        <f>IF('⑨ 구배 자동계산'!$B$4&lt;&gt;"17_영양 신규점4","",IF('⑨ 구배 자동계산'!N9="","",'⑨ 구배 자동계산'!N9))</f>
        <v/>
      </c>
      <c r="I16" s="30" t="str">
        <f>IF('⑨ 구배 자동계산'!$B$4&lt;&gt;"17_영양 신규점4","",IF('⑨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자동계산'!$B$4&lt;&gt;"17_영양 신규점4","",IF('⑨ 구배 자동계산'!H10="","",'⑨ 구배 자동계산'!H10))</f>
        <v/>
      </c>
      <c r="C17" s="32" t="str">
        <f>IF('⑨ 구배 자동계산'!$B$4&lt;&gt;"17_영양 신규점4","",IF('⑨ 구배 자동계산'!I10="","",'⑨ 구배 자동계산'!I10))</f>
        <v/>
      </c>
      <c r="D17" s="44" t="str">
        <f>IF('⑨ 구배 자동계산'!$B$4&lt;&gt;"17_영양 신규점4","",IF('⑨ 구배 자동계산'!J10="","",'⑨ 구배 자동계산'!J10))</f>
        <v/>
      </c>
      <c r="E17" s="32" t="str">
        <f>IF('⑨ 구배 자동계산'!$B$4&lt;&gt;"17_영양 신규점4","",IF('⑨ 구배 자동계산'!K10="","",'⑨ 구배 자동계산'!K10))</f>
        <v/>
      </c>
      <c r="F17" s="44" t="str">
        <f>IF('⑨ 구배 자동계산'!$B$4&lt;&gt;"17_영양 신규점4","",IF('⑨ 구배 자동계산'!L10="","",'⑨ 구배 자동계산'!L10))</f>
        <v/>
      </c>
      <c r="G17" s="32" t="str">
        <f>IF('⑨ 구배 자동계산'!$B$4&lt;&gt;"17_영양 신규점4","",IF('⑨ 구배 자동계산'!M10="","",'⑨ 구배 자동계산'!M10))</f>
        <v/>
      </c>
      <c r="H17" s="44" t="str">
        <f>IF('⑨ 구배 자동계산'!$B$4&lt;&gt;"17_영양 신규점4","",IF('⑨ 구배 자동계산'!N10="","",'⑨ 구배 자동계산'!N10))</f>
        <v/>
      </c>
      <c r="I17" s="32" t="str">
        <f>IF('⑨ 구배 자동계산'!$B$4&lt;&gt;"17_영양 신규점4","",IF('⑨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자동계산'!$B$4&lt;&gt;"17_영양 신규점4","",IF('⑨ 구배 자동계산'!H11="","",'⑨ 구배 자동계산'!H11))</f>
        <v/>
      </c>
      <c r="C18" s="32" t="str">
        <f>IF('⑨ 구배 자동계산'!$B$4&lt;&gt;"17_영양 신규점4","",IF('⑨ 구배 자동계산'!I11="","",'⑨ 구배 자동계산'!I11))</f>
        <v/>
      </c>
      <c r="D18" s="44" t="str">
        <f>IF('⑨ 구배 자동계산'!$B$4&lt;&gt;"17_영양 신규점4","",IF('⑨ 구배 자동계산'!J11="","",'⑨ 구배 자동계산'!J11))</f>
        <v/>
      </c>
      <c r="E18" s="32" t="str">
        <f>IF('⑨ 구배 자동계산'!$B$4&lt;&gt;"17_영양 신규점4","",IF('⑨ 구배 자동계산'!K11="","",'⑨ 구배 자동계산'!K11))</f>
        <v/>
      </c>
      <c r="F18" s="44" t="str">
        <f>IF('⑨ 구배 자동계산'!$B$4&lt;&gt;"17_영양 신규점4","",IF('⑨ 구배 자동계산'!L11="","",'⑨ 구배 자동계산'!L11))</f>
        <v/>
      </c>
      <c r="G18" s="32" t="str">
        <f>IF('⑨ 구배 자동계산'!$B$4&lt;&gt;"17_영양 신규점4","",IF('⑨ 구배 자동계산'!M11="","",'⑨ 구배 자동계산'!M11))</f>
        <v/>
      </c>
      <c r="H18" s="44" t="str">
        <f>IF('⑨ 구배 자동계산'!$B$4&lt;&gt;"17_영양 신규점4","",IF('⑨ 구배 자동계산'!N11="","",'⑨ 구배 자동계산'!N11))</f>
        <v/>
      </c>
      <c r="I18" s="32" t="str">
        <f>IF('⑨ 구배 자동계산'!$B$4&lt;&gt;"17_영양 신규점4","",IF('⑨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자동계산'!$B$4&lt;&gt;"17_영양 신규점4","",IF('⑨ 구배 자동계산'!H12="","",'⑨ 구배 자동계산'!H12))</f>
        <v/>
      </c>
      <c r="C19" s="32" t="str">
        <f>IF('⑨ 구배 자동계산'!$B$4&lt;&gt;"17_영양 신규점4","",IF('⑨ 구배 자동계산'!I12="","",'⑨ 구배 자동계산'!I12))</f>
        <v/>
      </c>
      <c r="D19" s="44" t="str">
        <f>IF('⑨ 구배 자동계산'!$B$4&lt;&gt;"17_영양 신규점4","",IF('⑨ 구배 자동계산'!J12="","",'⑨ 구배 자동계산'!J12))</f>
        <v/>
      </c>
      <c r="E19" s="32" t="str">
        <f>IF('⑨ 구배 자동계산'!$B$4&lt;&gt;"17_영양 신규점4","",IF('⑨ 구배 자동계산'!K12="","",'⑨ 구배 자동계산'!K12))</f>
        <v/>
      </c>
      <c r="F19" s="44" t="str">
        <f>IF('⑨ 구배 자동계산'!$B$4&lt;&gt;"17_영양 신규점4","",IF('⑨ 구배 자동계산'!L12="","",'⑨ 구배 자동계산'!L12))</f>
        <v/>
      </c>
      <c r="G19" s="32" t="str">
        <f>IF('⑨ 구배 자동계산'!$B$4&lt;&gt;"17_영양 신규점4","",IF('⑨ 구배 자동계산'!M12="","",'⑨ 구배 자동계산'!M12))</f>
        <v/>
      </c>
      <c r="H19" s="44" t="str">
        <f>IF('⑨ 구배 자동계산'!$B$4&lt;&gt;"17_영양 신규점4","",IF('⑨ 구배 자동계산'!N12="","",'⑨ 구배 자동계산'!N12))</f>
        <v/>
      </c>
      <c r="I19" s="32" t="str">
        <f>IF('⑨ 구배 자동계산'!$B$4&lt;&gt;"17_영양 신규점4","",IF('⑨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자동계산'!$B$4&lt;&gt;"17_영양 신규점4","",IF('⑨ 구배 자동계산'!H13="","",'⑨ 구배 자동계산'!H13))</f>
        <v/>
      </c>
      <c r="C20" s="32" t="str">
        <f>IF('⑨ 구배 자동계산'!$B$4&lt;&gt;"17_영양 신규점4","",IF('⑨ 구배 자동계산'!I13="","",'⑨ 구배 자동계산'!I13))</f>
        <v/>
      </c>
      <c r="D20" s="44" t="str">
        <f>IF('⑨ 구배 자동계산'!$B$4&lt;&gt;"17_영양 신규점4","",IF('⑨ 구배 자동계산'!J13="","",'⑨ 구배 자동계산'!J13))</f>
        <v/>
      </c>
      <c r="E20" s="32" t="str">
        <f>IF('⑨ 구배 자동계산'!$B$4&lt;&gt;"17_영양 신규점4","",IF('⑨ 구배 자동계산'!K13="","",'⑨ 구배 자동계산'!K13))</f>
        <v/>
      </c>
      <c r="F20" s="44" t="str">
        <f>IF('⑨ 구배 자동계산'!$B$4&lt;&gt;"17_영양 신규점4","",IF('⑨ 구배 자동계산'!L13="","",'⑨ 구배 자동계산'!L13))</f>
        <v/>
      </c>
      <c r="G20" s="32" t="str">
        <f>IF('⑨ 구배 자동계산'!$B$4&lt;&gt;"17_영양 신규점4","",IF('⑨ 구배 자동계산'!M13="","",'⑨ 구배 자동계산'!M13))</f>
        <v/>
      </c>
      <c r="H20" s="44" t="str">
        <f>IF('⑨ 구배 자동계산'!$B$4&lt;&gt;"17_영양 신규점4","",IF('⑨ 구배 자동계산'!N13="","",'⑨ 구배 자동계산'!N13))</f>
        <v/>
      </c>
      <c r="I20" s="32" t="str">
        <f>IF('⑨ 구배 자동계산'!$B$4&lt;&gt;"17_영양 신규점4","",IF('⑨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자동계산'!$B$4&lt;&gt;"17_영양 신규점4","",IF('⑨ 구배 자동계산'!H14="","",'⑨ 구배 자동계산'!H14))</f>
        <v/>
      </c>
      <c r="C21" s="32" t="str">
        <f>IF('⑨ 구배 자동계산'!$B$4&lt;&gt;"17_영양 신규점4","",IF('⑨ 구배 자동계산'!I14="","",'⑨ 구배 자동계산'!I14))</f>
        <v/>
      </c>
      <c r="D21" s="44" t="str">
        <f>IF('⑨ 구배 자동계산'!$B$4&lt;&gt;"17_영양 신규점4","",IF('⑨ 구배 자동계산'!J14="","",'⑨ 구배 자동계산'!J14))</f>
        <v/>
      </c>
      <c r="E21" s="32" t="str">
        <f>IF('⑨ 구배 자동계산'!$B$4&lt;&gt;"17_영양 신규점4","",IF('⑨ 구배 자동계산'!K14="","",'⑨ 구배 자동계산'!K14))</f>
        <v/>
      </c>
      <c r="F21" s="44" t="str">
        <f>IF('⑨ 구배 자동계산'!$B$4&lt;&gt;"17_영양 신규점4","",IF('⑨ 구배 자동계산'!L14="","",'⑨ 구배 자동계산'!L14))</f>
        <v/>
      </c>
      <c r="G21" s="32" t="str">
        <f>IF('⑨ 구배 자동계산'!$B$4&lt;&gt;"17_영양 신규점4","",IF('⑨ 구배 자동계산'!M14="","",'⑨ 구배 자동계산'!M14))</f>
        <v/>
      </c>
      <c r="H21" s="44" t="str">
        <f>IF('⑨ 구배 자동계산'!$B$4&lt;&gt;"17_영양 신규점4","",IF('⑨ 구배 자동계산'!N14="","",'⑨ 구배 자동계산'!N14))</f>
        <v/>
      </c>
      <c r="I21" s="32" t="str">
        <f>IF('⑨ 구배 자동계산'!$B$4&lt;&gt;"17_영양 신규점4","",IF('⑨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자동계산'!$B$4&lt;&gt;"17_영양 신규점4","",IF('⑨ 구배 자동계산'!H15="","",'⑨ 구배 자동계산'!H15))</f>
        <v/>
      </c>
      <c r="C22" s="32" t="str">
        <f>IF('⑨ 구배 자동계산'!$B$4&lt;&gt;"17_영양 신규점4","",IF('⑨ 구배 자동계산'!I15="","",'⑨ 구배 자동계산'!I15))</f>
        <v/>
      </c>
      <c r="D22" s="44" t="str">
        <f>IF('⑨ 구배 자동계산'!$B$4&lt;&gt;"17_영양 신규점4","",IF('⑨ 구배 자동계산'!J15="","",'⑨ 구배 자동계산'!J15))</f>
        <v/>
      </c>
      <c r="E22" s="32" t="str">
        <f>IF('⑨ 구배 자동계산'!$B$4&lt;&gt;"17_영양 신규점4","",IF('⑨ 구배 자동계산'!K15="","",'⑨ 구배 자동계산'!K15))</f>
        <v/>
      </c>
      <c r="F22" s="44" t="str">
        <f>IF('⑨ 구배 자동계산'!$B$4&lt;&gt;"17_영양 신규점4","",IF('⑨ 구배 자동계산'!L15="","",'⑨ 구배 자동계산'!L15))</f>
        <v/>
      </c>
      <c r="G22" s="32" t="str">
        <f>IF('⑨ 구배 자동계산'!$B$4&lt;&gt;"17_영양 신규점4","",IF('⑨ 구배 자동계산'!M15="","",'⑨ 구배 자동계산'!M15))</f>
        <v/>
      </c>
      <c r="H22" s="44" t="str">
        <f>IF('⑨ 구배 자동계산'!$B$4&lt;&gt;"17_영양 신규점4","",IF('⑨ 구배 자동계산'!N15="","",'⑨ 구배 자동계산'!N15))</f>
        <v/>
      </c>
      <c r="I22" s="32" t="str">
        <f>IF('⑨ 구배 자동계산'!$B$4&lt;&gt;"17_영양 신규점4","",IF('⑨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자동계산'!$B$4&lt;&gt;"17_영양 신규점4","",IF('⑨ 구배 자동계산'!H16="","",'⑨ 구배 자동계산'!H16))</f>
        <v/>
      </c>
      <c r="C23" s="32" t="str">
        <f>IF('⑨ 구배 자동계산'!$B$4&lt;&gt;"17_영양 신규점4","",IF('⑨ 구배 자동계산'!I16="","",'⑨ 구배 자동계산'!I16))</f>
        <v/>
      </c>
      <c r="D23" s="44" t="str">
        <f>IF('⑨ 구배 자동계산'!$B$4&lt;&gt;"17_영양 신규점4","",IF('⑨ 구배 자동계산'!J16="","",'⑨ 구배 자동계산'!J16))</f>
        <v/>
      </c>
      <c r="E23" s="32" t="str">
        <f>IF('⑨ 구배 자동계산'!$B$4&lt;&gt;"17_영양 신규점4","",IF('⑨ 구배 자동계산'!K16="","",'⑨ 구배 자동계산'!K16))</f>
        <v/>
      </c>
      <c r="F23" s="44" t="str">
        <f>IF('⑨ 구배 자동계산'!$B$4&lt;&gt;"17_영양 신규점4","",IF('⑨ 구배 자동계산'!L16="","",'⑨ 구배 자동계산'!L16))</f>
        <v/>
      </c>
      <c r="G23" s="32" t="str">
        <f>IF('⑨ 구배 자동계산'!$B$4&lt;&gt;"17_영양 신규점4","",IF('⑨ 구배 자동계산'!M16="","",'⑨ 구배 자동계산'!M16))</f>
        <v/>
      </c>
      <c r="H23" s="44" t="str">
        <f>IF('⑨ 구배 자동계산'!$B$4&lt;&gt;"17_영양 신규점4","",IF('⑨ 구배 자동계산'!N16="","",'⑨ 구배 자동계산'!N16))</f>
        <v/>
      </c>
      <c r="I23" s="32" t="str">
        <f>IF('⑨ 구배 자동계산'!$B$4&lt;&gt;"17_영양 신규점4","",IF('⑨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자동계산'!$B$4&lt;&gt;"17_영양 신규점4","",IF('⑨ 구배 자동계산'!H17="","",'⑨ 구배 자동계산'!H17))</f>
        <v/>
      </c>
      <c r="C24" s="32" t="str">
        <f>IF('⑨ 구배 자동계산'!$B$4&lt;&gt;"17_영양 신규점4","",IF('⑨ 구배 자동계산'!I17="","",'⑨ 구배 자동계산'!I17))</f>
        <v/>
      </c>
      <c r="D24" s="44" t="str">
        <f>IF('⑨ 구배 자동계산'!$B$4&lt;&gt;"17_영양 신규점4","",IF('⑨ 구배 자동계산'!J17="","",'⑨ 구배 자동계산'!J17))</f>
        <v/>
      </c>
      <c r="E24" s="32" t="str">
        <f>IF('⑨ 구배 자동계산'!$B$4&lt;&gt;"17_영양 신규점4","",IF('⑨ 구배 자동계산'!K17="","",'⑨ 구배 자동계산'!K17))</f>
        <v/>
      </c>
      <c r="F24" s="44" t="str">
        <f>IF('⑨ 구배 자동계산'!$B$4&lt;&gt;"17_영양 신규점4","",IF('⑨ 구배 자동계산'!L17="","",'⑨ 구배 자동계산'!L17))</f>
        <v/>
      </c>
      <c r="G24" s="32" t="str">
        <f>IF('⑨ 구배 자동계산'!$B$4&lt;&gt;"17_영양 신규점4","",IF('⑨ 구배 자동계산'!M17="","",'⑨ 구배 자동계산'!M17))</f>
        <v/>
      </c>
      <c r="H24" s="44" t="str">
        <f>IF('⑨ 구배 자동계산'!$B$4&lt;&gt;"17_영양 신규점4","",IF('⑨ 구배 자동계산'!N17="","",'⑨ 구배 자동계산'!N17))</f>
        <v/>
      </c>
      <c r="I24" s="32" t="str">
        <f>IF('⑨ 구배 자동계산'!$B$4&lt;&gt;"17_영양 신규점4","",IF('⑨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자동계산'!$B$4&lt;&gt;"17_영양 신규점4","",IF('⑨ 구배 자동계산'!H18="","",'⑨ 구배 자동계산'!H18))</f>
        <v/>
      </c>
      <c r="C25" s="32" t="str">
        <f>IF('⑨ 구배 자동계산'!$B$4&lt;&gt;"17_영양 신규점4","",IF('⑨ 구배 자동계산'!I18="","",'⑨ 구배 자동계산'!I18))</f>
        <v/>
      </c>
      <c r="D25" s="44" t="str">
        <f>IF('⑨ 구배 자동계산'!$B$4&lt;&gt;"17_영양 신규점4","",IF('⑨ 구배 자동계산'!J18="","",'⑨ 구배 자동계산'!J18))</f>
        <v/>
      </c>
      <c r="E25" s="32" t="str">
        <f>IF('⑨ 구배 자동계산'!$B$4&lt;&gt;"17_영양 신규점4","",IF('⑨ 구배 자동계산'!K18="","",'⑨ 구배 자동계산'!K18))</f>
        <v/>
      </c>
      <c r="F25" s="44" t="str">
        <f>IF('⑨ 구배 자동계산'!$B$4&lt;&gt;"17_영양 신규점4","",IF('⑨ 구배 자동계산'!L18="","",'⑨ 구배 자동계산'!L18))</f>
        <v/>
      </c>
      <c r="G25" s="32" t="str">
        <f>IF('⑨ 구배 자동계산'!$B$4&lt;&gt;"17_영양 신규점4","",IF('⑨ 구배 자동계산'!M18="","",'⑨ 구배 자동계산'!M18))</f>
        <v/>
      </c>
      <c r="H25" s="44" t="str">
        <f>IF('⑨ 구배 자동계산'!$B$4&lt;&gt;"17_영양 신규점4","",IF('⑨ 구배 자동계산'!N18="","",'⑨ 구배 자동계산'!N18))</f>
        <v/>
      </c>
      <c r="I25" s="32" t="str">
        <f>IF('⑨ 구배 자동계산'!$B$4&lt;&gt;"17_영양 신규점4","",IF('⑨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자동계산'!$B$4&lt;&gt;"17_영양 신규점4","",IF('⑨ 구배 자동계산'!H19="","",'⑨ 구배 자동계산'!H19))</f>
        <v/>
      </c>
      <c r="C26" s="32" t="str">
        <f>IF('⑨ 구배 자동계산'!$B$4&lt;&gt;"17_영양 신규점4","",IF('⑨ 구배 자동계산'!I19="","",'⑨ 구배 자동계산'!I19))</f>
        <v/>
      </c>
      <c r="D26" s="44" t="str">
        <f>IF('⑨ 구배 자동계산'!$B$4&lt;&gt;"17_영양 신규점4","",IF('⑨ 구배 자동계산'!J19="","",'⑨ 구배 자동계산'!J19))</f>
        <v/>
      </c>
      <c r="E26" s="32" t="str">
        <f>IF('⑨ 구배 자동계산'!$B$4&lt;&gt;"17_영양 신규점4","",IF('⑨ 구배 자동계산'!K19="","",'⑨ 구배 자동계산'!K19))</f>
        <v/>
      </c>
      <c r="F26" s="44" t="str">
        <f>IF('⑨ 구배 자동계산'!$B$4&lt;&gt;"17_영양 신규점4","",IF('⑨ 구배 자동계산'!L19="","",'⑨ 구배 자동계산'!L19))</f>
        <v/>
      </c>
      <c r="G26" s="32" t="str">
        <f>IF('⑨ 구배 자동계산'!$B$4&lt;&gt;"17_영양 신규점4","",IF('⑨ 구배 자동계산'!M19="","",'⑨ 구배 자동계산'!M19))</f>
        <v/>
      </c>
      <c r="H26" s="44" t="str">
        <f>IF('⑨ 구배 자동계산'!$B$4&lt;&gt;"17_영양 신규점4","",IF('⑨ 구배 자동계산'!N19="","",'⑨ 구배 자동계산'!N19))</f>
        <v/>
      </c>
      <c r="I26" s="32" t="str">
        <f>IF('⑨ 구배 자동계산'!$B$4&lt;&gt;"17_영양 신규점4","",IF('⑨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자동계산'!$B$4&lt;&gt;"17_영양 신규점4","",IF('⑨ 구배 자동계산'!H20="","",'⑨ 구배 자동계산'!H20))</f>
        <v/>
      </c>
      <c r="C27" s="41" t="str">
        <f>IF('⑨ 구배 자동계산'!$B$4&lt;&gt;"17_영양 신규점4","",IF('⑨ 구배 자동계산'!I20="","",'⑨ 구배 자동계산'!I20))</f>
        <v/>
      </c>
      <c r="D27" s="45" t="str">
        <f>IF('⑨ 구배 자동계산'!$B$4&lt;&gt;"17_영양 신규점4","",IF('⑨ 구배 자동계산'!J20="","",'⑨ 구배 자동계산'!J20))</f>
        <v/>
      </c>
      <c r="E27" s="41" t="str">
        <f>IF('⑨ 구배 자동계산'!$B$4&lt;&gt;"17_영양 신규점4","",IF('⑨ 구배 자동계산'!K20="","",'⑨ 구배 자동계산'!K20))</f>
        <v/>
      </c>
      <c r="F27" s="45" t="str">
        <f>IF('⑨ 구배 자동계산'!$B$4&lt;&gt;"17_영양 신규점4","",IF('⑨ 구배 자동계산'!L20="","",'⑨ 구배 자동계산'!L20))</f>
        <v/>
      </c>
      <c r="G27" s="41" t="str">
        <f>IF('⑨ 구배 자동계산'!$B$4&lt;&gt;"17_영양 신규점4","",IF('⑨ 구배 자동계산'!M20="","",'⑨ 구배 자동계산'!M20))</f>
        <v/>
      </c>
      <c r="H27" s="45" t="str">
        <f>IF('⑨ 구배 자동계산'!$B$4&lt;&gt;"17_영양 신규점4","",IF('⑨ 구배 자동계산'!N20="","",'⑨ 구배 자동계산'!N20))</f>
        <v/>
      </c>
      <c r="I27" s="41" t="str">
        <f>IF('⑨ 구배 자동계산'!$B$4&lt;&gt;"17_영양 신규점4","",IF('⑨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자동계산'!$B$4&lt;&gt;"17_영양 신규점4","",IF('⑨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자동계산'!$B$4&lt;&gt;"17_영양 신규점4","",IF('⑨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자동계산'!$B$4&lt;&gt;"17_영양 신규점4","",IF('⑨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자동계산'!$B$4&lt;&gt;"17_영양 신규점4","",IF('⑨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자동계산'!$B$4&lt;&gt;"17_영양 신규점4","",IF('⑨ 구배 자동계산'!I23="","",'⑨ 구배 자동계산'!I23))</f>
        <v/>
      </c>
      <c r="D42" s="8"/>
      <c r="E42" s="8"/>
      <c r="F42" s="8"/>
      <c r="G42" s="92" t="str">
        <f>IF('⑨ 구배 자동계산'!$B$4&lt;&gt;"17_영양 신규점4","",IF('⑨ 구배 자동계산'!$J23="","",'⑨ 구배 자동계산'!$J23&amp;"  ·  "&amp;'⑨ 구배 자동계산'!$L23))</f>
        <v/>
      </c>
      <c r="H42" s="93"/>
      <c r="I42" s="93"/>
    </row>
    <row r="43" spans="1:35" ht="19.95" customHeight="1" x14ac:dyDescent="0.4">
      <c r="A43" s="8">
        <v>3</v>
      </c>
      <c r="B43" s="33">
        <v>140</v>
      </c>
      <c r="C43" s="32" t="str">
        <f>IF('⑨ 구배 자동계산'!$B$4&lt;&gt;"17_영양 신규점4","",IF('⑨ 구배 자동계산'!I24="","",'⑨ 구배 자동계산'!I24))</f>
        <v/>
      </c>
      <c r="D43" s="34">
        <f>IF(COUNT(B43,B42)&lt;2,"",(B42-B43)/100)</f>
        <v>0.45</v>
      </c>
      <c r="E43" s="35" t="str">
        <f>IF(COUNT(C43,C42)&lt;2,"",C43-C42)</f>
        <v/>
      </c>
      <c r="F43" s="36" t="str">
        <f>IF(OR(D43="",E43="",D43=0),"",E43/D43)</f>
        <v/>
      </c>
      <c r="G43" s="92" t="str">
        <f>IF('⑨ 구배 자동계산'!$B$4&lt;&gt;"17_영양 신규점4","",IF('⑨ 구배 자동계산'!$J24="","",'⑨ 구배 자동계산'!$J24&amp;"  ·  "&amp;'⑨ 구배 자동계산'!$L24))</f>
        <v/>
      </c>
      <c r="H43" s="93"/>
      <c r="I43" s="93"/>
      <c r="AH43" t="s">
        <v>234</v>
      </c>
    </row>
    <row r="44" spans="1:35" ht="19.95" customHeight="1" x14ac:dyDescent="0.4">
      <c r="A44" s="8">
        <v>2</v>
      </c>
      <c r="B44" s="33">
        <v>95</v>
      </c>
      <c r="C44" s="32" t="str">
        <f>IF('⑨ 구배 자동계산'!$B$4&lt;&gt;"17_영양 신규점4","",IF('⑨ 구배 자동계산'!I25="","",'⑨ 구배 자동계산'!I25))</f>
        <v/>
      </c>
      <c r="D44" s="34">
        <f>IF(COUNT(B44,B43)&lt;2,"",(B43-B44)/100)</f>
        <v>0.45</v>
      </c>
      <c r="E44" s="35" t="str">
        <f>IF(COUNT(C44,C43)&lt;2,"",C44-C43)</f>
        <v/>
      </c>
      <c r="F44" s="36" t="str">
        <f>IF(OR(D44="",E44="",D44=0),"",E44/D44)</f>
        <v/>
      </c>
      <c r="G44" s="92" t="str">
        <f>IF('⑨ 구배 자동계산'!$B$4&lt;&gt;"17_영양 신규점4","",IF('⑨ 구배 자동계산'!$J25="","",'⑨ 구배 자동계산'!$J25&amp;"  ·  "&amp;'⑨ 구배 자동계산'!$L25))</f>
        <v/>
      </c>
      <c r="H44" s="93"/>
      <c r="I44" s="93"/>
    </row>
    <row r="45" spans="1:35" ht="19.95" customHeight="1" x14ac:dyDescent="0.4">
      <c r="A45" s="8">
        <v>1</v>
      </c>
      <c r="B45" s="33">
        <v>50</v>
      </c>
      <c r="C45" s="32" t="str">
        <f>IF('⑨ 구배 자동계산'!$B$4&lt;&gt;"17_영양 신규점4","",IF('⑨ 구배 자동계산'!I26="","",'⑨ 구배 자동계산'!I26))</f>
        <v/>
      </c>
      <c r="D45" s="34">
        <f>IF(COUNT(B45,B44)&lt;2,"",(B44-B45)/100)</f>
        <v>0.45</v>
      </c>
      <c r="E45" s="35" t="str">
        <f>IF(COUNT(C45,C44)&lt;2,"",C45-C44)</f>
        <v/>
      </c>
      <c r="F45" s="36" t="str">
        <f>IF(OR(D45="",E45="",D45=0),"",E45/D45)</f>
        <v/>
      </c>
      <c r="G45" s="92" t="str">
        <f>IF('⑨ 구배 자동계산'!$B$4&lt;&gt;"17_영양 신규점4","",IF('⑨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IF(COUNT(B50,E50)&lt;2,"",ROUND(SQRT(((129.181307-E50)*111320*COS(RADIANS(36.743626)))^2+((36.743626-B50)*110574)^2),1))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S17-P0a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69" priority="1">
      <formula>AND(ISNUMBER(C31),C31&gt;50)</formula>
    </cfRule>
  </conditionalFormatting>
  <conditionalFormatting sqref="D7">
    <cfRule type="expression" dxfId="168" priority="3" stopIfTrue="1">
      <formula>AND($D$7&lt;&gt;"",VALUE(LEFT($D$7,1))&lt;5)</formula>
    </cfRule>
    <cfRule type="expression" dxfId="167" priority="4" stopIfTrue="1">
      <formula>AND($D$7&lt;&gt;"",VALUE(LEFT($D$7,1))&gt;=5)</formula>
    </cfRule>
  </conditionalFormatting>
  <conditionalFormatting sqref="E7">
    <cfRule type="expression" dxfId="166" priority="5" stopIfTrue="1">
      <formula>AND($E$7&lt;&gt;"",VALUE(LEFT($E$7,1))&lt;5)</formula>
    </cfRule>
    <cfRule type="expression" dxfId="16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A4049A39-D58F-4A80-9BA5-CDC8BAFCB086}">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F106EC3F-0140-4930-BD04-431AEF5A96D5}">
      <formula1>DATE(2026,1,1)</formula1>
      <formula2>DATE(2027,12,31)</formula2>
    </dataValidation>
    <dataValidation type="list" allowBlank="1" sqref="C7" xr:uid="{BC15B12F-6C32-4E7F-A725-48272D349196}">
      <formula1>"맑음,구름 조금,흐림,비,눈,바람 강함"</formula1>
    </dataValidation>
    <dataValidation type="list" allowBlank="1" sqref="H50" xr:uid="{10731D6F-1B7A-4186-9618-2836C4F15687}">
      <formula1>"RTK-GNSS,네트워크RTK,정적GNSS,휴대GNSS"</formula1>
    </dataValidation>
    <dataValidation type="list" allowBlank="1" sqref="B109" xr:uid="{33970DC1-17EA-4EE2-807F-7ADC6BE344EE}">
      <formula1>"동일,조정"</formula1>
    </dataValidation>
    <dataValidation type="list" allowBlank="1" showInputMessage="1" showErrorMessage="1" sqref="F56:F57" xr:uid="{A0638933-6F27-4DE2-815C-C3CEF66D1FB1}">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&amp;RS17 영양 신규점4</oddHeader>
    <oddFooter>&amp;C&amp;9 &amp;P / &amp;N</oddFooter>
  </headerFooter>
  <rowBreaks count="3" manualBreakCount="3">
    <brk id="38" max="16383" man="1"/>
    <brk id="58" max="16383" man="1"/>
    <brk id="106"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661AB-9920-4A3F-ABF4-90910CBE9DA4}">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417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418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419</v>
      </c>
      <c r="B3" s="68"/>
      <c r="C3" s="68"/>
      <c r="D3" s="68"/>
      <c r="E3" s="68"/>
      <c r="F3" s="8" t="s">
        <v>154</v>
      </c>
      <c r="G3" s="6"/>
      <c r="H3" s="8" t="s">
        <v>155</v>
      </c>
      <c r="I3" s="9" t="s">
        <v>420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자동계산'!$B$4="18_통영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자동계산'!$B$4&lt;&gt;"18_통영 신규점","",IF('⑨ 구배 자동계산'!H9="","",'⑨ 구배 자동계산'!H9))</f>
        <v/>
      </c>
      <c r="C16" s="30" t="str">
        <f>IF('⑨ 구배 자동계산'!$B$4&lt;&gt;"18_통영 신규점","",IF('⑨ 구배 자동계산'!I9="","",'⑨ 구배 자동계산'!I9))</f>
        <v/>
      </c>
      <c r="D16" s="43" t="str">
        <f>IF('⑨ 구배 자동계산'!$B$4&lt;&gt;"18_통영 신규점","",IF('⑨ 구배 자동계산'!J9="","",'⑨ 구배 자동계산'!J9))</f>
        <v/>
      </c>
      <c r="E16" s="30" t="str">
        <f>IF('⑨ 구배 자동계산'!$B$4&lt;&gt;"18_통영 신규점","",IF('⑨ 구배 자동계산'!K9="","",'⑨ 구배 자동계산'!K9))</f>
        <v/>
      </c>
      <c r="F16" s="43" t="str">
        <f>IF('⑨ 구배 자동계산'!$B$4&lt;&gt;"18_통영 신규점","",IF('⑨ 구배 자동계산'!L9="","",'⑨ 구배 자동계산'!L9))</f>
        <v/>
      </c>
      <c r="G16" s="30" t="str">
        <f>IF('⑨ 구배 자동계산'!$B$4&lt;&gt;"18_통영 신규점","",IF('⑨ 구배 자동계산'!M9="","",'⑨ 구배 자동계산'!M9))</f>
        <v/>
      </c>
      <c r="H16" s="43" t="str">
        <f>IF('⑨ 구배 자동계산'!$B$4&lt;&gt;"18_통영 신규점","",IF('⑨ 구배 자동계산'!N9="","",'⑨ 구배 자동계산'!N9))</f>
        <v/>
      </c>
      <c r="I16" s="30" t="str">
        <f>IF('⑨ 구배 자동계산'!$B$4&lt;&gt;"18_통영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자동계산'!$B$4&lt;&gt;"18_통영 신규점","",IF('⑨ 구배 자동계산'!H10="","",'⑨ 구배 자동계산'!H10))</f>
        <v/>
      </c>
      <c r="C17" s="32" t="str">
        <f>IF('⑨ 구배 자동계산'!$B$4&lt;&gt;"18_통영 신규점","",IF('⑨ 구배 자동계산'!I10="","",'⑨ 구배 자동계산'!I10))</f>
        <v/>
      </c>
      <c r="D17" s="44" t="str">
        <f>IF('⑨ 구배 자동계산'!$B$4&lt;&gt;"18_통영 신규점","",IF('⑨ 구배 자동계산'!J10="","",'⑨ 구배 자동계산'!J10))</f>
        <v/>
      </c>
      <c r="E17" s="32" t="str">
        <f>IF('⑨ 구배 자동계산'!$B$4&lt;&gt;"18_통영 신규점","",IF('⑨ 구배 자동계산'!K10="","",'⑨ 구배 자동계산'!K10))</f>
        <v/>
      </c>
      <c r="F17" s="44" t="str">
        <f>IF('⑨ 구배 자동계산'!$B$4&lt;&gt;"18_통영 신규점","",IF('⑨ 구배 자동계산'!L10="","",'⑨ 구배 자동계산'!L10))</f>
        <v/>
      </c>
      <c r="G17" s="32" t="str">
        <f>IF('⑨ 구배 자동계산'!$B$4&lt;&gt;"18_통영 신규점","",IF('⑨ 구배 자동계산'!M10="","",'⑨ 구배 자동계산'!M10))</f>
        <v/>
      </c>
      <c r="H17" s="44" t="str">
        <f>IF('⑨ 구배 자동계산'!$B$4&lt;&gt;"18_통영 신규점","",IF('⑨ 구배 자동계산'!N10="","",'⑨ 구배 자동계산'!N10))</f>
        <v/>
      </c>
      <c r="I17" s="32" t="str">
        <f>IF('⑨ 구배 자동계산'!$B$4&lt;&gt;"18_통영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자동계산'!$B$4&lt;&gt;"18_통영 신규점","",IF('⑨ 구배 자동계산'!H11="","",'⑨ 구배 자동계산'!H11))</f>
        <v/>
      </c>
      <c r="C18" s="32" t="str">
        <f>IF('⑨ 구배 자동계산'!$B$4&lt;&gt;"18_통영 신규점","",IF('⑨ 구배 자동계산'!I11="","",'⑨ 구배 자동계산'!I11))</f>
        <v/>
      </c>
      <c r="D18" s="44" t="str">
        <f>IF('⑨ 구배 자동계산'!$B$4&lt;&gt;"18_통영 신규점","",IF('⑨ 구배 자동계산'!J11="","",'⑨ 구배 자동계산'!J11))</f>
        <v/>
      </c>
      <c r="E18" s="32" t="str">
        <f>IF('⑨ 구배 자동계산'!$B$4&lt;&gt;"18_통영 신규점","",IF('⑨ 구배 자동계산'!K11="","",'⑨ 구배 자동계산'!K11))</f>
        <v/>
      </c>
      <c r="F18" s="44" t="str">
        <f>IF('⑨ 구배 자동계산'!$B$4&lt;&gt;"18_통영 신규점","",IF('⑨ 구배 자동계산'!L11="","",'⑨ 구배 자동계산'!L11))</f>
        <v/>
      </c>
      <c r="G18" s="32" t="str">
        <f>IF('⑨ 구배 자동계산'!$B$4&lt;&gt;"18_통영 신규점","",IF('⑨ 구배 자동계산'!M11="","",'⑨ 구배 자동계산'!M11))</f>
        <v/>
      </c>
      <c r="H18" s="44" t="str">
        <f>IF('⑨ 구배 자동계산'!$B$4&lt;&gt;"18_통영 신규점","",IF('⑨ 구배 자동계산'!N11="","",'⑨ 구배 자동계산'!N11))</f>
        <v/>
      </c>
      <c r="I18" s="32" t="str">
        <f>IF('⑨ 구배 자동계산'!$B$4&lt;&gt;"18_통영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자동계산'!$B$4&lt;&gt;"18_통영 신규점","",IF('⑨ 구배 자동계산'!H12="","",'⑨ 구배 자동계산'!H12))</f>
        <v/>
      </c>
      <c r="C19" s="32" t="str">
        <f>IF('⑨ 구배 자동계산'!$B$4&lt;&gt;"18_통영 신규점","",IF('⑨ 구배 자동계산'!I12="","",'⑨ 구배 자동계산'!I12))</f>
        <v/>
      </c>
      <c r="D19" s="44" t="str">
        <f>IF('⑨ 구배 자동계산'!$B$4&lt;&gt;"18_통영 신규점","",IF('⑨ 구배 자동계산'!J12="","",'⑨ 구배 자동계산'!J12))</f>
        <v/>
      </c>
      <c r="E19" s="32" t="str">
        <f>IF('⑨ 구배 자동계산'!$B$4&lt;&gt;"18_통영 신규점","",IF('⑨ 구배 자동계산'!K12="","",'⑨ 구배 자동계산'!K12))</f>
        <v/>
      </c>
      <c r="F19" s="44" t="str">
        <f>IF('⑨ 구배 자동계산'!$B$4&lt;&gt;"18_통영 신규점","",IF('⑨ 구배 자동계산'!L12="","",'⑨ 구배 자동계산'!L12))</f>
        <v/>
      </c>
      <c r="G19" s="32" t="str">
        <f>IF('⑨ 구배 자동계산'!$B$4&lt;&gt;"18_통영 신규점","",IF('⑨ 구배 자동계산'!M12="","",'⑨ 구배 자동계산'!M12))</f>
        <v/>
      </c>
      <c r="H19" s="44" t="str">
        <f>IF('⑨ 구배 자동계산'!$B$4&lt;&gt;"18_통영 신규점","",IF('⑨ 구배 자동계산'!N12="","",'⑨ 구배 자동계산'!N12))</f>
        <v/>
      </c>
      <c r="I19" s="32" t="str">
        <f>IF('⑨ 구배 자동계산'!$B$4&lt;&gt;"18_통영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자동계산'!$B$4&lt;&gt;"18_통영 신규점","",IF('⑨ 구배 자동계산'!H13="","",'⑨ 구배 자동계산'!H13))</f>
        <v/>
      </c>
      <c r="C20" s="32" t="str">
        <f>IF('⑨ 구배 자동계산'!$B$4&lt;&gt;"18_통영 신규점","",IF('⑨ 구배 자동계산'!I13="","",'⑨ 구배 자동계산'!I13))</f>
        <v/>
      </c>
      <c r="D20" s="44" t="str">
        <f>IF('⑨ 구배 자동계산'!$B$4&lt;&gt;"18_통영 신규점","",IF('⑨ 구배 자동계산'!J13="","",'⑨ 구배 자동계산'!J13))</f>
        <v/>
      </c>
      <c r="E20" s="32" t="str">
        <f>IF('⑨ 구배 자동계산'!$B$4&lt;&gt;"18_통영 신규점","",IF('⑨ 구배 자동계산'!K13="","",'⑨ 구배 자동계산'!K13))</f>
        <v/>
      </c>
      <c r="F20" s="44" t="str">
        <f>IF('⑨ 구배 자동계산'!$B$4&lt;&gt;"18_통영 신규점","",IF('⑨ 구배 자동계산'!L13="","",'⑨ 구배 자동계산'!L13))</f>
        <v/>
      </c>
      <c r="G20" s="32" t="str">
        <f>IF('⑨ 구배 자동계산'!$B$4&lt;&gt;"18_통영 신규점","",IF('⑨ 구배 자동계산'!M13="","",'⑨ 구배 자동계산'!M13))</f>
        <v/>
      </c>
      <c r="H20" s="44" t="str">
        <f>IF('⑨ 구배 자동계산'!$B$4&lt;&gt;"18_통영 신규점","",IF('⑨ 구배 자동계산'!N13="","",'⑨ 구배 자동계산'!N13))</f>
        <v/>
      </c>
      <c r="I20" s="32" t="str">
        <f>IF('⑨ 구배 자동계산'!$B$4&lt;&gt;"18_통영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자동계산'!$B$4&lt;&gt;"18_통영 신규점","",IF('⑨ 구배 자동계산'!H14="","",'⑨ 구배 자동계산'!H14))</f>
        <v/>
      </c>
      <c r="C21" s="32" t="str">
        <f>IF('⑨ 구배 자동계산'!$B$4&lt;&gt;"18_통영 신규점","",IF('⑨ 구배 자동계산'!I14="","",'⑨ 구배 자동계산'!I14))</f>
        <v/>
      </c>
      <c r="D21" s="44" t="str">
        <f>IF('⑨ 구배 자동계산'!$B$4&lt;&gt;"18_통영 신규점","",IF('⑨ 구배 자동계산'!J14="","",'⑨ 구배 자동계산'!J14))</f>
        <v/>
      </c>
      <c r="E21" s="32" t="str">
        <f>IF('⑨ 구배 자동계산'!$B$4&lt;&gt;"18_통영 신규점","",IF('⑨ 구배 자동계산'!K14="","",'⑨ 구배 자동계산'!K14))</f>
        <v/>
      </c>
      <c r="F21" s="44" t="str">
        <f>IF('⑨ 구배 자동계산'!$B$4&lt;&gt;"18_통영 신규점","",IF('⑨ 구배 자동계산'!L14="","",'⑨ 구배 자동계산'!L14))</f>
        <v/>
      </c>
      <c r="G21" s="32" t="str">
        <f>IF('⑨ 구배 자동계산'!$B$4&lt;&gt;"18_통영 신규점","",IF('⑨ 구배 자동계산'!M14="","",'⑨ 구배 자동계산'!M14))</f>
        <v/>
      </c>
      <c r="H21" s="44" t="str">
        <f>IF('⑨ 구배 자동계산'!$B$4&lt;&gt;"18_통영 신규점","",IF('⑨ 구배 자동계산'!N14="","",'⑨ 구배 자동계산'!N14))</f>
        <v/>
      </c>
      <c r="I21" s="32" t="str">
        <f>IF('⑨ 구배 자동계산'!$B$4&lt;&gt;"18_통영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자동계산'!$B$4&lt;&gt;"18_통영 신규점","",IF('⑨ 구배 자동계산'!H15="","",'⑨ 구배 자동계산'!H15))</f>
        <v/>
      </c>
      <c r="C22" s="32" t="str">
        <f>IF('⑨ 구배 자동계산'!$B$4&lt;&gt;"18_통영 신규점","",IF('⑨ 구배 자동계산'!I15="","",'⑨ 구배 자동계산'!I15))</f>
        <v/>
      </c>
      <c r="D22" s="44" t="str">
        <f>IF('⑨ 구배 자동계산'!$B$4&lt;&gt;"18_통영 신규점","",IF('⑨ 구배 자동계산'!J15="","",'⑨ 구배 자동계산'!J15))</f>
        <v/>
      </c>
      <c r="E22" s="32" t="str">
        <f>IF('⑨ 구배 자동계산'!$B$4&lt;&gt;"18_통영 신규점","",IF('⑨ 구배 자동계산'!K15="","",'⑨ 구배 자동계산'!K15))</f>
        <v/>
      </c>
      <c r="F22" s="44" t="str">
        <f>IF('⑨ 구배 자동계산'!$B$4&lt;&gt;"18_통영 신규점","",IF('⑨ 구배 자동계산'!L15="","",'⑨ 구배 자동계산'!L15))</f>
        <v/>
      </c>
      <c r="G22" s="32" t="str">
        <f>IF('⑨ 구배 자동계산'!$B$4&lt;&gt;"18_통영 신규점","",IF('⑨ 구배 자동계산'!M15="","",'⑨ 구배 자동계산'!M15))</f>
        <v/>
      </c>
      <c r="H22" s="44" t="str">
        <f>IF('⑨ 구배 자동계산'!$B$4&lt;&gt;"18_통영 신규점","",IF('⑨ 구배 자동계산'!N15="","",'⑨ 구배 자동계산'!N15))</f>
        <v/>
      </c>
      <c r="I22" s="32" t="str">
        <f>IF('⑨ 구배 자동계산'!$B$4&lt;&gt;"18_통영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자동계산'!$B$4&lt;&gt;"18_통영 신규점","",IF('⑨ 구배 자동계산'!H16="","",'⑨ 구배 자동계산'!H16))</f>
        <v/>
      </c>
      <c r="C23" s="32" t="str">
        <f>IF('⑨ 구배 자동계산'!$B$4&lt;&gt;"18_통영 신규점","",IF('⑨ 구배 자동계산'!I16="","",'⑨ 구배 자동계산'!I16))</f>
        <v/>
      </c>
      <c r="D23" s="44" t="str">
        <f>IF('⑨ 구배 자동계산'!$B$4&lt;&gt;"18_통영 신규점","",IF('⑨ 구배 자동계산'!J16="","",'⑨ 구배 자동계산'!J16))</f>
        <v/>
      </c>
      <c r="E23" s="32" t="str">
        <f>IF('⑨ 구배 자동계산'!$B$4&lt;&gt;"18_통영 신규점","",IF('⑨ 구배 자동계산'!K16="","",'⑨ 구배 자동계산'!K16))</f>
        <v/>
      </c>
      <c r="F23" s="44" t="str">
        <f>IF('⑨ 구배 자동계산'!$B$4&lt;&gt;"18_통영 신규점","",IF('⑨ 구배 자동계산'!L16="","",'⑨ 구배 자동계산'!L16))</f>
        <v/>
      </c>
      <c r="G23" s="32" t="str">
        <f>IF('⑨ 구배 자동계산'!$B$4&lt;&gt;"18_통영 신규점","",IF('⑨ 구배 자동계산'!M16="","",'⑨ 구배 자동계산'!M16))</f>
        <v/>
      </c>
      <c r="H23" s="44" t="str">
        <f>IF('⑨ 구배 자동계산'!$B$4&lt;&gt;"18_통영 신규점","",IF('⑨ 구배 자동계산'!N16="","",'⑨ 구배 자동계산'!N16))</f>
        <v/>
      </c>
      <c r="I23" s="32" t="str">
        <f>IF('⑨ 구배 자동계산'!$B$4&lt;&gt;"18_통영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자동계산'!$B$4&lt;&gt;"18_통영 신규점","",IF('⑨ 구배 자동계산'!H17="","",'⑨ 구배 자동계산'!H17))</f>
        <v/>
      </c>
      <c r="C24" s="32" t="str">
        <f>IF('⑨ 구배 자동계산'!$B$4&lt;&gt;"18_통영 신규점","",IF('⑨ 구배 자동계산'!I17="","",'⑨ 구배 자동계산'!I17))</f>
        <v/>
      </c>
      <c r="D24" s="44" t="str">
        <f>IF('⑨ 구배 자동계산'!$B$4&lt;&gt;"18_통영 신규점","",IF('⑨ 구배 자동계산'!J17="","",'⑨ 구배 자동계산'!J17))</f>
        <v/>
      </c>
      <c r="E24" s="32" t="str">
        <f>IF('⑨ 구배 자동계산'!$B$4&lt;&gt;"18_통영 신규점","",IF('⑨ 구배 자동계산'!K17="","",'⑨ 구배 자동계산'!K17))</f>
        <v/>
      </c>
      <c r="F24" s="44" t="str">
        <f>IF('⑨ 구배 자동계산'!$B$4&lt;&gt;"18_통영 신규점","",IF('⑨ 구배 자동계산'!L17="","",'⑨ 구배 자동계산'!L17))</f>
        <v/>
      </c>
      <c r="G24" s="32" t="str">
        <f>IF('⑨ 구배 자동계산'!$B$4&lt;&gt;"18_통영 신규점","",IF('⑨ 구배 자동계산'!M17="","",'⑨ 구배 자동계산'!M17))</f>
        <v/>
      </c>
      <c r="H24" s="44" t="str">
        <f>IF('⑨ 구배 자동계산'!$B$4&lt;&gt;"18_통영 신규점","",IF('⑨ 구배 자동계산'!N17="","",'⑨ 구배 자동계산'!N17))</f>
        <v/>
      </c>
      <c r="I24" s="32" t="str">
        <f>IF('⑨ 구배 자동계산'!$B$4&lt;&gt;"18_통영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자동계산'!$B$4&lt;&gt;"18_통영 신규점","",IF('⑨ 구배 자동계산'!H18="","",'⑨ 구배 자동계산'!H18))</f>
        <v/>
      </c>
      <c r="C25" s="32" t="str">
        <f>IF('⑨ 구배 자동계산'!$B$4&lt;&gt;"18_통영 신규점","",IF('⑨ 구배 자동계산'!I18="","",'⑨ 구배 자동계산'!I18))</f>
        <v/>
      </c>
      <c r="D25" s="44" t="str">
        <f>IF('⑨ 구배 자동계산'!$B$4&lt;&gt;"18_통영 신규점","",IF('⑨ 구배 자동계산'!J18="","",'⑨ 구배 자동계산'!J18))</f>
        <v/>
      </c>
      <c r="E25" s="32" t="str">
        <f>IF('⑨ 구배 자동계산'!$B$4&lt;&gt;"18_통영 신규점","",IF('⑨ 구배 자동계산'!K18="","",'⑨ 구배 자동계산'!K18))</f>
        <v/>
      </c>
      <c r="F25" s="44" t="str">
        <f>IF('⑨ 구배 자동계산'!$B$4&lt;&gt;"18_통영 신규점","",IF('⑨ 구배 자동계산'!L18="","",'⑨ 구배 자동계산'!L18))</f>
        <v/>
      </c>
      <c r="G25" s="32" t="str">
        <f>IF('⑨ 구배 자동계산'!$B$4&lt;&gt;"18_통영 신규점","",IF('⑨ 구배 자동계산'!M18="","",'⑨ 구배 자동계산'!M18))</f>
        <v/>
      </c>
      <c r="H25" s="44" t="str">
        <f>IF('⑨ 구배 자동계산'!$B$4&lt;&gt;"18_통영 신규점","",IF('⑨ 구배 자동계산'!N18="","",'⑨ 구배 자동계산'!N18))</f>
        <v/>
      </c>
      <c r="I25" s="32" t="str">
        <f>IF('⑨ 구배 자동계산'!$B$4&lt;&gt;"18_통영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자동계산'!$B$4&lt;&gt;"18_통영 신규점","",IF('⑨ 구배 자동계산'!H19="","",'⑨ 구배 자동계산'!H19))</f>
        <v/>
      </c>
      <c r="C26" s="32" t="str">
        <f>IF('⑨ 구배 자동계산'!$B$4&lt;&gt;"18_통영 신규점","",IF('⑨ 구배 자동계산'!I19="","",'⑨ 구배 자동계산'!I19))</f>
        <v/>
      </c>
      <c r="D26" s="44" t="str">
        <f>IF('⑨ 구배 자동계산'!$B$4&lt;&gt;"18_통영 신규점","",IF('⑨ 구배 자동계산'!J19="","",'⑨ 구배 자동계산'!J19))</f>
        <v/>
      </c>
      <c r="E26" s="32" t="str">
        <f>IF('⑨ 구배 자동계산'!$B$4&lt;&gt;"18_통영 신규점","",IF('⑨ 구배 자동계산'!K19="","",'⑨ 구배 자동계산'!K19))</f>
        <v/>
      </c>
      <c r="F26" s="44" t="str">
        <f>IF('⑨ 구배 자동계산'!$B$4&lt;&gt;"18_통영 신규점","",IF('⑨ 구배 자동계산'!L19="","",'⑨ 구배 자동계산'!L19))</f>
        <v/>
      </c>
      <c r="G26" s="32" t="str">
        <f>IF('⑨ 구배 자동계산'!$B$4&lt;&gt;"18_통영 신규점","",IF('⑨ 구배 자동계산'!M19="","",'⑨ 구배 자동계산'!M19))</f>
        <v/>
      </c>
      <c r="H26" s="44" t="str">
        <f>IF('⑨ 구배 자동계산'!$B$4&lt;&gt;"18_통영 신규점","",IF('⑨ 구배 자동계산'!N19="","",'⑨ 구배 자동계산'!N19))</f>
        <v/>
      </c>
      <c r="I26" s="32" t="str">
        <f>IF('⑨ 구배 자동계산'!$B$4&lt;&gt;"18_통영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자동계산'!$B$4&lt;&gt;"18_통영 신규점","",IF('⑨ 구배 자동계산'!H20="","",'⑨ 구배 자동계산'!H20))</f>
        <v/>
      </c>
      <c r="C27" s="41" t="str">
        <f>IF('⑨ 구배 자동계산'!$B$4&lt;&gt;"18_통영 신규점","",IF('⑨ 구배 자동계산'!I20="","",'⑨ 구배 자동계산'!I20))</f>
        <v/>
      </c>
      <c r="D27" s="45" t="str">
        <f>IF('⑨ 구배 자동계산'!$B$4&lt;&gt;"18_통영 신규점","",IF('⑨ 구배 자동계산'!J20="","",'⑨ 구배 자동계산'!J20))</f>
        <v/>
      </c>
      <c r="E27" s="41" t="str">
        <f>IF('⑨ 구배 자동계산'!$B$4&lt;&gt;"18_통영 신규점","",IF('⑨ 구배 자동계산'!K20="","",'⑨ 구배 자동계산'!K20))</f>
        <v/>
      </c>
      <c r="F27" s="45" t="str">
        <f>IF('⑨ 구배 자동계산'!$B$4&lt;&gt;"18_통영 신규점","",IF('⑨ 구배 자동계산'!L20="","",'⑨ 구배 자동계산'!L20))</f>
        <v/>
      </c>
      <c r="G27" s="41" t="str">
        <f>IF('⑨ 구배 자동계산'!$B$4&lt;&gt;"18_통영 신규점","",IF('⑨ 구배 자동계산'!M20="","",'⑨ 구배 자동계산'!M20))</f>
        <v/>
      </c>
      <c r="H27" s="45" t="str">
        <f>IF('⑨ 구배 자동계산'!$B$4&lt;&gt;"18_통영 신규점","",IF('⑨ 구배 자동계산'!N20="","",'⑨ 구배 자동계산'!N20))</f>
        <v/>
      </c>
      <c r="I27" s="41" t="str">
        <f>IF('⑨ 구배 자동계산'!$B$4&lt;&gt;"18_통영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자동계산'!$B$4&lt;&gt;"18_통영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자동계산'!$B$4&lt;&gt;"18_통영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자동계산'!$B$4&lt;&gt;"18_통영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자동계산'!$B$4&lt;&gt;"18_통영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자동계산'!$B$4&lt;&gt;"18_통영 신규점","",IF('⑨ 구배 자동계산'!I23="","",'⑨ 구배 자동계산'!I23))</f>
        <v/>
      </c>
      <c r="D42" s="8"/>
      <c r="E42" s="8"/>
      <c r="F42" s="8"/>
      <c r="G42" s="92" t="str">
        <f>IF('⑨ 구배 자동계산'!$B$4&lt;&gt;"18_통영 신규점","",IF('⑨ 구배 자동계산'!$J23="","",'⑨ 구배 자동계산'!$J23&amp;"  ·  "&amp;'⑨ 구배 자동계산'!$L23))</f>
        <v/>
      </c>
      <c r="H42" s="93"/>
      <c r="I42" s="93"/>
    </row>
    <row r="43" spans="1:35" ht="19.95" customHeight="1" x14ac:dyDescent="0.4">
      <c r="A43" s="8">
        <v>3</v>
      </c>
      <c r="B43" s="33">
        <v>140</v>
      </c>
      <c r="C43" s="32" t="str">
        <f>IF('⑨ 구배 자동계산'!$B$4&lt;&gt;"18_통영 신규점","",IF('⑨ 구배 자동계산'!I24="","",'⑨ 구배 자동계산'!I24))</f>
        <v/>
      </c>
      <c r="D43" s="34">
        <f>IF(COUNT(B43,B42)&lt;2,"",(B42-B43)/100)</f>
        <v>0.45</v>
      </c>
      <c r="E43" s="35" t="str">
        <f>IF(COUNT(C43,C42)&lt;2,"",C43-C42)</f>
        <v/>
      </c>
      <c r="F43" s="36" t="str">
        <f>IF(OR(D43="",E43="",D43=0),"",E43/D43)</f>
        <v/>
      </c>
      <c r="G43" s="92" t="str">
        <f>IF('⑨ 구배 자동계산'!$B$4&lt;&gt;"18_통영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자동계산'!$B$4&lt;&gt;"18_통영 신규점","",IF('⑨ 구배 자동계산'!I25="","",'⑨ 구배 자동계산'!I25))</f>
        <v/>
      </c>
      <c r="D44" s="34">
        <f>IF(COUNT(B44,B43)&lt;2,"",(B43-B44)/100)</f>
        <v>0.45</v>
      </c>
      <c r="E44" s="35" t="str">
        <f>IF(COUNT(C44,C43)&lt;2,"",C44-C43)</f>
        <v/>
      </c>
      <c r="F44" s="36" t="str">
        <f>IF(OR(D44="",E44="",D44=0),"",E44/D44)</f>
        <v/>
      </c>
      <c r="G44" s="92" t="str">
        <f>IF('⑨ 구배 자동계산'!$B$4&lt;&gt;"18_통영 신규점","",IF('⑨ 구배 자동계산'!$J25="","",'⑨ 구배 자동계산'!$J25&amp;"  ·  "&amp;'⑨ 구배 자동계산'!$L25))</f>
        <v/>
      </c>
      <c r="H44" s="93"/>
      <c r="I44" s="93"/>
    </row>
    <row r="45" spans="1:35" ht="19.95" customHeight="1" x14ac:dyDescent="0.4">
      <c r="A45" s="8">
        <v>1</v>
      </c>
      <c r="B45" s="33">
        <v>50</v>
      </c>
      <c r="C45" s="32" t="str">
        <f>IF('⑨ 구배 자동계산'!$B$4&lt;&gt;"18_통영 신규점","",IF('⑨ 구배 자동계산'!I26="","",'⑨ 구배 자동계산'!I26))</f>
        <v/>
      </c>
      <c r="D45" s="34">
        <f>IF(COUNT(B45,B44)&lt;2,"",(B44-B45)/100)</f>
        <v>0.45</v>
      </c>
      <c r="E45" s="35" t="str">
        <f>IF(COUNT(C45,C44)&lt;2,"",C45-C44)</f>
        <v/>
      </c>
      <c r="F45" s="36" t="str">
        <f>IF(OR(D45="",E45="",D45=0),"",E45/D45)</f>
        <v/>
      </c>
      <c r="G45" s="92" t="str">
        <f>IF('⑨ 구배 자동계산'!$B$4&lt;&gt;"18_통영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IF(COUNT(B50,E50)&lt;2,"",ROUND(SQRT(((128.393827-E50)*111320*COS(RADIANS(34.792976)))^2+((34.792976-B50)*110574)^2),1))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S18-P0a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64" priority="1">
      <formula>AND(ISNUMBER(C31),C31&gt;50)</formula>
    </cfRule>
  </conditionalFormatting>
  <conditionalFormatting sqref="D7">
    <cfRule type="expression" dxfId="163" priority="3" stopIfTrue="1">
      <formula>AND($D$7&lt;&gt;"",VALUE(LEFT($D$7,1))&lt;5)</formula>
    </cfRule>
    <cfRule type="expression" dxfId="162" priority="4" stopIfTrue="1">
      <formula>AND($D$7&lt;&gt;"",VALUE(LEFT($D$7,1))&gt;=5)</formula>
    </cfRule>
  </conditionalFormatting>
  <conditionalFormatting sqref="E7">
    <cfRule type="expression" dxfId="161" priority="5" stopIfTrue="1">
      <formula>AND($E$7&lt;&gt;"",VALUE(LEFT($E$7,1))&lt;5)</formula>
    </cfRule>
    <cfRule type="expression" dxfId="16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EA6F2F68-424C-4C13-8BF0-AB55A4B51646}">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C9DCD878-5F63-46A9-8341-9520D1465E03}">
      <formula1>DATE(2026,1,1)</formula1>
      <formula2>DATE(2027,12,31)</formula2>
    </dataValidation>
    <dataValidation type="list" allowBlank="1" sqref="C7" xr:uid="{880067A6-F9A1-4A41-B3FD-10B794B65262}">
      <formula1>"맑음,구름 조금,흐림,비,눈,바람 강함"</formula1>
    </dataValidation>
    <dataValidation type="list" allowBlank="1" sqref="H50" xr:uid="{6FB5478C-D260-4BFF-8C21-285D2BF502AD}">
      <formula1>"RTK-GNSS,네트워크RTK,정적GNSS,휴대GNSS"</formula1>
    </dataValidation>
    <dataValidation type="list" allowBlank="1" sqref="B109" xr:uid="{761A6491-CD66-4F4C-9DBE-E91F83568313}">
      <formula1>"동일,조정"</formula1>
    </dataValidation>
    <dataValidation type="list" allowBlank="1" showInputMessage="1" showErrorMessage="1" sqref="F56:F57" xr:uid="{0CD09EAD-8832-4C77-A488-6F3C9912051D}">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&amp;RS18 통영 신규점</oddHeader>
    <oddFooter>&amp;C&amp;9 &amp;P / &amp;N</oddFooter>
  </headerFooter>
  <rowBreaks count="3" manualBreakCount="3">
    <brk id="38" max="16383" man="1"/>
    <brk id="58" max="16383" man="1"/>
    <brk id="106"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EA398-615F-47BE-BA55-BCBC4C232724}">
  <dimension ref="A1:AN117"/>
  <sheetViews>
    <sheetView topLeftCell="A25" workbookViewId="0">
      <selection activeCell="G43" sqref="G43:I43"/>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421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422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423</v>
      </c>
      <c r="B3" s="68"/>
      <c r="C3" s="68"/>
      <c r="D3" s="68"/>
      <c r="E3" s="68"/>
      <c r="F3" s="8" t="s">
        <v>154</v>
      </c>
      <c r="G3" s="6"/>
      <c r="H3" s="8" t="s">
        <v>155</v>
      </c>
      <c r="I3" s="9" t="s">
        <v>424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자동계산'!$B$4="19_오호 신규점","    ←  ⑨ 시트에서 자동 입력 중 · 원문은 ⑩ 보관에 남습니다","")</f>
        <v>① 방향별 관측자료    ←  ⑨ 시트에서 자동 입력 중 · 원문은 ⑩ 보관에 남습니다</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f>IF('⑨ 구배 자동계산'!$B$4&lt;&gt;"19_오호 신규점","",IF('⑨ 구배 자동계산'!H9="","",'⑨ 구배 자동계산'!H9))</f>
        <v>1116</v>
      </c>
      <c r="C16" s="30">
        <f>IF('⑨ 구배 자동계산'!$B$4&lt;&gt;"19_오호 신규점","",IF('⑨ 구배 자동계산'!I9="","",'⑨ 구배 자동계산'!I9))</f>
        <v>51389.35</v>
      </c>
      <c r="D16" s="43">
        <f>IF('⑨ 구배 자동계산'!$B$4&lt;&gt;"19_오호 신규점","",IF('⑨ 구배 자동계산'!J9="","",'⑨ 구배 자동계산'!J9))</f>
        <v>1143</v>
      </c>
      <c r="E16" s="30">
        <f>IF('⑨ 구배 자동계산'!$B$4&lt;&gt;"19_오호 신규점","",IF('⑨ 구배 자동계산'!K9="","",'⑨ 구배 자동계산'!K9))</f>
        <v>51409.21</v>
      </c>
      <c r="F16" s="43">
        <f>IF('⑨ 구배 자동계산'!$B$4&lt;&gt;"19_오호 신규점","",IF('⑨ 구배 자동계산'!L9="","",'⑨ 구배 자동계산'!L9))</f>
        <v>1218</v>
      </c>
      <c r="G16" s="30">
        <f>IF('⑨ 구배 자동계산'!$B$4&lt;&gt;"19_오호 신규점","",IF('⑨ 구배 자동계산'!M9="","",'⑨ 구배 자동계산'!M9))</f>
        <v>51388.66</v>
      </c>
      <c r="H16" s="43">
        <f>IF('⑨ 구배 자동계산'!$B$4&lt;&gt;"19_오호 신규점","",IF('⑨ 구배 자동계산'!N9="","",'⑨ 구배 자동계산'!N9))</f>
        <v>1235</v>
      </c>
      <c r="I16" s="30">
        <f>IF('⑨ 구배 자동계산'!$B$4&lt;&gt;"19_오호 신규점","",IF('⑨ 구배 자동계산'!O9="","",'⑨ 구배 자동계산'!O9))</f>
        <v>51398.6</v>
      </c>
      <c r="K16" s="31">
        <v>0</v>
      </c>
      <c r="L16" s="31">
        <f>IF(ISNUMBER(C16),0,"")</f>
        <v>0</v>
      </c>
      <c r="M16" s="31">
        <f>IF(ISNUMBER(C16),C16,"")</f>
        <v>51389.35</v>
      </c>
      <c r="N16" s="31"/>
      <c r="O16" s="31"/>
      <c r="P16" s="31"/>
      <c r="Q16" s="31">
        <f>IF(ISNUMBER(E16),0,"")</f>
        <v>0</v>
      </c>
      <c r="R16" s="31">
        <f>IF(ISNUMBER(E16),E16,"")</f>
        <v>51409.21</v>
      </c>
      <c r="S16" s="31"/>
      <c r="T16" s="31"/>
      <c r="U16" s="31"/>
      <c r="V16" s="31">
        <f>IF(ISNUMBER(G16),0,"")</f>
        <v>0</v>
      </c>
      <c r="W16" s="31">
        <f>IF(ISNUMBER(G16),G16,"")</f>
        <v>51388.66</v>
      </c>
      <c r="X16" s="31"/>
      <c r="Y16" s="31"/>
      <c r="Z16" s="31"/>
      <c r="AA16" s="31">
        <f>IF(ISNUMBER(I16),0,"")</f>
        <v>0</v>
      </c>
      <c r="AB16" s="31">
        <f>IF(ISNUMBER(I16),I16,"")</f>
        <v>51398.6</v>
      </c>
      <c r="AC16" s="31"/>
      <c r="AD16" s="31"/>
      <c r="AE16" s="31"/>
      <c r="AH16" t="s">
        <v>582</v>
      </c>
      <c r="AI16" t="s">
        <v>253</v>
      </c>
    </row>
    <row r="17" spans="1:35" ht="19.95" customHeight="1" x14ac:dyDescent="0.4">
      <c r="A17" s="8" t="s">
        <v>165</v>
      </c>
      <c r="B17" s="44">
        <f>IF('⑨ 구배 자동계산'!$B$4&lt;&gt;"19_오호 신규점","",IF('⑨ 구배 자동계산'!H10="","",'⑨ 구배 자동계산'!H10))</f>
        <v>1119</v>
      </c>
      <c r="C17" s="32">
        <f>IF('⑨ 구배 자동계산'!$B$4&lt;&gt;"19_오호 신규점","",IF('⑨ 구배 자동계산'!I10="","",'⑨ 구배 자동계산'!I10))</f>
        <v>51362.63</v>
      </c>
      <c r="D17" s="44">
        <f>IF('⑨ 구배 자동계산'!$B$4&lt;&gt;"19_오호 신규점","",IF('⑨ 구배 자동계산'!J10="","",'⑨ 구배 자동계산'!J10))</f>
        <v>1147</v>
      </c>
      <c r="E17" s="32">
        <f>IF('⑨ 구배 자동계산'!$B$4&lt;&gt;"19_오호 신규점","",IF('⑨ 구배 자동계산'!K10="","",'⑨ 구배 자동계산'!K10))</f>
        <v>51388.95</v>
      </c>
      <c r="F17" s="44">
        <f>IF('⑨ 구배 자동계산'!$B$4&lt;&gt;"19_오호 신규점","",IF('⑨ 구배 자동계산'!L10="","",'⑨ 구배 자동계산'!L10))</f>
        <v>1221</v>
      </c>
      <c r="G17" s="32">
        <f>IF('⑨ 구배 자동계산'!$B$4&lt;&gt;"19_오호 신규점","",IF('⑨ 구배 자동계산'!M10="","",'⑨ 구배 자동계산'!M10))</f>
        <v>51368.57</v>
      </c>
      <c r="H17" s="44">
        <f>IF('⑨ 구배 자동계산'!$B$4&lt;&gt;"19_오호 신규점","",IF('⑨ 구배 자동계산'!N10="","",'⑨ 구배 자동계산'!N10))</f>
        <v>1238</v>
      </c>
      <c r="I17" s="32">
        <f>IF('⑨ 구배 자동계산'!$B$4&lt;&gt;"19_오호 신규점","",IF('⑨ 구배 자동계산'!O10="","",'⑨ 구배 자동계산'!O10))</f>
        <v>51455.12</v>
      </c>
      <c r="K17" s="31">
        <v>1</v>
      </c>
      <c r="L17" s="31">
        <f t="shared" ref="L17:L26" si="0">IF(ISNUMBER(C17),K17,L16)</f>
        <v>1</v>
      </c>
      <c r="M17" s="31">
        <f t="shared" ref="M17:M26" si="1">IF(ISNUMBER(C17),C17,M16)</f>
        <v>51362.63</v>
      </c>
      <c r="N17" s="31">
        <f t="shared" ref="N17:N26" si="2">IF(AND(ISNUMBER(C17),ISNUMBER(L16)),(C17-M16)/(K17-L16),"")</f>
        <v>-26.720000000001164</v>
      </c>
      <c r="O17" s="31">
        <f t="shared" ref="O17:O26" si="3">IF(ISNUMBER(N17),ABS(N17),"")</f>
        <v>26.720000000001164</v>
      </c>
      <c r="P17" s="31" t="str">
        <f t="shared" ref="P17:P26" si="4">IF(ISNUMBER(N17),IF(L16=0,"P0",L16)&amp;"~"&amp;K17&amp;" m","")</f>
        <v>P0~1 m</v>
      </c>
      <c r="Q17" s="31">
        <f t="shared" ref="Q17:Q26" si="5">IF(ISNUMBER(E17),K17,Q16)</f>
        <v>1</v>
      </c>
      <c r="R17" s="31">
        <f t="shared" ref="R17:R26" si="6">IF(ISNUMBER(E17),E17,R16)</f>
        <v>51388.95</v>
      </c>
      <c r="S17" s="31">
        <f t="shared" ref="S17:S26" si="7">IF(AND(ISNUMBER(E17),ISNUMBER(Q16)),(E17-R16)/(K17-Q16),"")</f>
        <v>-20.260000000002037</v>
      </c>
      <c r="T17" s="31">
        <f t="shared" ref="T17:T26" si="8">IF(ISNUMBER(S17),ABS(S17),"")</f>
        <v>20.260000000002037</v>
      </c>
      <c r="U17" s="31" t="str">
        <f t="shared" ref="U17:U26" si="9">IF(ISNUMBER(S17),IF(Q16=0,"P0",Q16)&amp;"~"&amp;K17&amp;" m","")</f>
        <v>P0~1 m</v>
      </c>
      <c r="V17" s="31">
        <f t="shared" ref="V17:V26" si="10">IF(ISNUMBER(G17),K17,V16)</f>
        <v>1</v>
      </c>
      <c r="W17" s="31">
        <f t="shared" ref="W17:W26" si="11">IF(ISNUMBER(G17),G17,W16)</f>
        <v>51368.57</v>
      </c>
      <c r="X17" s="31">
        <f t="shared" ref="X17:X26" si="12">IF(AND(ISNUMBER(G17),ISNUMBER(V16)),(G17-W16)/(K17-V16),"")</f>
        <v>-20.090000000003783</v>
      </c>
      <c r="Y17" s="31">
        <f t="shared" ref="Y17:Y26" si="13">IF(ISNUMBER(X17),ABS(X17),"")</f>
        <v>20.090000000003783</v>
      </c>
      <c r="Z17" s="31" t="str">
        <f t="shared" ref="Z17:Z26" si="14">IF(ISNUMBER(X17),IF(V16=0,"P0",V16)&amp;"~"&amp;K17&amp;" m","")</f>
        <v>P0~1 m</v>
      </c>
      <c r="AA17" s="31">
        <f t="shared" ref="AA17:AA26" si="15">IF(ISNUMBER(I17),K17,AA16)</f>
        <v>1</v>
      </c>
      <c r="AB17" s="31">
        <f t="shared" ref="AB17:AB26" si="16">IF(ISNUMBER(I17),I17,AB16)</f>
        <v>51455.12</v>
      </c>
      <c r="AC17" s="31">
        <f t="shared" ref="AC17:AC26" si="17">IF(AND(ISNUMBER(I17),ISNUMBER(AA16)),(I17-AB16)/(K17-AA16),"")</f>
        <v>56.520000000004075</v>
      </c>
      <c r="AD17" s="31">
        <f t="shared" ref="AD17:AD26" si="18">IF(ISNUMBER(AC17),ABS(AC17),"")</f>
        <v>56.520000000004075</v>
      </c>
      <c r="AE17" s="31" t="str">
        <f t="shared" ref="AE17:AE26" si="19">IF(ISNUMBER(AC17),IF(AA16=0,"P0",AA16)&amp;"~"&amp;K17&amp;" m","")</f>
        <v>P0~1 m</v>
      </c>
      <c r="AH17" t="s">
        <v>583</v>
      </c>
      <c r="AI17" t="s">
        <v>254</v>
      </c>
    </row>
    <row r="18" spans="1:35" ht="19.95" customHeight="1" x14ac:dyDescent="0.4">
      <c r="A18" s="8" t="s">
        <v>166</v>
      </c>
      <c r="B18" s="44">
        <f>IF('⑨ 구배 자동계산'!$B$4&lt;&gt;"19_오호 신규점","",IF('⑨ 구배 자동계산'!H11="","",'⑨ 구배 자동계산'!H11))</f>
        <v>1123</v>
      </c>
      <c r="C18" s="32">
        <f>IF('⑨ 구배 자동계산'!$B$4&lt;&gt;"19_오호 신규점","",IF('⑨ 구배 자동계산'!I11="","",'⑨ 구배 자동계산'!I11))</f>
        <v>51351.13</v>
      </c>
      <c r="D18" s="44">
        <f>IF('⑨ 구배 자동계산'!$B$4&lt;&gt;"19_오호 신규점","",IF('⑨ 구배 자동계산'!J11="","",'⑨ 구배 자동계산'!J11))</f>
        <v>1150</v>
      </c>
      <c r="E18" s="32">
        <f>IF('⑨ 구배 자동계산'!$B$4&lt;&gt;"19_오호 신규점","",IF('⑨ 구배 자동계산'!K11="","",'⑨ 구배 자동계산'!K11))</f>
        <v>51445.31</v>
      </c>
      <c r="F18" s="44">
        <f>IF('⑨ 구배 자동계산'!$B$4&lt;&gt;"19_오호 신규점","",IF('⑨ 구배 자동계산'!L11="","",'⑨ 구배 자동계산'!L11))</f>
        <v>1224</v>
      </c>
      <c r="G18" s="32">
        <f>IF('⑨ 구배 자동계산'!$B$4&lt;&gt;"19_오호 신규점","",IF('⑨ 구배 자동계산'!M11="","",'⑨ 구배 자동계산'!M11))</f>
        <v>51354.11</v>
      </c>
      <c r="H18" s="44">
        <f>IF('⑨ 구배 자동계산'!$B$4&lt;&gt;"19_오호 신규점","",IF('⑨ 구배 자동계산'!N11="","",'⑨ 구배 자동계산'!N11))</f>
        <v>1241</v>
      </c>
      <c r="I18" s="32">
        <f>IF('⑨ 구배 자동계산'!$B$4&lt;&gt;"19_오호 신규점","",IF('⑨ 구배 자동계산'!O11="","",'⑨ 구배 자동계산'!O11))</f>
        <v>51550.97</v>
      </c>
      <c r="K18" s="31">
        <v>2</v>
      </c>
      <c r="L18" s="31">
        <f t="shared" si="0"/>
        <v>2</v>
      </c>
      <c r="M18" s="31">
        <f t="shared" si="1"/>
        <v>51351.13</v>
      </c>
      <c r="N18" s="31">
        <f t="shared" si="2"/>
        <v>-11.5</v>
      </c>
      <c r="O18" s="31">
        <f t="shared" si="3"/>
        <v>11.5</v>
      </c>
      <c r="P18" s="31" t="str">
        <f t="shared" si="4"/>
        <v>1~2 m</v>
      </c>
      <c r="Q18" s="31">
        <f t="shared" si="5"/>
        <v>2</v>
      </c>
      <c r="R18" s="31">
        <f t="shared" si="6"/>
        <v>51445.31</v>
      </c>
      <c r="S18" s="31">
        <f t="shared" si="7"/>
        <v>56.360000000000582</v>
      </c>
      <c r="T18" s="31">
        <f t="shared" si="8"/>
        <v>56.360000000000582</v>
      </c>
      <c r="U18" s="31" t="str">
        <f t="shared" si="9"/>
        <v>1~2 m</v>
      </c>
      <c r="V18" s="31">
        <f t="shared" si="10"/>
        <v>2</v>
      </c>
      <c r="W18" s="31">
        <f t="shared" si="11"/>
        <v>51354.11</v>
      </c>
      <c r="X18" s="31">
        <f t="shared" si="12"/>
        <v>-14.459999999999127</v>
      </c>
      <c r="Y18" s="31">
        <f t="shared" si="13"/>
        <v>14.459999999999127</v>
      </c>
      <c r="Z18" s="31" t="str">
        <f t="shared" si="14"/>
        <v>1~2 m</v>
      </c>
      <c r="AA18" s="31">
        <f t="shared" si="15"/>
        <v>2</v>
      </c>
      <c r="AB18" s="31">
        <f t="shared" si="16"/>
        <v>51550.97</v>
      </c>
      <c r="AC18" s="31">
        <f t="shared" si="17"/>
        <v>95.849999999998545</v>
      </c>
      <c r="AD18" s="31">
        <f t="shared" si="18"/>
        <v>95.849999999998545</v>
      </c>
      <c r="AE18" s="31" t="str">
        <f t="shared" si="19"/>
        <v>1~2 m</v>
      </c>
      <c r="AH18" t="s">
        <v>584</v>
      </c>
      <c r="AI18" t="s">
        <v>255</v>
      </c>
    </row>
    <row r="19" spans="1:35" ht="19.95" customHeight="1" x14ac:dyDescent="0.4">
      <c r="A19" s="8" t="s">
        <v>167</v>
      </c>
      <c r="B19" s="44">
        <f>IF('⑨ 구배 자동계산'!$B$4&lt;&gt;"19_오호 신규점","",IF('⑨ 구배 자동계산'!H12="","",'⑨ 구배 자동계산'!H12))</f>
        <v>1126</v>
      </c>
      <c r="C19" s="32">
        <f>IF('⑨ 구배 자동계산'!$B$4&lt;&gt;"19_오호 신규점","",IF('⑨ 구배 자동계산'!I12="","",'⑨ 구배 자동계산'!I12))</f>
        <v>51334.55</v>
      </c>
      <c r="D19" s="44">
        <f>IF('⑨ 구배 자동계산'!$B$4&lt;&gt;"19_오호 신규점","",IF('⑨ 구배 자동계산'!J12="","",'⑨ 구배 자동계산'!J12))</f>
        <v>1153</v>
      </c>
      <c r="E19" s="32">
        <f>IF('⑨ 구배 자동계산'!$B$4&lt;&gt;"19_오호 신규점","",IF('⑨ 구배 자동계산'!K12="","",'⑨ 구배 자동계산'!K12))</f>
        <v>51533.55</v>
      </c>
      <c r="F19" s="44">
        <f>IF('⑨ 구배 자동계산'!$B$4&lt;&gt;"19_오호 신규점","",IF('⑨ 구배 자동계산'!L12="","",'⑨ 구배 자동계산'!L12))</f>
        <v>1226</v>
      </c>
      <c r="G19" s="32">
        <f>IF('⑨ 구배 자동계산'!$B$4&lt;&gt;"19_오호 신규점","",IF('⑨ 구배 자동계산'!M12="","",'⑨ 구배 자동계산'!M12))</f>
        <v>51341.94</v>
      </c>
      <c r="H19" s="44">
        <f>IF('⑨ 구배 자동계산'!$B$4&lt;&gt;"19_오호 신규점","",IF('⑨ 구배 자동계산'!N12="","",'⑨ 구배 자동계산'!N12))</f>
        <v>1243</v>
      </c>
      <c r="I19" s="32">
        <f>IF('⑨ 구배 자동계산'!$B$4&lt;&gt;"19_오호 신규점","",IF('⑨ 구배 자동계산'!O12="","",'⑨ 구배 자동계산'!O12))</f>
        <v>51679.18</v>
      </c>
      <c r="K19" s="31">
        <v>3</v>
      </c>
      <c r="L19" s="31">
        <f t="shared" si="0"/>
        <v>3</v>
      </c>
      <c r="M19" s="31">
        <f t="shared" si="1"/>
        <v>51334.55</v>
      </c>
      <c r="N19" s="31">
        <f t="shared" si="2"/>
        <v>-16.57999999999447</v>
      </c>
      <c r="O19" s="31">
        <f t="shared" si="3"/>
        <v>16.57999999999447</v>
      </c>
      <c r="P19" s="31" t="str">
        <f t="shared" si="4"/>
        <v>2~3 m</v>
      </c>
      <c r="Q19" s="31">
        <f t="shared" si="5"/>
        <v>3</v>
      </c>
      <c r="R19" s="31">
        <f t="shared" si="6"/>
        <v>51533.55</v>
      </c>
      <c r="S19" s="31">
        <f t="shared" si="7"/>
        <v>88.240000000005239</v>
      </c>
      <c r="T19" s="31">
        <f t="shared" si="8"/>
        <v>88.240000000005239</v>
      </c>
      <c r="U19" s="31" t="str">
        <f t="shared" si="9"/>
        <v>2~3 m</v>
      </c>
      <c r="V19" s="31">
        <f t="shared" si="10"/>
        <v>3</v>
      </c>
      <c r="W19" s="31">
        <f t="shared" si="11"/>
        <v>51341.94</v>
      </c>
      <c r="X19" s="31">
        <f t="shared" si="12"/>
        <v>-12.169999999998254</v>
      </c>
      <c r="Y19" s="31">
        <f t="shared" si="13"/>
        <v>12.169999999998254</v>
      </c>
      <c r="Z19" s="31" t="str">
        <f t="shared" si="14"/>
        <v>2~3 m</v>
      </c>
      <c r="AA19" s="31">
        <f t="shared" si="15"/>
        <v>3</v>
      </c>
      <c r="AB19" s="31">
        <f t="shared" si="16"/>
        <v>51679.18</v>
      </c>
      <c r="AC19" s="31">
        <f t="shared" si="17"/>
        <v>128.20999999999913</v>
      </c>
      <c r="AD19" s="31">
        <f t="shared" si="18"/>
        <v>128.20999999999913</v>
      </c>
      <c r="AE19" s="31" t="str">
        <f t="shared" si="19"/>
        <v>2~3 m</v>
      </c>
      <c r="AH19" t="s">
        <v>585</v>
      </c>
      <c r="AI19" t="s">
        <v>256</v>
      </c>
    </row>
    <row r="20" spans="1:35" ht="19.95" customHeight="1" x14ac:dyDescent="0.4">
      <c r="A20" s="8" t="s">
        <v>168</v>
      </c>
      <c r="B20" s="44">
        <f>IF('⑨ 구배 자동계산'!$B$4&lt;&gt;"19_오호 신규점","",IF('⑨ 구배 자동계산'!H13="","",'⑨ 구배 자동계산'!H13))</f>
        <v>1129</v>
      </c>
      <c r="C20" s="32">
        <f>IF('⑨ 구배 자동계산'!$B$4&lt;&gt;"19_오호 신규점","",IF('⑨ 구배 자동계산'!I13="","",'⑨ 구배 자동계산'!I13))</f>
        <v>51329.21</v>
      </c>
      <c r="D20" s="44">
        <f>IF('⑨ 구배 자동계산'!$B$4&lt;&gt;"19_오호 신규점","",IF('⑨ 구배 자동계산'!J13="","",'⑨ 구배 자동계산'!J13))</f>
        <v>1156</v>
      </c>
      <c r="E20" s="32">
        <f>IF('⑨ 구배 자동계산'!$B$4&lt;&gt;"19_오호 신규점","",IF('⑨ 구배 자동계산'!K13="","",'⑨ 구배 자동계산'!K13))</f>
        <v>51394.5</v>
      </c>
      <c r="F20" s="44">
        <f>IF('⑨ 구배 자동계산'!$B$4&lt;&gt;"19_오호 신규점","",IF('⑨ 구배 자동계산'!L13="","",'⑨ 구배 자동계산'!L13))</f>
        <v>1229</v>
      </c>
      <c r="G20" s="32">
        <f>IF('⑨ 구배 자동계산'!$B$4&lt;&gt;"19_오호 신규점","",IF('⑨ 구배 자동계산'!M13="","",'⑨ 구배 자동계산'!M13))</f>
        <v>51330.68</v>
      </c>
      <c r="H20" s="44">
        <f>IF('⑨ 구배 자동계산'!$B$4&lt;&gt;"19_오호 신규점","",IF('⑨ 구배 자동계산'!N13="","",'⑨ 구배 자동계산'!N13))</f>
        <v>1246</v>
      </c>
      <c r="I20" s="32">
        <f>IF('⑨ 구배 자동계산'!$B$4&lt;&gt;"19_오호 신규점","",IF('⑨ 구배 자동계산'!O13="","",'⑨ 구배 자동계산'!O13))</f>
        <v>51483.37</v>
      </c>
      <c r="K20" s="31">
        <v>4</v>
      </c>
      <c r="L20" s="31">
        <f t="shared" si="0"/>
        <v>4</v>
      </c>
      <c r="M20" s="31">
        <f t="shared" si="1"/>
        <v>51329.21</v>
      </c>
      <c r="N20" s="31">
        <f t="shared" si="2"/>
        <v>-5.3400000000037835</v>
      </c>
      <c r="O20" s="31">
        <f t="shared" si="3"/>
        <v>5.3400000000037835</v>
      </c>
      <c r="P20" s="31" t="str">
        <f t="shared" si="4"/>
        <v>3~4 m</v>
      </c>
      <c r="Q20" s="31">
        <f t="shared" si="5"/>
        <v>4</v>
      </c>
      <c r="R20" s="31">
        <f t="shared" si="6"/>
        <v>51394.5</v>
      </c>
      <c r="S20" s="31">
        <f t="shared" si="7"/>
        <v>-139.05000000000291</v>
      </c>
      <c r="T20" s="31">
        <f t="shared" si="8"/>
        <v>139.05000000000291</v>
      </c>
      <c r="U20" s="31" t="str">
        <f t="shared" si="9"/>
        <v>3~4 m</v>
      </c>
      <c r="V20" s="31">
        <f t="shared" si="10"/>
        <v>4</v>
      </c>
      <c r="W20" s="31">
        <f t="shared" si="11"/>
        <v>51330.68</v>
      </c>
      <c r="X20" s="31">
        <f t="shared" si="12"/>
        <v>-11.260000000002037</v>
      </c>
      <c r="Y20" s="31">
        <f t="shared" si="13"/>
        <v>11.260000000002037</v>
      </c>
      <c r="Z20" s="31" t="str">
        <f t="shared" si="14"/>
        <v>3~4 m</v>
      </c>
      <c r="AA20" s="31">
        <f t="shared" si="15"/>
        <v>4</v>
      </c>
      <c r="AB20" s="31">
        <f t="shared" si="16"/>
        <v>51483.37</v>
      </c>
      <c r="AC20" s="31">
        <f t="shared" si="17"/>
        <v>-195.80999999999767</v>
      </c>
      <c r="AD20" s="31">
        <f t="shared" si="18"/>
        <v>195.80999999999767</v>
      </c>
      <c r="AE20" s="31" t="str">
        <f t="shared" si="19"/>
        <v>3~4 m</v>
      </c>
      <c r="AH20" t="s">
        <v>586</v>
      </c>
      <c r="AI20" t="s">
        <v>257</v>
      </c>
    </row>
    <row r="21" spans="1:35" ht="19.95" customHeight="1" x14ac:dyDescent="0.4">
      <c r="A21" s="8" t="s">
        <v>169</v>
      </c>
      <c r="B21" s="44">
        <f>IF('⑨ 구배 자동계산'!$B$4&lt;&gt;"19_오호 신규점","",IF('⑨ 구배 자동계산'!H14="","",'⑨ 구배 자동계산'!H14))</f>
        <v>1132</v>
      </c>
      <c r="C21" s="32">
        <f>IF('⑨ 구배 자동계산'!$B$4&lt;&gt;"19_오호 신규점","",IF('⑨ 구배 자동계산'!I14="","",'⑨ 구배 자동계산'!I14))</f>
        <v>51329.88</v>
      </c>
      <c r="D21" s="44">
        <f>IF('⑨ 구배 자동계산'!$B$4&lt;&gt;"19_오호 신규점","",IF('⑨ 구배 자동계산'!J14="","",'⑨ 구배 자동계산'!J14))</f>
        <v>1159</v>
      </c>
      <c r="E21" s="32">
        <f>IF('⑨ 구배 자동계산'!$B$4&lt;&gt;"19_오호 신규점","",IF('⑨ 구배 자동계산'!K14="","",'⑨ 구배 자동계산'!K14))</f>
        <v>51199.25</v>
      </c>
      <c r="F21" s="44" t="str">
        <f>IF('⑨ 구배 자동계산'!$B$4&lt;&gt;"19_오호 신규점","",IF('⑨ 구배 자동계산'!L14="","",'⑨ 구배 자동계산'!L14))</f>
        <v/>
      </c>
      <c r="G21" s="32" t="str">
        <f>IF('⑨ 구배 자동계산'!$B$4&lt;&gt;"19_오호 신규점","",IF('⑨ 구배 자동계산'!M14="","",'⑨ 구배 자동계산'!M14))</f>
        <v/>
      </c>
      <c r="H21" s="44">
        <f>IF('⑨ 구배 자동계산'!$B$4&lt;&gt;"19_오호 신규점","",IF('⑨ 구배 자동계산'!N14="","",'⑨ 구배 자동계산'!N14))</f>
        <v>1249</v>
      </c>
      <c r="I21" s="32">
        <f>IF('⑨ 구배 자동계산'!$B$4&lt;&gt;"19_오호 신규점","",IF('⑨ 구배 자동계산'!O14="","",'⑨ 구배 자동계산'!O14))</f>
        <v>51354.22</v>
      </c>
      <c r="K21" s="31">
        <v>5</v>
      </c>
      <c r="L21" s="31">
        <f t="shared" si="0"/>
        <v>5</v>
      </c>
      <c r="M21" s="31">
        <f t="shared" si="1"/>
        <v>51329.88</v>
      </c>
      <c r="N21" s="31">
        <f t="shared" si="2"/>
        <v>0.66999999999825377</v>
      </c>
      <c r="O21" s="31">
        <f t="shared" si="3"/>
        <v>0.66999999999825377</v>
      </c>
      <c r="P21" s="31" t="str">
        <f t="shared" si="4"/>
        <v>4~5 m</v>
      </c>
      <c r="Q21" s="31">
        <f t="shared" si="5"/>
        <v>5</v>
      </c>
      <c r="R21" s="31">
        <f t="shared" si="6"/>
        <v>51199.25</v>
      </c>
      <c r="S21" s="31">
        <f t="shared" si="7"/>
        <v>-195.25</v>
      </c>
      <c r="T21" s="31">
        <f t="shared" si="8"/>
        <v>195.25</v>
      </c>
      <c r="U21" s="31" t="str">
        <f t="shared" si="9"/>
        <v>4~5 m</v>
      </c>
      <c r="V21" s="31">
        <f t="shared" si="10"/>
        <v>4</v>
      </c>
      <c r="W21" s="31">
        <f t="shared" si="11"/>
        <v>51330.68</v>
      </c>
      <c r="X21" s="31" t="str">
        <f t="shared" si="12"/>
        <v/>
      </c>
      <c r="Y21" s="31" t="str">
        <f t="shared" si="13"/>
        <v/>
      </c>
      <c r="Z21" s="31" t="str">
        <f t="shared" si="14"/>
        <v/>
      </c>
      <c r="AA21" s="31">
        <f t="shared" si="15"/>
        <v>5</v>
      </c>
      <c r="AB21" s="31">
        <f t="shared" si="16"/>
        <v>51354.22</v>
      </c>
      <c r="AC21" s="31">
        <f t="shared" si="17"/>
        <v>-129.15000000000146</v>
      </c>
      <c r="AD21" s="31">
        <f t="shared" si="18"/>
        <v>129.15000000000146</v>
      </c>
      <c r="AE21" s="31" t="str">
        <f t="shared" si="19"/>
        <v>4~5 m</v>
      </c>
      <c r="AH21" t="s">
        <v>587</v>
      </c>
      <c r="AI21" t="s">
        <v>258</v>
      </c>
    </row>
    <row r="22" spans="1:35" ht="19.95" customHeight="1" x14ac:dyDescent="0.4">
      <c r="A22" s="8" t="s">
        <v>170</v>
      </c>
      <c r="B22" s="44">
        <f>IF('⑨ 구배 자동계산'!$B$4&lt;&gt;"19_오호 신규점","",IF('⑨ 구배 자동계산'!H15="","",'⑨ 구배 자동계산'!H15))</f>
        <v>1135</v>
      </c>
      <c r="C22" s="32">
        <f>IF('⑨ 구배 자동계산'!$B$4&lt;&gt;"19_오호 신규점","",IF('⑨ 구배 자동계산'!I15="","",'⑨ 구배 자동계산'!I15))</f>
        <v>51334.76</v>
      </c>
      <c r="D22" s="44">
        <f>IF('⑨ 구배 자동계산'!$B$4&lt;&gt;"19_오호 신규점","",IF('⑨ 구배 자동계산'!J15="","",'⑨ 구배 자동계산'!J15))</f>
        <v>1201</v>
      </c>
      <c r="E22" s="32">
        <f>IF('⑨ 구배 자동계산'!$B$4&lt;&gt;"19_오호 신규점","",IF('⑨ 구배 자동계산'!K15="","",'⑨ 구배 자동계산'!K15))</f>
        <v>51059.95</v>
      </c>
      <c r="F22" s="44" t="str">
        <f>IF('⑨ 구배 자동계산'!$B$4&lt;&gt;"19_오호 신규점","",IF('⑨ 구배 자동계산'!L15="","",'⑨ 구배 자동계산'!L15))</f>
        <v/>
      </c>
      <c r="G22" s="32" t="str">
        <f>IF('⑨ 구배 자동계산'!$B$4&lt;&gt;"19_오호 신규점","",IF('⑨ 구배 자동계산'!M15="","",'⑨ 구배 자동계산'!M15))</f>
        <v/>
      </c>
      <c r="H22" s="44">
        <f>IF('⑨ 구배 자동계산'!$B$4&lt;&gt;"19_오호 신규점","",IF('⑨ 구배 자동계산'!N15="","",'⑨ 구배 자동계산'!N15))</f>
        <v>1251</v>
      </c>
      <c r="I22" s="32">
        <f>IF('⑨ 구배 자동계산'!$B$4&lt;&gt;"19_오호 신규점","",IF('⑨ 구배 자동계산'!O15="","",'⑨ 구배 자동계산'!O15))</f>
        <v>51579.07</v>
      </c>
      <c r="K22" s="31">
        <v>6</v>
      </c>
      <c r="L22" s="31">
        <f t="shared" si="0"/>
        <v>6</v>
      </c>
      <c r="M22" s="31">
        <f t="shared" si="1"/>
        <v>51334.76</v>
      </c>
      <c r="N22" s="31">
        <f t="shared" si="2"/>
        <v>4.8800000000046566</v>
      </c>
      <c r="O22" s="31">
        <f t="shared" si="3"/>
        <v>4.8800000000046566</v>
      </c>
      <c r="P22" s="31" t="str">
        <f t="shared" si="4"/>
        <v>5~6 m</v>
      </c>
      <c r="Q22" s="31">
        <f t="shared" si="5"/>
        <v>6</v>
      </c>
      <c r="R22" s="31">
        <f t="shared" si="6"/>
        <v>51059.95</v>
      </c>
      <c r="S22" s="31">
        <f t="shared" si="7"/>
        <v>-139.30000000000291</v>
      </c>
      <c r="T22" s="31">
        <f t="shared" si="8"/>
        <v>139.30000000000291</v>
      </c>
      <c r="U22" s="31" t="str">
        <f t="shared" si="9"/>
        <v>5~6 m</v>
      </c>
      <c r="V22" s="31">
        <f t="shared" si="10"/>
        <v>4</v>
      </c>
      <c r="W22" s="31">
        <f t="shared" si="11"/>
        <v>51330.68</v>
      </c>
      <c r="X22" s="31" t="str">
        <f t="shared" si="12"/>
        <v/>
      </c>
      <c r="Y22" s="31" t="str">
        <f t="shared" si="13"/>
        <v/>
      </c>
      <c r="Z22" s="31" t="str">
        <f t="shared" si="14"/>
        <v/>
      </c>
      <c r="AA22" s="31">
        <f t="shared" si="15"/>
        <v>6</v>
      </c>
      <c r="AB22" s="31">
        <f t="shared" si="16"/>
        <v>51579.07</v>
      </c>
      <c r="AC22" s="31">
        <f t="shared" si="17"/>
        <v>224.84999999999854</v>
      </c>
      <c r="AD22" s="31">
        <f t="shared" si="18"/>
        <v>224.84999999999854</v>
      </c>
      <c r="AE22" s="31" t="str">
        <f t="shared" si="19"/>
        <v>5~6 m</v>
      </c>
      <c r="AH22" t="s">
        <v>588</v>
      </c>
      <c r="AI22" t="s">
        <v>259</v>
      </c>
    </row>
    <row r="23" spans="1:35" ht="19.95" customHeight="1" x14ac:dyDescent="0.4">
      <c r="A23" s="8" t="s">
        <v>171</v>
      </c>
      <c r="B23" s="44" t="str">
        <f>IF('⑨ 구배 자동계산'!$B$4&lt;&gt;"19_오호 신규점","",IF('⑨ 구배 자동계산'!H16="","",'⑨ 구배 자동계산'!H16))</f>
        <v/>
      </c>
      <c r="C23" s="32" t="str">
        <f>IF('⑨ 구배 자동계산'!$B$4&lt;&gt;"19_오호 신규점","",IF('⑨ 구배 자동계산'!I16="","",'⑨ 구배 자동계산'!I16))</f>
        <v/>
      </c>
      <c r="D23" s="44">
        <f>IF('⑨ 구배 자동계산'!$B$4&lt;&gt;"19_오호 신규점","",IF('⑨ 구배 자동계산'!J16="","",'⑨ 구배 자동계산'!J16))</f>
        <v>1204</v>
      </c>
      <c r="E23" s="32">
        <f>IF('⑨ 구배 자동계산'!$B$4&lt;&gt;"19_오호 신규점","",IF('⑨ 구배 자동계산'!K16="","",'⑨ 구배 자동계산'!K16))</f>
        <v>51077.82</v>
      </c>
      <c r="F23" s="44" t="str">
        <f>IF('⑨ 구배 자동계산'!$B$4&lt;&gt;"19_오호 신규점","",IF('⑨ 구배 자동계산'!L16="","",'⑨ 구배 자동계산'!L16))</f>
        <v/>
      </c>
      <c r="G23" s="32" t="str">
        <f>IF('⑨ 구배 자동계산'!$B$4&lt;&gt;"19_오호 신규점","",IF('⑨ 구배 자동계산'!M16="","",'⑨ 구배 자동계산'!M16))</f>
        <v/>
      </c>
      <c r="H23" s="44">
        <f>IF('⑨ 구배 자동계산'!$B$4&lt;&gt;"19_오호 신규점","",IF('⑨ 구배 자동계산'!N16="","",'⑨ 구배 자동계산'!N16))</f>
        <v>1254</v>
      </c>
      <c r="I23" s="32">
        <f>IF('⑨ 구배 자동계산'!$B$4&lt;&gt;"19_오호 신규점","",IF('⑨ 구배 자동계산'!O16="","",'⑨ 구배 자동계산'!O16))</f>
        <v>51415.93</v>
      </c>
      <c r="K23" s="31">
        <v>7</v>
      </c>
      <c r="L23" s="31">
        <f t="shared" si="0"/>
        <v>6</v>
      </c>
      <c r="M23" s="31">
        <f t="shared" si="1"/>
        <v>51334.76</v>
      </c>
      <c r="N23" s="31" t="str">
        <f t="shared" si="2"/>
        <v/>
      </c>
      <c r="O23" s="31" t="str">
        <f t="shared" si="3"/>
        <v/>
      </c>
      <c r="P23" s="31" t="str">
        <f t="shared" si="4"/>
        <v/>
      </c>
      <c r="Q23" s="31">
        <f t="shared" si="5"/>
        <v>7</v>
      </c>
      <c r="R23" s="31">
        <f t="shared" si="6"/>
        <v>51077.82</v>
      </c>
      <c r="S23" s="31">
        <f t="shared" si="7"/>
        <v>17.870000000002619</v>
      </c>
      <c r="T23" s="31">
        <f t="shared" si="8"/>
        <v>17.870000000002619</v>
      </c>
      <c r="U23" s="31" t="str">
        <f t="shared" si="9"/>
        <v>6~7 m</v>
      </c>
      <c r="V23" s="31">
        <f t="shared" si="10"/>
        <v>4</v>
      </c>
      <c r="W23" s="31">
        <f t="shared" si="11"/>
        <v>51330.68</v>
      </c>
      <c r="X23" s="31" t="str">
        <f t="shared" si="12"/>
        <v/>
      </c>
      <c r="Y23" s="31" t="str">
        <f t="shared" si="13"/>
        <v/>
      </c>
      <c r="Z23" s="31" t="str">
        <f t="shared" si="14"/>
        <v/>
      </c>
      <c r="AA23" s="31">
        <f t="shared" si="15"/>
        <v>7</v>
      </c>
      <c r="AB23" s="31">
        <f t="shared" si="16"/>
        <v>51415.93</v>
      </c>
      <c r="AC23" s="31">
        <f t="shared" si="17"/>
        <v>-163.13999999999942</v>
      </c>
      <c r="AD23" s="31">
        <f t="shared" si="18"/>
        <v>163.13999999999942</v>
      </c>
      <c r="AE23" s="31" t="str">
        <f t="shared" si="19"/>
        <v>6~7 m</v>
      </c>
      <c r="AI23" t="s">
        <v>260</v>
      </c>
    </row>
    <row r="24" spans="1:35" ht="19.95" customHeight="1" x14ac:dyDescent="0.4">
      <c r="A24" s="8" t="s">
        <v>172</v>
      </c>
      <c r="B24" s="44" t="str">
        <f>IF('⑨ 구배 자동계산'!$B$4&lt;&gt;"19_오호 신규점","",IF('⑨ 구배 자동계산'!H17="","",'⑨ 구배 자동계산'!H17))</f>
        <v/>
      </c>
      <c r="C24" s="32" t="str">
        <f>IF('⑨ 구배 자동계산'!$B$4&lt;&gt;"19_오호 신규점","",IF('⑨ 구배 자동계산'!I17="","",'⑨ 구배 자동계산'!I17))</f>
        <v/>
      </c>
      <c r="D24" s="44">
        <f>IF('⑨ 구배 자동계산'!$B$4&lt;&gt;"19_오호 신규점","",IF('⑨ 구배 자동계산'!J17="","",'⑨ 구배 자동계산'!J17))</f>
        <v>1207</v>
      </c>
      <c r="E24" s="32">
        <f>IF('⑨ 구배 자동계산'!$B$4&lt;&gt;"19_오호 신규점","",IF('⑨ 구배 자동계산'!K17="","",'⑨ 구배 자동계산'!K17))</f>
        <v>51465.58</v>
      </c>
      <c r="F24" s="44" t="str">
        <f>IF('⑨ 구배 자동계산'!$B$4&lt;&gt;"19_오호 신규점","",IF('⑨ 구배 자동계산'!L17="","",'⑨ 구배 자동계산'!L17))</f>
        <v/>
      </c>
      <c r="G24" s="32" t="str">
        <f>IF('⑨ 구배 자동계산'!$B$4&lt;&gt;"19_오호 신규점","",IF('⑨ 구배 자동계산'!M17="","",'⑨ 구배 자동계산'!M17))</f>
        <v/>
      </c>
      <c r="H24" s="44">
        <f>IF('⑨ 구배 자동계산'!$B$4&lt;&gt;"19_오호 신규점","",IF('⑨ 구배 자동계산'!N17="","",'⑨ 구배 자동계산'!N17))</f>
        <v>1257</v>
      </c>
      <c r="I24" s="32">
        <f>IF('⑨ 구배 자동계산'!$B$4&lt;&gt;"19_오호 신규점","",IF('⑨ 구배 자동계산'!O17="","",'⑨ 구배 자동계산'!O17))</f>
        <v>50548.62</v>
      </c>
      <c r="K24" s="31">
        <v>8</v>
      </c>
      <c r="L24" s="31">
        <f t="shared" si="0"/>
        <v>6</v>
      </c>
      <c r="M24" s="31">
        <f t="shared" si="1"/>
        <v>51334.76</v>
      </c>
      <c r="N24" s="31" t="str">
        <f t="shared" si="2"/>
        <v/>
      </c>
      <c r="O24" s="31" t="str">
        <f t="shared" si="3"/>
        <v/>
      </c>
      <c r="P24" s="31" t="str">
        <f t="shared" si="4"/>
        <v/>
      </c>
      <c r="Q24" s="31">
        <f t="shared" si="5"/>
        <v>8</v>
      </c>
      <c r="R24" s="31">
        <f t="shared" si="6"/>
        <v>51465.58</v>
      </c>
      <c r="S24" s="31">
        <f t="shared" si="7"/>
        <v>387.76000000000204</v>
      </c>
      <c r="T24" s="31">
        <f t="shared" si="8"/>
        <v>387.76000000000204</v>
      </c>
      <c r="U24" s="31" t="str">
        <f t="shared" si="9"/>
        <v>7~8 m</v>
      </c>
      <c r="V24" s="31">
        <f t="shared" si="10"/>
        <v>4</v>
      </c>
      <c r="W24" s="31">
        <f t="shared" si="11"/>
        <v>51330.68</v>
      </c>
      <c r="X24" s="31" t="str">
        <f t="shared" si="12"/>
        <v/>
      </c>
      <c r="Y24" s="31" t="str">
        <f t="shared" si="13"/>
        <v/>
      </c>
      <c r="Z24" s="31" t="str">
        <f t="shared" si="14"/>
        <v/>
      </c>
      <c r="AA24" s="31">
        <f t="shared" si="15"/>
        <v>8</v>
      </c>
      <c r="AB24" s="31">
        <f t="shared" si="16"/>
        <v>50548.62</v>
      </c>
      <c r="AC24" s="31">
        <f t="shared" si="17"/>
        <v>-867.30999999999767</v>
      </c>
      <c r="AD24" s="31">
        <f t="shared" si="18"/>
        <v>867.30999999999767</v>
      </c>
      <c r="AE24" s="31" t="str">
        <f t="shared" si="19"/>
        <v>7~8 m</v>
      </c>
      <c r="AH24" t="s">
        <v>589</v>
      </c>
      <c r="AI24" t="s">
        <v>261</v>
      </c>
    </row>
    <row r="25" spans="1:35" ht="19.95" customHeight="1" x14ac:dyDescent="0.4">
      <c r="A25" s="8" t="s">
        <v>173</v>
      </c>
      <c r="B25" s="44" t="str">
        <f>IF('⑨ 구배 자동계산'!$B$4&lt;&gt;"19_오호 신규점","",IF('⑨ 구배 자동계산'!H18="","",'⑨ 구배 자동계산'!H18))</f>
        <v/>
      </c>
      <c r="C25" s="32" t="str">
        <f>IF('⑨ 구배 자동계산'!$B$4&lt;&gt;"19_오호 신규점","",IF('⑨ 구배 자동계산'!I18="","",'⑨ 구배 자동계산'!I18))</f>
        <v/>
      </c>
      <c r="D25" s="44">
        <f>IF('⑨ 구배 자동계산'!$B$4&lt;&gt;"19_오호 신규점","",IF('⑨ 구배 자동계산'!J18="","",'⑨ 구배 자동계산'!J18))</f>
        <v>1210</v>
      </c>
      <c r="E25" s="32">
        <f>IF('⑨ 구배 자동계산'!$B$4&lt;&gt;"19_오호 신규점","",IF('⑨ 구배 자동계산'!K18="","",'⑨ 구배 자동계산'!K18))</f>
        <v>51714.61</v>
      </c>
      <c r="F25" s="44" t="str">
        <f>IF('⑨ 구배 자동계산'!$B$4&lt;&gt;"19_오호 신규점","",IF('⑨ 구배 자동계산'!L18="","",'⑨ 구배 자동계산'!L18))</f>
        <v/>
      </c>
      <c r="G25" s="32" t="str">
        <f>IF('⑨ 구배 자동계산'!$B$4&lt;&gt;"19_오호 신규점","",IF('⑨ 구배 자동계산'!M18="","",'⑨ 구배 자동계산'!M18))</f>
        <v/>
      </c>
      <c r="H25" s="44" t="str">
        <f>IF('⑨ 구배 자동계산'!$B$4&lt;&gt;"19_오호 신규점","",IF('⑨ 구배 자동계산'!N18="","",'⑨ 구배 자동계산'!N18))</f>
        <v/>
      </c>
      <c r="I25" s="32" t="str">
        <f>IF('⑨ 구배 자동계산'!$B$4&lt;&gt;"19_오호 신규점","",IF('⑨ 구배 자동계산'!O18="","",'⑨ 구배 자동계산'!O18))</f>
        <v/>
      </c>
      <c r="K25" s="31">
        <v>9</v>
      </c>
      <c r="L25" s="31">
        <f t="shared" si="0"/>
        <v>6</v>
      </c>
      <c r="M25" s="31">
        <f t="shared" si="1"/>
        <v>51334.76</v>
      </c>
      <c r="N25" s="31" t="str">
        <f t="shared" si="2"/>
        <v/>
      </c>
      <c r="O25" s="31" t="str">
        <f t="shared" si="3"/>
        <v/>
      </c>
      <c r="P25" s="31" t="str">
        <f t="shared" si="4"/>
        <v/>
      </c>
      <c r="Q25" s="31">
        <f t="shared" si="5"/>
        <v>9</v>
      </c>
      <c r="R25" s="31">
        <f t="shared" si="6"/>
        <v>51714.61</v>
      </c>
      <c r="S25" s="31">
        <f t="shared" si="7"/>
        <v>249.02999999999884</v>
      </c>
      <c r="T25" s="31">
        <f t="shared" si="8"/>
        <v>249.02999999999884</v>
      </c>
      <c r="U25" s="31" t="str">
        <f t="shared" si="9"/>
        <v>8~9 m</v>
      </c>
      <c r="V25" s="31">
        <f t="shared" si="10"/>
        <v>4</v>
      </c>
      <c r="W25" s="31">
        <f t="shared" si="11"/>
        <v>51330.68</v>
      </c>
      <c r="X25" s="31" t="str">
        <f t="shared" si="12"/>
        <v/>
      </c>
      <c r="Y25" s="31" t="str">
        <f t="shared" si="13"/>
        <v/>
      </c>
      <c r="Z25" s="31" t="str">
        <f t="shared" si="14"/>
        <v/>
      </c>
      <c r="AA25" s="31">
        <f t="shared" si="15"/>
        <v>8</v>
      </c>
      <c r="AB25" s="31">
        <f t="shared" si="16"/>
        <v>50548.62</v>
      </c>
      <c r="AC25" s="31" t="str">
        <f t="shared" si="17"/>
        <v/>
      </c>
      <c r="AD25" s="31" t="str">
        <f t="shared" si="18"/>
        <v/>
      </c>
      <c r="AE25" s="31" t="str">
        <f t="shared" si="19"/>
        <v/>
      </c>
      <c r="AH25" t="s">
        <v>590</v>
      </c>
      <c r="AI25" t="s">
        <v>262</v>
      </c>
    </row>
    <row r="26" spans="1:35" ht="19.95" customHeight="1" x14ac:dyDescent="0.4">
      <c r="A26" s="8" t="s">
        <v>174</v>
      </c>
      <c r="B26" s="44" t="str">
        <f>IF('⑨ 구배 자동계산'!$B$4&lt;&gt;"19_오호 신규점","",IF('⑨ 구배 자동계산'!H19="","",'⑨ 구배 자동계산'!H19))</f>
        <v/>
      </c>
      <c r="C26" s="32" t="str">
        <f>IF('⑨ 구배 자동계산'!$B$4&lt;&gt;"19_오호 신규점","",IF('⑨ 구배 자동계산'!I19="","",'⑨ 구배 자동계산'!I19))</f>
        <v/>
      </c>
      <c r="D26" s="44">
        <f>IF('⑨ 구배 자동계산'!$B$4&lt;&gt;"19_오호 신규점","",IF('⑨ 구배 자동계산'!J19="","",'⑨ 구배 자동계산'!J19))</f>
        <v>1212</v>
      </c>
      <c r="E26" s="32">
        <f>IF('⑨ 구배 자동계산'!$B$4&lt;&gt;"19_오호 신규점","",IF('⑨ 구배 자동계산'!K19="","",'⑨ 구배 자동계산'!K19))</f>
        <v>52070.23</v>
      </c>
      <c r="F26" s="44" t="str">
        <f>IF('⑨ 구배 자동계산'!$B$4&lt;&gt;"19_오호 신규점","",IF('⑨ 구배 자동계산'!L19="","",'⑨ 구배 자동계산'!L19))</f>
        <v/>
      </c>
      <c r="G26" s="32" t="str">
        <f>IF('⑨ 구배 자동계산'!$B$4&lt;&gt;"19_오호 신규점","",IF('⑨ 구배 자동계산'!M19="","",'⑨ 구배 자동계산'!M19))</f>
        <v/>
      </c>
      <c r="H26" s="44" t="str">
        <f>IF('⑨ 구배 자동계산'!$B$4&lt;&gt;"19_오호 신규점","",IF('⑨ 구배 자동계산'!N19="","",'⑨ 구배 자동계산'!N19))</f>
        <v/>
      </c>
      <c r="I26" s="32" t="str">
        <f>IF('⑨ 구배 자동계산'!$B$4&lt;&gt;"19_오호 신규점","",IF('⑨ 구배 자동계산'!O19="","",'⑨ 구배 자동계산'!O19))</f>
        <v/>
      </c>
      <c r="K26" s="31">
        <v>10</v>
      </c>
      <c r="L26" s="31">
        <f t="shared" si="0"/>
        <v>6</v>
      </c>
      <c r="M26" s="31">
        <f t="shared" si="1"/>
        <v>51334.76</v>
      </c>
      <c r="N26" s="31" t="str">
        <f t="shared" si="2"/>
        <v/>
      </c>
      <c r="O26" s="31" t="str">
        <f t="shared" si="3"/>
        <v/>
      </c>
      <c r="P26" s="31" t="str">
        <f t="shared" si="4"/>
        <v/>
      </c>
      <c r="Q26" s="31">
        <f t="shared" si="5"/>
        <v>10</v>
      </c>
      <c r="R26" s="31">
        <f t="shared" si="6"/>
        <v>52070.23</v>
      </c>
      <c r="S26" s="31">
        <f t="shared" si="7"/>
        <v>355.62000000000262</v>
      </c>
      <c r="T26" s="31">
        <f t="shared" si="8"/>
        <v>355.62000000000262</v>
      </c>
      <c r="U26" s="31" t="str">
        <f t="shared" si="9"/>
        <v>9~10 m</v>
      </c>
      <c r="V26" s="31">
        <f t="shared" si="10"/>
        <v>4</v>
      </c>
      <c r="W26" s="31">
        <f t="shared" si="11"/>
        <v>51330.68</v>
      </c>
      <c r="X26" s="31" t="str">
        <f t="shared" si="12"/>
        <v/>
      </c>
      <c r="Y26" s="31" t="str">
        <f t="shared" si="13"/>
        <v/>
      </c>
      <c r="Z26" s="31" t="str">
        <f t="shared" si="14"/>
        <v/>
      </c>
      <c r="AA26" s="31">
        <f t="shared" si="15"/>
        <v>8</v>
      </c>
      <c r="AB26" s="31">
        <f t="shared" si="16"/>
        <v>50548.62</v>
      </c>
      <c r="AC26" s="31" t="str">
        <f t="shared" si="17"/>
        <v/>
      </c>
      <c r="AD26" s="31" t="str">
        <f t="shared" si="18"/>
        <v/>
      </c>
      <c r="AE26" s="31" t="str">
        <f t="shared" si="19"/>
        <v/>
      </c>
      <c r="AI26" t="s">
        <v>263</v>
      </c>
    </row>
    <row r="27" spans="1:35" ht="19.95" customHeight="1" x14ac:dyDescent="0.4">
      <c r="A27" s="40" t="s">
        <v>175</v>
      </c>
      <c r="B27" s="45">
        <f>IF('⑨ 구배 자동계산'!$B$4&lt;&gt;"19_오호 신규점","",IF('⑨ 구배 자동계산'!H20="","",'⑨ 구배 자동계산'!H20))</f>
        <v>1140</v>
      </c>
      <c r="C27" s="41">
        <f>IF('⑨ 구배 자동계산'!$B$4&lt;&gt;"19_오호 신규점","",IF('⑨ 구배 자동계산'!I20="","",'⑨ 구배 자동계산'!I20))</f>
        <v>51384.34</v>
      </c>
      <c r="D27" s="45">
        <f>IF('⑨ 구배 자동계산'!$B$4&lt;&gt;"19_오호 신규점","",IF('⑨ 구배 자동계산'!J20="","",'⑨ 구배 자동계산'!J20))</f>
        <v>1215</v>
      </c>
      <c r="E27" s="41">
        <f>IF('⑨ 구배 자동계산'!$B$4&lt;&gt;"19_오호 신규점","",IF('⑨ 구배 자동계산'!K20="","",'⑨ 구배 자동계산'!K20))</f>
        <v>51388.57</v>
      </c>
      <c r="F27" s="45">
        <f>IF('⑨ 구배 자동계산'!$B$4&lt;&gt;"19_오호 신규점","",IF('⑨ 구배 자동계산'!L20="","",'⑨ 구배 자동계산'!L20))</f>
        <v>1232</v>
      </c>
      <c r="G27" s="41">
        <f>IF('⑨ 구배 자동계산'!$B$4&lt;&gt;"19_오호 신규점","",IF('⑨ 구배 자동계산'!M20="","",'⑨ 구배 자동계산'!M20))</f>
        <v>51397.88</v>
      </c>
      <c r="H27" s="45">
        <f>IF('⑨ 구배 자동계산'!$B$4&lt;&gt;"19_오호 신규점","",IF('⑨ 구배 자동계산'!N20="","",'⑨ 구배 자동계산'!N20))</f>
        <v>1300</v>
      </c>
      <c r="I27" s="41">
        <f>IF('⑨ 구배 자동계산'!$B$4&lt;&gt;"19_오호 신규점","",IF('⑨ 구배 자동계산'!O20="","",'⑨ 구배 자동계산'!O20))</f>
        <v>51397.97</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6 m</v>
      </c>
      <c r="C31" s="29">
        <f>IF(COUNT(C16,C27)&lt;2,"",C27-C16)</f>
        <v>-5.0100000000020373</v>
      </c>
      <c r="D31" s="29">
        <f>IF(COUNT(C16:C26)&lt;2,"",MAX(C16:C26)-MIN(C16:C26))</f>
        <v>60.139999999999418</v>
      </c>
      <c r="E31" s="29">
        <f>IF(COUNT(O17:O26)=0,"",MAX(O17:O26))</f>
        <v>26.720000000001164</v>
      </c>
      <c r="F31" s="9" t="str">
        <f>IF(E31="","",INDEX(P17:P26,MATCH(E31,O17:O26,0)))</f>
        <v>P0~1 m</v>
      </c>
      <c r="G31" s="29">
        <f>IF(OR(COUNT(C16)=0,COUNT(C17:C26)=0),"",LOOKUP(2,1/(C17:C26&lt;&gt;""),C17:C26)-C16)</f>
        <v>-54.589999999996508</v>
      </c>
      <c r="H31" s="29">
        <f>IF(G31="","",ROUND(ABS(G31)/LOOKUP(2,1/(C17:C26&lt;&gt;""),ROW(C17:C26)-16),2))</f>
        <v>9.1</v>
      </c>
      <c r="I31" s="6" t="str">
        <f>IF('⑨ 구배 자동계산'!$B$4&lt;&gt;"19_오호 신규점","",IF('⑨ 구배 자동계산'!$M30="","",'⑨ 구배 자동계산'!$M30&amp;"  ·  "&amp;'⑨ 구배 자동계산'!$O30))</f>
        <v>245 / 10  ·  정상</v>
      </c>
      <c r="AI31" t="s">
        <v>268</v>
      </c>
    </row>
    <row r="32" spans="1:35" ht="19.95" customHeight="1" x14ac:dyDescent="0.4">
      <c r="A32" s="8" t="s">
        <v>291</v>
      </c>
      <c r="B32" s="9" t="str">
        <f>IF(COUNT(E17:E26)=0,"",LOOKUP(2,1/(E17:E26&lt;&gt;""),ROW(E17:E26)-16)&amp;" m")</f>
        <v>10 m</v>
      </c>
      <c r="C32" s="29">
        <f>IF(COUNT(E16,E27)&lt;2,"",E27-E16)</f>
        <v>-20.639999999999418</v>
      </c>
      <c r="D32" s="29">
        <f>IF(COUNT(E16:E26)&lt;2,"",MAX(E16:E26)-MIN(E16:E26))</f>
        <v>1010.2800000000061</v>
      </c>
      <c r="E32" s="29">
        <f>IF(COUNT(T17:T26)=0,"",MAX(T17:T26))</f>
        <v>387.76000000000204</v>
      </c>
      <c r="F32" s="9" t="str">
        <f>IF(E32="","",INDEX(U17:U26,MATCH(E32,T17:T26,0)))</f>
        <v>7~8 m</v>
      </c>
      <c r="G32" s="29">
        <f>IF(OR(COUNT(E16)=0,COUNT(E17:E26)=0),"",LOOKUP(2,1/(E17:E26&lt;&gt;""),E17:E26)-E16)</f>
        <v>661.02000000000407</v>
      </c>
      <c r="H32" s="29">
        <f>IF(G32="","",ROUND(ABS(G32)/LOOKUP(2,1/(E17:E26&lt;&gt;""),ROW(E17:E26)-16),2))</f>
        <v>66.099999999999994</v>
      </c>
      <c r="I32" s="6" t="str">
        <f>IF('⑨ 구배 자동계산'!$B$4&lt;&gt;"19_오호 신규점","",IF('⑨ 구배 자동계산'!$M31="","",'⑨ 구배 자동계산'!$M31&amp;"  ·  "&amp;'⑨ 구배 자동계산'!$O31))</f>
        <v>332 / 14  ·  정상</v>
      </c>
      <c r="AH32" t="s">
        <v>591</v>
      </c>
      <c r="AI32" t="s">
        <v>269</v>
      </c>
    </row>
    <row r="33" spans="1:35" ht="19.95" customHeight="1" x14ac:dyDescent="0.4">
      <c r="A33" s="8" t="s">
        <v>292</v>
      </c>
      <c r="B33" s="9" t="str">
        <f>IF(COUNT(G17:G26)=0,"",LOOKUP(2,1/(G17:G26&lt;&gt;""),ROW(G17:G26)-16)&amp;" m")</f>
        <v>4 m</v>
      </c>
      <c r="C33" s="29">
        <f>IF(COUNT(G16,G27)&lt;2,"",G27-G16)</f>
        <v>9.2199999999938882</v>
      </c>
      <c r="D33" s="29">
        <f>IF(COUNT(G16:G26)&lt;2,"",MAX(G16:G26)-MIN(G16:G26))</f>
        <v>57.980000000003201</v>
      </c>
      <c r="E33" s="29">
        <f>IF(COUNT(Y17:Y26)=0,"",MAX(Y17:Y26))</f>
        <v>20.090000000003783</v>
      </c>
      <c r="F33" s="9" t="str">
        <f>IF(E33="","",INDEX(Z17:Z26,MATCH(E33,Y17:Y26,0)))</f>
        <v>P0~1 m</v>
      </c>
      <c r="G33" s="29">
        <f>IF(OR(COUNT(G16)=0,COUNT(G17:G26)=0),"",LOOKUP(2,1/(G17:G26&lt;&gt;""),G17:G26)-G16)</f>
        <v>-57.980000000003201</v>
      </c>
      <c r="H33" s="29">
        <f>IF(G33="","",ROUND(ABS(G33)/LOOKUP(2,1/(G17:G26&lt;&gt;""),ROW(G17:G26)-16),2))</f>
        <v>14.5</v>
      </c>
      <c r="I33" s="6" t="str">
        <f>IF('⑨ 구배 자동계산'!$B$4&lt;&gt;"19_오호 신규점","",IF('⑨ 구배 자동계산'!$M32="","",'⑨ 구배 자동계산'!$M32&amp;"  ·  "&amp;'⑨ 구배 자동계산'!$O32))</f>
        <v>163 / 0  ·  정상</v>
      </c>
      <c r="AI33" t="s">
        <v>270</v>
      </c>
    </row>
    <row r="34" spans="1:35" ht="19.95" customHeight="1" x14ac:dyDescent="0.4">
      <c r="A34" s="8" t="s">
        <v>293</v>
      </c>
      <c r="B34" s="9" t="str">
        <f>IF(COUNT(I17:I26)=0,"",LOOKUP(2,1/(I17:I26&lt;&gt;""),ROW(I17:I26)-16)&amp;" m")</f>
        <v>8 m</v>
      </c>
      <c r="C34" s="29">
        <f>IF(COUNT(I16,I27)&lt;2,"",I27-I16)</f>
        <v>-0.62999999999738066</v>
      </c>
      <c r="D34" s="29">
        <f>IF(COUNT(I16:I26)&lt;2,"",MAX(I16:I26)-MIN(I16:I26))</f>
        <v>1130.5599999999977</v>
      </c>
      <c r="E34" s="29">
        <f>IF(COUNT(AD17:AD26)=0,"",MAX(AD17:AD26))</f>
        <v>867.30999999999767</v>
      </c>
      <c r="F34" s="9" t="str">
        <f>IF(E34="","",INDEX(AE17:AE26,MATCH(E34,AD17:AD26,0)))</f>
        <v>7~8 m</v>
      </c>
      <c r="G34" s="29">
        <f>IF(OR(COUNT(I16)=0,COUNT(I17:I26)=0),"",LOOKUP(2,1/(I17:I26&lt;&gt;""),I17:I26)-I16)</f>
        <v>-849.97999999999593</v>
      </c>
      <c r="H34" s="29">
        <f>IF(G34="","",ROUND(ABS(G34)/LOOKUP(2,1/(I17:I26&lt;&gt;""),ROW(I17:I26)-16),2))</f>
        <v>106.25</v>
      </c>
      <c r="I34" s="6" t="str">
        <f>IF('⑨ 구배 자동계산'!$B$4&lt;&gt;"19_오호 신규점","",IF('⑨ 구배 자동계산'!$M33="","",'⑨ 구배 자동계산'!$M33&amp;"  ·  "&amp;'⑨ 구배 자동계산'!$O33))</f>
        <v>258 / 16  ·  정상</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f>IF('⑨ 구배 자동계산'!$B$4&lt;&gt;"19_오호 신규점","",IF('⑨ 구배 자동계산'!I23="","",'⑨ 구배 자동계산'!I23))</f>
        <v>51406.33</v>
      </c>
      <c r="D42" s="8"/>
      <c r="E42" s="8"/>
      <c r="F42" s="8"/>
      <c r="G42" s="92" t="str">
        <f>IF('⑨ 구배 자동계산'!$B$4&lt;&gt;"19_오호 신규점","",IF('⑨ 구배 자동계산'!$J23="","",'⑨ 구배 자동계산'!$J23&amp;"  ·  "&amp;'⑨ 구배 자동계산'!$L23))</f>
        <v>13:03:52~13:06:02  ·  27회 평균</v>
      </c>
      <c r="H42" s="93"/>
      <c r="I42" s="93"/>
    </row>
    <row r="43" spans="1:35" ht="26.4" customHeight="1" x14ac:dyDescent="0.4">
      <c r="A43" s="8">
        <v>3</v>
      </c>
      <c r="B43" s="33">
        <v>140</v>
      </c>
      <c r="C43" s="32">
        <f>IF('⑨ 구배 자동계산'!$B$4&lt;&gt;"19_오호 신규점","",IF('⑨ 구배 자동계산'!I24="","",'⑨ 구배 자동계산'!I24))</f>
        <v>51399.6</v>
      </c>
      <c r="D43" s="34">
        <f>IF(COUNT(B43,B42)&lt;2,"",(B42-B43)/100)</f>
        <v>0.45</v>
      </c>
      <c r="E43" s="35">
        <f>IF(COUNT(C43,C42)&lt;2,"",C43-C42)</f>
        <v>-6.7300000000032014</v>
      </c>
      <c r="F43" s="36">
        <f>IF(OR(D43="",E43="",D43=0),"",E43/D43)</f>
        <v>-14.95555555556267</v>
      </c>
      <c r="G43" s="92" t="str">
        <f>IF('⑨ 구배 자동계산'!$B$4&lt;&gt;"19_오호 신규점","",IF('⑨ 구배 자동계산'!$J24="","",'⑨ 구배 자동계산'!$J24&amp;"  ·  "&amp;'⑨ 구배 자동계산'!$L24))</f>
        <v>13:07:22~13:09:42  ·  28회 평균 · 1회 제외</v>
      </c>
      <c r="H43" s="93"/>
      <c r="I43" s="93"/>
      <c r="AH43" t="s">
        <v>234</v>
      </c>
    </row>
    <row r="44" spans="1:35" ht="28.8" customHeight="1" x14ac:dyDescent="0.4">
      <c r="A44" s="8">
        <v>2</v>
      </c>
      <c r="B44" s="33">
        <v>95</v>
      </c>
      <c r="C44" s="32">
        <f>IF('⑨ 구배 자동계산'!$B$4&lt;&gt;"19_오호 신규점","",IF('⑨ 구배 자동계산'!I25="","",'⑨ 구배 자동계산'!I25))</f>
        <v>51359.25</v>
      </c>
      <c r="D44" s="34">
        <f>IF(COUNT(B44,B43)&lt;2,"",(B43-B44)/100)</f>
        <v>0.45</v>
      </c>
      <c r="E44" s="35">
        <f>IF(COUNT(C44,C43)&lt;2,"",C44-C43)</f>
        <v>-40.349999999998545</v>
      </c>
      <c r="F44" s="36">
        <f>IF(OR(D44="",E44="",D44=0),"",E44/D44)</f>
        <v>-89.666666666663431</v>
      </c>
      <c r="G44" s="92" t="str">
        <f>IF('⑨ 구배 자동계산'!$B$4&lt;&gt;"19_오호 신규점","",IF('⑨ 구배 자동계산'!$J25="","",'⑨ 구배 자동계산'!$J25&amp;"  ·  "&amp;'⑨ 구배 자동계산'!$L25))</f>
        <v>13:14:22~13:17:47  ·  2회 평균 · 40회 제외 · 읽음이 적습니다 — 재측정 확인</v>
      </c>
      <c r="H44" s="93"/>
      <c r="I44" s="93"/>
    </row>
    <row r="45" spans="1:35" ht="28.8" customHeight="1" x14ac:dyDescent="0.4">
      <c r="A45" s="8">
        <v>1</v>
      </c>
      <c r="B45" s="33">
        <v>50</v>
      </c>
      <c r="C45" s="32">
        <f>IF('⑨ 구배 자동계산'!$B$4&lt;&gt;"19_오호 신규점","",IF('⑨ 구배 자동계산'!I26="","",'⑨ 구배 자동계산'!I26))</f>
        <v>51455.71</v>
      </c>
      <c r="D45" s="34">
        <f>IF(COUNT(B45,B44)&lt;2,"",(B44-B45)/100)</f>
        <v>0.45</v>
      </c>
      <c r="E45" s="35">
        <f>IF(COUNT(C45,C44)&lt;2,"",C45-C44)</f>
        <v>96.459999999999127</v>
      </c>
      <c r="F45" s="36">
        <f>IF(OR(D45="",E45="",D45=0),"",E45/D45)</f>
        <v>214.35555555555362</v>
      </c>
      <c r="G45" s="92" t="str">
        <f>IF('⑨ 구배 자동계산'!$B$4&lt;&gt;"19_오호 신규점","",IF('⑨ 구배 자동계산'!$J26="","",'⑨ 구배 자동계산'!$J26&amp;"  ·  "&amp;'⑨ 구배 자동계산'!$L26))</f>
        <v>13:19:02~13:21:17  ·  9회 평균 · 19회 제외 · 읽음이 적습니다 — 재측정 확인</v>
      </c>
      <c r="H45" s="93"/>
      <c r="I45" s="93"/>
      <c r="AH45" t="s">
        <v>593</v>
      </c>
    </row>
    <row r="46" spans="1:35" x14ac:dyDescent="0.4">
      <c r="A46" s="8" t="s">
        <v>305</v>
      </c>
      <c r="B46" s="34">
        <f>IF(COUNT(B42,B45)&lt;2,"",(B42-B45)/100)</f>
        <v>1.35</v>
      </c>
      <c r="C46" s="8"/>
      <c r="D46" s="8"/>
      <c r="E46" s="35">
        <f>IF(COUNT(C42,C45)&lt;2,"",C45-C42)</f>
        <v>49.379999999997381</v>
      </c>
      <c r="F46" s="36">
        <f>IF(OR(B46="",E46="",B46=0),"",E46/B46)</f>
        <v>36.577777777775836</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IF(COUNT(B50,E50)&lt;2,"",ROUND(SQRT(((128.521755-E50)*111320*COS(RADIANS(38.318869)))^2+((38.318869-B50)*110574)^2),1))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S19-P0a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59" priority="1">
      <formula>AND(ISNUMBER(C31),C31&gt;50)</formula>
    </cfRule>
  </conditionalFormatting>
  <conditionalFormatting sqref="D7">
    <cfRule type="expression" dxfId="158" priority="3" stopIfTrue="1">
      <formula>AND($D$7&lt;&gt;"",VALUE(LEFT($D$7,1))&lt;5)</formula>
    </cfRule>
    <cfRule type="expression" dxfId="157" priority="4" stopIfTrue="1">
      <formula>AND($D$7&lt;&gt;"",VALUE(LEFT($D$7,1))&gt;=5)</formula>
    </cfRule>
  </conditionalFormatting>
  <conditionalFormatting sqref="E7">
    <cfRule type="expression" dxfId="156" priority="5" stopIfTrue="1">
      <formula>AND($E$7&lt;&gt;"",VALUE(LEFT($E$7,1))&lt;5)</formula>
    </cfRule>
    <cfRule type="expression" dxfId="15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8E0805D0-D262-438D-B74A-F096046112A8}">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4D489090-F5B4-49D0-8CC3-193FA2808736}">
      <formula1>DATE(2026,1,1)</formula1>
      <formula2>DATE(2027,12,31)</formula2>
    </dataValidation>
    <dataValidation type="list" allowBlank="1" sqref="C7" xr:uid="{BC76CC02-1562-4193-A816-78C11E6A5C7E}">
      <formula1>"맑음,구름 조금,흐림,비,눈,바람 강함"</formula1>
    </dataValidation>
    <dataValidation type="list" allowBlank="1" sqref="H50" xr:uid="{5ADD4109-AC32-4AB9-A395-94DC8648469B}">
      <formula1>"RTK-GNSS,네트워크RTK,정적GNSS,휴대GNSS"</formula1>
    </dataValidation>
    <dataValidation type="list" allowBlank="1" sqref="B109" xr:uid="{F39EEF11-0D88-4452-AD1B-808677C16608}">
      <formula1>"동일,조정"</formula1>
    </dataValidation>
    <dataValidation type="list" allowBlank="1" showInputMessage="1" showErrorMessage="1" sqref="F56:F57" xr:uid="{9198DED6-862E-4DB4-BEA4-68B5318CD470}">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&amp;RS19 오호 신규점</oddHeader>
    <oddFooter>&amp;C&amp;9 &amp;P / &amp;N</oddFooter>
  </headerFooter>
  <rowBreaks count="3" manualBreakCount="3">
    <brk id="38" max="16383" man="1"/>
    <brk id="58" max="16383" man="1"/>
    <brk id="106"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51ED8-016A-4ECD-B25E-071C871F3C46}">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425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426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427</v>
      </c>
      <c r="B3" s="68"/>
      <c r="C3" s="68"/>
      <c r="D3" s="68"/>
      <c r="E3" s="68"/>
      <c r="F3" s="8" t="s">
        <v>154</v>
      </c>
      <c r="G3" s="6"/>
      <c r="H3" s="8" t="s">
        <v>155</v>
      </c>
      <c r="I3" s="9" t="s">
        <v>428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자동계산'!$B$4="20_보령 신규점2","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자동계산'!$B$4&lt;&gt;"20_보령 신규점2","",IF('⑨ 구배 자동계산'!H9="","",'⑨ 구배 자동계산'!H9))</f>
        <v/>
      </c>
      <c r="C16" s="30" t="str">
        <f>IF('⑨ 구배 자동계산'!$B$4&lt;&gt;"20_보령 신규점2","",IF('⑨ 구배 자동계산'!I9="","",'⑨ 구배 자동계산'!I9))</f>
        <v/>
      </c>
      <c r="D16" s="43" t="str">
        <f>IF('⑨ 구배 자동계산'!$B$4&lt;&gt;"20_보령 신규점2","",IF('⑨ 구배 자동계산'!J9="","",'⑨ 구배 자동계산'!J9))</f>
        <v/>
      </c>
      <c r="E16" s="30" t="str">
        <f>IF('⑨ 구배 자동계산'!$B$4&lt;&gt;"20_보령 신규점2","",IF('⑨ 구배 자동계산'!K9="","",'⑨ 구배 자동계산'!K9))</f>
        <v/>
      </c>
      <c r="F16" s="43" t="str">
        <f>IF('⑨ 구배 자동계산'!$B$4&lt;&gt;"20_보령 신규점2","",IF('⑨ 구배 자동계산'!L9="","",'⑨ 구배 자동계산'!L9))</f>
        <v/>
      </c>
      <c r="G16" s="30" t="str">
        <f>IF('⑨ 구배 자동계산'!$B$4&lt;&gt;"20_보령 신규점2","",IF('⑨ 구배 자동계산'!M9="","",'⑨ 구배 자동계산'!M9))</f>
        <v/>
      </c>
      <c r="H16" s="43" t="str">
        <f>IF('⑨ 구배 자동계산'!$B$4&lt;&gt;"20_보령 신규점2","",IF('⑨ 구배 자동계산'!N9="","",'⑨ 구배 자동계산'!N9))</f>
        <v/>
      </c>
      <c r="I16" s="30" t="str">
        <f>IF('⑨ 구배 자동계산'!$B$4&lt;&gt;"20_보령 신규점2","",IF('⑨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자동계산'!$B$4&lt;&gt;"20_보령 신규점2","",IF('⑨ 구배 자동계산'!H10="","",'⑨ 구배 자동계산'!H10))</f>
        <v/>
      </c>
      <c r="C17" s="32" t="str">
        <f>IF('⑨ 구배 자동계산'!$B$4&lt;&gt;"20_보령 신규점2","",IF('⑨ 구배 자동계산'!I10="","",'⑨ 구배 자동계산'!I10))</f>
        <v/>
      </c>
      <c r="D17" s="44" t="str">
        <f>IF('⑨ 구배 자동계산'!$B$4&lt;&gt;"20_보령 신규점2","",IF('⑨ 구배 자동계산'!J10="","",'⑨ 구배 자동계산'!J10))</f>
        <v/>
      </c>
      <c r="E17" s="32" t="str">
        <f>IF('⑨ 구배 자동계산'!$B$4&lt;&gt;"20_보령 신규점2","",IF('⑨ 구배 자동계산'!K10="","",'⑨ 구배 자동계산'!K10))</f>
        <v/>
      </c>
      <c r="F17" s="44" t="str">
        <f>IF('⑨ 구배 자동계산'!$B$4&lt;&gt;"20_보령 신규점2","",IF('⑨ 구배 자동계산'!L10="","",'⑨ 구배 자동계산'!L10))</f>
        <v/>
      </c>
      <c r="G17" s="32" t="str">
        <f>IF('⑨ 구배 자동계산'!$B$4&lt;&gt;"20_보령 신규점2","",IF('⑨ 구배 자동계산'!M10="","",'⑨ 구배 자동계산'!M10))</f>
        <v/>
      </c>
      <c r="H17" s="44" t="str">
        <f>IF('⑨ 구배 자동계산'!$B$4&lt;&gt;"20_보령 신규점2","",IF('⑨ 구배 자동계산'!N10="","",'⑨ 구배 자동계산'!N10))</f>
        <v/>
      </c>
      <c r="I17" s="32" t="str">
        <f>IF('⑨ 구배 자동계산'!$B$4&lt;&gt;"20_보령 신규점2","",IF('⑨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자동계산'!$B$4&lt;&gt;"20_보령 신규점2","",IF('⑨ 구배 자동계산'!H11="","",'⑨ 구배 자동계산'!H11))</f>
        <v/>
      </c>
      <c r="C18" s="32" t="str">
        <f>IF('⑨ 구배 자동계산'!$B$4&lt;&gt;"20_보령 신규점2","",IF('⑨ 구배 자동계산'!I11="","",'⑨ 구배 자동계산'!I11))</f>
        <v/>
      </c>
      <c r="D18" s="44" t="str">
        <f>IF('⑨ 구배 자동계산'!$B$4&lt;&gt;"20_보령 신규점2","",IF('⑨ 구배 자동계산'!J11="","",'⑨ 구배 자동계산'!J11))</f>
        <v/>
      </c>
      <c r="E18" s="32" t="str">
        <f>IF('⑨ 구배 자동계산'!$B$4&lt;&gt;"20_보령 신규점2","",IF('⑨ 구배 자동계산'!K11="","",'⑨ 구배 자동계산'!K11))</f>
        <v/>
      </c>
      <c r="F18" s="44" t="str">
        <f>IF('⑨ 구배 자동계산'!$B$4&lt;&gt;"20_보령 신규점2","",IF('⑨ 구배 자동계산'!L11="","",'⑨ 구배 자동계산'!L11))</f>
        <v/>
      </c>
      <c r="G18" s="32" t="str">
        <f>IF('⑨ 구배 자동계산'!$B$4&lt;&gt;"20_보령 신규점2","",IF('⑨ 구배 자동계산'!M11="","",'⑨ 구배 자동계산'!M11))</f>
        <v/>
      </c>
      <c r="H18" s="44" t="str">
        <f>IF('⑨ 구배 자동계산'!$B$4&lt;&gt;"20_보령 신규점2","",IF('⑨ 구배 자동계산'!N11="","",'⑨ 구배 자동계산'!N11))</f>
        <v/>
      </c>
      <c r="I18" s="32" t="str">
        <f>IF('⑨ 구배 자동계산'!$B$4&lt;&gt;"20_보령 신규점2","",IF('⑨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자동계산'!$B$4&lt;&gt;"20_보령 신규점2","",IF('⑨ 구배 자동계산'!H12="","",'⑨ 구배 자동계산'!H12))</f>
        <v/>
      </c>
      <c r="C19" s="32" t="str">
        <f>IF('⑨ 구배 자동계산'!$B$4&lt;&gt;"20_보령 신규점2","",IF('⑨ 구배 자동계산'!I12="","",'⑨ 구배 자동계산'!I12))</f>
        <v/>
      </c>
      <c r="D19" s="44" t="str">
        <f>IF('⑨ 구배 자동계산'!$B$4&lt;&gt;"20_보령 신규점2","",IF('⑨ 구배 자동계산'!J12="","",'⑨ 구배 자동계산'!J12))</f>
        <v/>
      </c>
      <c r="E19" s="32" t="str">
        <f>IF('⑨ 구배 자동계산'!$B$4&lt;&gt;"20_보령 신규점2","",IF('⑨ 구배 자동계산'!K12="","",'⑨ 구배 자동계산'!K12))</f>
        <v/>
      </c>
      <c r="F19" s="44" t="str">
        <f>IF('⑨ 구배 자동계산'!$B$4&lt;&gt;"20_보령 신규점2","",IF('⑨ 구배 자동계산'!L12="","",'⑨ 구배 자동계산'!L12))</f>
        <v/>
      </c>
      <c r="G19" s="32" t="str">
        <f>IF('⑨ 구배 자동계산'!$B$4&lt;&gt;"20_보령 신규점2","",IF('⑨ 구배 자동계산'!M12="","",'⑨ 구배 자동계산'!M12))</f>
        <v/>
      </c>
      <c r="H19" s="44" t="str">
        <f>IF('⑨ 구배 자동계산'!$B$4&lt;&gt;"20_보령 신규점2","",IF('⑨ 구배 자동계산'!N12="","",'⑨ 구배 자동계산'!N12))</f>
        <v/>
      </c>
      <c r="I19" s="32" t="str">
        <f>IF('⑨ 구배 자동계산'!$B$4&lt;&gt;"20_보령 신규점2","",IF('⑨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자동계산'!$B$4&lt;&gt;"20_보령 신규점2","",IF('⑨ 구배 자동계산'!H13="","",'⑨ 구배 자동계산'!H13))</f>
        <v/>
      </c>
      <c r="C20" s="32" t="str">
        <f>IF('⑨ 구배 자동계산'!$B$4&lt;&gt;"20_보령 신규점2","",IF('⑨ 구배 자동계산'!I13="","",'⑨ 구배 자동계산'!I13))</f>
        <v/>
      </c>
      <c r="D20" s="44" t="str">
        <f>IF('⑨ 구배 자동계산'!$B$4&lt;&gt;"20_보령 신규점2","",IF('⑨ 구배 자동계산'!J13="","",'⑨ 구배 자동계산'!J13))</f>
        <v/>
      </c>
      <c r="E20" s="32" t="str">
        <f>IF('⑨ 구배 자동계산'!$B$4&lt;&gt;"20_보령 신규점2","",IF('⑨ 구배 자동계산'!K13="","",'⑨ 구배 자동계산'!K13))</f>
        <v/>
      </c>
      <c r="F20" s="44" t="str">
        <f>IF('⑨ 구배 자동계산'!$B$4&lt;&gt;"20_보령 신규점2","",IF('⑨ 구배 자동계산'!L13="","",'⑨ 구배 자동계산'!L13))</f>
        <v/>
      </c>
      <c r="G20" s="32" t="str">
        <f>IF('⑨ 구배 자동계산'!$B$4&lt;&gt;"20_보령 신규점2","",IF('⑨ 구배 자동계산'!M13="","",'⑨ 구배 자동계산'!M13))</f>
        <v/>
      </c>
      <c r="H20" s="44" t="str">
        <f>IF('⑨ 구배 자동계산'!$B$4&lt;&gt;"20_보령 신규점2","",IF('⑨ 구배 자동계산'!N13="","",'⑨ 구배 자동계산'!N13))</f>
        <v/>
      </c>
      <c r="I20" s="32" t="str">
        <f>IF('⑨ 구배 자동계산'!$B$4&lt;&gt;"20_보령 신규점2","",IF('⑨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자동계산'!$B$4&lt;&gt;"20_보령 신규점2","",IF('⑨ 구배 자동계산'!H14="","",'⑨ 구배 자동계산'!H14))</f>
        <v/>
      </c>
      <c r="C21" s="32" t="str">
        <f>IF('⑨ 구배 자동계산'!$B$4&lt;&gt;"20_보령 신규점2","",IF('⑨ 구배 자동계산'!I14="","",'⑨ 구배 자동계산'!I14))</f>
        <v/>
      </c>
      <c r="D21" s="44" t="str">
        <f>IF('⑨ 구배 자동계산'!$B$4&lt;&gt;"20_보령 신규점2","",IF('⑨ 구배 자동계산'!J14="","",'⑨ 구배 자동계산'!J14))</f>
        <v/>
      </c>
      <c r="E21" s="32" t="str">
        <f>IF('⑨ 구배 자동계산'!$B$4&lt;&gt;"20_보령 신규점2","",IF('⑨ 구배 자동계산'!K14="","",'⑨ 구배 자동계산'!K14))</f>
        <v/>
      </c>
      <c r="F21" s="44" t="str">
        <f>IF('⑨ 구배 자동계산'!$B$4&lt;&gt;"20_보령 신규점2","",IF('⑨ 구배 자동계산'!L14="","",'⑨ 구배 자동계산'!L14))</f>
        <v/>
      </c>
      <c r="G21" s="32" t="str">
        <f>IF('⑨ 구배 자동계산'!$B$4&lt;&gt;"20_보령 신규점2","",IF('⑨ 구배 자동계산'!M14="","",'⑨ 구배 자동계산'!M14))</f>
        <v/>
      </c>
      <c r="H21" s="44" t="str">
        <f>IF('⑨ 구배 자동계산'!$B$4&lt;&gt;"20_보령 신규점2","",IF('⑨ 구배 자동계산'!N14="","",'⑨ 구배 자동계산'!N14))</f>
        <v/>
      </c>
      <c r="I21" s="32" t="str">
        <f>IF('⑨ 구배 자동계산'!$B$4&lt;&gt;"20_보령 신규점2","",IF('⑨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자동계산'!$B$4&lt;&gt;"20_보령 신규점2","",IF('⑨ 구배 자동계산'!H15="","",'⑨ 구배 자동계산'!H15))</f>
        <v/>
      </c>
      <c r="C22" s="32" t="str">
        <f>IF('⑨ 구배 자동계산'!$B$4&lt;&gt;"20_보령 신규점2","",IF('⑨ 구배 자동계산'!I15="","",'⑨ 구배 자동계산'!I15))</f>
        <v/>
      </c>
      <c r="D22" s="44" t="str">
        <f>IF('⑨ 구배 자동계산'!$B$4&lt;&gt;"20_보령 신규점2","",IF('⑨ 구배 자동계산'!J15="","",'⑨ 구배 자동계산'!J15))</f>
        <v/>
      </c>
      <c r="E22" s="32" t="str">
        <f>IF('⑨ 구배 자동계산'!$B$4&lt;&gt;"20_보령 신규점2","",IF('⑨ 구배 자동계산'!K15="","",'⑨ 구배 자동계산'!K15))</f>
        <v/>
      </c>
      <c r="F22" s="44" t="str">
        <f>IF('⑨ 구배 자동계산'!$B$4&lt;&gt;"20_보령 신규점2","",IF('⑨ 구배 자동계산'!L15="","",'⑨ 구배 자동계산'!L15))</f>
        <v/>
      </c>
      <c r="G22" s="32" t="str">
        <f>IF('⑨ 구배 자동계산'!$B$4&lt;&gt;"20_보령 신규점2","",IF('⑨ 구배 자동계산'!M15="","",'⑨ 구배 자동계산'!M15))</f>
        <v/>
      </c>
      <c r="H22" s="44" t="str">
        <f>IF('⑨ 구배 자동계산'!$B$4&lt;&gt;"20_보령 신규점2","",IF('⑨ 구배 자동계산'!N15="","",'⑨ 구배 자동계산'!N15))</f>
        <v/>
      </c>
      <c r="I22" s="32" t="str">
        <f>IF('⑨ 구배 자동계산'!$B$4&lt;&gt;"20_보령 신규점2","",IF('⑨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자동계산'!$B$4&lt;&gt;"20_보령 신규점2","",IF('⑨ 구배 자동계산'!H16="","",'⑨ 구배 자동계산'!H16))</f>
        <v/>
      </c>
      <c r="C23" s="32" t="str">
        <f>IF('⑨ 구배 자동계산'!$B$4&lt;&gt;"20_보령 신규점2","",IF('⑨ 구배 자동계산'!I16="","",'⑨ 구배 자동계산'!I16))</f>
        <v/>
      </c>
      <c r="D23" s="44" t="str">
        <f>IF('⑨ 구배 자동계산'!$B$4&lt;&gt;"20_보령 신규점2","",IF('⑨ 구배 자동계산'!J16="","",'⑨ 구배 자동계산'!J16))</f>
        <v/>
      </c>
      <c r="E23" s="32" t="str">
        <f>IF('⑨ 구배 자동계산'!$B$4&lt;&gt;"20_보령 신규점2","",IF('⑨ 구배 자동계산'!K16="","",'⑨ 구배 자동계산'!K16))</f>
        <v/>
      </c>
      <c r="F23" s="44" t="str">
        <f>IF('⑨ 구배 자동계산'!$B$4&lt;&gt;"20_보령 신규점2","",IF('⑨ 구배 자동계산'!L16="","",'⑨ 구배 자동계산'!L16))</f>
        <v/>
      </c>
      <c r="G23" s="32" t="str">
        <f>IF('⑨ 구배 자동계산'!$B$4&lt;&gt;"20_보령 신규점2","",IF('⑨ 구배 자동계산'!M16="","",'⑨ 구배 자동계산'!M16))</f>
        <v/>
      </c>
      <c r="H23" s="44" t="str">
        <f>IF('⑨ 구배 자동계산'!$B$4&lt;&gt;"20_보령 신규점2","",IF('⑨ 구배 자동계산'!N16="","",'⑨ 구배 자동계산'!N16))</f>
        <v/>
      </c>
      <c r="I23" s="32" t="str">
        <f>IF('⑨ 구배 자동계산'!$B$4&lt;&gt;"20_보령 신규점2","",IF('⑨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자동계산'!$B$4&lt;&gt;"20_보령 신규점2","",IF('⑨ 구배 자동계산'!H17="","",'⑨ 구배 자동계산'!H17))</f>
        <v/>
      </c>
      <c r="C24" s="32" t="str">
        <f>IF('⑨ 구배 자동계산'!$B$4&lt;&gt;"20_보령 신규점2","",IF('⑨ 구배 자동계산'!I17="","",'⑨ 구배 자동계산'!I17))</f>
        <v/>
      </c>
      <c r="D24" s="44" t="str">
        <f>IF('⑨ 구배 자동계산'!$B$4&lt;&gt;"20_보령 신규점2","",IF('⑨ 구배 자동계산'!J17="","",'⑨ 구배 자동계산'!J17))</f>
        <v/>
      </c>
      <c r="E24" s="32" t="str">
        <f>IF('⑨ 구배 자동계산'!$B$4&lt;&gt;"20_보령 신규점2","",IF('⑨ 구배 자동계산'!K17="","",'⑨ 구배 자동계산'!K17))</f>
        <v/>
      </c>
      <c r="F24" s="44" t="str">
        <f>IF('⑨ 구배 자동계산'!$B$4&lt;&gt;"20_보령 신규점2","",IF('⑨ 구배 자동계산'!L17="","",'⑨ 구배 자동계산'!L17))</f>
        <v/>
      </c>
      <c r="G24" s="32" t="str">
        <f>IF('⑨ 구배 자동계산'!$B$4&lt;&gt;"20_보령 신규점2","",IF('⑨ 구배 자동계산'!M17="","",'⑨ 구배 자동계산'!M17))</f>
        <v/>
      </c>
      <c r="H24" s="44" t="str">
        <f>IF('⑨ 구배 자동계산'!$B$4&lt;&gt;"20_보령 신규점2","",IF('⑨ 구배 자동계산'!N17="","",'⑨ 구배 자동계산'!N17))</f>
        <v/>
      </c>
      <c r="I24" s="32" t="str">
        <f>IF('⑨ 구배 자동계산'!$B$4&lt;&gt;"20_보령 신규점2","",IF('⑨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자동계산'!$B$4&lt;&gt;"20_보령 신규점2","",IF('⑨ 구배 자동계산'!H18="","",'⑨ 구배 자동계산'!H18))</f>
        <v/>
      </c>
      <c r="C25" s="32" t="str">
        <f>IF('⑨ 구배 자동계산'!$B$4&lt;&gt;"20_보령 신규점2","",IF('⑨ 구배 자동계산'!I18="","",'⑨ 구배 자동계산'!I18))</f>
        <v/>
      </c>
      <c r="D25" s="44" t="str">
        <f>IF('⑨ 구배 자동계산'!$B$4&lt;&gt;"20_보령 신규점2","",IF('⑨ 구배 자동계산'!J18="","",'⑨ 구배 자동계산'!J18))</f>
        <v/>
      </c>
      <c r="E25" s="32" t="str">
        <f>IF('⑨ 구배 자동계산'!$B$4&lt;&gt;"20_보령 신규점2","",IF('⑨ 구배 자동계산'!K18="","",'⑨ 구배 자동계산'!K18))</f>
        <v/>
      </c>
      <c r="F25" s="44" t="str">
        <f>IF('⑨ 구배 자동계산'!$B$4&lt;&gt;"20_보령 신규점2","",IF('⑨ 구배 자동계산'!L18="","",'⑨ 구배 자동계산'!L18))</f>
        <v/>
      </c>
      <c r="G25" s="32" t="str">
        <f>IF('⑨ 구배 자동계산'!$B$4&lt;&gt;"20_보령 신규점2","",IF('⑨ 구배 자동계산'!M18="","",'⑨ 구배 자동계산'!M18))</f>
        <v/>
      </c>
      <c r="H25" s="44" t="str">
        <f>IF('⑨ 구배 자동계산'!$B$4&lt;&gt;"20_보령 신규점2","",IF('⑨ 구배 자동계산'!N18="","",'⑨ 구배 자동계산'!N18))</f>
        <v/>
      </c>
      <c r="I25" s="32" t="str">
        <f>IF('⑨ 구배 자동계산'!$B$4&lt;&gt;"20_보령 신규점2","",IF('⑨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자동계산'!$B$4&lt;&gt;"20_보령 신규점2","",IF('⑨ 구배 자동계산'!H19="","",'⑨ 구배 자동계산'!H19))</f>
        <v/>
      </c>
      <c r="C26" s="32" t="str">
        <f>IF('⑨ 구배 자동계산'!$B$4&lt;&gt;"20_보령 신규점2","",IF('⑨ 구배 자동계산'!I19="","",'⑨ 구배 자동계산'!I19))</f>
        <v/>
      </c>
      <c r="D26" s="44" t="str">
        <f>IF('⑨ 구배 자동계산'!$B$4&lt;&gt;"20_보령 신규점2","",IF('⑨ 구배 자동계산'!J19="","",'⑨ 구배 자동계산'!J19))</f>
        <v/>
      </c>
      <c r="E26" s="32" t="str">
        <f>IF('⑨ 구배 자동계산'!$B$4&lt;&gt;"20_보령 신규점2","",IF('⑨ 구배 자동계산'!K19="","",'⑨ 구배 자동계산'!K19))</f>
        <v/>
      </c>
      <c r="F26" s="44" t="str">
        <f>IF('⑨ 구배 자동계산'!$B$4&lt;&gt;"20_보령 신규점2","",IF('⑨ 구배 자동계산'!L19="","",'⑨ 구배 자동계산'!L19))</f>
        <v/>
      </c>
      <c r="G26" s="32" t="str">
        <f>IF('⑨ 구배 자동계산'!$B$4&lt;&gt;"20_보령 신규점2","",IF('⑨ 구배 자동계산'!M19="","",'⑨ 구배 자동계산'!M19))</f>
        <v/>
      </c>
      <c r="H26" s="44" t="str">
        <f>IF('⑨ 구배 자동계산'!$B$4&lt;&gt;"20_보령 신규점2","",IF('⑨ 구배 자동계산'!N19="","",'⑨ 구배 자동계산'!N19))</f>
        <v/>
      </c>
      <c r="I26" s="32" t="str">
        <f>IF('⑨ 구배 자동계산'!$B$4&lt;&gt;"20_보령 신규점2","",IF('⑨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자동계산'!$B$4&lt;&gt;"20_보령 신규점2","",IF('⑨ 구배 자동계산'!H20="","",'⑨ 구배 자동계산'!H20))</f>
        <v/>
      </c>
      <c r="C27" s="41" t="str">
        <f>IF('⑨ 구배 자동계산'!$B$4&lt;&gt;"20_보령 신규점2","",IF('⑨ 구배 자동계산'!I20="","",'⑨ 구배 자동계산'!I20))</f>
        <v/>
      </c>
      <c r="D27" s="45" t="str">
        <f>IF('⑨ 구배 자동계산'!$B$4&lt;&gt;"20_보령 신규점2","",IF('⑨ 구배 자동계산'!J20="","",'⑨ 구배 자동계산'!J20))</f>
        <v/>
      </c>
      <c r="E27" s="41" t="str">
        <f>IF('⑨ 구배 자동계산'!$B$4&lt;&gt;"20_보령 신규점2","",IF('⑨ 구배 자동계산'!K20="","",'⑨ 구배 자동계산'!K20))</f>
        <v/>
      </c>
      <c r="F27" s="45" t="str">
        <f>IF('⑨ 구배 자동계산'!$B$4&lt;&gt;"20_보령 신규점2","",IF('⑨ 구배 자동계산'!L20="","",'⑨ 구배 자동계산'!L20))</f>
        <v/>
      </c>
      <c r="G27" s="41" t="str">
        <f>IF('⑨ 구배 자동계산'!$B$4&lt;&gt;"20_보령 신규점2","",IF('⑨ 구배 자동계산'!M20="","",'⑨ 구배 자동계산'!M20))</f>
        <v/>
      </c>
      <c r="H27" s="45" t="str">
        <f>IF('⑨ 구배 자동계산'!$B$4&lt;&gt;"20_보령 신규점2","",IF('⑨ 구배 자동계산'!N20="","",'⑨ 구배 자동계산'!N20))</f>
        <v/>
      </c>
      <c r="I27" s="41" t="str">
        <f>IF('⑨ 구배 자동계산'!$B$4&lt;&gt;"20_보령 신규점2","",IF('⑨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자동계산'!$B$4&lt;&gt;"20_보령 신규점2","",IF('⑨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자동계산'!$B$4&lt;&gt;"20_보령 신규점2","",IF('⑨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자동계산'!$B$4&lt;&gt;"20_보령 신규점2","",IF('⑨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자동계산'!$B$4&lt;&gt;"20_보령 신규점2","",IF('⑨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자동계산'!$B$4&lt;&gt;"20_보령 신규점2","",IF('⑨ 구배 자동계산'!I23="","",'⑨ 구배 자동계산'!I23))</f>
        <v/>
      </c>
      <c r="D42" s="8"/>
      <c r="E42" s="8"/>
      <c r="F42" s="8"/>
      <c r="G42" s="92" t="str">
        <f>IF('⑨ 구배 자동계산'!$B$4&lt;&gt;"20_보령 신규점2","",IF('⑨ 구배 자동계산'!$J23="","",'⑨ 구배 자동계산'!$J23&amp;"  ·  "&amp;'⑨ 구배 자동계산'!$L23))</f>
        <v/>
      </c>
      <c r="H42" s="93"/>
      <c r="I42" s="93"/>
    </row>
    <row r="43" spans="1:35" ht="19.95" customHeight="1" x14ac:dyDescent="0.4">
      <c r="A43" s="8">
        <v>3</v>
      </c>
      <c r="B43" s="33">
        <v>140</v>
      </c>
      <c r="C43" s="32" t="str">
        <f>IF('⑨ 구배 자동계산'!$B$4&lt;&gt;"20_보령 신규점2","",IF('⑨ 구배 자동계산'!I24="","",'⑨ 구배 자동계산'!I24))</f>
        <v/>
      </c>
      <c r="D43" s="34">
        <f>IF(COUNT(B43,B42)&lt;2,"",(B42-B43)/100)</f>
        <v>0.45</v>
      </c>
      <c r="E43" s="35" t="str">
        <f>IF(COUNT(C43,C42)&lt;2,"",C43-C42)</f>
        <v/>
      </c>
      <c r="F43" s="36" t="str">
        <f>IF(OR(D43="",E43="",D43=0),"",E43/D43)</f>
        <v/>
      </c>
      <c r="G43" s="92" t="str">
        <f>IF('⑨ 구배 자동계산'!$B$4&lt;&gt;"20_보령 신규점2","",IF('⑨ 구배 자동계산'!$J24="","",'⑨ 구배 자동계산'!$J24&amp;"  ·  "&amp;'⑨ 구배 자동계산'!$L24))</f>
        <v/>
      </c>
      <c r="H43" s="93"/>
      <c r="I43" s="93"/>
      <c r="AH43" t="s">
        <v>234</v>
      </c>
    </row>
    <row r="44" spans="1:35" ht="19.95" customHeight="1" x14ac:dyDescent="0.4">
      <c r="A44" s="8">
        <v>2</v>
      </c>
      <c r="B44" s="33">
        <v>95</v>
      </c>
      <c r="C44" s="32" t="str">
        <f>IF('⑨ 구배 자동계산'!$B$4&lt;&gt;"20_보령 신규점2","",IF('⑨ 구배 자동계산'!I25="","",'⑨ 구배 자동계산'!I25))</f>
        <v/>
      </c>
      <c r="D44" s="34">
        <f>IF(COUNT(B44,B43)&lt;2,"",(B43-B44)/100)</f>
        <v>0.45</v>
      </c>
      <c r="E44" s="35" t="str">
        <f>IF(COUNT(C44,C43)&lt;2,"",C44-C43)</f>
        <v/>
      </c>
      <c r="F44" s="36" t="str">
        <f>IF(OR(D44="",E44="",D44=0),"",E44/D44)</f>
        <v/>
      </c>
      <c r="G44" s="92" t="str">
        <f>IF('⑨ 구배 자동계산'!$B$4&lt;&gt;"20_보령 신규점2","",IF('⑨ 구배 자동계산'!$J25="","",'⑨ 구배 자동계산'!$J25&amp;"  ·  "&amp;'⑨ 구배 자동계산'!$L25))</f>
        <v/>
      </c>
      <c r="H44" s="93"/>
      <c r="I44" s="93"/>
    </row>
    <row r="45" spans="1:35" ht="19.95" customHeight="1" x14ac:dyDescent="0.4">
      <c r="A45" s="8">
        <v>1</v>
      </c>
      <c r="B45" s="33">
        <v>50</v>
      </c>
      <c r="C45" s="32" t="str">
        <f>IF('⑨ 구배 자동계산'!$B$4&lt;&gt;"20_보령 신규점2","",IF('⑨ 구배 자동계산'!I26="","",'⑨ 구배 자동계산'!I26))</f>
        <v/>
      </c>
      <c r="D45" s="34">
        <f>IF(COUNT(B45,B44)&lt;2,"",(B44-B45)/100)</f>
        <v>0.45</v>
      </c>
      <c r="E45" s="35" t="str">
        <f>IF(COUNT(C45,C44)&lt;2,"",C45-C44)</f>
        <v/>
      </c>
      <c r="F45" s="36" t="str">
        <f>IF(OR(D45="",E45="",D45=0),"",E45/D45)</f>
        <v/>
      </c>
      <c r="G45" s="92" t="str">
        <f>IF('⑨ 구배 자동계산'!$B$4&lt;&gt;"20_보령 신규점2","",IF('⑨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IF(COUNT(B50,E50)&lt;2,"",ROUND(SQRT(((126.706961-E50)*111320*COS(RADIANS(36.266844)))^2+((36.266844-B50)*110574)^2),1))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S20-P0a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54" priority="1">
      <formula>AND(ISNUMBER(C31),C31&gt;50)</formula>
    </cfRule>
  </conditionalFormatting>
  <conditionalFormatting sqref="D7">
    <cfRule type="expression" dxfId="153" priority="3" stopIfTrue="1">
      <formula>AND($D$7&lt;&gt;"",VALUE(LEFT($D$7,1))&lt;5)</formula>
    </cfRule>
    <cfRule type="expression" dxfId="152" priority="4" stopIfTrue="1">
      <formula>AND($D$7&lt;&gt;"",VALUE(LEFT($D$7,1))&gt;=5)</formula>
    </cfRule>
  </conditionalFormatting>
  <conditionalFormatting sqref="E7">
    <cfRule type="expression" dxfId="151" priority="5" stopIfTrue="1">
      <formula>AND($E$7&lt;&gt;"",VALUE(LEFT($E$7,1))&lt;5)</formula>
    </cfRule>
    <cfRule type="expression" dxfId="15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998D20B3-902F-45E2-9B27-C2FC3C6C3F52}">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44251474-D8B8-47CF-8C10-F3A4A91F67D4}">
      <formula1>DATE(2026,1,1)</formula1>
      <formula2>DATE(2027,12,31)</formula2>
    </dataValidation>
    <dataValidation type="list" allowBlank="1" sqref="C7" xr:uid="{7BDD23B0-1C5A-4C7D-9DCD-03E8A1C02867}">
      <formula1>"맑음,구름 조금,흐림,비,눈,바람 강함"</formula1>
    </dataValidation>
    <dataValidation type="list" allowBlank="1" sqref="H50" xr:uid="{73332803-6F9F-4906-9672-04BBEF577364}">
      <formula1>"RTK-GNSS,네트워크RTK,정적GNSS,휴대GNSS"</formula1>
    </dataValidation>
    <dataValidation type="list" allowBlank="1" sqref="B109" xr:uid="{A1CB7EAB-C0B4-4167-8793-01F43781EBD9}">
      <formula1>"동일,조정"</formula1>
    </dataValidation>
    <dataValidation type="list" allowBlank="1" showInputMessage="1" showErrorMessage="1" sqref="F56:F57" xr:uid="{1556FB94-C74E-4A06-B5EC-2E86C346F453}">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&amp;RS20 보령 신규점2</oddHeader>
    <oddFooter>&amp;C&amp;9 &amp;P / &amp;N</oddFooter>
  </headerFooter>
  <rowBreaks count="3" manualBreakCount="3">
    <brk id="38" max="16383" man="1"/>
    <brk id="58" max="16383" man="1"/>
    <brk id="10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26791-6022-457C-A88B-B2AF584097F2}">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429</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430</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431</v>
      </c>
      <c r="B3" s="68"/>
      <c r="C3" s="68"/>
      <c r="D3" s="68"/>
      <c r="E3" s="68"/>
      <c r="F3" s="8" t="s">
        <v>154</v>
      </c>
      <c r="G3" s="6"/>
      <c r="H3" s="8" t="s">
        <v>155</v>
      </c>
      <c r="I3" s="9" t="s">
        <v>432</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자동계산'!$B$4="21_담양 신규점2","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자동계산'!$B$4&lt;&gt;"21_담양 신규점2","",IF('⑨ 구배 자동계산'!H9="","",'⑨ 구배 자동계산'!H9))</f>
        <v/>
      </c>
      <c r="C16" s="30" t="str">
        <f>IF('⑨ 구배 자동계산'!$B$4&lt;&gt;"21_담양 신규점2","",IF('⑨ 구배 자동계산'!I9="","",'⑨ 구배 자동계산'!I9))</f>
        <v/>
      </c>
      <c r="D16" s="43" t="str">
        <f>IF('⑨ 구배 자동계산'!$B$4&lt;&gt;"21_담양 신규점2","",IF('⑨ 구배 자동계산'!J9="","",'⑨ 구배 자동계산'!J9))</f>
        <v/>
      </c>
      <c r="E16" s="30" t="str">
        <f>IF('⑨ 구배 자동계산'!$B$4&lt;&gt;"21_담양 신규점2","",IF('⑨ 구배 자동계산'!K9="","",'⑨ 구배 자동계산'!K9))</f>
        <v/>
      </c>
      <c r="F16" s="43" t="str">
        <f>IF('⑨ 구배 자동계산'!$B$4&lt;&gt;"21_담양 신규점2","",IF('⑨ 구배 자동계산'!L9="","",'⑨ 구배 자동계산'!L9))</f>
        <v/>
      </c>
      <c r="G16" s="30" t="str">
        <f>IF('⑨ 구배 자동계산'!$B$4&lt;&gt;"21_담양 신규점2","",IF('⑨ 구배 자동계산'!M9="","",'⑨ 구배 자동계산'!M9))</f>
        <v/>
      </c>
      <c r="H16" s="43" t="str">
        <f>IF('⑨ 구배 자동계산'!$B$4&lt;&gt;"21_담양 신규점2","",IF('⑨ 구배 자동계산'!N9="","",'⑨ 구배 자동계산'!N9))</f>
        <v/>
      </c>
      <c r="I16" s="30" t="str">
        <f>IF('⑨ 구배 자동계산'!$B$4&lt;&gt;"21_담양 신규점2","",IF('⑨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자동계산'!$B$4&lt;&gt;"21_담양 신규점2","",IF('⑨ 구배 자동계산'!H10="","",'⑨ 구배 자동계산'!H10))</f>
        <v/>
      </c>
      <c r="C17" s="32" t="str">
        <f>IF('⑨ 구배 자동계산'!$B$4&lt;&gt;"21_담양 신규점2","",IF('⑨ 구배 자동계산'!I10="","",'⑨ 구배 자동계산'!I10))</f>
        <v/>
      </c>
      <c r="D17" s="44" t="str">
        <f>IF('⑨ 구배 자동계산'!$B$4&lt;&gt;"21_담양 신규점2","",IF('⑨ 구배 자동계산'!J10="","",'⑨ 구배 자동계산'!J10))</f>
        <v/>
      </c>
      <c r="E17" s="32" t="str">
        <f>IF('⑨ 구배 자동계산'!$B$4&lt;&gt;"21_담양 신규점2","",IF('⑨ 구배 자동계산'!K10="","",'⑨ 구배 자동계산'!K10))</f>
        <v/>
      </c>
      <c r="F17" s="44" t="str">
        <f>IF('⑨ 구배 자동계산'!$B$4&lt;&gt;"21_담양 신규점2","",IF('⑨ 구배 자동계산'!L10="","",'⑨ 구배 자동계산'!L10))</f>
        <v/>
      </c>
      <c r="G17" s="32" t="str">
        <f>IF('⑨ 구배 자동계산'!$B$4&lt;&gt;"21_담양 신규점2","",IF('⑨ 구배 자동계산'!M10="","",'⑨ 구배 자동계산'!M10))</f>
        <v/>
      </c>
      <c r="H17" s="44" t="str">
        <f>IF('⑨ 구배 자동계산'!$B$4&lt;&gt;"21_담양 신규점2","",IF('⑨ 구배 자동계산'!N10="","",'⑨ 구배 자동계산'!N10))</f>
        <v/>
      </c>
      <c r="I17" s="32" t="str">
        <f>IF('⑨ 구배 자동계산'!$B$4&lt;&gt;"21_담양 신규점2","",IF('⑨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자동계산'!$B$4&lt;&gt;"21_담양 신규점2","",IF('⑨ 구배 자동계산'!H11="","",'⑨ 구배 자동계산'!H11))</f>
        <v/>
      </c>
      <c r="C18" s="32" t="str">
        <f>IF('⑨ 구배 자동계산'!$B$4&lt;&gt;"21_담양 신규점2","",IF('⑨ 구배 자동계산'!I11="","",'⑨ 구배 자동계산'!I11))</f>
        <v/>
      </c>
      <c r="D18" s="44" t="str">
        <f>IF('⑨ 구배 자동계산'!$B$4&lt;&gt;"21_담양 신규점2","",IF('⑨ 구배 자동계산'!J11="","",'⑨ 구배 자동계산'!J11))</f>
        <v/>
      </c>
      <c r="E18" s="32" t="str">
        <f>IF('⑨ 구배 자동계산'!$B$4&lt;&gt;"21_담양 신규점2","",IF('⑨ 구배 자동계산'!K11="","",'⑨ 구배 자동계산'!K11))</f>
        <v/>
      </c>
      <c r="F18" s="44" t="str">
        <f>IF('⑨ 구배 자동계산'!$B$4&lt;&gt;"21_담양 신규점2","",IF('⑨ 구배 자동계산'!L11="","",'⑨ 구배 자동계산'!L11))</f>
        <v/>
      </c>
      <c r="G18" s="32" t="str">
        <f>IF('⑨ 구배 자동계산'!$B$4&lt;&gt;"21_담양 신규점2","",IF('⑨ 구배 자동계산'!M11="","",'⑨ 구배 자동계산'!M11))</f>
        <v/>
      </c>
      <c r="H18" s="44" t="str">
        <f>IF('⑨ 구배 자동계산'!$B$4&lt;&gt;"21_담양 신규점2","",IF('⑨ 구배 자동계산'!N11="","",'⑨ 구배 자동계산'!N11))</f>
        <v/>
      </c>
      <c r="I18" s="32" t="str">
        <f>IF('⑨ 구배 자동계산'!$B$4&lt;&gt;"21_담양 신규점2","",IF('⑨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자동계산'!$B$4&lt;&gt;"21_담양 신규점2","",IF('⑨ 구배 자동계산'!H12="","",'⑨ 구배 자동계산'!H12))</f>
        <v/>
      </c>
      <c r="C19" s="32" t="str">
        <f>IF('⑨ 구배 자동계산'!$B$4&lt;&gt;"21_담양 신규점2","",IF('⑨ 구배 자동계산'!I12="","",'⑨ 구배 자동계산'!I12))</f>
        <v/>
      </c>
      <c r="D19" s="44" t="str">
        <f>IF('⑨ 구배 자동계산'!$B$4&lt;&gt;"21_담양 신규점2","",IF('⑨ 구배 자동계산'!J12="","",'⑨ 구배 자동계산'!J12))</f>
        <v/>
      </c>
      <c r="E19" s="32" t="str">
        <f>IF('⑨ 구배 자동계산'!$B$4&lt;&gt;"21_담양 신규점2","",IF('⑨ 구배 자동계산'!K12="","",'⑨ 구배 자동계산'!K12))</f>
        <v/>
      </c>
      <c r="F19" s="44" t="str">
        <f>IF('⑨ 구배 자동계산'!$B$4&lt;&gt;"21_담양 신규점2","",IF('⑨ 구배 자동계산'!L12="","",'⑨ 구배 자동계산'!L12))</f>
        <v/>
      </c>
      <c r="G19" s="32" t="str">
        <f>IF('⑨ 구배 자동계산'!$B$4&lt;&gt;"21_담양 신규점2","",IF('⑨ 구배 자동계산'!M12="","",'⑨ 구배 자동계산'!M12))</f>
        <v/>
      </c>
      <c r="H19" s="44" t="str">
        <f>IF('⑨ 구배 자동계산'!$B$4&lt;&gt;"21_담양 신규점2","",IF('⑨ 구배 자동계산'!N12="","",'⑨ 구배 자동계산'!N12))</f>
        <v/>
      </c>
      <c r="I19" s="32" t="str">
        <f>IF('⑨ 구배 자동계산'!$B$4&lt;&gt;"21_담양 신규점2","",IF('⑨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자동계산'!$B$4&lt;&gt;"21_담양 신규점2","",IF('⑨ 구배 자동계산'!H13="","",'⑨ 구배 자동계산'!H13))</f>
        <v/>
      </c>
      <c r="C20" s="32" t="str">
        <f>IF('⑨ 구배 자동계산'!$B$4&lt;&gt;"21_담양 신규점2","",IF('⑨ 구배 자동계산'!I13="","",'⑨ 구배 자동계산'!I13))</f>
        <v/>
      </c>
      <c r="D20" s="44" t="str">
        <f>IF('⑨ 구배 자동계산'!$B$4&lt;&gt;"21_담양 신규점2","",IF('⑨ 구배 자동계산'!J13="","",'⑨ 구배 자동계산'!J13))</f>
        <v/>
      </c>
      <c r="E20" s="32" t="str">
        <f>IF('⑨ 구배 자동계산'!$B$4&lt;&gt;"21_담양 신규점2","",IF('⑨ 구배 자동계산'!K13="","",'⑨ 구배 자동계산'!K13))</f>
        <v/>
      </c>
      <c r="F20" s="44" t="str">
        <f>IF('⑨ 구배 자동계산'!$B$4&lt;&gt;"21_담양 신규점2","",IF('⑨ 구배 자동계산'!L13="","",'⑨ 구배 자동계산'!L13))</f>
        <v/>
      </c>
      <c r="G20" s="32" t="str">
        <f>IF('⑨ 구배 자동계산'!$B$4&lt;&gt;"21_담양 신규점2","",IF('⑨ 구배 자동계산'!M13="","",'⑨ 구배 자동계산'!M13))</f>
        <v/>
      </c>
      <c r="H20" s="44" t="str">
        <f>IF('⑨ 구배 자동계산'!$B$4&lt;&gt;"21_담양 신규점2","",IF('⑨ 구배 자동계산'!N13="","",'⑨ 구배 자동계산'!N13))</f>
        <v/>
      </c>
      <c r="I20" s="32" t="str">
        <f>IF('⑨ 구배 자동계산'!$B$4&lt;&gt;"21_담양 신규점2","",IF('⑨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자동계산'!$B$4&lt;&gt;"21_담양 신규점2","",IF('⑨ 구배 자동계산'!H14="","",'⑨ 구배 자동계산'!H14))</f>
        <v/>
      </c>
      <c r="C21" s="32" t="str">
        <f>IF('⑨ 구배 자동계산'!$B$4&lt;&gt;"21_담양 신규점2","",IF('⑨ 구배 자동계산'!I14="","",'⑨ 구배 자동계산'!I14))</f>
        <v/>
      </c>
      <c r="D21" s="44" t="str">
        <f>IF('⑨ 구배 자동계산'!$B$4&lt;&gt;"21_담양 신규점2","",IF('⑨ 구배 자동계산'!J14="","",'⑨ 구배 자동계산'!J14))</f>
        <v/>
      </c>
      <c r="E21" s="32" t="str">
        <f>IF('⑨ 구배 자동계산'!$B$4&lt;&gt;"21_담양 신규점2","",IF('⑨ 구배 자동계산'!K14="","",'⑨ 구배 자동계산'!K14))</f>
        <v/>
      </c>
      <c r="F21" s="44" t="str">
        <f>IF('⑨ 구배 자동계산'!$B$4&lt;&gt;"21_담양 신규점2","",IF('⑨ 구배 자동계산'!L14="","",'⑨ 구배 자동계산'!L14))</f>
        <v/>
      </c>
      <c r="G21" s="32" t="str">
        <f>IF('⑨ 구배 자동계산'!$B$4&lt;&gt;"21_담양 신규점2","",IF('⑨ 구배 자동계산'!M14="","",'⑨ 구배 자동계산'!M14))</f>
        <v/>
      </c>
      <c r="H21" s="44" t="str">
        <f>IF('⑨ 구배 자동계산'!$B$4&lt;&gt;"21_담양 신규점2","",IF('⑨ 구배 자동계산'!N14="","",'⑨ 구배 자동계산'!N14))</f>
        <v/>
      </c>
      <c r="I21" s="32" t="str">
        <f>IF('⑨ 구배 자동계산'!$B$4&lt;&gt;"21_담양 신규점2","",IF('⑨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자동계산'!$B$4&lt;&gt;"21_담양 신규점2","",IF('⑨ 구배 자동계산'!H15="","",'⑨ 구배 자동계산'!H15))</f>
        <v/>
      </c>
      <c r="C22" s="32" t="str">
        <f>IF('⑨ 구배 자동계산'!$B$4&lt;&gt;"21_담양 신규점2","",IF('⑨ 구배 자동계산'!I15="","",'⑨ 구배 자동계산'!I15))</f>
        <v/>
      </c>
      <c r="D22" s="44" t="str">
        <f>IF('⑨ 구배 자동계산'!$B$4&lt;&gt;"21_담양 신규점2","",IF('⑨ 구배 자동계산'!J15="","",'⑨ 구배 자동계산'!J15))</f>
        <v/>
      </c>
      <c r="E22" s="32" t="str">
        <f>IF('⑨ 구배 자동계산'!$B$4&lt;&gt;"21_담양 신규점2","",IF('⑨ 구배 자동계산'!K15="","",'⑨ 구배 자동계산'!K15))</f>
        <v/>
      </c>
      <c r="F22" s="44" t="str">
        <f>IF('⑨ 구배 자동계산'!$B$4&lt;&gt;"21_담양 신규점2","",IF('⑨ 구배 자동계산'!L15="","",'⑨ 구배 자동계산'!L15))</f>
        <v/>
      </c>
      <c r="G22" s="32" t="str">
        <f>IF('⑨ 구배 자동계산'!$B$4&lt;&gt;"21_담양 신규점2","",IF('⑨ 구배 자동계산'!M15="","",'⑨ 구배 자동계산'!M15))</f>
        <v/>
      </c>
      <c r="H22" s="44" t="str">
        <f>IF('⑨ 구배 자동계산'!$B$4&lt;&gt;"21_담양 신규점2","",IF('⑨ 구배 자동계산'!N15="","",'⑨ 구배 자동계산'!N15))</f>
        <v/>
      </c>
      <c r="I22" s="32" t="str">
        <f>IF('⑨ 구배 자동계산'!$B$4&lt;&gt;"21_담양 신규점2","",IF('⑨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자동계산'!$B$4&lt;&gt;"21_담양 신규점2","",IF('⑨ 구배 자동계산'!H16="","",'⑨ 구배 자동계산'!H16))</f>
        <v/>
      </c>
      <c r="C23" s="32" t="str">
        <f>IF('⑨ 구배 자동계산'!$B$4&lt;&gt;"21_담양 신규점2","",IF('⑨ 구배 자동계산'!I16="","",'⑨ 구배 자동계산'!I16))</f>
        <v/>
      </c>
      <c r="D23" s="44" t="str">
        <f>IF('⑨ 구배 자동계산'!$B$4&lt;&gt;"21_담양 신규점2","",IF('⑨ 구배 자동계산'!J16="","",'⑨ 구배 자동계산'!J16))</f>
        <v/>
      </c>
      <c r="E23" s="32" t="str">
        <f>IF('⑨ 구배 자동계산'!$B$4&lt;&gt;"21_담양 신규점2","",IF('⑨ 구배 자동계산'!K16="","",'⑨ 구배 자동계산'!K16))</f>
        <v/>
      </c>
      <c r="F23" s="44" t="str">
        <f>IF('⑨ 구배 자동계산'!$B$4&lt;&gt;"21_담양 신규점2","",IF('⑨ 구배 자동계산'!L16="","",'⑨ 구배 자동계산'!L16))</f>
        <v/>
      </c>
      <c r="G23" s="32" t="str">
        <f>IF('⑨ 구배 자동계산'!$B$4&lt;&gt;"21_담양 신규점2","",IF('⑨ 구배 자동계산'!M16="","",'⑨ 구배 자동계산'!M16))</f>
        <v/>
      </c>
      <c r="H23" s="44" t="str">
        <f>IF('⑨ 구배 자동계산'!$B$4&lt;&gt;"21_담양 신규점2","",IF('⑨ 구배 자동계산'!N16="","",'⑨ 구배 자동계산'!N16))</f>
        <v/>
      </c>
      <c r="I23" s="32" t="str">
        <f>IF('⑨ 구배 자동계산'!$B$4&lt;&gt;"21_담양 신규점2","",IF('⑨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자동계산'!$B$4&lt;&gt;"21_담양 신규점2","",IF('⑨ 구배 자동계산'!H17="","",'⑨ 구배 자동계산'!H17))</f>
        <v/>
      </c>
      <c r="C24" s="32" t="str">
        <f>IF('⑨ 구배 자동계산'!$B$4&lt;&gt;"21_담양 신규점2","",IF('⑨ 구배 자동계산'!I17="","",'⑨ 구배 자동계산'!I17))</f>
        <v/>
      </c>
      <c r="D24" s="44" t="str">
        <f>IF('⑨ 구배 자동계산'!$B$4&lt;&gt;"21_담양 신규점2","",IF('⑨ 구배 자동계산'!J17="","",'⑨ 구배 자동계산'!J17))</f>
        <v/>
      </c>
      <c r="E24" s="32" t="str">
        <f>IF('⑨ 구배 자동계산'!$B$4&lt;&gt;"21_담양 신규점2","",IF('⑨ 구배 자동계산'!K17="","",'⑨ 구배 자동계산'!K17))</f>
        <v/>
      </c>
      <c r="F24" s="44" t="str">
        <f>IF('⑨ 구배 자동계산'!$B$4&lt;&gt;"21_담양 신규점2","",IF('⑨ 구배 자동계산'!L17="","",'⑨ 구배 자동계산'!L17))</f>
        <v/>
      </c>
      <c r="G24" s="32" t="str">
        <f>IF('⑨ 구배 자동계산'!$B$4&lt;&gt;"21_담양 신규점2","",IF('⑨ 구배 자동계산'!M17="","",'⑨ 구배 자동계산'!M17))</f>
        <v/>
      </c>
      <c r="H24" s="44" t="str">
        <f>IF('⑨ 구배 자동계산'!$B$4&lt;&gt;"21_담양 신규점2","",IF('⑨ 구배 자동계산'!N17="","",'⑨ 구배 자동계산'!N17))</f>
        <v/>
      </c>
      <c r="I24" s="32" t="str">
        <f>IF('⑨ 구배 자동계산'!$B$4&lt;&gt;"21_담양 신규점2","",IF('⑨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자동계산'!$B$4&lt;&gt;"21_담양 신규점2","",IF('⑨ 구배 자동계산'!H18="","",'⑨ 구배 자동계산'!H18))</f>
        <v/>
      </c>
      <c r="C25" s="32" t="str">
        <f>IF('⑨ 구배 자동계산'!$B$4&lt;&gt;"21_담양 신규점2","",IF('⑨ 구배 자동계산'!I18="","",'⑨ 구배 자동계산'!I18))</f>
        <v/>
      </c>
      <c r="D25" s="44" t="str">
        <f>IF('⑨ 구배 자동계산'!$B$4&lt;&gt;"21_담양 신규점2","",IF('⑨ 구배 자동계산'!J18="","",'⑨ 구배 자동계산'!J18))</f>
        <v/>
      </c>
      <c r="E25" s="32" t="str">
        <f>IF('⑨ 구배 자동계산'!$B$4&lt;&gt;"21_담양 신규점2","",IF('⑨ 구배 자동계산'!K18="","",'⑨ 구배 자동계산'!K18))</f>
        <v/>
      </c>
      <c r="F25" s="44" t="str">
        <f>IF('⑨ 구배 자동계산'!$B$4&lt;&gt;"21_담양 신규점2","",IF('⑨ 구배 자동계산'!L18="","",'⑨ 구배 자동계산'!L18))</f>
        <v/>
      </c>
      <c r="G25" s="32" t="str">
        <f>IF('⑨ 구배 자동계산'!$B$4&lt;&gt;"21_담양 신규점2","",IF('⑨ 구배 자동계산'!M18="","",'⑨ 구배 자동계산'!M18))</f>
        <v/>
      </c>
      <c r="H25" s="44" t="str">
        <f>IF('⑨ 구배 자동계산'!$B$4&lt;&gt;"21_담양 신규점2","",IF('⑨ 구배 자동계산'!N18="","",'⑨ 구배 자동계산'!N18))</f>
        <v/>
      </c>
      <c r="I25" s="32" t="str">
        <f>IF('⑨ 구배 자동계산'!$B$4&lt;&gt;"21_담양 신규점2","",IF('⑨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자동계산'!$B$4&lt;&gt;"21_담양 신규점2","",IF('⑨ 구배 자동계산'!H19="","",'⑨ 구배 자동계산'!H19))</f>
        <v/>
      </c>
      <c r="C26" s="32" t="str">
        <f>IF('⑨ 구배 자동계산'!$B$4&lt;&gt;"21_담양 신규점2","",IF('⑨ 구배 자동계산'!I19="","",'⑨ 구배 자동계산'!I19))</f>
        <v/>
      </c>
      <c r="D26" s="44" t="str">
        <f>IF('⑨ 구배 자동계산'!$B$4&lt;&gt;"21_담양 신규점2","",IF('⑨ 구배 자동계산'!J19="","",'⑨ 구배 자동계산'!J19))</f>
        <v/>
      </c>
      <c r="E26" s="32" t="str">
        <f>IF('⑨ 구배 자동계산'!$B$4&lt;&gt;"21_담양 신규점2","",IF('⑨ 구배 자동계산'!K19="","",'⑨ 구배 자동계산'!K19))</f>
        <v/>
      </c>
      <c r="F26" s="44" t="str">
        <f>IF('⑨ 구배 자동계산'!$B$4&lt;&gt;"21_담양 신규점2","",IF('⑨ 구배 자동계산'!L19="","",'⑨ 구배 자동계산'!L19))</f>
        <v/>
      </c>
      <c r="G26" s="32" t="str">
        <f>IF('⑨ 구배 자동계산'!$B$4&lt;&gt;"21_담양 신규점2","",IF('⑨ 구배 자동계산'!M19="","",'⑨ 구배 자동계산'!M19))</f>
        <v/>
      </c>
      <c r="H26" s="44" t="str">
        <f>IF('⑨ 구배 자동계산'!$B$4&lt;&gt;"21_담양 신규점2","",IF('⑨ 구배 자동계산'!N19="","",'⑨ 구배 자동계산'!N19))</f>
        <v/>
      </c>
      <c r="I26" s="32" t="str">
        <f>IF('⑨ 구배 자동계산'!$B$4&lt;&gt;"21_담양 신규점2","",IF('⑨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자동계산'!$B$4&lt;&gt;"21_담양 신규점2","",IF('⑨ 구배 자동계산'!H20="","",'⑨ 구배 자동계산'!H20))</f>
        <v/>
      </c>
      <c r="C27" s="41" t="str">
        <f>IF('⑨ 구배 자동계산'!$B$4&lt;&gt;"21_담양 신규점2","",IF('⑨ 구배 자동계산'!I20="","",'⑨ 구배 자동계산'!I20))</f>
        <v/>
      </c>
      <c r="D27" s="45" t="str">
        <f>IF('⑨ 구배 자동계산'!$B$4&lt;&gt;"21_담양 신규점2","",IF('⑨ 구배 자동계산'!J20="","",'⑨ 구배 자동계산'!J20))</f>
        <v/>
      </c>
      <c r="E27" s="41" t="str">
        <f>IF('⑨ 구배 자동계산'!$B$4&lt;&gt;"21_담양 신규점2","",IF('⑨ 구배 자동계산'!K20="","",'⑨ 구배 자동계산'!K20))</f>
        <v/>
      </c>
      <c r="F27" s="45" t="str">
        <f>IF('⑨ 구배 자동계산'!$B$4&lt;&gt;"21_담양 신규점2","",IF('⑨ 구배 자동계산'!L20="","",'⑨ 구배 자동계산'!L20))</f>
        <v/>
      </c>
      <c r="G27" s="41" t="str">
        <f>IF('⑨ 구배 자동계산'!$B$4&lt;&gt;"21_담양 신규점2","",IF('⑨ 구배 자동계산'!M20="","",'⑨ 구배 자동계산'!M20))</f>
        <v/>
      </c>
      <c r="H27" s="45" t="str">
        <f>IF('⑨ 구배 자동계산'!$B$4&lt;&gt;"21_담양 신규점2","",IF('⑨ 구배 자동계산'!N20="","",'⑨ 구배 자동계산'!N20))</f>
        <v/>
      </c>
      <c r="I27" s="41" t="str">
        <f>IF('⑨ 구배 자동계산'!$B$4&lt;&gt;"21_담양 신규점2","",IF('⑨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자동계산'!$B$4&lt;&gt;"21_담양 신규점2","",IF('⑨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자동계산'!$B$4&lt;&gt;"21_담양 신규점2","",IF('⑨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자동계산'!$B$4&lt;&gt;"21_담양 신규점2","",IF('⑨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자동계산'!$B$4&lt;&gt;"21_담양 신규점2","",IF('⑨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자동계산'!$B$4&lt;&gt;"21_담양 신규점2","",IF('⑨ 구배 자동계산'!I23="","",'⑨ 구배 자동계산'!I23))</f>
        <v/>
      </c>
      <c r="D42" s="8"/>
      <c r="E42" s="8"/>
      <c r="F42" s="8"/>
      <c r="G42" s="92" t="str">
        <f>IF('⑨ 구배 자동계산'!$B$4&lt;&gt;"21_담양 신규점2","",IF('⑨ 구배 자동계산'!$J23="","",'⑨ 구배 자동계산'!$J23&amp;"  ·  "&amp;'⑨ 구배 자동계산'!$L23))</f>
        <v/>
      </c>
      <c r="H42" s="93"/>
      <c r="I42" s="93"/>
    </row>
    <row r="43" spans="1:35" ht="19.95" customHeight="1" x14ac:dyDescent="0.4">
      <c r="A43" s="8">
        <v>3</v>
      </c>
      <c r="B43" s="33">
        <v>140</v>
      </c>
      <c r="C43" s="32" t="str">
        <f>IF('⑨ 구배 자동계산'!$B$4&lt;&gt;"21_담양 신규점2","",IF('⑨ 구배 자동계산'!I24="","",'⑨ 구배 자동계산'!I24))</f>
        <v/>
      </c>
      <c r="D43" s="34">
        <f>IF(COUNT(B43,B42)&lt;2,"",(B42-B43)/100)</f>
        <v>0.45</v>
      </c>
      <c r="E43" s="35" t="str">
        <f>IF(COUNT(C43,C42)&lt;2,"",C43-C42)</f>
        <v/>
      </c>
      <c r="F43" s="36" t="str">
        <f>IF(OR(D43="",E43="",D43=0),"",E43/D43)</f>
        <v/>
      </c>
      <c r="G43" s="92" t="str">
        <f>IF('⑨ 구배 자동계산'!$B$4&lt;&gt;"21_담양 신규점2","",IF('⑨ 구배 자동계산'!$J24="","",'⑨ 구배 자동계산'!$J24&amp;"  ·  "&amp;'⑨ 구배 자동계산'!$L24))</f>
        <v/>
      </c>
      <c r="H43" s="93"/>
      <c r="I43" s="93"/>
      <c r="AH43" t="s">
        <v>234</v>
      </c>
    </row>
    <row r="44" spans="1:35" ht="19.95" customHeight="1" x14ac:dyDescent="0.4">
      <c r="A44" s="8">
        <v>2</v>
      </c>
      <c r="B44" s="33">
        <v>95</v>
      </c>
      <c r="C44" s="32" t="str">
        <f>IF('⑨ 구배 자동계산'!$B$4&lt;&gt;"21_담양 신규점2","",IF('⑨ 구배 자동계산'!I25="","",'⑨ 구배 자동계산'!I25))</f>
        <v/>
      </c>
      <c r="D44" s="34">
        <f>IF(COUNT(B44,B43)&lt;2,"",(B43-B44)/100)</f>
        <v>0.45</v>
      </c>
      <c r="E44" s="35" t="str">
        <f>IF(COUNT(C44,C43)&lt;2,"",C44-C43)</f>
        <v/>
      </c>
      <c r="F44" s="36" t="str">
        <f>IF(OR(D44="",E44="",D44=0),"",E44/D44)</f>
        <v/>
      </c>
      <c r="G44" s="92" t="str">
        <f>IF('⑨ 구배 자동계산'!$B$4&lt;&gt;"21_담양 신규점2","",IF('⑨ 구배 자동계산'!$J25="","",'⑨ 구배 자동계산'!$J25&amp;"  ·  "&amp;'⑨ 구배 자동계산'!$L25))</f>
        <v/>
      </c>
      <c r="H44" s="93"/>
      <c r="I44" s="93"/>
    </row>
    <row r="45" spans="1:35" ht="19.95" customHeight="1" x14ac:dyDescent="0.4">
      <c r="A45" s="8">
        <v>1</v>
      </c>
      <c r="B45" s="33">
        <v>50</v>
      </c>
      <c r="C45" s="32" t="str">
        <f>IF('⑨ 구배 자동계산'!$B$4&lt;&gt;"21_담양 신규점2","",IF('⑨ 구배 자동계산'!I26="","",'⑨ 구배 자동계산'!I26))</f>
        <v/>
      </c>
      <c r="D45" s="34">
        <f>IF(COUNT(B45,B44)&lt;2,"",(B44-B45)/100)</f>
        <v>0.45</v>
      </c>
      <c r="E45" s="35" t="str">
        <f>IF(COUNT(C45,C44)&lt;2,"",C45-C44)</f>
        <v/>
      </c>
      <c r="F45" s="36" t="str">
        <f>IF(OR(D45="",E45="",D45=0),"",E45/D45)</f>
        <v/>
      </c>
      <c r="G45" s="92" t="str">
        <f>IF('⑨ 구배 자동계산'!$B$4&lt;&gt;"21_담양 신규점2","",IF('⑨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IF(COUNT(B50,E50)&lt;2,"",ROUND(SQRT(((126.962054-E50)*111320*COS(RADIANS(35.456101)))^2+((35.456101-B50)*110574)^2),1))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S21-P0a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49" priority="1">
      <formula>AND(ISNUMBER(C31),C31&gt;50)</formula>
    </cfRule>
  </conditionalFormatting>
  <conditionalFormatting sqref="D7">
    <cfRule type="expression" dxfId="148" priority="3" stopIfTrue="1">
      <formula>AND($D$7&lt;&gt;"",VALUE(LEFT($D$7,1))&lt;5)</formula>
    </cfRule>
    <cfRule type="expression" dxfId="147" priority="4" stopIfTrue="1">
      <formula>AND($D$7&lt;&gt;"",VALUE(LEFT($D$7,1))&gt;=5)</formula>
    </cfRule>
  </conditionalFormatting>
  <conditionalFormatting sqref="E7">
    <cfRule type="expression" dxfId="146" priority="5" stopIfTrue="1">
      <formula>AND($E$7&lt;&gt;"",VALUE(LEFT($E$7,1))&lt;5)</formula>
    </cfRule>
    <cfRule type="expression" dxfId="14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E2B1D417-7FA9-4DC9-B67F-95A3400B768A}">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8B98FE59-D3DE-4DF2-BF3B-2231A44DB59B}">
      <formula1>DATE(2026,1,1)</formula1>
      <formula2>DATE(2027,12,31)</formula2>
    </dataValidation>
    <dataValidation type="list" allowBlank="1" sqref="C7" xr:uid="{D9F75E8E-9AEF-45AC-A976-0E03B6226996}">
      <formula1>"맑음,구름 조금,흐림,비,눈,바람 강함"</formula1>
    </dataValidation>
    <dataValidation type="list" allowBlank="1" sqref="H50" xr:uid="{7848132E-C7A5-42C0-A608-768810E60F49}">
      <formula1>"RTK-GNSS,네트워크RTK,정적GNSS,휴대GNSS"</formula1>
    </dataValidation>
    <dataValidation type="list" allowBlank="1" sqref="B109" xr:uid="{67DC5649-9586-4CB2-AF4B-E39E16072E18}">
      <formula1>"동일,조정"</formula1>
    </dataValidation>
    <dataValidation type="list" allowBlank="1" showInputMessage="1" showErrorMessage="1" sqref="F56:F57" xr:uid="{18DF3AF9-825F-4C7D-8AB6-94FD556BA2BF}">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&amp;RS21 담양 신규점2</oddHeader>
    <oddFooter>&amp;C&amp;9 &amp;P / &amp;N</oddFooter>
  </headerFooter>
  <rowBreaks count="3" manualBreakCount="3">
    <brk id="38" max="16383" man="1"/>
    <brk id="58" max="16383" man="1"/>
    <brk id="106"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99DB-1057-4DAE-99A1-C14F4DF3EB7B}">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433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434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435</v>
      </c>
      <c r="B3" s="68"/>
      <c r="C3" s="68"/>
      <c r="D3" s="68"/>
      <c r="E3" s="68"/>
      <c r="F3" s="8" t="s">
        <v>154</v>
      </c>
      <c r="G3" s="6"/>
      <c r="H3" s="8" t="s">
        <v>155</v>
      </c>
      <c r="I3" s="9" t="s">
        <v>436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자동계산'!$B$4="22_완도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자동계산'!$B$4&lt;&gt;"22_완도 신규점","",IF('⑨ 구배 자동계산'!H9="","",'⑨ 구배 자동계산'!H9))</f>
        <v/>
      </c>
      <c r="C16" s="30" t="str">
        <f>IF('⑨ 구배 자동계산'!$B$4&lt;&gt;"22_완도 신규점","",IF('⑨ 구배 자동계산'!I9="","",'⑨ 구배 자동계산'!I9))</f>
        <v/>
      </c>
      <c r="D16" s="43" t="str">
        <f>IF('⑨ 구배 자동계산'!$B$4&lt;&gt;"22_완도 신규점","",IF('⑨ 구배 자동계산'!J9="","",'⑨ 구배 자동계산'!J9))</f>
        <v/>
      </c>
      <c r="E16" s="30" t="str">
        <f>IF('⑨ 구배 자동계산'!$B$4&lt;&gt;"22_완도 신규점","",IF('⑨ 구배 자동계산'!K9="","",'⑨ 구배 자동계산'!K9))</f>
        <v/>
      </c>
      <c r="F16" s="43" t="str">
        <f>IF('⑨ 구배 자동계산'!$B$4&lt;&gt;"22_완도 신규점","",IF('⑨ 구배 자동계산'!L9="","",'⑨ 구배 자동계산'!L9))</f>
        <v/>
      </c>
      <c r="G16" s="30" t="str">
        <f>IF('⑨ 구배 자동계산'!$B$4&lt;&gt;"22_완도 신규점","",IF('⑨ 구배 자동계산'!M9="","",'⑨ 구배 자동계산'!M9))</f>
        <v/>
      </c>
      <c r="H16" s="43" t="str">
        <f>IF('⑨ 구배 자동계산'!$B$4&lt;&gt;"22_완도 신규점","",IF('⑨ 구배 자동계산'!N9="","",'⑨ 구배 자동계산'!N9))</f>
        <v/>
      </c>
      <c r="I16" s="30" t="str">
        <f>IF('⑨ 구배 자동계산'!$B$4&lt;&gt;"22_완도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자동계산'!$B$4&lt;&gt;"22_완도 신규점","",IF('⑨ 구배 자동계산'!H10="","",'⑨ 구배 자동계산'!H10))</f>
        <v/>
      </c>
      <c r="C17" s="32" t="str">
        <f>IF('⑨ 구배 자동계산'!$B$4&lt;&gt;"22_완도 신규점","",IF('⑨ 구배 자동계산'!I10="","",'⑨ 구배 자동계산'!I10))</f>
        <v/>
      </c>
      <c r="D17" s="44" t="str">
        <f>IF('⑨ 구배 자동계산'!$B$4&lt;&gt;"22_완도 신규점","",IF('⑨ 구배 자동계산'!J10="","",'⑨ 구배 자동계산'!J10))</f>
        <v/>
      </c>
      <c r="E17" s="32" t="str">
        <f>IF('⑨ 구배 자동계산'!$B$4&lt;&gt;"22_완도 신규점","",IF('⑨ 구배 자동계산'!K10="","",'⑨ 구배 자동계산'!K10))</f>
        <v/>
      </c>
      <c r="F17" s="44" t="str">
        <f>IF('⑨ 구배 자동계산'!$B$4&lt;&gt;"22_완도 신규점","",IF('⑨ 구배 자동계산'!L10="","",'⑨ 구배 자동계산'!L10))</f>
        <v/>
      </c>
      <c r="G17" s="32" t="str">
        <f>IF('⑨ 구배 자동계산'!$B$4&lt;&gt;"22_완도 신규점","",IF('⑨ 구배 자동계산'!M10="","",'⑨ 구배 자동계산'!M10))</f>
        <v/>
      </c>
      <c r="H17" s="44" t="str">
        <f>IF('⑨ 구배 자동계산'!$B$4&lt;&gt;"22_완도 신규점","",IF('⑨ 구배 자동계산'!N10="","",'⑨ 구배 자동계산'!N10))</f>
        <v/>
      </c>
      <c r="I17" s="32" t="str">
        <f>IF('⑨ 구배 자동계산'!$B$4&lt;&gt;"22_완도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자동계산'!$B$4&lt;&gt;"22_완도 신규점","",IF('⑨ 구배 자동계산'!H11="","",'⑨ 구배 자동계산'!H11))</f>
        <v/>
      </c>
      <c r="C18" s="32" t="str">
        <f>IF('⑨ 구배 자동계산'!$B$4&lt;&gt;"22_완도 신규점","",IF('⑨ 구배 자동계산'!I11="","",'⑨ 구배 자동계산'!I11))</f>
        <v/>
      </c>
      <c r="D18" s="44" t="str">
        <f>IF('⑨ 구배 자동계산'!$B$4&lt;&gt;"22_완도 신규점","",IF('⑨ 구배 자동계산'!J11="","",'⑨ 구배 자동계산'!J11))</f>
        <v/>
      </c>
      <c r="E18" s="32" t="str">
        <f>IF('⑨ 구배 자동계산'!$B$4&lt;&gt;"22_완도 신규점","",IF('⑨ 구배 자동계산'!K11="","",'⑨ 구배 자동계산'!K11))</f>
        <v/>
      </c>
      <c r="F18" s="44" t="str">
        <f>IF('⑨ 구배 자동계산'!$B$4&lt;&gt;"22_완도 신규점","",IF('⑨ 구배 자동계산'!L11="","",'⑨ 구배 자동계산'!L11))</f>
        <v/>
      </c>
      <c r="G18" s="32" t="str">
        <f>IF('⑨ 구배 자동계산'!$B$4&lt;&gt;"22_완도 신규점","",IF('⑨ 구배 자동계산'!M11="","",'⑨ 구배 자동계산'!M11))</f>
        <v/>
      </c>
      <c r="H18" s="44" t="str">
        <f>IF('⑨ 구배 자동계산'!$B$4&lt;&gt;"22_완도 신규점","",IF('⑨ 구배 자동계산'!N11="","",'⑨ 구배 자동계산'!N11))</f>
        <v/>
      </c>
      <c r="I18" s="32" t="str">
        <f>IF('⑨ 구배 자동계산'!$B$4&lt;&gt;"22_완도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자동계산'!$B$4&lt;&gt;"22_완도 신규점","",IF('⑨ 구배 자동계산'!H12="","",'⑨ 구배 자동계산'!H12))</f>
        <v/>
      </c>
      <c r="C19" s="32" t="str">
        <f>IF('⑨ 구배 자동계산'!$B$4&lt;&gt;"22_완도 신규점","",IF('⑨ 구배 자동계산'!I12="","",'⑨ 구배 자동계산'!I12))</f>
        <v/>
      </c>
      <c r="D19" s="44" t="str">
        <f>IF('⑨ 구배 자동계산'!$B$4&lt;&gt;"22_완도 신규점","",IF('⑨ 구배 자동계산'!J12="","",'⑨ 구배 자동계산'!J12))</f>
        <v/>
      </c>
      <c r="E19" s="32" t="str">
        <f>IF('⑨ 구배 자동계산'!$B$4&lt;&gt;"22_완도 신규점","",IF('⑨ 구배 자동계산'!K12="","",'⑨ 구배 자동계산'!K12))</f>
        <v/>
      </c>
      <c r="F19" s="44" t="str">
        <f>IF('⑨ 구배 자동계산'!$B$4&lt;&gt;"22_완도 신규점","",IF('⑨ 구배 자동계산'!L12="","",'⑨ 구배 자동계산'!L12))</f>
        <v/>
      </c>
      <c r="G19" s="32" t="str">
        <f>IF('⑨ 구배 자동계산'!$B$4&lt;&gt;"22_완도 신규점","",IF('⑨ 구배 자동계산'!M12="","",'⑨ 구배 자동계산'!M12))</f>
        <v/>
      </c>
      <c r="H19" s="44" t="str">
        <f>IF('⑨ 구배 자동계산'!$B$4&lt;&gt;"22_완도 신규점","",IF('⑨ 구배 자동계산'!N12="","",'⑨ 구배 자동계산'!N12))</f>
        <v/>
      </c>
      <c r="I19" s="32" t="str">
        <f>IF('⑨ 구배 자동계산'!$B$4&lt;&gt;"22_완도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자동계산'!$B$4&lt;&gt;"22_완도 신규점","",IF('⑨ 구배 자동계산'!H13="","",'⑨ 구배 자동계산'!H13))</f>
        <v/>
      </c>
      <c r="C20" s="32" t="str">
        <f>IF('⑨ 구배 자동계산'!$B$4&lt;&gt;"22_완도 신규점","",IF('⑨ 구배 자동계산'!I13="","",'⑨ 구배 자동계산'!I13))</f>
        <v/>
      </c>
      <c r="D20" s="44" t="str">
        <f>IF('⑨ 구배 자동계산'!$B$4&lt;&gt;"22_완도 신규점","",IF('⑨ 구배 자동계산'!J13="","",'⑨ 구배 자동계산'!J13))</f>
        <v/>
      </c>
      <c r="E20" s="32" t="str">
        <f>IF('⑨ 구배 자동계산'!$B$4&lt;&gt;"22_완도 신규점","",IF('⑨ 구배 자동계산'!K13="","",'⑨ 구배 자동계산'!K13))</f>
        <v/>
      </c>
      <c r="F20" s="44" t="str">
        <f>IF('⑨ 구배 자동계산'!$B$4&lt;&gt;"22_완도 신규점","",IF('⑨ 구배 자동계산'!L13="","",'⑨ 구배 자동계산'!L13))</f>
        <v/>
      </c>
      <c r="G20" s="32" t="str">
        <f>IF('⑨ 구배 자동계산'!$B$4&lt;&gt;"22_완도 신규점","",IF('⑨ 구배 자동계산'!M13="","",'⑨ 구배 자동계산'!M13))</f>
        <v/>
      </c>
      <c r="H20" s="44" t="str">
        <f>IF('⑨ 구배 자동계산'!$B$4&lt;&gt;"22_완도 신규점","",IF('⑨ 구배 자동계산'!N13="","",'⑨ 구배 자동계산'!N13))</f>
        <v/>
      </c>
      <c r="I20" s="32" t="str">
        <f>IF('⑨ 구배 자동계산'!$B$4&lt;&gt;"22_완도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자동계산'!$B$4&lt;&gt;"22_완도 신규점","",IF('⑨ 구배 자동계산'!H14="","",'⑨ 구배 자동계산'!H14))</f>
        <v/>
      </c>
      <c r="C21" s="32" t="str">
        <f>IF('⑨ 구배 자동계산'!$B$4&lt;&gt;"22_완도 신규점","",IF('⑨ 구배 자동계산'!I14="","",'⑨ 구배 자동계산'!I14))</f>
        <v/>
      </c>
      <c r="D21" s="44" t="str">
        <f>IF('⑨ 구배 자동계산'!$B$4&lt;&gt;"22_완도 신규점","",IF('⑨ 구배 자동계산'!J14="","",'⑨ 구배 자동계산'!J14))</f>
        <v/>
      </c>
      <c r="E21" s="32" t="str">
        <f>IF('⑨ 구배 자동계산'!$B$4&lt;&gt;"22_완도 신규점","",IF('⑨ 구배 자동계산'!K14="","",'⑨ 구배 자동계산'!K14))</f>
        <v/>
      </c>
      <c r="F21" s="44" t="str">
        <f>IF('⑨ 구배 자동계산'!$B$4&lt;&gt;"22_완도 신규점","",IF('⑨ 구배 자동계산'!L14="","",'⑨ 구배 자동계산'!L14))</f>
        <v/>
      </c>
      <c r="G21" s="32" t="str">
        <f>IF('⑨ 구배 자동계산'!$B$4&lt;&gt;"22_완도 신규점","",IF('⑨ 구배 자동계산'!M14="","",'⑨ 구배 자동계산'!M14))</f>
        <v/>
      </c>
      <c r="H21" s="44" t="str">
        <f>IF('⑨ 구배 자동계산'!$B$4&lt;&gt;"22_완도 신규점","",IF('⑨ 구배 자동계산'!N14="","",'⑨ 구배 자동계산'!N14))</f>
        <v/>
      </c>
      <c r="I21" s="32" t="str">
        <f>IF('⑨ 구배 자동계산'!$B$4&lt;&gt;"22_완도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자동계산'!$B$4&lt;&gt;"22_완도 신규점","",IF('⑨ 구배 자동계산'!H15="","",'⑨ 구배 자동계산'!H15))</f>
        <v/>
      </c>
      <c r="C22" s="32" t="str">
        <f>IF('⑨ 구배 자동계산'!$B$4&lt;&gt;"22_완도 신규점","",IF('⑨ 구배 자동계산'!I15="","",'⑨ 구배 자동계산'!I15))</f>
        <v/>
      </c>
      <c r="D22" s="44" t="str">
        <f>IF('⑨ 구배 자동계산'!$B$4&lt;&gt;"22_완도 신규점","",IF('⑨ 구배 자동계산'!J15="","",'⑨ 구배 자동계산'!J15))</f>
        <v/>
      </c>
      <c r="E22" s="32" t="str">
        <f>IF('⑨ 구배 자동계산'!$B$4&lt;&gt;"22_완도 신규점","",IF('⑨ 구배 자동계산'!K15="","",'⑨ 구배 자동계산'!K15))</f>
        <v/>
      </c>
      <c r="F22" s="44" t="str">
        <f>IF('⑨ 구배 자동계산'!$B$4&lt;&gt;"22_완도 신규점","",IF('⑨ 구배 자동계산'!L15="","",'⑨ 구배 자동계산'!L15))</f>
        <v/>
      </c>
      <c r="G22" s="32" t="str">
        <f>IF('⑨ 구배 자동계산'!$B$4&lt;&gt;"22_완도 신규점","",IF('⑨ 구배 자동계산'!M15="","",'⑨ 구배 자동계산'!M15))</f>
        <v/>
      </c>
      <c r="H22" s="44" t="str">
        <f>IF('⑨ 구배 자동계산'!$B$4&lt;&gt;"22_완도 신규점","",IF('⑨ 구배 자동계산'!N15="","",'⑨ 구배 자동계산'!N15))</f>
        <v/>
      </c>
      <c r="I22" s="32" t="str">
        <f>IF('⑨ 구배 자동계산'!$B$4&lt;&gt;"22_완도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자동계산'!$B$4&lt;&gt;"22_완도 신규점","",IF('⑨ 구배 자동계산'!H16="","",'⑨ 구배 자동계산'!H16))</f>
        <v/>
      </c>
      <c r="C23" s="32" t="str">
        <f>IF('⑨ 구배 자동계산'!$B$4&lt;&gt;"22_완도 신규점","",IF('⑨ 구배 자동계산'!I16="","",'⑨ 구배 자동계산'!I16))</f>
        <v/>
      </c>
      <c r="D23" s="44" t="str">
        <f>IF('⑨ 구배 자동계산'!$B$4&lt;&gt;"22_완도 신규점","",IF('⑨ 구배 자동계산'!J16="","",'⑨ 구배 자동계산'!J16))</f>
        <v/>
      </c>
      <c r="E23" s="32" t="str">
        <f>IF('⑨ 구배 자동계산'!$B$4&lt;&gt;"22_완도 신규점","",IF('⑨ 구배 자동계산'!K16="","",'⑨ 구배 자동계산'!K16))</f>
        <v/>
      </c>
      <c r="F23" s="44" t="str">
        <f>IF('⑨ 구배 자동계산'!$B$4&lt;&gt;"22_완도 신규점","",IF('⑨ 구배 자동계산'!L16="","",'⑨ 구배 자동계산'!L16))</f>
        <v/>
      </c>
      <c r="G23" s="32" t="str">
        <f>IF('⑨ 구배 자동계산'!$B$4&lt;&gt;"22_완도 신규점","",IF('⑨ 구배 자동계산'!M16="","",'⑨ 구배 자동계산'!M16))</f>
        <v/>
      </c>
      <c r="H23" s="44" t="str">
        <f>IF('⑨ 구배 자동계산'!$B$4&lt;&gt;"22_완도 신규점","",IF('⑨ 구배 자동계산'!N16="","",'⑨ 구배 자동계산'!N16))</f>
        <v/>
      </c>
      <c r="I23" s="32" t="str">
        <f>IF('⑨ 구배 자동계산'!$B$4&lt;&gt;"22_완도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자동계산'!$B$4&lt;&gt;"22_완도 신규점","",IF('⑨ 구배 자동계산'!H17="","",'⑨ 구배 자동계산'!H17))</f>
        <v/>
      </c>
      <c r="C24" s="32" t="str">
        <f>IF('⑨ 구배 자동계산'!$B$4&lt;&gt;"22_완도 신규점","",IF('⑨ 구배 자동계산'!I17="","",'⑨ 구배 자동계산'!I17))</f>
        <v/>
      </c>
      <c r="D24" s="44" t="str">
        <f>IF('⑨ 구배 자동계산'!$B$4&lt;&gt;"22_완도 신규점","",IF('⑨ 구배 자동계산'!J17="","",'⑨ 구배 자동계산'!J17))</f>
        <v/>
      </c>
      <c r="E24" s="32" t="str">
        <f>IF('⑨ 구배 자동계산'!$B$4&lt;&gt;"22_완도 신규점","",IF('⑨ 구배 자동계산'!K17="","",'⑨ 구배 자동계산'!K17))</f>
        <v/>
      </c>
      <c r="F24" s="44" t="str">
        <f>IF('⑨ 구배 자동계산'!$B$4&lt;&gt;"22_완도 신규점","",IF('⑨ 구배 자동계산'!L17="","",'⑨ 구배 자동계산'!L17))</f>
        <v/>
      </c>
      <c r="G24" s="32" t="str">
        <f>IF('⑨ 구배 자동계산'!$B$4&lt;&gt;"22_완도 신규점","",IF('⑨ 구배 자동계산'!M17="","",'⑨ 구배 자동계산'!M17))</f>
        <v/>
      </c>
      <c r="H24" s="44" t="str">
        <f>IF('⑨ 구배 자동계산'!$B$4&lt;&gt;"22_완도 신규점","",IF('⑨ 구배 자동계산'!N17="","",'⑨ 구배 자동계산'!N17))</f>
        <v/>
      </c>
      <c r="I24" s="32" t="str">
        <f>IF('⑨ 구배 자동계산'!$B$4&lt;&gt;"22_완도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자동계산'!$B$4&lt;&gt;"22_완도 신규점","",IF('⑨ 구배 자동계산'!H18="","",'⑨ 구배 자동계산'!H18))</f>
        <v/>
      </c>
      <c r="C25" s="32" t="str">
        <f>IF('⑨ 구배 자동계산'!$B$4&lt;&gt;"22_완도 신규점","",IF('⑨ 구배 자동계산'!I18="","",'⑨ 구배 자동계산'!I18))</f>
        <v/>
      </c>
      <c r="D25" s="44" t="str">
        <f>IF('⑨ 구배 자동계산'!$B$4&lt;&gt;"22_완도 신규점","",IF('⑨ 구배 자동계산'!J18="","",'⑨ 구배 자동계산'!J18))</f>
        <v/>
      </c>
      <c r="E25" s="32" t="str">
        <f>IF('⑨ 구배 자동계산'!$B$4&lt;&gt;"22_완도 신규점","",IF('⑨ 구배 자동계산'!K18="","",'⑨ 구배 자동계산'!K18))</f>
        <v/>
      </c>
      <c r="F25" s="44" t="str">
        <f>IF('⑨ 구배 자동계산'!$B$4&lt;&gt;"22_완도 신규점","",IF('⑨ 구배 자동계산'!L18="","",'⑨ 구배 자동계산'!L18))</f>
        <v/>
      </c>
      <c r="G25" s="32" t="str">
        <f>IF('⑨ 구배 자동계산'!$B$4&lt;&gt;"22_완도 신규점","",IF('⑨ 구배 자동계산'!M18="","",'⑨ 구배 자동계산'!M18))</f>
        <v/>
      </c>
      <c r="H25" s="44" t="str">
        <f>IF('⑨ 구배 자동계산'!$B$4&lt;&gt;"22_완도 신규점","",IF('⑨ 구배 자동계산'!N18="","",'⑨ 구배 자동계산'!N18))</f>
        <v/>
      </c>
      <c r="I25" s="32" t="str">
        <f>IF('⑨ 구배 자동계산'!$B$4&lt;&gt;"22_완도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자동계산'!$B$4&lt;&gt;"22_완도 신규점","",IF('⑨ 구배 자동계산'!H19="","",'⑨ 구배 자동계산'!H19))</f>
        <v/>
      </c>
      <c r="C26" s="32" t="str">
        <f>IF('⑨ 구배 자동계산'!$B$4&lt;&gt;"22_완도 신규점","",IF('⑨ 구배 자동계산'!I19="","",'⑨ 구배 자동계산'!I19))</f>
        <v/>
      </c>
      <c r="D26" s="44" t="str">
        <f>IF('⑨ 구배 자동계산'!$B$4&lt;&gt;"22_완도 신규점","",IF('⑨ 구배 자동계산'!J19="","",'⑨ 구배 자동계산'!J19))</f>
        <v/>
      </c>
      <c r="E26" s="32" t="str">
        <f>IF('⑨ 구배 자동계산'!$B$4&lt;&gt;"22_완도 신규점","",IF('⑨ 구배 자동계산'!K19="","",'⑨ 구배 자동계산'!K19))</f>
        <v/>
      </c>
      <c r="F26" s="44" t="str">
        <f>IF('⑨ 구배 자동계산'!$B$4&lt;&gt;"22_완도 신규점","",IF('⑨ 구배 자동계산'!L19="","",'⑨ 구배 자동계산'!L19))</f>
        <v/>
      </c>
      <c r="G26" s="32" t="str">
        <f>IF('⑨ 구배 자동계산'!$B$4&lt;&gt;"22_완도 신규점","",IF('⑨ 구배 자동계산'!M19="","",'⑨ 구배 자동계산'!M19))</f>
        <v/>
      </c>
      <c r="H26" s="44" t="str">
        <f>IF('⑨ 구배 자동계산'!$B$4&lt;&gt;"22_완도 신규점","",IF('⑨ 구배 자동계산'!N19="","",'⑨ 구배 자동계산'!N19))</f>
        <v/>
      </c>
      <c r="I26" s="32" t="str">
        <f>IF('⑨ 구배 자동계산'!$B$4&lt;&gt;"22_완도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자동계산'!$B$4&lt;&gt;"22_완도 신규점","",IF('⑨ 구배 자동계산'!H20="","",'⑨ 구배 자동계산'!H20))</f>
        <v/>
      </c>
      <c r="C27" s="41" t="str">
        <f>IF('⑨ 구배 자동계산'!$B$4&lt;&gt;"22_완도 신규점","",IF('⑨ 구배 자동계산'!I20="","",'⑨ 구배 자동계산'!I20))</f>
        <v/>
      </c>
      <c r="D27" s="45" t="str">
        <f>IF('⑨ 구배 자동계산'!$B$4&lt;&gt;"22_완도 신규점","",IF('⑨ 구배 자동계산'!J20="","",'⑨ 구배 자동계산'!J20))</f>
        <v/>
      </c>
      <c r="E27" s="41" t="str">
        <f>IF('⑨ 구배 자동계산'!$B$4&lt;&gt;"22_완도 신규점","",IF('⑨ 구배 자동계산'!K20="","",'⑨ 구배 자동계산'!K20))</f>
        <v/>
      </c>
      <c r="F27" s="45" t="str">
        <f>IF('⑨ 구배 자동계산'!$B$4&lt;&gt;"22_완도 신규점","",IF('⑨ 구배 자동계산'!L20="","",'⑨ 구배 자동계산'!L20))</f>
        <v/>
      </c>
      <c r="G27" s="41" t="str">
        <f>IF('⑨ 구배 자동계산'!$B$4&lt;&gt;"22_완도 신규점","",IF('⑨ 구배 자동계산'!M20="","",'⑨ 구배 자동계산'!M20))</f>
        <v/>
      </c>
      <c r="H27" s="45" t="str">
        <f>IF('⑨ 구배 자동계산'!$B$4&lt;&gt;"22_완도 신규점","",IF('⑨ 구배 자동계산'!N20="","",'⑨ 구배 자동계산'!N20))</f>
        <v/>
      </c>
      <c r="I27" s="41" t="str">
        <f>IF('⑨ 구배 자동계산'!$B$4&lt;&gt;"22_완도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자동계산'!$B$4&lt;&gt;"22_완도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자동계산'!$B$4&lt;&gt;"22_완도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자동계산'!$B$4&lt;&gt;"22_완도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자동계산'!$B$4&lt;&gt;"22_완도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자동계산'!$B$4&lt;&gt;"22_완도 신규점","",IF('⑨ 구배 자동계산'!I23="","",'⑨ 구배 자동계산'!I23))</f>
        <v/>
      </c>
      <c r="D42" s="8"/>
      <c r="E42" s="8"/>
      <c r="F42" s="8"/>
      <c r="G42" s="92" t="str">
        <f>IF('⑨ 구배 자동계산'!$B$4&lt;&gt;"22_완도 신규점","",IF('⑨ 구배 자동계산'!$J23="","",'⑨ 구배 자동계산'!$J23&amp;"  ·  "&amp;'⑨ 구배 자동계산'!$L23))</f>
        <v/>
      </c>
      <c r="H42" s="93"/>
      <c r="I42" s="93"/>
    </row>
    <row r="43" spans="1:35" ht="19.95" customHeight="1" x14ac:dyDescent="0.4">
      <c r="A43" s="8">
        <v>3</v>
      </c>
      <c r="B43" s="33">
        <v>140</v>
      </c>
      <c r="C43" s="32" t="str">
        <f>IF('⑨ 구배 자동계산'!$B$4&lt;&gt;"22_완도 신규점","",IF('⑨ 구배 자동계산'!I24="","",'⑨ 구배 자동계산'!I24))</f>
        <v/>
      </c>
      <c r="D43" s="34">
        <f>IF(COUNT(B43,B42)&lt;2,"",(B42-B43)/100)</f>
        <v>0.45</v>
      </c>
      <c r="E43" s="35" t="str">
        <f>IF(COUNT(C43,C42)&lt;2,"",C43-C42)</f>
        <v/>
      </c>
      <c r="F43" s="36" t="str">
        <f>IF(OR(D43="",E43="",D43=0),"",E43/D43)</f>
        <v/>
      </c>
      <c r="G43" s="92" t="str">
        <f>IF('⑨ 구배 자동계산'!$B$4&lt;&gt;"22_완도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자동계산'!$B$4&lt;&gt;"22_완도 신규점","",IF('⑨ 구배 자동계산'!I25="","",'⑨ 구배 자동계산'!I25))</f>
        <v/>
      </c>
      <c r="D44" s="34">
        <f>IF(COUNT(B44,B43)&lt;2,"",(B43-B44)/100)</f>
        <v>0.45</v>
      </c>
      <c r="E44" s="35" t="str">
        <f>IF(COUNT(C44,C43)&lt;2,"",C44-C43)</f>
        <v/>
      </c>
      <c r="F44" s="36" t="str">
        <f>IF(OR(D44="",E44="",D44=0),"",E44/D44)</f>
        <v/>
      </c>
      <c r="G44" s="92" t="str">
        <f>IF('⑨ 구배 자동계산'!$B$4&lt;&gt;"22_완도 신규점","",IF('⑨ 구배 자동계산'!$J25="","",'⑨ 구배 자동계산'!$J25&amp;"  ·  "&amp;'⑨ 구배 자동계산'!$L25))</f>
        <v/>
      </c>
      <c r="H44" s="93"/>
      <c r="I44" s="93"/>
    </row>
    <row r="45" spans="1:35" ht="19.95" customHeight="1" x14ac:dyDescent="0.4">
      <c r="A45" s="8">
        <v>1</v>
      </c>
      <c r="B45" s="33">
        <v>50</v>
      </c>
      <c r="C45" s="32" t="str">
        <f>IF('⑨ 구배 자동계산'!$B$4&lt;&gt;"22_완도 신규점","",IF('⑨ 구배 자동계산'!I26="","",'⑨ 구배 자동계산'!I26))</f>
        <v/>
      </c>
      <c r="D45" s="34">
        <f>IF(COUNT(B45,B44)&lt;2,"",(B44-B45)/100)</f>
        <v>0.45</v>
      </c>
      <c r="E45" s="35" t="str">
        <f>IF(COUNT(C45,C44)&lt;2,"",C45-C44)</f>
        <v/>
      </c>
      <c r="F45" s="36" t="str">
        <f>IF(OR(D45="",E45="",D45=0),"",E45/D45)</f>
        <v/>
      </c>
      <c r="G45" s="92" t="str">
        <f>IF('⑨ 구배 자동계산'!$B$4&lt;&gt;"22_완도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IF(COUNT(B50,E50)&lt;2,"",ROUND(SQRT(((126.543215-E50)*111320*COS(RADIANS(34.328826)))^2+((34.328826-B50)*110574)^2),1))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S22-P0a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44" priority="1">
      <formula>AND(ISNUMBER(C31),C31&gt;50)</formula>
    </cfRule>
  </conditionalFormatting>
  <conditionalFormatting sqref="D7">
    <cfRule type="expression" dxfId="143" priority="3" stopIfTrue="1">
      <formula>AND($D$7&lt;&gt;"",VALUE(LEFT($D$7,1))&lt;5)</formula>
    </cfRule>
    <cfRule type="expression" dxfId="142" priority="4" stopIfTrue="1">
      <formula>AND($D$7&lt;&gt;"",VALUE(LEFT($D$7,1))&gt;=5)</formula>
    </cfRule>
  </conditionalFormatting>
  <conditionalFormatting sqref="E7">
    <cfRule type="expression" dxfId="141" priority="5" stopIfTrue="1">
      <formula>AND($E$7&lt;&gt;"",VALUE(LEFT($E$7,1))&lt;5)</formula>
    </cfRule>
    <cfRule type="expression" dxfId="14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DD9ECCCC-FD90-4004-8879-047166985D54}">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C6D6CFE1-9995-4AD8-BF2F-D18B20303A13}">
      <formula1>DATE(2026,1,1)</formula1>
      <formula2>DATE(2027,12,31)</formula2>
    </dataValidation>
    <dataValidation type="list" allowBlank="1" sqref="C7" xr:uid="{6487D667-B5B1-4138-B426-AF59ED63BB17}">
      <formula1>"맑음,구름 조금,흐림,비,눈,바람 강함"</formula1>
    </dataValidation>
    <dataValidation type="list" allowBlank="1" sqref="H50" xr:uid="{1833775D-141D-4336-9A0B-4045B5472DC8}">
      <formula1>"RTK-GNSS,네트워크RTK,정적GNSS,휴대GNSS"</formula1>
    </dataValidation>
    <dataValidation type="list" allowBlank="1" sqref="B109" xr:uid="{43835960-65BF-44EE-BDA4-D1038AC11F7F}">
      <formula1>"동일,조정"</formula1>
    </dataValidation>
    <dataValidation type="list" allowBlank="1" showInputMessage="1" showErrorMessage="1" sqref="F56:F57" xr:uid="{A35BFE40-3482-44BF-A17F-C499F828FC78}">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&amp;RS22 완도 신규점</oddHeader>
    <oddFooter>&amp;C&amp;9 &amp;P / &amp;N</oddFooter>
  </headerFooter>
  <rowBreaks count="3" manualBreakCount="3">
    <brk id="38" max="16383" man="1"/>
    <brk id="58" max="16383" man="1"/>
    <brk id="106"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F2E32-DC67-415E-9926-32583BA20E60}">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437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438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439</v>
      </c>
      <c r="B3" s="68"/>
      <c r="C3" s="68"/>
      <c r="D3" s="68"/>
      <c r="E3" s="68"/>
      <c r="F3" s="8" t="s">
        <v>154</v>
      </c>
      <c r="G3" s="6"/>
      <c r="H3" s="8" t="s">
        <v>155</v>
      </c>
      <c r="I3" s="9" t="s">
        <v>440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자동계산'!$B$4="23_덕산 신규점1","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자동계산'!$B$4&lt;&gt;"23_덕산 신규점1","",IF('⑨ 구배 자동계산'!H9="","",'⑨ 구배 자동계산'!H9))</f>
        <v/>
      </c>
      <c r="C16" s="30" t="str">
        <f>IF('⑨ 구배 자동계산'!$B$4&lt;&gt;"23_덕산 신규점1","",IF('⑨ 구배 자동계산'!I9="","",'⑨ 구배 자동계산'!I9))</f>
        <v/>
      </c>
      <c r="D16" s="43" t="str">
        <f>IF('⑨ 구배 자동계산'!$B$4&lt;&gt;"23_덕산 신규점1","",IF('⑨ 구배 자동계산'!J9="","",'⑨ 구배 자동계산'!J9))</f>
        <v/>
      </c>
      <c r="E16" s="30" t="str">
        <f>IF('⑨ 구배 자동계산'!$B$4&lt;&gt;"23_덕산 신규점1","",IF('⑨ 구배 자동계산'!K9="","",'⑨ 구배 자동계산'!K9))</f>
        <v/>
      </c>
      <c r="F16" s="43" t="str">
        <f>IF('⑨ 구배 자동계산'!$B$4&lt;&gt;"23_덕산 신규점1","",IF('⑨ 구배 자동계산'!L9="","",'⑨ 구배 자동계산'!L9))</f>
        <v/>
      </c>
      <c r="G16" s="30" t="str">
        <f>IF('⑨ 구배 자동계산'!$B$4&lt;&gt;"23_덕산 신규점1","",IF('⑨ 구배 자동계산'!M9="","",'⑨ 구배 자동계산'!M9))</f>
        <v/>
      </c>
      <c r="H16" s="43" t="str">
        <f>IF('⑨ 구배 자동계산'!$B$4&lt;&gt;"23_덕산 신규점1","",IF('⑨ 구배 자동계산'!N9="","",'⑨ 구배 자동계산'!N9))</f>
        <v/>
      </c>
      <c r="I16" s="30" t="str">
        <f>IF('⑨ 구배 자동계산'!$B$4&lt;&gt;"23_덕산 신규점1","",IF('⑨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자동계산'!$B$4&lt;&gt;"23_덕산 신규점1","",IF('⑨ 구배 자동계산'!H10="","",'⑨ 구배 자동계산'!H10))</f>
        <v/>
      </c>
      <c r="C17" s="32" t="str">
        <f>IF('⑨ 구배 자동계산'!$B$4&lt;&gt;"23_덕산 신규점1","",IF('⑨ 구배 자동계산'!I10="","",'⑨ 구배 자동계산'!I10))</f>
        <v/>
      </c>
      <c r="D17" s="44" t="str">
        <f>IF('⑨ 구배 자동계산'!$B$4&lt;&gt;"23_덕산 신규점1","",IF('⑨ 구배 자동계산'!J10="","",'⑨ 구배 자동계산'!J10))</f>
        <v/>
      </c>
      <c r="E17" s="32" t="str">
        <f>IF('⑨ 구배 자동계산'!$B$4&lt;&gt;"23_덕산 신규점1","",IF('⑨ 구배 자동계산'!K10="","",'⑨ 구배 자동계산'!K10))</f>
        <v/>
      </c>
      <c r="F17" s="44" t="str">
        <f>IF('⑨ 구배 자동계산'!$B$4&lt;&gt;"23_덕산 신규점1","",IF('⑨ 구배 자동계산'!L10="","",'⑨ 구배 자동계산'!L10))</f>
        <v/>
      </c>
      <c r="G17" s="32" t="str">
        <f>IF('⑨ 구배 자동계산'!$B$4&lt;&gt;"23_덕산 신규점1","",IF('⑨ 구배 자동계산'!M10="","",'⑨ 구배 자동계산'!M10))</f>
        <v/>
      </c>
      <c r="H17" s="44" t="str">
        <f>IF('⑨ 구배 자동계산'!$B$4&lt;&gt;"23_덕산 신규점1","",IF('⑨ 구배 자동계산'!N10="","",'⑨ 구배 자동계산'!N10))</f>
        <v/>
      </c>
      <c r="I17" s="32" t="str">
        <f>IF('⑨ 구배 자동계산'!$B$4&lt;&gt;"23_덕산 신규점1","",IF('⑨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자동계산'!$B$4&lt;&gt;"23_덕산 신규점1","",IF('⑨ 구배 자동계산'!H11="","",'⑨ 구배 자동계산'!H11))</f>
        <v/>
      </c>
      <c r="C18" s="32" t="str">
        <f>IF('⑨ 구배 자동계산'!$B$4&lt;&gt;"23_덕산 신규점1","",IF('⑨ 구배 자동계산'!I11="","",'⑨ 구배 자동계산'!I11))</f>
        <v/>
      </c>
      <c r="D18" s="44" t="str">
        <f>IF('⑨ 구배 자동계산'!$B$4&lt;&gt;"23_덕산 신규점1","",IF('⑨ 구배 자동계산'!J11="","",'⑨ 구배 자동계산'!J11))</f>
        <v/>
      </c>
      <c r="E18" s="32" t="str">
        <f>IF('⑨ 구배 자동계산'!$B$4&lt;&gt;"23_덕산 신규점1","",IF('⑨ 구배 자동계산'!K11="","",'⑨ 구배 자동계산'!K11))</f>
        <v/>
      </c>
      <c r="F18" s="44" t="str">
        <f>IF('⑨ 구배 자동계산'!$B$4&lt;&gt;"23_덕산 신규점1","",IF('⑨ 구배 자동계산'!L11="","",'⑨ 구배 자동계산'!L11))</f>
        <v/>
      </c>
      <c r="G18" s="32" t="str">
        <f>IF('⑨ 구배 자동계산'!$B$4&lt;&gt;"23_덕산 신규점1","",IF('⑨ 구배 자동계산'!M11="","",'⑨ 구배 자동계산'!M11))</f>
        <v/>
      </c>
      <c r="H18" s="44" t="str">
        <f>IF('⑨ 구배 자동계산'!$B$4&lt;&gt;"23_덕산 신규점1","",IF('⑨ 구배 자동계산'!N11="","",'⑨ 구배 자동계산'!N11))</f>
        <v/>
      </c>
      <c r="I18" s="32" t="str">
        <f>IF('⑨ 구배 자동계산'!$B$4&lt;&gt;"23_덕산 신규점1","",IF('⑨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자동계산'!$B$4&lt;&gt;"23_덕산 신규점1","",IF('⑨ 구배 자동계산'!H12="","",'⑨ 구배 자동계산'!H12))</f>
        <v/>
      </c>
      <c r="C19" s="32" t="str">
        <f>IF('⑨ 구배 자동계산'!$B$4&lt;&gt;"23_덕산 신규점1","",IF('⑨ 구배 자동계산'!I12="","",'⑨ 구배 자동계산'!I12))</f>
        <v/>
      </c>
      <c r="D19" s="44" t="str">
        <f>IF('⑨ 구배 자동계산'!$B$4&lt;&gt;"23_덕산 신규점1","",IF('⑨ 구배 자동계산'!J12="","",'⑨ 구배 자동계산'!J12))</f>
        <v/>
      </c>
      <c r="E19" s="32" t="str">
        <f>IF('⑨ 구배 자동계산'!$B$4&lt;&gt;"23_덕산 신규점1","",IF('⑨ 구배 자동계산'!K12="","",'⑨ 구배 자동계산'!K12))</f>
        <v/>
      </c>
      <c r="F19" s="44" t="str">
        <f>IF('⑨ 구배 자동계산'!$B$4&lt;&gt;"23_덕산 신규점1","",IF('⑨ 구배 자동계산'!L12="","",'⑨ 구배 자동계산'!L12))</f>
        <v/>
      </c>
      <c r="G19" s="32" t="str">
        <f>IF('⑨ 구배 자동계산'!$B$4&lt;&gt;"23_덕산 신규점1","",IF('⑨ 구배 자동계산'!M12="","",'⑨ 구배 자동계산'!M12))</f>
        <v/>
      </c>
      <c r="H19" s="44" t="str">
        <f>IF('⑨ 구배 자동계산'!$B$4&lt;&gt;"23_덕산 신규점1","",IF('⑨ 구배 자동계산'!N12="","",'⑨ 구배 자동계산'!N12))</f>
        <v/>
      </c>
      <c r="I19" s="32" t="str">
        <f>IF('⑨ 구배 자동계산'!$B$4&lt;&gt;"23_덕산 신규점1","",IF('⑨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자동계산'!$B$4&lt;&gt;"23_덕산 신규점1","",IF('⑨ 구배 자동계산'!H13="","",'⑨ 구배 자동계산'!H13))</f>
        <v/>
      </c>
      <c r="C20" s="32" t="str">
        <f>IF('⑨ 구배 자동계산'!$B$4&lt;&gt;"23_덕산 신규점1","",IF('⑨ 구배 자동계산'!I13="","",'⑨ 구배 자동계산'!I13))</f>
        <v/>
      </c>
      <c r="D20" s="44" t="str">
        <f>IF('⑨ 구배 자동계산'!$B$4&lt;&gt;"23_덕산 신규점1","",IF('⑨ 구배 자동계산'!J13="","",'⑨ 구배 자동계산'!J13))</f>
        <v/>
      </c>
      <c r="E20" s="32" t="str">
        <f>IF('⑨ 구배 자동계산'!$B$4&lt;&gt;"23_덕산 신규점1","",IF('⑨ 구배 자동계산'!K13="","",'⑨ 구배 자동계산'!K13))</f>
        <v/>
      </c>
      <c r="F20" s="44" t="str">
        <f>IF('⑨ 구배 자동계산'!$B$4&lt;&gt;"23_덕산 신규점1","",IF('⑨ 구배 자동계산'!L13="","",'⑨ 구배 자동계산'!L13))</f>
        <v/>
      </c>
      <c r="G20" s="32" t="str">
        <f>IF('⑨ 구배 자동계산'!$B$4&lt;&gt;"23_덕산 신규점1","",IF('⑨ 구배 자동계산'!M13="","",'⑨ 구배 자동계산'!M13))</f>
        <v/>
      </c>
      <c r="H20" s="44" t="str">
        <f>IF('⑨ 구배 자동계산'!$B$4&lt;&gt;"23_덕산 신규점1","",IF('⑨ 구배 자동계산'!N13="","",'⑨ 구배 자동계산'!N13))</f>
        <v/>
      </c>
      <c r="I20" s="32" t="str">
        <f>IF('⑨ 구배 자동계산'!$B$4&lt;&gt;"23_덕산 신규점1","",IF('⑨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자동계산'!$B$4&lt;&gt;"23_덕산 신규점1","",IF('⑨ 구배 자동계산'!H14="","",'⑨ 구배 자동계산'!H14))</f>
        <v/>
      </c>
      <c r="C21" s="32" t="str">
        <f>IF('⑨ 구배 자동계산'!$B$4&lt;&gt;"23_덕산 신규점1","",IF('⑨ 구배 자동계산'!I14="","",'⑨ 구배 자동계산'!I14))</f>
        <v/>
      </c>
      <c r="D21" s="44" t="str">
        <f>IF('⑨ 구배 자동계산'!$B$4&lt;&gt;"23_덕산 신규점1","",IF('⑨ 구배 자동계산'!J14="","",'⑨ 구배 자동계산'!J14))</f>
        <v/>
      </c>
      <c r="E21" s="32" t="str">
        <f>IF('⑨ 구배 자동계산'!$B$4&lt;&gt;"23_덕산 신규점1","",IF('⑨ 구배 자동계산'!K14="","",'⑨ 구배 자동계산'!K14))</f>
        <v/>
      </c>
      <c r="F21" s="44" t="str">
        <f>IF('⑨ 구배 자동계산'!$B$4&lt;&gt;"23_덕산 신규점1","",IF('⑨ 구배 자동계산'!L14="","",'⑨ 구배 자동계산'!L14))</f>
        <v/>
      </c>
      <c r="G21" s="32" t="str">
        <f>IF('⑨ 구배 자동계산'!$B$4&lt;&gt;"23_덕산 신규점1","",IF('⑨ 구배 자동계산'!M14="","",'⑨ 구배 자동계산'!M14))</f>
        <v/>
      </c>
      <c r="H21" s="44" t="str">
        <f>IF('⑨ 구배 자동계산'!$B$4&lt;&gt;"23_덕산 신규점1","",IF('⑨ 구배 자동계산'!N14="","",'⑨ 구배 자동계산'!N14))</f>
        <v/>
      </c>
      <c r="I21" s="32" t="str">
        <f>IF('⑨ 구배 자동계산'!$B$4&lt;&gt;"23_덕산 신규점1","",IF('⑨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자동계산'!$B$4&lt;&gt;"23_덕산 신규점1","",IF('⑨ 구배 자동계산'!H15="","",'⑨ 구배 자동계산'!H15))</f>
        <v/>
      </c>
      <c r="C22" s="32" t="str">
        <f>IF('⑨ 구배 자동계산'!$B$4&lt;&gt;"23_덕산 신규점1","",IF('⑨ 구배 자동계산'!I15="","",'⑨ 구배 자동계산'!I15))</f>
        <v/>
      </c>
      <c r="D22" s="44" t="str">
        <f>IF('⑨ 구배 자동계산'!$B$4&lt;&gt;"23_덕산 신규점1","",IF('⑨ 구배 자동계산'!J15="","",'⑨ 구배 자동계산'!J15))</f>
        <v/>
      </c>
      <c r="E22" s="32" t="str">
        <f>IF('⑨ 구배 자동계산'!$B$4&lt;&gt;"23_덕산 신규점1","",IF('⑨ 구배 자동계산'!K15="","",'⑨ 구배 자동계산'!K15))</f>
        <v/>
      </c>
      <c r="F22" s="44" t="str">
        <f>IF('⑨ 구배 자동계산'!$B$4&lt;&gt;"23_덕산 신규점1","",IF('⑨ 구배 자동계산'!L15="","",'⑨ 구배 자동계산'!L15))</f>
        <v/>
      </c>
      <c r="G22" s="32" t="str">
        <f>IF('⑨ 구배 자동계산'!$B$4&lt;&gt;"23_덕산 신규점1","",IF('⑨ 구배 자동계산'!M15="","",'⑨ 구배 자동계산'!M15))</f>
        <v/>
      </c>
      <c r="H22" s="44" t="str">
        <f>IF('⑨ 구배 자동계산'!$B$4&lt;&gt;"23_덕산 신규점1","",IF('⑨ 구배 자동계산'!N15="","",'⑨ 구배 자동계산'!N15))</f>
        <v/>
      </c>
      <c r="I22" s="32" t="str">
        <f>IF('⑨ 구배 자동계산'!$B$4&lt;&gt;"23_덕산 신규점1","",IF('⑨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자동계산'!$B$4&lt;&gt;"23_덕산 신규점1","",IF('⑨ 구배 자동계산'!H16="","",'⑨ 구배 자동계산'!H16))</f>
        <v/>
      </c>
      <c r="C23" s="32" t="str">
        <f>IF('⑨ 구배 자동계산'!$B$4&lt;&gt;"23_덕산 신규점1","",IF('⑨ 구배 자동계산'!I16="","",'⑨ 구배 자동계산'!I16))</f>
        <v/>
      </c>
      <c r="D23" s="44" t="str">
        <f>IF('⑨ 구배 자동계산'!$B$4&lt;&gt;"23_덕산 신규점1","",IF('⑨ 구배 자동계산'!J16="","",'⑨ 구배 자동계산'!J16))</f>
        <v/>
      </c>
      <c r="E23" s="32" t="str">
        <f>IF('⑨ 구배 자동계산'!$B$4&lt;&gt;"23_덕산 신규점1","",IF('⑨ 구배 자동계산'!K16="","",'⑨ 구배 자동계산'!K16))</f>
        <v/>
      </c>
      <c r="F23" s="44" t="str">
        <f>IF('⑨ 구배 자동계산'!$B$4&lt;&gt;"23_덕산 신규점1","",IF('⑨ 구배 자동계산'!L16="","",'⑨ 구배 자동계산'!L16))</f>
        <v/>
      </c>
      <c r="G23" s="32" t="str">
        <f>IF('⑨ 구배 자동계산'!$B$4&lt;&gt;"23_덕산 신규점1","",IF('⑨ 구배 자동계산'!M16="","",'⑨ 구배 자동계산'!M16))</f>
        <v/>
      </c>
      <c r="H23" s="44" t="str">
        <f>IF('⑨ 구배 자동계산'!$B$4&lt;&gt;"23_덕산 신규점1","",IF('⑨ 구배 자동계산'!N16="","",'⑨ 구배 자동계산'!N16))</f>
        <v/>
      </c>
      <c r="I23" s="32" t="str">
        <f>IF('⑨ 구배 자동계산'!$B$4&lt;&gt;"23_덕산 신규점1","",IF('⑨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자동계산'!$B$4&lt;&gt;"23_덕산 신규점1","",IF('⑨ 구배 자동계산'!H17="","",'⑨ 구배 자동계산'!H17))</f>
        <v/>
      </c>
      <c r="C24" s="32" t="str">
        <f>IF('⑨ 구배 자동계산'!$B$4&lt;&gt;"23_덕산 신규점1","",IF('⑨ 구배 자동계산'!I17="","",'⑨ 구배 자동계산'!I17))</f>
        <v/>
      </c>
      <c r="D24" s="44" t="str">
        <f>IF('⑨ 구배 자동계산'!$B$4&lt;&gt;"23_덕산 신규점1","",IF('⑨ 구배 자동계산'!J17="","",'⑨ 구배 자동계산'!J17))</f>
        <v/>
      </c>
      <c r="E24" s="32" t="str">
        <f>IF('⑨ 구배 자동계산'!$B$4&lt;&gt;"23_덕산 신규점1","",IF('⑨ 구배 자동계산'!K17="","",'⑨ 구배 자동계산'!K17))</f>
        <v/>
      </c>
      <c r="F24" s="44" t="str">
        <f>IF('⑨ 구배 자동계산'!$B$4&lt;&gt;"23_덕산 신규점1","",IF('⑨ 구배 자동계산'!L17="","",'⑨ 구배 자동계산'!L17))</f>
        <v/>
      </c>
      <c r="G24" s="32" t="str">
        <f>IF('⑨ 구배 자동계산'!$B$4&lt;&gt;"23_덕산 신규점1","",IF('⑨ 구배 자동계산'!M17="","",'⑨ 구배 자동계산'!M17))</f>
        <v/>
      </c>
      <c r="H24" s="44" t="str">
        <f>IF('⑨ 구배 자동계산'!$B$4&lt;&gt;"23_덕산 신규점1","",IF('⑨ 구배 자동계산'!N17="","",'⑨ 구배 자동계산'!N17))</f>
        <v/>
      </c>
      <c r="I24" s="32" t="str">
        <f>IF('⑨ 구배 자동계산'!$B$4&lt;&gt;"23_덕산 신규점1","",IF('⑨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자동계산'!$B$4&lt;&gt;"23_덕산 신규점1","",IF('⑨ 구배 자동계산'!H18="","",'⑨ 구배 자동계산'!H18))</f>
        <v/>
      </c>
      <c r="C25" s="32" t="str">
        <f>IF('⑨ 구배 자동계산'!$B$4&lt;&gt;"23_덕산 신규점1","",IF('⑨ 구배 자동계산'!I18="","",'⑨ 구배 자동계산'!I18))</f>
        <v/>
      </c>
      <c r="D25" s="44" t="str">
        <f>IF('⑨ 구배 자동계산'!$B$4&lt;&gt;"23_덕산 신규점1","",IF('⑨ 구배 자동계산'!J18="","",'⑨ 구배 자동계산'!J18))</f>
        <v/>
      </c>
      <c r="E25" s="32" t="str">
        <f>IF('⑨ 구배 자동계산'!$B$4&lt;&gt;"23_덕산 신규점1","",IF('⑨ 구배 자동계산'!K18="","",'⑨ 구배 자동계산'!K18))</f>
        <v/>
      </c>
      <c r="F25" s="44" t="str">
        <f>IF('⑨ 구배 자동계산'!$B$4&lt;&gt;"23_덕산 신규점1","",IF('⑨ 구배 자동계산'!L18="","",'⑨ 구배 자동계산'!L18))</f>
        <v/>
      </c>
      <c r="G25" s="32" t="str">
        <f>IF('⑨ 구배 자동계산'!$B$4&lt;&gt;"23_덕산 신규점1","",IF('⑨ 구배 자동계산'!M18="","",'⑨ 구배 자동계산'!M18))</f>
        <v/>
      </c>
      <c r="H25" s="44" t="str">
        <f>IF('⑨ 구배 자동계산'!$B$4&lt;&gt;"23_덕산 신규점1","",IF('⑨ 구배 자동계산'!N18="","",'⑨ 구배 자동계산'!N18))</f>
        <v/>
      </c>
      <c r="I25" s="32" t="str">
        <f>IF('⑨ 구배 자동계산'!$B$4&lt;&gt;"23_덕산 신규점1","",IF('⑨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자동계산'!$B$4&lt;&gt;"23_덕산 신규점1","",IF('⑨ 구배 자동계산'!H19="","",'⑨ 구배 자동계산'!H19))</f>
        <v/>
      </c>
      <c r="C26" s="32" t="str">
        <f>IF('⑨ 구배 자동계산'!$B$4&lt;&gt;"23_덕산 신규점1","",IF('⑨ 구배 자동계산'!I19="","",'⑨ 구배 자동계산'!I19))</f>
        <v/>
      </c>
      <c r="D26" s="44" t="str">
        <f>IF('⑨ 구배 자동계산'!$B$4&lt;&gt;"23_덕산 신규점1","",IF('⑨ 구배 자동계산'!J19="","",'⑨ 구배 자동계산'!J19))</f>
        <v/>
      </c>
      <c r="E26" s="32" t="str">
        <f>IF('⑨ 구배 자동계산'!$B$4&lt;&gt;"23_덕산 신규점1","",IF('⑨ 구배 자동계산'!K19="","",'⑨ 구배 자동계산'!K19))</f>
        <v/>
      </c>
      <c r="F26" s="44" t="str">
        <f>IF('⑨ 구배 자동계산'!$B$4&lt;&gt;"23_덕산 신규점1","",IF('⑨ 구배 자동계산'!L19="","",'⑨ 구배 자동계산'!L19))</f>
        <v/>
      </c>
      <c r="G26" s="32" t="str">
        <f>IF('⑨ 구배 자동계산'!$B$4&lt;&gt;"23_덕산 신규점1","",IF('⑨ 구배 자동계산'!M19="","",'⑨ 구배 자동계산'!M19))</f>
        <v/>
      </c>
      <c r="H26" s="44" t="str">
        <f>IF('⑨ 구배 자동계산'!$B$4&lt;&gt;"23_덕산 신규점1","",IF('⑨ 구배 자동계산'!N19="","",'⑨ 구배 자동계산'!N19))</f>
        <v/>
      </c>
      <c r="I26" s="32" t="str">
        <f>IF('⑨ 구배 자동계산'!$B$4&lt;&gt;"23_덕산 신규점1","",IF('⑨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자동계산'!$B$4&lt;&gt;"23_덕산 신규점1","",IF('⑨ 구배 자동계산'!H20="","",'⑨ 구배 자동계산'!H20))</f>
        <v/>
      </c>
      <c r="C27" s="41" t="str">
        <f>IF('⑨ 구배 자동계산'!$B$4&lt;&gt;"23_덕산 신규점1","",IF('⑨ 구배 자동계산'!I20="","",'⑨ 구배 자동계산'!I20))</f>
        <v/>
      </c>
      <c r="D27" s="45" t="str">
        <f>IF('⑨ 구배 자동계산'!$B$4&lt;&gt;"23_덕산 신규점1","",IF('⑨ 구배 자동계산'!J20="","",'⑨ 구배 자동계산'!J20))</f>
        <v/>
      </c>
      <c r="E27" s="41" t="str">
        <f>IF('⑨ 구배 자동계산'!$B$4&lt;&gt;"23_덕산 신규점1","",IF('⑨ 구배 자동계산'!K20="","",'⑨ 구배 자동계산'!K20))</f>
        <v/>
      </c>
      <c r="F27" s="45" t="str">
        <f>IF('⑨ 구배 자동계산'!$B$4&lt;&gt;"23_덕산 신규점1","",IF('⑨ 구배 자동계산'!L20="","",'⑨ 구배 자동계산'!L20))</f>
        <v/>
      </c>
      <c r="G27" s="41" t="str">
        <f>IF('⑨ 구배 자동계산'!$B$4&lt;&gt;"23_덕산 신규점1","",IF('⑨ 구배 자동계산'!M20="","",'⑨ 구배 자동계산'!M20))</f>
        <v/>
      </c>
      <c r="H27" s="45" t="str">
        <f>IF('⑨ 구배 자동계산'!$B$4&lt;&gt;"23_덕산 신규점1","",IF('⑨ 구배 자동계산'!N20="","",'⑨ 구배 자동계산'!N20))</f>
        <v/>
      </c>
      <c r="I27" s="41" t="str">
        <f>IF('⑨ 구배 자동계산'!$B$4&lt;&gt;"23_덕산 신규점1","",IF('⑨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자동계산'!$B$4&lt;&gt;"23_덕산 신규점1","",IF('⑨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자동계산'!$B$4&lt;&gt;"23_덕산 신규점1","",IF('⑨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자동계산'!$B$4&lt;&gt;"23_덕산 신규점1","",IF('⑨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자동계산'!$B$4&lt;&gt;"23_덕산 신규점1","",IF('⑨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자동계산'!$B$4&lt;&gt;"23_덕산 신규점1","",IF('⑨ 구배 자동계산'!I23="","",'⑨ 구배 자동계산'!I23))</f>
        <v/>
      </c>
      <c r="D42" s="8"/>
      <c r="E42" s="8"/>
      <c r="F42" s="8"/>
      <c r="G42" s="92" t="str">
        <f>IF('⑨ 구배 자동계산'!$B$4&lt;&gt;"23_덕산 신규점1","",IF('⑨ 구배 자동계산'!$J23="","",'⑨ 구배 자동계산'!$J23&amp;"  ·  "&amp;'⑨ 구배 자동계산'!$L23))</f>
        <v/>
      </c>
      <c r="H42" s="93"/>
      <c r="I42" s="93"/>
    </row>
    <row r="43" spans="1:35" ht="19.95" customHeight="1" x14ac:dyDescent="0.4">
      <c r="A43" s="8">
        <v>3</v>
      </c>
      <c r="B43" s="33">
        <v>140</v>
      </c>
      <c r="C43" s="32" t="str">
        <f>IF('⑨ 구배 자동계산'!$B$4&lt;&gt;"23_덕산 신규점1","",IF('⑨ 구배 자동계산'!I24="","",'⑨ 구배 자동계산'!I24))</f>
        <v/>
      </c>
      <c r="D43" s="34">
        <f>IF(COUNT(B43,B42)&lt;2,"",(B42-B43)/100)</f>
        <v>0.45</v>
      </c>
      <c r="E43" s="35" t="str">
        <f>IF(COUNT(C43,C42)&lt;2,"",C43-C42)</f>
        <v/>
      </c>
      <c r="F43" s="36" t="str">
        <f>IF(OR(D43="",E43="",D43=0),"",E43/D43)</f>
        <v/>
      </c>
      <c r="G43" s="92" t="str">
        <f>IF('⑨ 구배 자동계산'!$B$4&lt;&gt;"23_덕산 신규점1","",IF('⑨ 구배 자동계산'!$J24="","",'⑨ 구배 자동계산'!$J24&amp;"  ·  "&amp;'⑨ 구배 자동계산'!$L24))</f>
        <v/>
      </c>
      <c r="H43" s="93"/>
      <c r="I43" s="93"/>
      <c r="AH43" t="s">
        <v>234</v>
      </c>
    </row>
    <row r="44" spans="1:35" ht="19.95" customHeight="1" x14ac:dyDescent="0.4">
      <c r="A44" s="8">
        <v>2</v>
      </c>
      <c r="B44" s="33">
        <v>95</v>
      </c>
      <c r="C44" s="32" t="str">
        <f>IF('⑨ 구배 자동계산'!$B$4&lt;&gt;"23_덕산 신규점1","",IF('⑨ 구배 자동계산'!I25="","",'⑨ 구배 자동계산'!I25))</f>
        <v/>
      </c>
      <c r="D44" s="34">
        <f>IF(COUNT(B44,B43)&lt;2,"",(B43-B44)/100)</f>
        <v>0.45</v>
      </c>
      <c r="E44" s="35" t="str">
        <f>IF(COUNT(C44,C43)&lt;2,"",C44-C43)</f>
        <v/>
      </c>
      <c r="F44" s="36" t="str">
        <f>IF(OR(D44="",E44="",D44=0),"",E44/D44)</f>
        <v/>
      </c>
      <c r="G44" s="92" t="str">
        <f>IF('⑨ 구배 자동계산'!$B$4&lt;&gt;"23_덕산 신규점1","",IF('⑨ 구배 자동계산'!$J25="","",'⑨ 구배 자동계산'!$J25&amp;"  ·  "&amp;'⑨ 구배 자동계산'!$L25))</f>
        <v/>
      </c>
      <c r="H44" s="93"/>
      <c r="I44" s="93"/>
    </row>
    <row r="45" spans="1:35" ht="19.95" customHeight="1" x14ac:dyDescent="0.4">
      <c r="A45" s="8">
        <v>1</v>
      </c>
      <c r="B45" s="33">
        <v>50</v>
      </c>
      <c r="C45" s="32" t="str">
        <f>IF('⑨ 구배 자동계산'!$B$4&lt;&gt;"23_덕산 신규점1","",IF('⑨ 구배 자동계산'!I26="","",'⑨ 구배 자동계산'!I26))</f>
        <v/>
      </c>
      <c r="D45" s="34">
        <f>IF(COUNT(B45,B44)&lt;2,"",(B44-B45)/100)</f>
        <v>0.45</v>
      </c>
      <c r="E45" s="35" t="str">
        <f>IF(COUNT(C45,C44)&lt;2,"",C45-C44)</f>
        <v/>
      </c>
      <c r="F45" s="36" t="str">
        <f>IF(OR(D45="",E45="",D45=0),"",E45/D45)</f>
        <v/>
      </c>
      <c r="G45" s="92" t="str">
        <f>IF('⑨ 구배 자동계산'!$B$4&lt;&gt;"23_덕산 신규점1","",IF('⑨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IF(COUNT(B50,E50)&lt;2,"",ROUND(SQRT(((128.192739-E50)*111320*COS(RADIANS(36.888529)))^2+((36.888529-B50)*110574)^2),1))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S23-P0a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39" priority="1">
      <formula>AND(ISNUMBER(C31),C31&gt;50)</formula>
    </cfRule>
  </conditionalFormatting>
  <conditionalFormatting sqref="D7">
    <cfRule type="expression" dxfId="138" priority="3" stopIfTrue="1">
      <formula>AND($D$7&lt;&gt;"",VALUE(LEFT($D$7,1))&lt;5)</formula>
    </cfRule>
    <cfRule type="expression" dxfId="137" priority="4" stopIfTrue="1">
      <formula>AND($D$7&lt;&gt;"",VALUE(LEFT($D$7,1))&gt;=5)</formula>
    </cfRule>
  </conditionalFormatting>
  <conditionalFormatting sqref="E7">
    <cfRule type="expression" dxfId="136" priority="5" stopIfTrue="1">
      <formula>AND($E$7&lt;&gt;"",VALUE(LEFT($E$7,1))&lt;5)</formula>
    </cfRule>
    <cfRule type="expression" dxfId="13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DCAA5391-7BB8-48A9-9002-AFA1C173024F}">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A39C2A88-0E60-4E4D-B676-85CD6E1F20CA}">
      <formula1>DATE(2026,1,1)</formula1>
      <formula2>DATE(2027,12,31)</formula2>
    </dataValidation>
    <dataValidation type="list" allowBlank="1" sqref="C7" xr:uid="{C68CE6A1-D53B-45A0-95CF-3A602C89DC28}">
      <formula1>"맑음,구름 조금,흐림,비,눈,바람 강함"</formula1>
    </dataValidation>
    <dataValidation type="list" allowBlank="1" sqref="H50" xr:uid="{EE9F1039-FC0D-424D-8FC4-75FD67F461ED}">
      <formula1>"RTK-GNSS,네트워크RTK,정적GNSS,휴대GNSS"</formula1>
    </dataValidation>
    <dataValidation type="list" allowBlank="1" sqref="B109" xr:uid="{EFC73DDF-6726-4837-92AE-4AD4CA59D3AD}">
      <formula1>"동일,조정"</formula1>
    </dataValidation>
    <dataValidation type="list" allowBlank="1" showInputMessage="1" showErrorMessage="1" sqref="F56:F57" xr:uid="{E2F0E67E-B13D-4F27-92A7-606D30B129F8}">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&amp;RS23 덕산 신규점1</oddHeader>
    <oddFooter>&amp;C&amp;9 &amp;P / &amp;N</oddFooter>
  </headerFooter>
  <rowBreaks count="3" manualBreakCount="3">
    <brk id="38" max="16383" man="1"/>
    <brk id="58" max="16383" man="1"/>
    <brk id="106"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BFDD3-967E-4473-B37C-C099BC9D203E}">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441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442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443</v>
      </c>
      <c r="B3" s="68"/>
      <c r="C3" s="68"/>
      <c r="D3" s="68"/>
      <c r="E3" s="68"/>
      <c r="F3" s="8" t="s">
        <v>154</v>
      </c>
      <c r="G3" s="6"/>
      <c r="H3" s="8" t="s">
        <v>155</v>
      </c>
      <c r="I3" s="9" t="s">
        <v>444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자동계산'!$B$4="24_회천 신규점2","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자동계산'!$B$4&lt;&gt;"24_회천 신규점2","",IF('⑨ 구배 자동계산'!H9="","",'⑨ 구배 자동계산'!H9))</f>
        <v/>
      </c>
      <c r="C16" s="30" t="str">
        <f>IF('⑨ 구배 자동계산'!$B$4&lt;&gt;"24_회천 신규점2","",IF('⑨ 구배 자동계산'!I9="","",'⑨ 구배 자동계산'!I9))</f>
        <v/>
      </c>
      <c r="D16" s="43" t="str">
        <f>IF('⑨ 구배 자동계산'!$B$4&lt;&gt;"24_회천 신규점2","",IF('⑨ 구배 자동계산'!J9="","",'⑨ 구배 자동계산'!J9))</f>
        <v/>
      </c>
      <c r="E16" s="30" t="str">
        <f>IF('⑨ 구배 자동계산'!$B$4&lt;&gt;"24_회천 신규점2","",IF('⑨ 구배 자동계산'!K9="","",'⑨ 구배 자동계산'!K9))</f>
        <v/>
      </c>
      <c r="F16" s="43" t="str">
        <f>IF('⑨ 구배 자동계산'!$B$4&lt;&gt;"24_회천 신규점2","",IF('⑨ 구배 자동계산'!L9="","",'⑨ 구배 자동계산'!L9))</f>
        <v/>
      </c>
      <c r="G16" s="30" t="str">
        <f>IF('⑨ 구배 자동계산'!$B$4&lt;&gt;"24_회천 신규점2","",IF('⑨ 구배 자동계산'!M9="","",'⑨ 구배 자동계산'!M9))</f>
        <v/>
      </c>
      <c r="H16" s="43" t="str">
        <f>IF('⑨ 구배 자동계산'!$B$4&lt;&gt;"24_회천 신규점2","",IF('⑨ 구배 자동계산'!N9="","",'⑨ 구배 자동계산'!N9))</f>
        <v/>
      </c>
      <c r="I16" s="30" t="str">
        <f>IF('⑨ 구배 자동계산'!$B$4&lt;&gt;"24_회천 신규점2","",IF('⑨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자동계산'!$B$4&lt;&gt;"24_회천 신규점2","",IF('⑨ 구배 자동계산'!H10="","",'⑨ 구배 자동계산'!H10))</f>
        <v/>
      </c>
      <c r="C17" s="32" t="str">
        <f>IF('⑨ 구배 자동계산'!$B$4&lt;&gt;"24_회천 신규점2","",IF('⑨ 구배 자동계산'!I10="","",'⑨ 구배 자동계산'!I10))</f>
        <v/>
      </c>
      <c r="D17" s="44" t="str">
        <f>IF('⑨ 구배 자동계산'!$B$4&lt;&gt;"24_회천 신규점2","",IF('⑨ 구배 자동계산'!J10="","",'⑨ 구배 자동계산'!J10))</f>
        <v/>
      </c>
      <c r="E17" s="32" t="str">
        <f>IF('⑨ 구배 자동계산'!$B$4&lt;&gt;"24_회천 신규점2","",IF('⑨ 구배 자동계산'!K10="","",'⑨ 구배 자동계산'!K10))</f>
        <v/>
      </c>
      <c r="F17" s="44" t="str">
        <f>IF('⑨ 구배 자동계산'!$B$4&lt;&gt;"24_회천 신규점2","",IF('⑨ 구배 자동계산'!L10="","",'⑨ 구배 자동계산'!L10))</f>
        <v/>
      </c>
      <c r="G17" s="32" t="str">
        <f>IF('⑨ 구배 자동계산'!$B$4&lt;&gt;"24_회천 신규점2","",IF('⑨ 구배 자동계산'!M10="","",'⑨ 구배 자동계산'!M10))</f>
        <v/>
      </c>
      <c r="H17" s="44" t="str">
        <f>IF('⑨ 구배 자동계산'!$B$4&lt;&gt;"24_회천 신규점2","",IF('⑨ 구배 자동계산'!N10="","",'⑨ 구배 자동계산'!N10))</f>
        <v/>
      </c>
      <c r="I17" s="32" t="str">
        <f>IF('⑨ 구배 자동계산'!$B$4&lt;&gt;"24_회천 신규점2","",IF('⑨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자동계산'!$B$4&lt;&gt;"24_회천 신규점2","",IF('⑨ 구배 자동계산'!H11="","",'⑨ 구배 자동계산'!H11))</f>
        <v/>
      </c>
      <c r="C18" s="32" t="str">
        <f>IF('⑨ 구배 자동계산'!$B$4&lt;&gt;"24_회천 신규점2","",IF('⑨ 구배 자동계산'!I11="","",'⑨ 구배 자동계산'!I11))</f>
        <v/>
      </c>
      <c r="D18" s="44" t="str">
        <f>IF('⑨ 구배 자동계산'!$B$4&lt;&gt;"24_회천 신규점2","",IF('⑨ 구배 자동계산'!J11="","",'⑨ 구배 자동계산'!J11))</f>
        <v/>
      </c>
      <c r="E18" s="32" t="str">
        <f>IF('⑨ 구배 자동계산'!$B$4&lt;&gt;"24_회천 신규점2","",IF('⑨ 구배 자동계산'!K11="","",'⑨ 구배 자동계산'!K11))</f>
        <v/>
      </c>
      <c r="F18" s="44" t="str">
        <f>IF('⑨ 구배 자동계산'!$B$4&lt;&gt;"24_회천 신규점2","",IF('⑨ 구배 자동계산'!L11="","",'⑨ 구배 자동계산'!L11))</f>
        <v/>
      </c>
      <c r="G18" s="32" t="str">
        <f>IF('⑨ 구배 자동계산'!$B$4&lt;&gt;"24_회천 신규점2","",IF('⑨ 구배 자동계산'!M11="","",'⑨ 구배 자동계산'!M11))</f>
        <v/>
      </c>
      <c r="H18" s="44" t="str">
        <f>IF('⑨ 구배 자동계산'!$B$4&lt;&gt;"24_회천 신규점2","",IF('⑨ 구배 자동계산'!N11="","",'⑨ 구배 자동계산'!N11))</f>
        <v/>
      </c>
      <c r="I18" s="32" t="str">
        <f>IF('⑨ 구배 자동계산'!$B$4&lt;&gt;"24_회천 신규점2","",IF('⑨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자동계산'!$B$4&lt;&gt;"24_회천 신규점2","",IF('⑨ 구배 자동계산'!H12="","",'⑨ 구배 자동계산'!H12))</f>
        <v/>
      </c>
      <c r="C19" s="32" t="str">
        <f>IF('⑨ 구배 자동계산'!$B$4&lt;&gt;"24_회천 신규점2","",IF('⑨ 구배 자동계산'!I12="","",'⑨ 구배 자동계산'!I12))</f>
        <v/>
      </c>
      <c r="D19" s="44" t="str">
        <f>IF('⑨ 구배 자동계산'!$B$4&lt;&gt;"24_회천 신규점2","",IF('⑨ 구배 자동계산'!J12="","",'⑨ 구배 자동계산'!J12))</f>
        <v/>
      </c>
      <c r="E19" s="32" t="str">
        <f>IF('⑨ 구배 자동계산'!$B$4&lt;&gt;"24_회천 신규점2","",IF('⑨ 구배 자동계산'!K12="","",'⑨ 구배 자동계산'!K12))</f>
        <v/>
      </c>
      <c r="F19" s="44" t="str">
        <f>IF('⑨ 구배 자동계산'!$B$4&lt;&gt;"24_회천 신규점2","",IF('⑨ 구배 자동계산'!L12="","",'⑨ 구배 자동계산'!L12))</f>
        <v/>
      </c>
      <c r="G19" s="32" t="str">
        <f>IF('⑨ 구배 자동계산'!$B$4&lt;&gt;"24_회천 신규점2","",IF('⑨ 구배 자동계산'!M12="","",'⑨ 구배 자동계산'!M12))</f>
        <v/>
      </c>
      <c r="H19" s="44" t="str">
        <f>IF('⑨ 구배 자동계산'!$B$4&lt;&gt;"24_회천 신규점2","",IF('⑨ 구배 자동계산'!N12="","",'⑨ 구배 자동계산'!N12))</f>
        <v/>
      </c>
      <c r="I19" s="32" t="str">
        <f>IF('⑨ 구배 자동계산'!$B$4&lt;&gt;"24_회천 신규점2","",IF('⑨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자동계산'!$B$4&lt;&gt;"24_회천 신규점2","",IF('⑨ 구배 자동계산'!H13="","",'⑨ 구배 자동계산'!H13))</f>
        <v/>
      </c>
      <c r="C20" s="32" t="str">
        <f>IF('⑨ 구배 자동계산'!$B$4&lt;&gt;"24_회천 신규점2","",IF('⑨ 구배 자동계산'!I13="","",'⑨ 구배 자동계산'!I13))</f>
        <v/>
      </c>
      <c r="D20" s="44" t="str">
        <f>IF('⑨ 구배 자동계산'!$B$4&lt;&gt;"24_회천 신규점2","",IF('⑨ 구배 자동계산'!J13="","",'⑨ 구배 자동계산'!J13))</f>
        <v/>
      </c>
      <c r="E20" s="32" t="str">
        <f>IF('⑨ 구배 자동계산'!$B$4&lt;&gt;"24_회천 신규점2","",IF('⑨ 구배 자동계산'!K13="","",'⑨ 구배 자동계산'!K13))</f>
        <v/>
      </c>
      <c r="F20" s="44" t="str">
        <f>IF('⑨ 구배 자동계산'!$B$4&lt;&gt;"24_회천 신규점2","",IF('⑨ 구배 자동계산'!L13="","",'⑨ 구배 자동계산'!L13))</f>
        <v/>
      </c>
      <c r="G20" s="32" t="str">
        <f>IF('⑨ 구배 자동계산'!$B$4&lt;&gt;"24_회천 신규점2","",IF('⑨ 구배 자동계산'!M13="","",'⑨ 구배 자동계산'!M13))</f>
        <v/>
      </c>
      <c r="H20" s="44" t="str">
        <f>IF('⑨ 구배 자동계산'!$B$4&lt;&gt;"24_회천 신규점2","",IF('⑨ 구배 자동계산'!N13="","",'⑨ 구배 자동계산'!N13))</f>
        <v/>
      </c>
      <c r="I20" s="32" t="str">
        <f>IF('⑨ 구배 자동계산'!$B$4&lt;&gt;"24_회천 신규점2","",IF('⑨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자동계산'!$B$4&lt;&gt;"24_회천 신규점2","",IF('⑨ 구배 자동계산'!H14="","",'⑨ 구배 자동계산'!H14))</f>
        <v/>
      </c>
      <c r="C21" s="32" t="str">
        <f>IF('⑨ 구배 자동계산'!$B$4&lt;&gt;"24_회천 신규점2","",IF('⑨ 구배 자동계산'!I14="","",'⑨ 구배 자동계산'!I14))</f>
        <v/>
      </c>
      <c r="D21" s="44" t="str">
        <f>IF('⑨ 구배 자동계산'!$B$4&lt;&gt;"24_회천 신규점2","",IF('⑨ 구배 자동계산'!J14="","",'⑨ 구배 자동계산'!J14))</f>
        <v/>
      </c>
      <c r="E21" s="32" t="str">
        <f>IF('⑨ 구배 자동계산'!$B$4&lt;&gt;"24_회천 신규점2","",IF('⑨ 구배 자동계산'!K14="","",'⑨ 구배 자동계산'!K14))</f>
        <v/>
      </c>
      <c r="F21" s="44" t="str">
        <f>IF('⑨ 구배 자동계산'!$B$4&lt;&gt;"24_회천 신규점2","",IF('⑨ 구배 자동계산'!L14="","",'⑨ 구배 자동계산'!L14))</f>
        <v/>
      </c>
      <c r="G21" s="32" t="str">
        <f>IF('⑨ 구배 자동계산'!$B$4&lt;&gt;"24_회천 신규점2","",IF('⑨ 구배 자동계산'!M14="","",'⑨ 구배 자동계산'!M14))</f>
        <v/>
      </c>
      <c r="H21" s="44" t="str">
        <f>IF('⑨ 구배 자동계산'!$B$4&lt;&gt;"24_회천 신규점2","",IF('⑨ 구배 자동계산'!N14="","",'⑨ 구배 자동계산'!N14))</f>
        <v/>
      </c>
      <c r="I21" s="32" t="str">
        <f>IF('⑨ 구배 자동계산'!$B$4&lt;&gt;"24_회천 신규점2","",IF('⑨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자동계산'!$B$4&lt;&gt;"24_회천 신규점2","",IF('⑨ 구배 자동계산'!H15="","",'⑨ 구배 자동계산'!H15))</f>
        <v/>
      </c>
      <c r="C22" s="32" t="str">
        <f>IF('⑨ 구배 자동계산'!$B$4&lt;&gt;"24_회천 신규점2","",IF('⑨ 구배 자동계산'!I15="","",'⑨ 구배 자동계산'!I15))</f>
        <v/>
      </c>
      <c r="D22" s="44" t="str">
        <f>IF('⑨ 구배 자동계산'!$B$4&lt;&gt;"24_회천 신규점2","",IF('⑨ 구배 자동계산'!J15="","",'⑨ 구배 자동계산'!J15))</f>
        <v/>
      </c>
      <c r="E22" s="32" t="str">
        <f>IF('⑨ 구배 자동계산'!$B$4&lt;&gt;"24_회천 신규점2","",IF('⑨ 구배 자동계산'!K15="","",'⑨ 구배 자동계산'!K15))</f>
        <v/>
      </c>
      <c r="F22" s="44" t="str">
        <f>IF('⑨ 구배 자동계산'!$B$4&lt;&gt;"24_회천 신규점2","",IF('⑨ 구배 자동계산'!L15="","",'⑨ 구배 자동계산'!L15))</f>
        <v/>
      </c>
      <c r="G22" s="32" t="str">
        <f>IF('⑨ 구배 자동계산'!$B$4&lt;&gt;"24_회천 신규점2","",IF('⑨ 구배 자동계산'!M15="","",'⑨ 구배 자동계산'!M15))</f>
        <v/>
      </c>
      <c r="H22" s="44" t="str">
        <f>IF('⑨ 구배 자동계산'!$B$4&lt;&gt;"24_회천 신규점2","",IF('⑨ 구배 자동계산'!N15="","",'⑨ 구배 자동계산'!N15))</f>
        <v/>
      </c>
      <c r="I22" s="32" t="str">
        <f>IF('⑨ 구배 자동계산'!$B$4&lt;&gt;"24_회천 신규점2","",IF('⑨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자동계산'!$B$4&lt;&gt;"24_회천 신규점2","",IF('⑨ 구배 자동계산'!H16="","",'⑨ 구배 자동계산'!H16))</f>
        <v/>
      </c>
      <c r="C23" s="32" t="str">
        <f>IF('⑨ 구배 자동계산'!$B$4&lt;&gt;"24_회천 신규점2","",IF('⑨ 구배 자동계산'!I16="","",'⑨ 구배 자동계산'!I16))</f>
        <v/>
      </c>
      <c r="D23" s="44" t="str">
        <f>IF('⑨ 구배 자동계산'!$B$4&lt;&gt;"24_회천 신규점2","",IF('⑨ 구배 자동계산'!J16="","",'⑨ 구배 자동계산'!J16))</f>
        <v/>
      </c>
      <c r="E23" s="32" t="str">
        <f>IF('⑨ 구배 자동계산'!$B$4&lt;&gt;"24_회천 신규점2","",IF('⑨ 구배 자동계산'!K16="","",'⑨ 구배 자동계산'!K16))</f>
        <v/>
      </c>
      <c r="F23" s="44" t="str">
        <f>IF('⑨ 구배 자동계산'!$B$4&lt;&gt;"24_회천 신규점2","",IF('⑨ 구배 자동계산'!L16="","",'⑨ 구배 자동계산'!L16))</f>
        <v/>
      </c>
      <c r="G23" s="32" t="str">
        <f>IF('⑨ 구배 자동계산'!$B$4&lt;&gt;"24_회천 신규점2","",IF('⑨ 구배 자동계산'!M16="","",'⑨ 구배 자동계산'!M16))</f>
        <v/>
      </c>
      <c r="H23" s="44" t="str">
        <f>IF('⑨ 구배 자동계산'!$B$4&lt;&gt;"24_회천 신규점2","",IF('⑨ 구배 자동계산'!N16="","",'⑨ 구배 자동계산'!N16))</f>
        <v/>
      </c>
      <c r="I23" s="32" t="str">
        <f>IF('⑨ 구배 자동계산'!$B$4&lt;&gt;"24_회천 신규점2","",IF('⑨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자동계산'!$B$4&lt;&gt;"24_회천 신규점2","",IF('⑨ 구배 자동계산'!H17="","",'⑨ 구배 자동계산'!H17))</f>
        <v/>
      </c>
      <c r="C24" s="32" t="str">
        <f>IF('⑨ 구배 자동계산'!$B$4&lt;&gt;"24_회천 신규점2","",IF('⑨ 구배 자동계산'!I17="","",'⑨ 구배 자동계산'!I17))</f>
        <v/>
      </c>
      <c r="D24" s="44" t="str">
        <f>IF('⑨ 구배 자동계산'!$B$4&lt;&gt;"24_회천 신규점2","",IF('⑨ 구배 자동계산'!J17="","",'⑨ 구배 자동계산'!J17))</f>
        <v/>
      </c>
      <c r="E24" s="32" t="str">
        <f>IF('⑨ 구배 자동계산'!$B$4&lt;&gt;"24_회천 신규점2","",IF('⑨ 구배 자동계산'!K17="","",'⑨ 구배 자동계산'!K17))</f>
        <v/>
      </c>
      <c r="F24" s="44" t="str">
        <f>IF('⑨ 구배 자동계산'!$B$4&lt;&gt;"24_회천 신규점2","",IF('⑨ 구배 자동계산'!L17="","",'⑨ 구배 자동계산'!L17))</f>
        <v/>
      </c>
      <c r="G24" s="32" t="str">
        <f>IF('⑨ 구배 자동계산'!$B$4&lt;&gt;"24_회천 신규점2","",IF('⑨ 구배 자동계산'!M17="","",'⑨ 구배 자동계산'!M17))</f>
        <v/>
      </c>
      <c r="H24" s="44" t="str">
        <f>IF('⑨ 구배 자동계산'!$B$4&lt;&gt;"24_회천 신규점2","",IF('⑨ 구배 자동계산'!N17="","",'⑨ 구배 자동계산'!N17))</f>
        <v/>
      </c>
      <c r="I24" s="32" t="str">
        <f>IF('⑨ 구배 자동계산'!$B$4&lt;&gt;"24_회천 신규점2","",IF('⑨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자동계산'!$B$4&lt;&gt;"24_회천 신규점2","",IF('⑨ 구배 자동계산'!H18="","",'⑨ 구배 자동계산'!H18))</f>
        <v/>
      </c>
      <c r="C25" s="32" t="str">
        <f>IF('⑨ 구배 자동계산'!$B$4&lt;&gt;"24_회천 신규점2","",IF('⑨ 구배 자동계산'!I18="","",'⑨ 구배 자동계산'!I18))</f>
        <v/>
      </c>
      <c r="D25" s="44" t="str">
        <f>IF('⑨ 구배 자동계산'!$B$4&lt;&gt;"24_회천 신규점2","",IF('⑨ 구배 자동계산'!J18="","",'⑨ 구배 자동계산'!J18))</f>
        <v/>
      </c>
      <c r="E25" s="32" t="str">
        <f>IF('⑨ 구배 자동계산'!$B$4&lt;&gt;"24_회천 신규점2","",IF('⑨ 구배 자동계산'!K18="","",'⑨ 구배 자동계산'!K18))</f>
        <v/>
      </c>
      <c r="F25" s="44" t="str">
        <f>IF('⑨ 구배 자동계산'!$B$4&lt;&gt;"24_회천 신규점2","",IF('⑨ 구배 자동계산'!L18="","",'⑨ 구배 자동계산'!L18))</f>
        <v/>
      </c>
      <c r="G25" s="32" t="str">
        <f>IF('⑨ 구배 자동계산'!$B$4&lt;&gt;"24_회천 신규점2","",IF('⑨ 구배 자동계산'!M18="","",'⑨ 구배 자동계산'!M18))</f>
        <v/>
      </c>
      <c r="H25" s="44" t="str">
        <f>IF('⑨ 구배 자동계산'!$B$4&lt;&gt;"24_회천 신규점2","",IF('⑨ 구배 자동계산'!N18="","",'⑨ 구배 자동계산'!N18))</f>
        <v/>
      </c>
      <c r="I25" s="32" t="str">
        <f>IF('⑨ 구배 자동계산'!$B$4&lt;&gt;"24_회천 신규점2","",IF('⑨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자동계산'!$B$4&lt;&gt;"24_회천 신규점2","",IF('⑨ 구배 자동계산'!H19="","",'⑨ 구배 자동계산'!H19))</f>
        <v/>
      </c>
      <c r="C26" s="32" t="str">
        <f>IF('⑨ 구배 자동계산'!$B$4&lt;&gt;"24_회천 신규점2","",IF('⑨ 구배 자동계산'!I19="","",'⑨ 구배 자동계산'!I19))</f>
        <v/>
      </c>
      <c r="D26" s="44" t="str">
        <f>IF('⑨ 구배 자동계산'!$B$4&lt;&gt;"24_회천 신규점2","",IF('⑨ 구배 자동계산'!J19="","",'⑨ 구배 자동계산'!J19))</f>
        <v/>
      </c>
      <c r="E26" s="32" t="str">
        <f>IF('⑨ 구배 자동계산'!$B$4&lt;&gt;"24_회천 신규점2","",IF('⑨ 구배 자동계산'!K19="","",'⑨ 구배 자동계산'!K19))</f>
        <v/>
      </c>
      <c r="F26" s="44" t="str">
        <f>IF('⑨ 구배 자동계산'!$B$4&lt;&gt;"24_회천 신규점2","",IF('⑨ 구배 자동계산'!L19="","",'⑨ 구배 자동계산'!L19))</f>
        <v/>
      </c>
      <c r="G26" s="32" t="str">
        <f>IF('⑨ 구배 자동계산'!$B$4&lt;&gt;"24_회천 신규점2","",IF('⑨ 구배 자동계산'!M19="","",'⑨ 구배 자동계산'!M19))</f>
        <v/>
      </c>
      <c r="H26" s="44" t="str">
        <f>IF('⑨ 구배 자동계산'!$B$4&lt;&gt;"24_회천 신규점2","",IF('⑨ 구배 자동계산'!N19="","",'⑨ 구배 자동계산'!N19))</f>
        <v/>
      </c>
      <c r="I26" s="32" t="str">
        <f>IF('⑨ 구배 자동계산'!$B$4&lt;&gt;"24_회천 신규점2","",IF('⑨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자동계산'!$B$4&lt;&gt;"24_회천 신규점2","",IF('⑨ 구배 자동계산'!H20="","",'⑨ 구배 자동계산'!H20))</f>
        <v/>
      </c>
      <c r="C27" s="41" t="str">
        <f>IF('⑨ 구배 자동계산'!$B$4&lt;&gt;"24_회천 신규점2","",IF('⑨ 구배 자동계산'!I20="","",'⑨ 구배 자동계산'!I20))</f>
        <v/>
      </c>
      <c r="D27" s="45" t="str">
        <f>IF('⑨ 구배 자동계산'!$B$4&lt;&gt;"24_회천 신규점2","",IF('⑨ 구배 자동계산'!J20="","",'⑨ 구배 자동계산'!J20))</f>
        <v/>
      </c>
      <c r="E27" s="41" t="str">
        <f>IF('⑨ 구배 자동계산'!$B$4&lt;&gt;"24_회천 신규점2","",IF('⑨ 구배 자동계산'!K20="","",'⑨ 구배 자동계산'!K20))</f>
        <v/>
      </c>
      <c r="F27" s="45" t="str">
        <f>IF('⑨ 구배 자동계산'!$B$4&lt;&gt;"24_회천 신규점2","",IF('⑨ 구배 자동계산'!L20="","",'⑨ 구배 자동계산'!L20))</f>
        <v/>
      </c>
      <c r="G27" s="41" t="str">
        <f>IF('⑨ 구배 자동계산'!$B$4&lt;&gt;"24_회천 신규점2","",IF('⑨ 구배 자동계산'!M20="","",'⑨ 구배 자동계산'!M20))</f>
        <v/>
      </c>
      <c r="H27" s="45" t="str">
        <f>IF('⑨ 구배 자동계산'!$B$4&lt;&gt;"24_회천 신규점2","",IF('⑨ 구배 자동계산'!N20="","",'⑨ 구배 자동계산'!N20))</f>
        <v/>
      </c>
      <c r="I27" s="41" t="str">
        <f>IF('⑨ 구배 자동계산'!$B$4&lt;&gt;"24_회천 신규점2","",IF('⑨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자동계산'!$B$4&lt;&gt;"24_회천 신규점2","",IF('⑨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자동계산'!$B$4&lt;&gt;"24_회천 신규점2","",IF('⑨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자동계산'!$B$4&lt;&gt;"24_회천 신규점2","",IF('⑨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자동계산'!$B$4&lt;&gt;"24_회천 신규점2","",IF('⑨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자동계산'!$B$4&lt;&gt;"24_회천 신규점2","",IF('⑨ 구배 자동계산'!I23="","",'⑨ 구배 자동계산'!I23))</f>
        <v/>
      </c>
      <c r="D42" s="8"/>
      <c r="E42" s="8"/>
      <c r="F42" s="8"/>
      <c r="G42" s="92" t="str">
        <f>IF('⑨ 구배 자동계산'!$B$4&lt;&gt;"24_회천 신규점2","",IF('⑨ 구배 자동계산'!$J23="","",'⑨ 구배 자동계산'!$J23&amp;"  ·  "&amp;'⑨ 구배 자동계산'!$L23))</f>
        <v/>
      </c>
      <c r="H42" s="93"/>
      <c r="I42" s="93"/>
    </row>
    <row r="43" spans="1:35" ht="19.95" customHeight="1" x14ac:dyDescent="0.4">
      <c r="A43" s="8">
        <v>3</v>
      </c>
      <c r="B43" s="33">
        <v>140</v>
      </c>
      <c r="C43" s="32" t="str">
        <f>IF('⑨ 구배 자동계산'!$B$4&lt;&gt;"24_회천 신규점2","",IF('⑨ 구배 자동계산'!I24="","",'⑨ 구배 자동계산'!I24))</f>
        <v/>
      </c>
      <c r="D43" s="34">
        <f>IF(COUNT(B43,B42)&lt;2,"",(B42-B43)/100)</f>
        <v>0.45</v>
      </c>
      <c r="E43" s="35" t="str">
        <f>IF(COUNT(C43,C42)&lt;2,"",C43-C42)</f>
        <v/>
      </c>
      <c r="F43" s="36" t="str">
        <f>IF(OR(D43="",E43="",D43=0),"",E43/D43)</f>
        <v/>
      </c>
      <c r="G43" s="92" t="str">
        <f>IF('⑨ 구배 자동계산'!$B$4&lt;&gt;"24_회천 신규점2","",IF('⑨ 구배 자동계산'!$J24="","",'⑨ 구배 자동계산'!$J24&amp;"  ·  "&amp;'⑨ 구배 자동계산'!$L24))</f>
        <v/>
      </c>
      <c r="H43" s="93"/>
      <c r="I43" s="93"/>
      <c r="AH43" t="s">
        <v>234</v>
      </c>
    </row>
    <row r="44" spans="1:35" ht="19.95" customHeight="1" x14ac:dyDescent="0.4">
      <c r="A44" s="8">
        <v>2</v>
      </c>
      <c r="B44" s="33">
        <v>95</v>
      </c>
      <c r="C44" s="32" t="str">
        <f>IF('⑨ 구배 자동계산'!$B$4&lt;&gt;"24_회천 신규점2","",IF('⑨ 구배 자동계산'!I25="","",'⑨ 구배 자동계산'!I25))</f>
        <v/>
      </c>
      <c r="D44" s="34">
        <f>IF(COUNT(B44,B43)&lt;2,"",(B43-B44)/100)</f>
        <v>0.45</v>
      </c>
      <c r="E44" s="35" t="str">
        <f>IF(COUNT(C44,C43)&lt;2,"",C44-C43)</f>
        <v/>
      </c>
      <c r="F44" s="36" t="str">
        <f>IF(OR(D44="",E44="",D44=0),"",E44/D44)</f>
        <v/>
      </c>
      <c r="G44" s="92" t="str">
        <f>IF('⑨ 구배 자동계산'!$B$4&lt;&gt;"24_회천 신규점2","",IF('⑨ 구배 자동계산'!$J25="","",'⑨ 구배 자동계산'!$J25&amp;"  ·  "&amp;'⑨ 구배 자동계산'!$L25))</f>
        <v/>
      </c>
      <c r="H44" s="93"/>
      <c r="I44" s="93"/>
    </row>
    <row r="45" spans="1:35" ht="19.95" customHeight="1" x14ac:dyDescent="0.4">
      <c r="A45" s="8">
        <v>1</v>
      </c>
      <c r="B45" s="33">
        <v>50</v>
      </c>
      <c r="C45" s="32" t="str">
        <f>IF('⑨ 구배 자동계산'!$B$4&lt;&gt;"24_회천 신규점2","",IF('⑨ 구배 자동계산'!I26="","",'⑨ 구배 자동계산'!I26))</f>
        <v/>
      </c>
      <c r="D45" s="34">
        <f>IF(COUNT(B45,B44)&lt;2,"",(B44-B45)/100)</f>
        <v>0.45</v>
      </c>
      <c r="E45" s="35" t="str">
        <f>IF(COUNT(C45,C44)&lt;2,"",C45-C44)</f>
        <v/>
      </c>
      <c r="F45" s="36" t="str">
        <f>IF(OR(D45="",E45="",D45=0),"",E45/D45)</f>
        <v/>
      </c>
      <c r="G45" s="92" t="str">
        <f>IF('⑨ 구배 자동계산'!$B$4&lt;&gt;"24_회천 신규점2","",IF('⑨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IF(COUNT(B50,E50)&lt;2,"",ROUND(SQRT(((127.04766-E50)*111320*COS(RADIANS(34.680805)))^2+((34.680805-B50)*110574)^2),1))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S24-P0a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34" priority="1">
      <formula>AND(ISNUMBER(C31),C31&gt;50)</formula>
    </cfRule>
  </conditionalFormatting>
  <conditionalFormatting sqref="D7">
    <cfRule type="expression" dxfId="133" priority="3" stopIfTrue="1">
      <formula>AND($D$7&lt;&gt;"",VALUE(LEFT($D$7,1))&lt;5)</formula>
    </cfRule>
    <cfRule type="expression" dxfId="132" priority="4" stopIfTrue="1">
      <formula>AND($D$7&lt;&gt;"",VALUE(LEFT($D$7,1))&gt;=5)</formula>
    </cfRule>
  </conditionalFormatting>
  <conditionalFormatting sqref="E7">
    <cfRule type="expression" dxfId="131" priority="5" stopIfTrue="1">
      <formula>AND($E$7&lt;&gt;"",VALUE(LEFT($E$7,1))&lt;5)</formula>
    </cfRule>
    <cfRule type="expression" dxfId="13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07AFB087-C761-4551-879F-E736ECF49297}">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228BF018-3B43-4E13-9B9A-58E7FDDB5943}">
      <formula1>DATE(2026,1,1)</formula1>
      <formula2>DATE(2027,12,31)</formula2>
    </dataValidation>
    <dataValidation type="list" allowBlank="1" sqref="C7" xr:uid="{CAE0DE08-D502-4ED0-A3FE-1C93779418BC}">
      <formula1>"맑음,구름 조금,흐림,비,눈,바람 강함"</formula1>
    </dataValidation>
    <dataValidation type="list" allowBlank="1" sqref="H50" xr:uid="{DA295068-A32E-48CA-AD5B-0480A943587A}">
      <formula1>"RTK-GNSS,네트워크RTK,정적GNSS,휴대GNSS"</formula1>
    </dataValidation>
    <dataValidation type="list" allowBlank="1" sqref="B109" xr:uid="{50835B57-9885-450C-92C7-397A45F9DDC5}">
      <formula1>"동일,조정"</formula1>
    </dataValidation>
    <dataValidation type="list" allowBlank="1" showInputMessage="1" showErrorMessage="1" sqref="F56:F57" xr:uid="{D7E57013-B5FC-45B5-870F-835E9B5EA6A7}">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&amp;RS24 회천 신규점2</oddHeader>
    <oddFooter>&amp;C&amp;9 &amp;P / &amp;N</oddFooter>
  </headerFooter>
  <rowBreaks count="3" manualBreakCount="3">
    <brk id="38" max="16383" man="1"/>
    <brk id="58" max="16383" man="1"/>
    <brk id="106"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71A87-0D55-4629-9151-673BBCCDE37C}">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445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446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447</v>
      </c>
      <c r="B3" s="68"/>
      <c r="C3" s="68"/>
      <c r="D3" s="68"/>
      <c r="E3" s="68"/>
      <c r="F3" s="8" t="s">
        <v>154</v>
      </c>
      <c r="G3" s="6"/>
      <c r="H3" s="8" t="s">
        <v>155</v>
      </c>
      <c r="I3" s="9" t="s">
        <v>448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자동계산'!$B$4="25_관리 신규점3","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자동계산'!$B$4&lt;&gt;"25_관리 신규점3","",IF('⑨ 구배 자동계산'!H9="","",'⑨ 구배 자동계산'!H9))</f>
        <v/>
      </c>
      <c r="C16" s="30" t="str">
        <f>IF('⑨ 구배 자동계산'!$B$4&lt;&gt;"25_관리 신규점3","",IF('⑨ 구배 자동계산'!I9="","",'⑨ 구배 자동계산'!I9))</f>
        <v/>
      </c>
      <c r="D16" s="43" t="str">
        <f>IF('⑨ 구배 자동계산'!$B$4&lt;&gt;"25_관리 신규점3","",IF('⑨ 구배 자동계산'!J9="","",'⑨ 구배 자동계산'!J9))</f>
        <v/>
      </c>
      <c r="E16" s="30" t="str">
        <f>IF('⑨ 구배 자동계산'!$B$4&lt;&gt;"25_관리 신규점3","",IF('⑨ 구배 자동계산'!K9="","",'⑨ 구배 자동계산'!K9))</f>
        <v/>
      </c>
      <c r="F16" s="43" t="str">
        <f>IF('⑨ 구배 자동계산'!$B$4&lt;&gt;"25_관리 신규점3","",IF('⑨ 구배 자동계산'!L9="","",'⑨ 구배 자동계산'!L9))</f>
        <v/>
      </c>
      <c r="G16" s="30" t="str">
        <f>IF('⑨ 구배 자동계산'!$B$4&lt;&gt;"25_관리 신규점3","",IF('⑨ 구배 자동계산'!M9="","",'⑨ 구배 자동계산'!M9))</f>
        <v/>
      </c>
      <c r="H16" s="43" t="str">
        <f>IF('⑨ 구배 자동계산'!$B$4&lt;&gt;"25_관리 신규점3","",IF('⑨ 구배 자동계산'!N9="","",'⑨ 구배 자동계산'!N9))</f>
        <v/>
      </c>
      <c r="I16" s="30" t="str">
        <f>IF('⑨ 구배 자동계산'!$B$4&lt;&gt;"25_관리 신규점3","",IF('⑨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자동계산'!$B$4&lt;&gt;"25_관리 신규점3","",IF('⑨ 구배 자동계산'!H10="","",'⑨ 구배 자동계산'!H10))</f>
        <v/>
      </c>
      <c r="C17" s="32" t="str">
        <f>IF('⑨ 구배 자동계산'!$B$4&lt;&gt;"25_관리 신규점3","",IF('⑨ 구배 자동계산'!I10="","",'⑨ 구배 자동계산'!I10))</f>
        <v/>
      </c>
      <c r="D17" s="44" t="str">
        <f>IF('⑨ 구배 자동계산'!$B$4&lt;&gt;"25_관리 신규점3","",IF('⑨ 구배 자동계산'!J10="","",'⑨ 구배 자동계산'!J10))</f>
        <v/>
      </c>
      <c r="E17" s="32" t="str">
        <f>IF('⑨ 구배 자동계산'!$B$4&lt;&gt;"25_관리 신규점3","",IF('⑨ 구배 자동계산'!K10="","",'⑨ 구배 자동계산'!K10))</f>
        <v/>
      </c>
      <c r="F17" s="44" t="str">
        <f>IF('⑨ 구배 자동계산'!$B$4&lt;&gt;"25_관리 신규점3","",IF('⑨ 구배 자동계산'!L10="","",'⑨ 구배 자동계산'!L10))</f>
        <v/>
      </c>
      <c r="G17" s="32" t="str">
        <f>IF('⑨ 구배 자동계산'!$B$4&lt;&gt;"25_관리 신규점3","",IF('⑨ 구배 자동계산'!M10="","",'⑨ 구배 자동계산'!M10))</f>
        <v/>
      </c>
      <c r="H17" s="44" t="str">
        <f>IF('⑨ 구배 자동계산'!$B$4&lt;&gt;"25_관리 신규점3","",IF('⑨ 구배 자동계산'!N10="","",'⑨ 구배 자동계산'!N10))</f>
        <v/>
      </c>
      <c r="I17" s="32" t="str">
        <f>IF('⑨ 구배 자동계산'!$B$4&lt;&gt;"25_관리 신규점3","",IF('⑨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자동계산'!$B$4&lt;&gt;"25_관리 신규점3","",IF('⑨ 구배 자동계산'!H11="","",'⑨ 구배 자동계산'!H11))</f>
        <v/>
      </c>
      <c r="C18" s="32" t="str">
        <f>IF('⑨ 구배 자동계산'!$B$4&lt;&gt;"25_관리 신규점3","",IF('⑨ 구배 자동계산'!I11="","",'⑨ 구배 자동계산'!I11))</f>
        <v/>
      </c>
      <c r="D18" s="44" t="str">
        <f>IF('⑨ 구배 자동계산'!$B$4&lt;&gt;"25_관리 신규점3","",IF('⑨ 구배 자동계산'!J11="","",'⑨ 구배 자동계산'!J11))</f>
        <v/>
      </c>
      <c r="E18" s="32" t="str">
        <f>IF('⑨ 구배 자동계산'!$B$4&lt;&gt;"25_관리 신규점3","",IF('⑨ 구배 자동계산'!K11="","",'⑨ 구배 자동계산'!K11))</f>
        <v/>
      </c>
      <c r="F18" s="44" t="str">
        <f>IF('⑨ 구배 자동계산'!$B$4&lt;&gt;"25_관리 신규점3","",IF('⑨ 구배 자동계산'!L11="","",'⑨ 구배 자동계산'!L11))</f>
        <v/>
      </c>
      <c r="G18" s="32" t="str">
        <f>IF('⑨ 구배 자동계산'!$B$4&lt;&gt;"25_관리 신규점3","",IF('⑨ 구배 자동계산'!M11="","",'⑨ 구배 자동계산'!M11))</f>
        <v/>
      </c>
      <c r="H18" s="44" t="str">
        <f>IF('⑨ 구배 자동계산'!$B$4&lt;&gt;"25_관리 신규점3","",IF('⑨ 구배 자동계산'!N11="","",'⑨ 구배 자동계산'!N11))</f>
        <v/>
      </c>
      <c r="I18" s="32" t="str">
        <f>IF('⑨ 구배 자동계산'!$B$4&lt;&gt;"25_관리 신규점3","",IF('⑨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자동계산'!$B$4&lt;&gt;"25_관리 신규점3","",IF('⑨ 구배 자동계산'!H12="","",'⑨ 구배 자동계산'!H12))</f>
        <v/>
      </c>
      <c r="C19" s="32" t="str">
        <f>IF('⑨ 구배 자동계산'!$B$4&lt;&gt;"25_관리 신규점3","",IF('⑨ 구배 자동계산'!I12="","",'⑨ 구배 자동계산'!I12))</f>
        <v/>
      </c>
      <c r="D19" s="44" t="str">
        <f>IF('⑨ 구배 자동계산'!$B$4&lt;&gt;"25_관리 신규점3","",IF('⑨ 구배 자동계산'!J12="","",'⑨ 구배 자동계산'!J12))</f>
        <v/>
      </c>
      <c r="E19" s="32" t="str">
        <f>IF('⑨ 구배 자동계산'!$B$4&lt;&gt;"25_관리 신규점3","",IF('⑨ 구배 자동계산'!K12="","",'⑨ 구배 자동계산'!K12))</f>
        <v/>
      </c>
      <c r="F19" s="44" t="str">
        <f>IF('⑨ 구배 자동계산'!$B$4&lt;&gt;"25_관리 신규점3","",IF('⑨ 구배 자동계산'!L12="","",'⑨ 구배 자동계산'!L12))</f>
        <v/>
      </c>
      <c r="G19" s="32" t="str">
        <f>IF('⑨ 구배 자동계산'!$B$4&lt;&gt;"25_관리 신규점3","",IF('⑨ 구배 자동계산'!M12="","",'⑨ 구배 자동계산'!M12))</f>
        <v/>
      </c>
      <c r="H19" s="44" t="str">
        <f>IF('⑨ 구배 자동계산'!$B$4&lt;&gt;"25_관리 신규점3","",IF('⑨ 구배 자동계산'!N12="","",'⑨ 구배 자동계산'!N12))</f>
        <v/>
      </c>
      <c r="I19" s="32" t="str">
        <f>IF('⑨ 구배 자동계산'!$B$4&lt;&gt;"25_관리 신규점3","",IF('⑨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자동계산'!$B$4&lt;&gt;"25_관리 신규점3","",IF('⑨ 구배 자동계산'!H13="","",'⑨ 구배 자동계산'!H13))</f>
        <v/>
      </c>
      <c r="C20" s="32" t="str">
        <f>IF('⑨ 구배 자동계산'!$B$4&lt;&gt;"25_관리 신규점3","",IF('⑨ 구배 자동계산'!I13="","",'⑨ 구배 자동계산'!I13))</f>
        <v/>
      </c>
      <c r="D20" s="44" t="str">
        <f>IF('⑨ 구배 자동계산'!$B$4&lt;&gt;"25_관리 신규점3","",IF('⑨ 구배 자동계산'!J13="","",'⑨ 구배 자동계산'!J13))</f>
        <v/>
      </c>
      <c r="E20" s="32" t="str">
        <f>IF('⑨ 구배 자동계산'!$B$4&lt;&gt;"25_관리 신규점3","",IF('⑨ 구배 자동계산'!K13="","",'⑨ 구배 자동계산'!K13))</f>
        <v/>
      </c>
      <c r="F20" s="44" t="str">
        <f>IF('⑨ 구배 자동계산'!$B$4&lt;&gt;"25_관리 신규점3","",IF('⑨ 구배 자동계산'!L13="","",'⑨ 구배 자동계산'!L13))</f>
        <v/>
      </c>
      <c r="G20" s="32" t="str">
        <f>IF('⑨ 구배 자동계산'!$B$4&lt;&gt;"25_관리 신규점3","",IF('⑨ 구배 자동계산'!M13="","",'⑨ 구배 자동계산'!M13))</f>
        <v/>
      </c>
      <c r="H20" s="44" t="str">
        <f>IF('⑨ 구배 자동계산'!$B$4&lt;&gt;"25_관리 신규점3","",IF('⑨ 구배 자동계산'!N13="","",'⑨ 구배 자동계산'!N13))</f>
        <v/>
      </c>
      <c r="I20" s="32" t="str">
        <f>IF('⑨ 구배 자동계산'!$B$4&lt;&gt;"25_관리 신규점3","",IF('⑨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자동계산'!$B$4&lt;&gt;"25_관리 신규점3","",IF('⑨ 구배 자동계산'!H14="","",'⑨ 구배 자동계산'!H14))</f>
        <v/>
      </c>
      <c r="C21" s="32" t="str">
        <f>IF('⑨ 구배 자동계산'!$B$4&lt;&gt;"25_관리 신규점3","",IF('⑨ 구배 자동계산'!I14="","",'⑨ 구배 자동계산'!I14))</f>
        <v/>
      </c>
      <c r="D21" s="44" t="str">
        <f>IF('⑨ 구배 자동계산'!$B$4&lt;&gt;"25_관리 신규점3","",IF('⑨ 구배 자동계산'!J14="","",'⑨ 구배 자동계산'!J14))</f>
        <v/>
      </c>
      <c r="E21" s="32" t="str">
        <f>IF('⑨ 구배 자동계산'!$B$4&lt;&gt;"25_관리 신규점3","",IF('⑨ 구배 자동계산'!K14="","",'⑨ 구배 자동계산'!K14))</f>
        <v/>
      </c>
      <c r="F21" s="44" t="str">
        <f>IF('⑨ 구배 자동계산'!$B$4&lt;&gt;"25_관리 신규점3","",IF('⑨ 구배 자동계산'!L14="","",'⑨ 구배 자동계산'!L14))</f>
        <v/>
      </c>
      <c r="G21" s="32" t="str">
        <f>IF('⑨ 구배 자동계산'!$B$4&lt;&gt;"25_관리 신규점3","",IF('⑨ 구배 자동계산'!M14="","",'⑨ 구배 자동계산'!M14))</f>
        <v/>
      </c>
      <c r="H21" s="44" t="str">
        <f>IF('⑨ 구배 자동계산'!$B$4&lt;&gt;"25_관리 신규점3","",IF('⑨ 구배 자동계산'!N14="","",'⑨ 구배 자동계산'!N14))</f>
        <v/>
      </c>
      <c r="I21" s="32" t="str">
        <f>IF('⑨ 구배 자동계산'!$B$4&lt;&gt;"25_관리 신규점3","",IF('⑨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자동계산'!$B$4&lt;&gt;"25_관리 신규점3","",IF('⑨ 구배 자동계산'!H15="","",'⑨ 구배 자동계산'!H15))</f>
        <v/>
      </c>
      <c r="C22" s="32" t="str">
        <f>IF('⑨ 구배 자동계산'!$B$4&lt;&gt;"25_관리 신규점3","",IF('⑨ 구배 자동계산'!I15="","",'⑨ 구배 자동계산'!I15))</f>
        <v/>
      </c>
      <c r="D22" s="44" t="str">
        <f>IF('⑨ 구배 자동계산'!$B$4&lt;&gt;"25_관리 신규점3","",IF('⑨ 구배 자동계산'!J15="","",'⑨ 구배 자동계산'!J15))</f>
        <v/>
      </c>
      <c r="E22" s="32" t="str">
        <f>IF('⑨ 구배 자동계산'!$B$4&lt;&gt;"25_관리 신규점3","",IF('⑨ 구배 자동계산'!K15="","",'⑨ 구배 자동계산'!K15))</f>
        <v/>
      </c>
      <c r="F22" s="44" t="str">
        <f>IF('⑨ 구배 자동계산'!$B$4&lt;&gt;"25_관리 신규점3","",IF('⑨ 구배 자동계산'!L15="","",'⑨ 구배 자동계산'!L15))</f>
        <v/>
      </c>
      <c r="G22" s="32" t="str">
        <f>IF('⑨ 구배 자동계산'!$B$4&lt;&gt;"25_관리 신규점3","",IF('⑨ 구배 자동계산'!M15="","",'⑨ 구배 자동계산'!M15))</f>
        <v/>
      </c>
      <c r="H22" s="44" t="str">
        <f>IF('⑨ 구배 자동계산'!$B$4&lt;&gt;"25_관리 신규점3","",IF('⑨ 구배 자동계산'!N15="","",'⑨ 구배 자동계산'!N15))</f>
        <v/>
      </c>
      <c r="I22" s="32" t="str">
        <f>IF('⑨ 구배 자동계산'!$B$4&lt;&gt;"25_관리 신규점3","",IF('⑨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자동계산'!$B$4&lt;&gt;"25_관리 신규점3","",IF('⑨ 구배 자동계산'!H16="","",'⑨ 구배 자동계산'!H16))</f>
        <v/>
      </c>
      <c r="C23" s="32" t="str">
        <f>IF('⑨ 구배 자동계산'!$B$4&lt;&gt;"25_관리 신규점3","",IF('⑨ 구배 자동계산'!I16="","",'⑨ 구배 자동계산'!I16))</f>
        <v/>
      </c>
      <c r="D23" s="44" t="str">
        <f>IF('⑨ 구배 자동계산'!$B$4&lt;&gt;"25_관리 신규점3","",IF('⑨ 구배 자동계산'!J16="","",'⑨ 구배 자동계산'!J16))</f>
        <v/>
      </c>
      <c r="E23" s="32" t="str">
        <f>IF('⑨ 구배 자동계산'!$B$4&lt;&gt;"25_관리 신규점3","",IF('⑨ 구배 자동계산'!K16="","",'⑨ 구배 자동계산'!K16))</f>
        <v/>
      </c>
      <c r="F23" s="44" t="str">
        <f>IF('⑨ 구배 자동계산'!$B$4&lt;&gt;"25_관리 신규점3","",IF('⑨ 구배 자동계산'!L16="","",'⑨ 구배 자동계산'!L16))</f>
        <v/>
      </c>
      <c r="G23" s="32" t="str">
        <f>IF('⑨ 구배 자동계산'!$B$4&lt;&gt;"25_관리 신규점3","",IF('⑨ 구배 자동계산'!M16="","",'⑨ 구배 자동계산'!M16))</f>
        <v/>
      </c>
      <c r="H23" s="44" t="str">
        <f>IF('⑨ 구배 자동계산'!$B$4&lt;&gt;"25_관리 신규점3","",IF('⑨ 구배 자동계산'!N16="","",'⑨ 구배 자동계산'!N16))</f>
        <v/>
      </c>
      <c r="I23" s="32" t="str">
        <f>IF('⑨ 구배 자동계산'!$B$4&lt;&gt;"25_관리 신규점3","",IF('⑨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자동계산'!$B$4&lt;&gt;"25_관리 신규점3","",IF('⑨ 구배 자동계산'!H17="","",'⑨ 구배 자동계산'!H17))</f>
        <v/>
      </c>
      <c r="C24" s="32" t="str">
        <f>IF('⑨ 구배 자동계산'!$B$4&lt;&gt;"25_관리 신규점3","",IF('⑨ 구배 자동계산'!I17="","",'⑨ 구배 자동계산'!I17))</f>
        <v/>
      </c>
      <c r="D24" s="44" t="str">
        <f>IF('⑨ 구배 자동계산'!$B$4&lt;&gt;"25_관리 신규점3","",IF('⑨ 구배 자동계산'!J17="","",'⑨ 구배 자동계산'!J17))</f>
        <v/>
      </c>
      <c r="E24" s="32" t="str">
        <f>IF('⑨ 구배 자동계산'!$B$4&lt;&gt;"25_관리 신규점3","",IF('⑨ 구배 자동계산'!K17="","",'⑨ 구배 자동계산'!K17))</f>
        <v/>
      </c>
      <c r="F24" s="44" t="str">
        <f>IF('⑨ 구배 자동계산'!$B$4&lt;&gt;"25_관리 신규점3","",IF('⑨ 구배 자동계산'!L17="","",'⑨ 구배 자동계산'!L17))</f>
        <v/>
      </c>
      <c r="G24" s="32" t="str">
        <f>IF('⑨ 구배 자동계산'!$B$4&lt;&gt;"25_관리 신규점3","",IF('⑨ 구배 자동계산'!M17="","",'⑨ 구배 자동계산'!M17))</f>
        <v/>
      </c>
      <c r="H24" s="44" t="str">
        <f>IF('⑨ 구배 자동계산'!$B$4&lt;&gt;"25_관리 신규점3","",IF('⑨ 구배 자동계산'!N17="","",'⑨ 구배 자동계산'!N17))</f>
        <v/>
      </c>
      <c r="I24" s="32" t="str">
        <f>IF('⑨ 구배 자동계산'!$B$4&lt;&gt;"25_관리 신규점3","",IF('⑨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자동계산'!$B$4&lt;&gt;"25_관리 신규점3","",IF('⑨ 구배 자동계산'!H18="","",'⑨ 구배 자동계산'!H18))</f>
        <v/>
      </c>
      <c r="C25" s="32" t="str">
        <f>IF('⑨ 구배 자동계산'!$B$4&lt;&gt;"25_관리 신규점3","",IF('⑨ 구배 자동계산'!I18="","",'⑨ 구배 자동계산'!I18))</f>
        <v/>
      </c>
      <c r="D25" s="44" t="str">
        <f>IF('⑨ 구배 자동계산'!$B$4&lt;&gt;"25_관리 신규점3","",IF('⑨ 구배 자동계산'!J18="","",'⑨ 구배 자동계산'!J18))</f>
        <v/>
      </c>
      <c r="E25" s="32" t="str">
        <f>IF('⑨ 구배 자동계산'!$B$4&lt;&gt;"25_관리 신규점3","",IF('⑨ 구배 자동계산'!K18="","",'⑨ 구배 자동계산'!K18))</f>
        <v/>
      </c>
      <c r="F25" s="44" t="str">
        <f>IF('⑨ 구배 자동계산'!$B$4&lt;&gt;"25_관리 신규점3","",IF('⑨ 구배 자동계산'!L18="","",'⑨ 구배 자동계산'!L18))</f>
        <v/>
      </c>
      <c r="G25" s="32" t="str">
        <f>IF('⑨ 구배 자동계산'!$B$4&lt;&gt;"25_관리 신규점3","",IF('⑨ 구배 자동계산'!M18="","",'⑨ 구배 자동계산'!M18))</f>
        <v/>
      </c>
      <c r="H25" s="44" t="str">
        <f>IF('⑨ 구배 자동계산'!$B$4&lt;&gt;"25_관리 신규점3","",IF('⑨ 구배 자동계산'!N18="","",'⑨ 구배 자동계산'!N18))</f>
        <v/>
      </c>
      <c r="I25" s="32" t="str">
        <f>IF('⑨ 구배 자동계산'!$B$4&lt;&gt;"25_관리 신규점3","",IF('⑨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자동계산'!$B$4&lt;&gt;"25_관리 신규점3","",IF('⑨ 구배 자동계산'!H19="","",'⑨ 구배 자동계산'!H19))</f>
        <v/>
      </c>
      <c r="C26" s="32" t="str">
        <f>IF('⑨ 구배 자동계산'!$B$4&lt;&gt;"25_관리 신규점3","",IF('⑨ 구배 자동계산'!I19="","",'⑨ 구배 자동계산'!I19))</f>
        <v/>
      </c>
      <c r="D26" s="44" t="str">
        <f>IF('⑨ 구배 자동계산'!$B$4&lt;&gt;"25_관리 신규점3","",IF('⑨ 구배 자동계산'!J19="","",'⑨ 구배 자동계산'!J19))</f>
        <v/>
      </c>
      <c r="E26" s="32" t="str">
        <f>IF('⑨ 구배 자동계산'!$B$4&lt;&gt;"25_관리 신규점3","",IF('⑨ 구배 자동계산'!K19="","",'⑨ 구배 자동계산'!K19))</f>
        <v/>
      </c>
      <c r="F26" s="44" t="str">
        <f>IF('⑨ 구배 자동계산'!$B$4&lt;&gt;"25_관리 신규점3","",IF('⑨ 구배 자동계산'!L19="","",'⑨ 구배 자동계산'!L19))</f>
        <v/>
      </c>
      <c r="G26" s="32" t="str">
        <f>IF('⑨ 구배 자동계산'!$B$4&lt;&gt;"25_관리 신규점3","",IF('⑨ 구배 자동계산'!M19="","",'⑨ 구배 자동계산'!M19))</f>
        <v/>
      </c>
      <c r="H26" s="44" t="str">
        <f>IF('⑨ 구배 자동계산'!$B$4&lt;&gt;"25_관리 신규점3","",IF('⑨ 구배 자동계산'!N19="","",'⑨ 구배 자동계산'!N19))</f>
        <v/>
      </c>
      <c r="I26" s="32" t="str">
        <f>IF('⑨ 구배 자동계산'!$B$4&lt;&gt;"25_관리 신규점3","",IF('⑨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자동계산'!$B$4&lt;&gt;"25_관리 신규점3","",IF('⑨ 구배 자동계산'!H20="","",'⑨ 구배 자동계산'!H20))</f>
        <v/>
      </c>
      <c r="C27" s="41" t="str">
        <f>IF('⑨ 구배 자동계산'!$B$4&lt;&gt;"25_관리 신규점3","",IF('⑨ 구배 자동계산'!I20="","",'⑨ 구배 자동계산'!I20))</f>
        <v/>
      </c>
      <c r="D27" s="45" t="str">
        <f>IF('⑨ 구배 자동계산'!$B$4&lt;&gt;"25_관리 신규점3","",IF('⑨ 구배 자동계산'!J20="","",'⑨ 구배 자동계산'!J20))</f>
        <v/>
      </c>
      <c r="E27" s="41" t="str">
        <f>IF('⑨ 구배 자동계산'!$B$4&lt;&gt;"25_관리 신규점3","",IF('⑨ 구배 자동계산'!K20="","",'⑨ 구배 자동계산'!K20))</f>
        <v/>
      </c>
      <c r="F27" s="45" t="str">
        <f>IF('⑨ 구배 자동계산'!$B$4&lt;&gt;"25_관리 신규점3","",IF('⑨ 구배 자동계산'!L20="","",'⑨ 구배 자동계산'!L20))</f>
        <v/>
      </c>
      <c r="G27" s="41" t="str">
        <f>IF('⑨ 구배 자동계산'!$B$4&lt;&gt;"25_관리 신규점3","",IF('⑨ 구배 자동계산'!M20="","",'⑨ 구배 자동계산'!M20))</f>
        <v/>
      </c>
      <c r="H27" s="45" t="str">
        <f>IF('⑨ 구배 자동계산'!$B$4&lt;&gt;"25_관리 신규점3","",IF('⑨ 구배 자동계산'!N20="","",'⑨ 구배 자동계산'!N20))</f>
        <v/>
      </c>
      <c r="I27" s="41" t="str">
        <f>IF('⑨ 구배 자동계산'!$B$4&lt;&gt;"25_관리 신규점3","",IF('⑨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자동계산'!$B$4&lt;&gt;"25_관리 신규점3","",IF('⑨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자동계산'!$B$4&lt;&gt;"25_관리 신규점3","",IF('⑨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자동계산'!$B$4&lt;&gt;"25_관리 신규점3","",IF('⑨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자동계산'!$B$4&lt;&gt;"25_관리 신규점3","",IF('⑨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자동계산'!$B$4&lt;&gt;"25_관리 신규점3","",IF('⑨ 구배 자동계산'!I23="","",'⑨ 구배 자동계산'!I23))</f>
        <v/>
      </c>
      <c r="D42" s="8"/>
      <c r="E42" s="8"/>
      <c r="F42" s="8"/>
      <c r="G42" s="92" t="str">
        <f>IF('⑨ 구배 자동계산'!$B$4&lt;&gt;"25_관리 신규점3","",IF('⑨ 구배 자동계산'!$J23="","",'⑨ 구배 자동계산'!$J23&amp;"  ·  "&amp;'⑨ 구배 자동계산'!$L23))</f>
        <v/>
      </c>
      <c r="H42" s="93"/>
      <c r="I42" s="93"/>
    </row>
    <row r="43" spans="1:35" ht="19.95" customHeight="1" x14ac:dyDescent="0.4">
      <c r="A43" s="8">
        <v>3</v>
      </c>
      <c r="B43" s="33">
        <v>140</v>
      </c>
      <c r="C43" s="32" t="str">
        <f>IF('⑨ 구배 자동계산'!$B$4&lt;&gt;"25_관리 신규점3","",IF('⑨ 구배 자동계산'!I24="","",'⑨ 구배 자동계산'!I24))</f>
        <v/>
      </c>
      <c r="D43" s="34">
        <f>IF(COUNT(B43,B42)&lt;2,"",(B42-B43)/100)</f>
        <v>0.45</v>
      </c>
      <c r="E43" s="35" t="str">
        <f>IF(COUNT(C43,C42)&lt;2,"",C43-C42)</f>
        <v/>
      </c>
      <c r="F43" s="36" t="str">
        <f>IF(OR(D43="",E43="",D43=0),"",E43/D43)</f>
        <v/>
      </c>
      <c r="G43" s="92" t="str">
        <f>IF('⑨ 구배 자동계산'!$B$4&lt;&gt;"25_관리 신규점3","",IF('⑨ 구배 자동계산'!$J24="","",'⑨ 구배 자동계산'!$J24&amp;"  ·  "&amp;'⑨ 구배 자동계산'!$L24))</f>
        <v/>
      </c>
      <c r="H43" s="93"/>
      <c r="I43" s="93"/>
      <c r="AH43" t="s">
        <v>234</v>
      </c>
    </row>
    <row r="44" spans="1:35" ht="19.95" customHeight="1" x14ac:dyDescent="0.4">
      <c r="A44" s="8">
        <v>2</v>
      </c>
      <c r="B44" s="33">
        <v>95</v>
      </c>
      <c r="C44" s="32" t="str">
        <f>IF('⑨ 구배 자동계산'!$B$4&lt;&gt;"25_관리 신규점3","",IF('⑨ 구배 자동계산'!I25="","",'⑨ 구배 자동계산'!I25))</f>
        <v/>
      </c>
      <c r="D44" s="34">
        <f>IF(COUNT(B44,B43)&lt;2,"",(B43-B44)/100)</f>
        <v>0.45</v>
      </c>
      <c r="E44" s="35" t="str">
        <f>IF(COUNT(C44,C43)&lt;2,"",C44-C43)</f>
        <v/>
      </c>
      <c r="F44" s="36" t="str">
        <f>IF(OR(D44="",E44="",D44=0),"",E44/D44)</f>
        <v/>
      </c>
      <c r="G44" s="92" t="str">
        <f>IF('⑨ 구배 자동계산'!$B$4&lt;&gt;"25_관리 신규점3","",IF('⑨ 구배 자동계산'!$J25="","",'⑨ 구배 자동계산'!$J25&amp;"  ·  "&amp;'⑨ 구배 자동계산'!$L25))</f>
        <v/>
      </c>
      <c r="H44" s="93"/>
      <c r="I44" s="93"/>
    </row>
    <row r="45" spans="1:35" ht="19.95" customHeight="1" x14ac:dyDescent="0.4">
      <c r="A45" s="8">
        <v>1</v>
      </c>
      <c r="B45" s="33">
        <v>50</v>
      </c>
      <c r="C45" s="32" t="str">
        <f>IF('⑨ 구배 자동계산'!$B$4&lt;&gt;"25_관리 신규점3","",IF('⑨ 구배 자동계산'!I26="","",'⑨ 구배 자동계산'!I26))</f>
        <v/>
      </c>
      <c r="D45" s="34">
        <f>IF(COUNT(B45,B44)&lt;2,"",(B44-B45)/100)</f>
        <v>0.45</v>
      </c>
      <c r="E45" s="35" t="str">
        <f>IF(COUNT(C45,C44)&lt;2,"",C45-C44)</f>
        <v/>
      </c>
      <c r="F45" s="36" t="str">
        <f>IF(OR(D45="",E45="",D45=0),"",E45/D45)</f>
        <v/>
      </c>
      <c r="G45" s="92" t="str">
        <f>IF('⑨ 구배 자동계산'!$B$4&lt;&gt;"25_관리 신규점3","",IF('⑨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IF(COUNT(B50,E50)&lt;2,"",ROUND(SQRT(((127.905982-E50)*111320*COS(RADIANS(36.325755)))^2+((36.325755-B50)*110574)^2),1))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S25-P0a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29" priority="1">
      <formula>AND(ISNUMBER(C31),C31&gt;50)</formula>
    </cfRule>
  </conditionalFormatting>
  <conditionalFormatting sqref="D7">
    <cfRule type="expression" dxfId="128" priority="3" stopIfTrue="1">
      <formula>AND($D$7&lt;&gt;"",VALUE(LEFT($D$7,1))&lt;5)</formula>
    </cfRule>
    <cfRule type="expression" dxfId="127" priority="4" stopIfTrue="1">
      <formula>AND($D$7&lt;&gt;"",VALUE(LEFT($D$7,1))&gt;=5)</formula>
    </cfRule>
  </conditionalFormatting>
  <conditionalFormatting sqref="E7">
    <cfRule type="expression" dxfId="126" priority="5" stopIfTrue="1">
      <formula>AND($E$7&lt;&gt;"",VALUE(LEFT($E$7,1))&lt;5)</formula>
    </cfRule>
    <cfRule type="expression" dxfId="12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99DA6ECC-9E3B-4DD8-80C6-0A763FE76A48}">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8A8C1266-266A-49E3-83AB-384B81AF39C1}">
      <formula1>DATE(2026,1,1)</formula1>
      <formula2>DATE(2027,12,31)</formula2>
    </dataValidation>
    <dataValidation type="list" allowBlank="1" sqref="C7" xr:uid="{93A088B9-41A9-40AB-9695-CBFA16AFCC84}">
      <formula1>"맑음,구름 조금,흐림,비,눈,바람 강함"</formula1>
    </dataValidation>
    <dataValidation type="list" allowBlank="1" sqref="H50" xr:uid="{310706FA-183D-4399-924B-9D6BB3C69AAE}">
      <formula1>"RTK-GNSS,네트워크RTK,정적GNSS,휴대GNSS"</formula1>
    </dataValidation>
    <dataValidation type="list" allowBlank="1" sqref="B109" xr:uid="{F72CDB46-9A92-404C-8E08-04FDF2441F58}">
      <formula1>"동일,조정"</formula1>
    </dataValidation>
    <dataValidation type="list" allowBlank="1" showInputMessage="1" showErrorMessage="1" sqref="F56:F57" xr:uid="{168B5DB6-574A-4699-BDA9-9DA8C282090B}">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&amp;RS25 관리 신규점3</oddHeader>
    <oddFooter>&amp;C&amp;9 &amp;P / &amp;N</oddFooter>
  </headerFooter>
  <rowBreaks count="3" manualBreakCount="3">
    <brk id="38" max="16383" man="1"/>
    <brk id="58" max="16383" man="1"/>
    <brk id="106" max="1638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ABD02-1541-4A43-8C5D-75E88D861EF9}">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449</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450</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451</v>
      </c>
      <c r="B3" s="68"/>
      <c r="C3" s="68"/>
      <c r="D3" s="68"/>
      <c r="E3" s="68"/>
      <c r="F3" s="8" t="s">
        <v>154</v>
      </c>
      <c r="G3" s="6"/>
      <c r="H3" s="8" t="s">
        <v>155</v>
      </c>
      <c r="I3" s="9" t="s">
        <v>452</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자동계산'!$B$4="26_고남 신규점2","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자동계산'!$B$4&lt;&gt;"26_고남 신규점2","",IF('⑨ 구배 자동계산'!H9="","",'⑨ 구배 자동계산'!H9))</f>
        <v/>
      </c>
      <c r="C16" s="30" t="str">
        <f>IF('⑨ 구배 자동계산'!$B$4&lt;&gt;"26_고남 신규점2","",IF('⑨ 구배 자동계산'!I9="","",'⑨ 구배 자동계산'!I9))</f>
        <v/>
      </c>
      <c r="D16" s="43" t="str">
        <f>IF('⑨ 구배 자동계산'!$B$4&lt;&gt;"26_고남 신규점2","",IF('⑨ 구배 자동계산'!J9="","",'⑨ 구배 자동계산'!J9))</f>
        <v/>
      </c>
      <c r="E16" s="30" t="str">
        <f>IF('⑨ 구배 자동계산'!$B$4&lt;&gt;"26_고남 신규점2","",IF('⑨ 구배 자동계산'!K9="","",'⑨ 구배 자동계산'!K9))</f>
        <v/>
      </c>
      <c r="F16" s="43" t="str">
        <f>IF('⑨ 구배 자동계산'!$B$4&lt;&gt;"26_고남 신규점2","",IF('⑨ 구배 자동계산'!L9="","",'⑨ 구배 자동계산'!L9))</f>
        <v/>
      </c>
      <c r="G16" s="30" t="str">
        <f>IF('⑨ 구배 자동계산'!$B$4&lt;&gt;"26_고남 신규점2","",IF('⑨ 구배 자동계산'!M9="","",'⑨ 구배 자동계산'!M9))</f>
        <v/>
      </c>
      <c r="H16" s="43" t="str">
        <f>IF('⑨ 구배 자동계산'!$B$4&lt;&gt;"26_고남 신규점2","",IF('⑨ 구배 자동계산'!N9="","",'⑨ 구배 자동계산'!N9))</f>
        <v/>
      </c>
      <c r="I16" s="30" t="str">
        <f>IF('⑨ 구배 자동계산'!$B$4&lt;&gt;"26_고남 신규점2","",IF('⑨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자동계산'!$B$4&lt;&gt;"26_고남 신규점2","",IF('⑨ 구배 자동계산'!H10="","",'⑨ 구배 자동계산'!H10))</f>
        <v/>
      </c>
      <c r="C17" s="32" t="str">
        <f>IF('⑨ 구배 자동계산'!$B$4&lt;&gt;"26_고남 신규점2","",IF('⑨ 구배 자동계산'!I10="","",'⑨ 구배 자동계산'!I10))</f>
        <v/>
      </c>
      <c r="D17" s="44" t="str">
        <f>IF('⑨ 구배 자동계산'!$B$4&lt;&gt;"26_고남 신규점2","",IF('⑨ 구배 자동계산'!J10="","",'⑨ 구배 자동계산'!J10))</f>
        <v/>
      </c>
      <c r="E17" s="32" t="str">
        <f>IF('⑨ 구배 자동계산'!$B$4&lt;&gt;"26_고남 신규점2","",IF('⑨ 구배 자동계산'!K10="","",'⑨ 구배 자동계산'!K10))</f>
        <v/>
      </c>
      <c r="F17" s="44" t="str">
        <f>IF('⑨ 구배 자동계산'!$B$4&lt;&gt;"26_고남 신규점2","",IF('⑨ 구배 자동계산'!L10="","",'⑨ 구배 자동계산'!L10))</f>
        <v/>
      </c>
      <c r="G17" s="32" t="str">
        <f>IF('⑨ 구배 자동계산'!$B$4&lt;&gt;"26_고남 신규점2","",IF('⑨ 구배 자동계산'!M10="","",'⑨ 구배 자동계산'!M10))</f>
        <v/>
      </c>
      <c r="H17" s="44" t="str">
        <f>IF('⑨ 구배 자동계산'!$B$4&lt;&gt;"26_고남 신규점2","",IF('⑨ 구배 자동계산'!N10="","",'⑨ 구배 자동계산'!N10))</f>
        <v/>
      </c>
      <c r="I17" s="32" t="str">
        <f>IF('⑨ 구배 자동계산'!$B$4&lt;&gt;"26_고남 신규점2","",IF('⑨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자동계산'!$B$4&lt;&gt;"26_고남 신규점2","",IF('⑨ 구배 자동계산'!H11="","",'⑨ 구배 자동계산'!H11))</f>
        <v/>
      </c>
      <c r="C18" s="32" t="str">
        <f>IF('⑨ 구배 자동계산'!$B$4&lt;&gt;"26_고남 신규점2","",IF('⑨ 구배 자동계산'!I11="","",'⑨ 구배 자동계산'!I11))</f>
        <v/>
      </c>
      <c r="D18" s="44" t="str">
        <f>IF('⑨ 구배 자동계산'!$B$4&lt;&gt;"26_고남 신규점2","",IF('⑨ 구배 자동계산'!J11="","",'⑨ 구배 자동계산'!J11))</f>
        <v/>
      </c>
      <c r="E18" s="32" t="str">
        <f>IF('⑨ 구배 자동계산'!$B$4&lt;&gt;"26_고남 신규점2","",IF('⑨ 구배 자동계산'!K11="","",'⑨ 구배 자동계산'!K11))</f>
        <v/>
      </c>
      <c r="F18" s="44" t="str">
        <f>IF('⑨ 구배 자동계산'!$B$4&lt;&gt;"26_고남 신규점2","",IF('⑨ 구배 자동계산'!L11="","",'⑨ 구배 자동계산'!L11))</f>
        <v/>
      </c>
      <c r="G18" s="32" t="str">
        <f>IF('⑨ 구배 자동계산'!$B$4&lt;&gt;"26_고남 신규점2","",IF('⑨ 구배 자동계산'!M11="","",'⑨ 구배 자동계산'!M11))</f>
        <v/>
      </c>
      <c r="H18" s="44" t="str">
        <f>IF('⑨ 구배 자동계산'!$B$4&lt;&gt;"26_고남 신규점2","",IF('⑨ 구배 자동계산'!N11="","",'⑨ 구배 자동계산'!N11))</f>
        <v/>
      </c>
      <c r="I18" s="32" t="str">
        <f>IF('⑨ 구배 자동계산'!$B$4&lt;&gt;"26_고남 신규점2","",IF('⑨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자동계산'!$B$4&lt;&gt;"26_고남 신규점2","",IF('⑨ 구배 자동계산'!H12="","",'⑨ 구배 자동계산'!H12))</f>
        <v/>
      </c>
      <c r="C19" s="32" t="str">
        <f>IF('⑨ 구배 자동계산'!$B$4&lt;&gt;"26_고남 신규점2","",IF('⑨ 구배 자동계산'!I12="","",'⑨ 구배 자동계산'!I12))</f>
        <v/>
      </c>
      <c r="D19" s="44" t="str">
        <f>IF('⑨ 구배 자동계산'!$B$4&lt;&gt;"26_고남 신규점2","",IF('⑨ 구배 자동계산'!J12="","",'⑨ 구배 자동계산'!J12))</f>
        <v/>
      </c>
      <c r="E19" s="32" t="str">
        <f>IF('⑨ 구배 자동계산'!$B$4&lt;&gt;"26_고남 신규점2","",IF('⑨ 구배 자동계산'!K12="","",'⑨ 구배 자동계산'!K12))</f>
        <v/>
      </c>
      <c r="F19" s="44" t="str">
        <f>IF('⑨ 구배 자동계산'!$B$4&lt;&gt;"26_고남 신규점2","",IF('⑨ 구배 자동계산'!L12="","",'⑨ 구배 자동계산'!L12))</f>
        <v/>
      </c>
      <c r="G19" s="32" t="str">
        <f>IF('⑨ 구배 자동계산'!$B$4&lt;&gt;"26_고남 신규점2","",IF('⑨ 구배 자동계산'!M12="","",'⑨ 구배 자동계산'!M12))</f>
        <v/>
      </c>
      <c r="H19" s="44" t="str">
        <f>IF('⑨ 구배 자동계산'!$B$4&lt;&gt;"26_고남 신규점2","",IF('⑨ 구배 자동계산'!N12="","",'⑨ 구배 자동계산'!N12))</f>
        <v/>
      </c>
      <c r="I19" s="32" t="str">
        <f>IF('⑨ 구배 자동계산'!$B$4&lt;&gt;"26_고남 신규점2","",IF('⑨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자동계산'!$B$4&lt;&gt;"26_고남 신규점2","",IF('⑨ 구배 자동계산'!H13="","",'⑨ 구배 자동계산'!H13))</f>
        <v/>
      </c>
      <c r="C20" s="32" t="str">
        <f>IF('⑨ 구배 자동계산'!$B$4&lt;&gt;"26_고남 신규점2","",IF('⑨ 구배 자동계산'!I13="","",'⑨ 구배 자동계산'!I13))</f>
        <v/>
      </c>
      <c r="D20" s="44" t="str">
        <f>IF('⑨ 구배 자동계산'!$B$4&lt;&gt;"26_고남 신규점2","",IF('⑨ 구배 자동계산'!J13="","",'⑨ 구배 자동계산'!J13))</f>
        <v/>
      </c>
      <c r="E20" s="32" t="str">
        <f>IF('⑨ 구배 자동계산'!$B$4&lt;&gt;"26_고남 신규점2","",IF('⑨ 구배 자동계산'!K13="","",'⑨ 구배 자동계산'!K13))</f>
        <v/>
      </c>
      <c r="F20" s="44" t="str">
        <f>IF('⑨ 구배 자동계산'!$B$4&lt;&gt;"26_고남 신규점2","",IF('⑨ 구배 자동계산'!L13="","",'⑨ 구배 자동계산'!L13))</f>
        <v/>
      </c>
      <c r="G20" s="32" t="str">
        <f>IF('⑨ 구배 자동계산'!$B$4&lt;&gt;"26_고남 신규점2","",IF('⑨ 구배 자동계산'!M13="","",'⑨ 구배 자동계산'!M13))</f>
        <v/>
      </c>
      <c r="H20" s="44" t="str">
        <f>IF('⑨ 구배 자동계산'!$B$4&lt;&gt;"26_고남 신규점2","",IF('⑨ 구배 자동계산'!N13="","",'⑨ 구배 자동계산'!N13))</f>
        <v/>
      </c>
      <c r="I20" s="32" t="str">
        <f>IF('⑨ 구배 자동계산'!$B$4&lt;&gt;"26_고남 신규점2","",IF('⑨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자동계산'!$B$4&lt;&gt;"26_고남 신규점2","",IF('⑨ 구배 자동계산'!H14="","",'⑨ 구배 자동계산'!H14))</f>
        <v/>
      </c>
      <c r="C21" s="32" t="str">
        <f>IF('⑨ 구배 자동계산'!$B$4&lt;&gt;"26_고남 신규점2","",IF('⑨ 구배 자동계산'!I14="","",'⑨ 구배 자동계산'!I14))</f>
        <v/>
      </c>
      <c r="D21" s="44" t="str">
        <f>IF('⑨ 구배 자동계산'!$B$4&lt;&gt;"26_고남 신규점2","",IF('⑨ 구배 자동계산'!J14="","",'⑨ 구배 자동계산'!J14))</f>
        <v/>
      </c>
      <c r="E21" s="32" t="str">
        <f>IF('⑨ 구배 자동계산'!$B$4&lt;&gt;"26_고남 신규점2","",IF('⑨ 구배 자동계산'!K14="","",'⑨ 구배 자동계산'!K14))</f>
        <v/>
      </c>
      <c r="F21" s="44" t="str">
        <f>IF('⑨ 구배 자동계산'!$B$4&lt;&gt;"26_고남 신규점2","",IF('⑨ 구배 자동계산'!L14="","",'⑨ 구배 자동계산'!L14))</f>
        <v/>
      </c>
      <c r="G21" s="32" t="str">
        <f>IF('⑨ 구배 자동계산'!$B$4&lt;&gt;"26_고남 신규점2","",IF('⑨ 구배 자동계산'!M14="","",'⑨ 구배 자동계산'!M14))</f>
        <v/>
      </c>
      <c r="H21" s="44" t="str">
        <f>IF('⑨ 구배 자동계산'!$B$4&lt;&gt;"26_고남 신규점2","",IF('⑨ 구배 자동계산'!N14="","",'⑨ 구배 자동계산'!N14))</f>
        <v/>
      </c>
      <c r="I21" s="32" t="str">
        <f>IF('⑨ 구배 자동계산'!$B$4&lt;&gt;"26_고남 신규점2","",IF('⑨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자동계산'!$B$4&lt;&gt;"26_고남 신규점2","",IF('⑨ 구배 자동계산'!H15="","",'⑨ 구배 자동계산'!H15))</f>
        <v/>
      </c>
      <c r="C22" s="32" t="str">
        <f>IF('⑨ 구배 자동계산'!$B$4&lt;&gt;"26_고남 신규점2","",IF('⑨ 구배 자동계산'!I15="","",'⑨ 구배 자동계산'!I15))</f>
        <v/>
      </c>
      <c r="D22" s="44" t="str">
        <f>IF('⑨ 구배 자동계산'!$B$4&lt;&gt;"26_고남 신규점2","",IF('⑨ 구배 자동계산'!J15="","",'⑨ 구배 자동계산'!J15))</f>
        <v/>
      </c>
      <c r="E22" s="32" t="str">
        <f>IF('⑨ 구배 자동계산'!$B$4&lt;&gt;"26_고남 신규점2","",IF('⑨ 구배 자동계산'!K15="","",'⑨ 구배 자동계산'!K15))</f>
        <v/>
      </c>
      <c r="F22" s="44" t="str">
        <f>IF('⑨ 구배 자동계산'!$B$4&lt;&gt;"26_고남 신규점2","",IF('⑨ 구배 자동계산'!L15="","",'⑨ 구배 자동계산'!L15))</f>
        <v/>
      </c>
      <c r="G22" s="32" t="str">
        <f>IF('⑨ 구배 자동계산'!$B$4&lt;&gt;"26_고남 신규점2","",IF('⑨ 구배 자동계산'!M15="","",'⑨ 구배 자동계산'!M15))</f>
        <v/>
      </c>
      <c r="H22" s="44" t="str">
        <f>IF('⑨ 구배 자동계산'!$B$4&lt;&gt;"26_고남 신규점2","",IF('⑨ 구배 자동계산'!N15="","",'⑨ 구배 자동계산'!N15))</f>
        <v/>
      </c>
      <c r="I22" s="32" t="str">
        <f>IF('⑨ 구배 자동계산'!$B$4&lt;&gt;"26_고남 신규점2","",IF('⑨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자동계산'!$B$4&lt;&gt;"26_고남 신규점2","",IF('⑨ 구배 자동계산'!H16="","",'⑨ 구배 자동계산'!H16))</f>
        <v/>
      </c>
      <c r="C23" s="32" t="str">
        <f>IF('⑨ 구배 자동계산'!$B$4&lt;&gt;"26_고남 신규점2","",IF('⑨ 구배 자동계산'!I16="","",'⑨ 구배 자동계산'!I16))</f>
        <v/>
      </c>
      <c r="D23" s="44" t="str">
        <f>IF('⑨ 구배 자동계산'!$B$4&lt;&gt;"26_고남 신규점2","",IF('⑨ 구배 자동계산'!J16="","",'⑨ 구배 자동계산'!J16))</f>
        <v/>
      </c>
      <c r="E23" s="32" t="str">
        <f>IF('⑨ 구배 자동계산'!$B$4&lt;&gt;"26_고남 신규점2","",IF('⑨ 구배 자동계산'!K16="","",'⑨ 구배 자동계산'!K16))</f>
        <v/>
      </c>
      <c r="F23" s="44" t="str">
        <f>IF('⑨ 구배 자동계산'!$B$4&lt;&gt;"26_고남 신규점2","",IF('⑨ 구배 자동계산'!L16="","",'⑨ 구배 자동계산'!L16))</f>
        <v/>
      </c>
      <c r="G23" s="32" t="str">
        <f>IF('⑨ 구배 자동계산'!$B$4&lt;&gt;"26_고남 신규점2","",IF('⑨ 구배 자동계산'!M16="","",'⑨ 구배 자동계산'!M16))</f>
        <v/>
      </c>
      <c r="H23" s="44" t="str">
        <f>IF('⑨ 구배 자동계산'!$B$4&lt;&gt;"26_고남 신규점2","",IF('⑨ 구배 자동계산'!N16="","",'⑨ 구배 자동계산'!N16))</f>
        <v/>
      </c>
      <c r="I23" s="32" t="str">
        <f>IF('⑨ 구배 자동계산'!$B$4&lt;&gt;"26_고남 신규점2","",IF('⑨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자동계산'!$B$4&lt;&gt;"26_고남 신규점2","",IF('⑨ 구배 자동계산'!H17="","",'⑨ 구배 자동계산'!H17))</f>
        <v/>
      </c>
      <c r="C24" s="32" t="str">
        <f>IF('⑨ 구배 자동계산'!$B$4&lt;&gt;"26_고남 신규점2","",IF('⑨ 구배 자동계산'!I17="","",'⑨ 구배 자동계산'!I17))</f>
        <v/>
      </c>
      <c r="D24" s="44" t="str">
        <f>IF('⑨ 구배 자동계산'!$B$4&lt;&gt;"26_고남 신규점2","",IF('⑨ 구배 자동계산'!J17="","",'⑨ 구배 자동계산'!J17))</f>
        <v/>
      </c>
      <c r="E24" s="32" t="str">
        <f>IF('⑨ 구배 자동계산'!$B$4&lt;&gt;"26_고남 신규점2","",IF('⑨ 구배 자동계산'!K17="","",'⑨ 구배 자동계산'!K17))</f>
        <v/>
      </c>
      <c r="F24" s="44" t="str">
        <f>IF('⑨ 구배 자동계산'!$B$4&lt;&gt;"26_고남 신규점2","",IF('⑨ 구배 자동계산'!L17="","",'⑨ 구배 자동계산'!L17))</f>
        <v/>
      </c>
      <c r="G24" s="32" t="str">
        <f>IF('⑨ 구배 자동계산'!$B$4&lt;&gt;"26_고남 신규점2","",IF('⑨ 구배 자동계산'!M17="","",'⑨ 구배 자동계산'!M17))</f>
        <v/>
      </c>
      <c r="H24" s="44" t="str">
        <f>IF('⑨ 구배 자동계산'!$B$4&lt;&gt;"26_고남 신규점2","",IF('⑨ 구배 자동계산'!N17="","",'⑨ 구배 자동계산'!N17))</f>
        <v/>
      </c>
      <c r="I24" s="32" t="str">
        <f>IF('⑨ 구배 자동계산'!$B$4&lt;&gt;"26_고남 신규점2","",IF('⑨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자동계산'!$B$4&lt;&gt;"26_고남 신규점2","",IF('⑨ 구배 자동계산'!H18="","",'⑨ 구배 자동계산'!H18))</f>
        <v/>
      </c>
      <c r="C25" s="32" t="str">
        <f>IF('⑨ 구배 자동계산'!$B$4&lt;&gt;"26_고남 신규점2","",IF('⑨ 구배 자동계산'!I18="","",'⑨ 구배 자동계산'!I18))</f>
        <v/>
      </c>
      <c r="D25" s="44" t="str">
        <f>IF('⑨ 구배 자동계산'!$B$4&lt;&gt;"26_고남 신규점2","",IF('⑨ 구배 자동계산'!J18="","",'⑨ 구배 자동계산'!J18))</f>
        <v/>
      </c>
      <c r="E25" s="32" t="str">
        <f>IF('⑨ 구배 자동계산'!$B$4&lt;&gt;"26_고남 신규점2","",IF('⑨ 구배 자동계산'!K18="","",'⑨ 구배 자동계산'!K18))</f>
        <v/>
      </c>
      <c r="F25" s="44" t="str">
        <f>IF('⑨ 구배 자동계산'!$B$4&lt;&gt;"26_고남 신규점2","",IF('⑨ 구배 자동계산'!L18="","",'⑨ 구배 자동계산'!L18))</f>
        <v/>
      </c>
      <c r="G25" s="32" t="str">
        <f>IF('⑨ 구배 자동계산'!$B$4&lt;&gt;"26_고남 신규점2","",IF('⑨ 구배 자동계산'!M18="","",'⑨ 구배 자동계산'!M18))</f>
        <v/>
      </c>
      <c r="H25" s="44" t="str">
        <f>IF('⑨ 구배 자동계산'!$B$4&lt;&gt;"26_고남 신규점2","",IF('⑨ 구배 자동계산'!N18="","",'⑨ 구배 자동계산'!N18))</f>
        <v/>
      </c>
      <c r="I25" s="32" t="str">
        <f>IF('⑨ 구배 자동계산'!$B$4&lt;&gt;"26_고남 신규점2","",IF('⑨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자동계산'!$B$4&lt;&gt;"26_고남 신규점2","",IF('⑨ 구배 자동계산'!H19="","",'⑨ 구배 자동계산'!H19))</f>
        <v/>
      </c>
      <c r="C26" s="32" t="str">
        <f>IF('⑨ 구배 자동계산'!$B$4&lt;&gt;"26_고남 신규점2","",IF('⑨ 구배 자동계산'!I19="","",'⑨ 구배 자동계산'!I19))</f>
        <v/>
      </c>
      <c r="D26" s="44" t="str">
        <f>IF('⑨ 구배 자동계산'!$B$4&lt;&gt;"26_고남 신규점2","",IF('⑨ 구배 자동계산'!J19="","",'⑨ 구배 자동계산'!J19))</f>
        <v/>
      </c>
      <c r="E26" s="32" t="str">
        <f>IF('⑨ 구배 자동계산'!$B$4&lt;&gt;"26_고남 신규점2","",IF('⑨ 구배 자동계산'!K19="","",'⑨ 구배 자동계산'!K19))</f>
        <v/>
      </c>
      <c r="F26" s="44" t="str">
        <f>IF('⑨ 구배 자동계산'!$B$4&lt;&gt;"26_고남 신규점2","",IF('⑨ 구배 자동계산'!L19="","",'⑨ 구배 자동계산'!L19))</f>
        <v/>
      </c>
      <c r="G26" s="32" t="str">
        <f>IF('⑨ 구배 자동계산'!$B$4&lt;&gt;"26_고남 신규점2","",IF('⑨ 구배 자동계산'!M19="","",'⑨ 구배 자동계산'!M19))</f>
        <v/>
      </c>
      <c r="H26" s="44" t="str">
        <f>IF('⑨ 구배 자동계산'!$B$4&lt;&gt;"26_고남 신규점2","",IF('⑨ 구배 자동계산'!N19="","",'⑨ 구배 자동계산'!N19))</f>
        <v/>
      </c>
      <c r="I26" s="32" t="str">
        <f>IF('⑨ 구배 자동계산'!$B$4&lt;&gt;"26_고남 신규점2","",IF('⑨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자동계산'!$B$4&lt;&gt;"26_고남 신규점2","",IF('⑨ 구배 자동계산'!H20="","",'⑨ 구배 자동계산'!H20))</f>
        <v/>
      </c>
      <c r="C27" s="41" t="str">
        <f>IF('⑨ 구배 자동계산'!$B$4&lt;&gt;"26_고남 신규점2","",IF('⑨ 구배 자동계산'!I20="","",'⑨ 구배 자동계산'!I20))</f>
        <v/>
      </c>
      <c r="D27" s="45" t="str">
        <f>IF('⑨ 구배 자동계산'!$B$4&lt;&gt;"26_고남 신규점2","",IF('⑨ 구배 자동계산'!J20="","",'⑨ 구배 자동계산'!J20))</f>
        <v/>
      </c>
      <c r="E27" s="41" t="str">
        <f>IF('⑨ 구배 자동계산'!$B$4&lt;&gt;"26_고남 신규점2","",IF('⑨ 구배 자동계산'!K20="","",'⑨ 구배 자동계산'!K20))</f>
        <v/>
      </c>
      <c r="F27" s="45" t="str">
        <f>IF('⑨ 구배 자동계산'!$B$4&lt;&gt;"26_고남 신규점2","",IF('⑨ 구배 자동계산'!L20="","",'⑨ 구배 자동계산'!L20))</f>
        <v/>
      </c>
      <c r="G27" s="41" t="str">
        <f>IF('⑨ 구배 자동계산'!$B$4&lt;&gt;"26_고남 신규점2","",IF('⑨ 구배 자동계산'!M20="","",'⑨ 구배 자동계산'!M20))</f>
        <v/>
      </c>
      <c r="H27" s="45" t="str">
        <f>IF('⑨ 구배 자동계산'!$B$4&lt;&gt;"26_고남 신규점2","",IF('⑨ 구배 자동계산'!N20="","",'⑨ 구배 자동계산'!N20))</f>
        <v/>
      </c>
      <c r="I27" s="41" t="str">
        <f>IF('⑨ 구배 자동계산'!$B$4&lt;&gt;"26_고남 신규점2","",IF('⑨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자동계산'!$B$4&lt;&gt;"26_고남 신규점2","",IF('⑨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자동계산'!$B$4&lt;&gt;"26_고남 신규점2","",IF('⑨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자동계산'!$B$4&lt;&gt;"26_고남 신규점2","",IF('⑨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자동계산'!$B$4&lt;&gt;"26_고남 신규점2","",IF('⑨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자동계산'!$B$4&lt;&gt;"26_고남 신규점2","",IF('⑨ 구배 자동계산'!I23="","",'⑨ 구배 자동계산'!I23))</f>
        <v/>
      </c>
      <c r="D42" s="8"/>
      <c r="E42" s="8"/>
      <c r="F42" s="8"/>
      <c r="G42" s="92" t="str">
        <f>IF('⑨ 구배 자동계산'!$B$4&lt;&gt;"26_고남 신규점2","",IF('⑨ 구배 자동계산'!$J23="","",'⑨ 구배 자동계산'!$J23&amp;"  ·  "&amp;'⑨ 구배 자동계산'!$L23))</f>
        <v/>
      </c>
      <c r="H42" s="93"/>
      <c r="I42" s="93"/>
    </row>
    <row r="43" spans="1:35" ht="19.95" customHeight="1" x14ac:dyDescent="0.4">
      <c r="A43" s="8">
        <v>3</v>
      </c>
      <c r="B43" s="33">
        <v>140</v>
      </c>
      <c r="C43" s="32" t="str">
        <f>IF('⑨ 구배 자동계산'!$B$4&lt;&gt;"26_고남 신규점2","",IF('⑨ 구배 자동계산'!I24="","",'⑨ 구배 자동계산'!I24))</f>
        <v/>
      </c>
      <c r="D43" s="34">
        <f>IF(COUNT(B43,B42)&lt;2,"",(B42-B43)/100)</f>
        <v>0.45</v>
      </c>
      <c r="E43" s="35" t="str">
        <f>IF(COUNT(C43,C42)&lt;2,"",C43-C42)</f>
        <v/>
      </c>
      <c r="F43" s="36" t="str">
        <f>IF(OR(D43="",E43="",D43=0),"",E43/D43)</f>
        <v/>
      </c>
      <c r="G43" s="92" t="str">
        <f>IF('⑨ 구배 자동계산'!$B$4&lt;&gt;"26_고남 신규점2","",IF('⑨ 구배 자동계산'!$J24="","",'⑨ 구배 자동계산'!$J24&amp;"  ·  "&amp;'⑨ 구배 자동계산'!$L24))</f>
        <v/>
      </c>
      <c r="H43" s="93"/>
      <c r="I43" s="93"/>
      <c r="AH43" t="s">
        <v>234</v>
      </c>
    </row>
    <row r="44" spans="1:35" ht="19.95" customHeight="1" x14ac:dyDescent="0.4">
      <c r="A44" s="8">
        <v>2</v>
      </c>
      <c r="B44" s="33">
        <v>95</v>
      </c>
      <c r="C44" s="32" t="str">
        <f>IF('⑨ 구배 자동계산'!$B$4&lt;&gt;"26_고남 신규점2","",IF('⑨ 구배 자동계산'!I25="","",'⑨ 구배 자동계산'!I25))</f>
        <v/>
      </c>
      <c r="D44" s="34">
        <f>IF(COUNT(B44,B43)&lt;2,"",(B43-B44)/100)</f>
        <v>0.45</v>
      </c>
      <c r="E44" s="35" t="str">
        <f>IF(COUNT(C44,C43)&lt;2,"",C44-C43)</f>
        <v/>
      </c>
      <c r="F44" s="36" t="str">
        <f>IF(OR(D44="",E44="",D44=0),"",E44/D44)</f>
        <v/>
      </c>
      <c r="G44" s="92" t="str">
        <f>IF('⑨ 구배 자동계산'!$B$4&lt;&gt;"26_고남 신규점2","",IF('⑨ 구배 자동계산'!$J25="","",'⑨ 구배 자동계산'!$J25&amp;"  ·  "&amp;'⑨ 구배 자동계산'!$L25))</f>
        <v/>
      </c>
      <c r="H44" s="93"/>
      <c r="I44" s="93"/>
    </row>
    <row r="45" spans="1:35" ht="19.95" customHeight="1" x14ac:dyDescent="0.4">
      <c r="A45" s="8">
        <v>1</v>
      </c>
      <c r="B45" s="33">
        <v>50</v>
      </c>
      <c r="C45" s="32" t="str">
        <f>IF('⑨ 구배 자동계산'!$B$4&lt;&gt;"26_고남 신규점2","",IF('⑨ 구배 자동계산'!I26="","",'⑨ 구배 자동계산'!I26))</f>
        <v/>
      </c>
      <c r="D45" s="34">
        <f>IF(COUNT(B45,B44)&lt;2,"",(B44-B45)/100)</f>
        <v>0.45</v>
      </c>
      <c r="E45" s="35" t="str">
        <f>IF(COUNT(C45,C44)&lt;2,"",C45-C44)</f>
        <v/>
      </c>
      <c r="F45" s="36" t="str">
        <f>IF(OR(D45="",E45="",D45=0),"",E45/D45)</f>
        <v/>
      </c>
      <c r="G45" s="92" t="str">
        <f>IF('⑨ 구배 자동계산'!$B$4&lt;&gt;"26_고남 신규점2","",IF('⑨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IF(COUNT(B50,E50)&lt;2,"",ROUND(SQRT(((126.395802-E50)*111320*COS(RADIANS(36.452304)))^2+((36.452304-B50)*110574)^2),1))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S26-P0a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24" priority="1">
      <formula>AND(ISNUMBER(C31),C31&gt;50)</formula>
    </cfRule>
  </conditionalFormatting>
  <conditionalFormatting sqref="D7">
    <cfRule type="expression" dxfId="123" priority="3" stopIfTrue="1">
      <formula>AND($D$7&lt;&gt;"",VALUE(LEFT($D$7,1))&lt;5)</formula>
    </cfRule>
    <cfRule type="expression" dxfId="122" priority="4" stopIfTrue="1">
      <formula>AND($D$7&lt;&gt;"",VALUE(LEFT($D$7,1))&gt;=5)</formula>
    </cfRule>
  </conditionalFormatting>
  <conditionalFormatting sqref="E7">
    <cfRule type="expression" dxfId="121" priority="5" stopIfTrue="1">
      <formula>AND($E$7&lt;&gt;"",VALUE(LEFT($E$7,1))&lt;5)</formula>
    </cfRule>
    <cfRule type="expression" dxfId="12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6A192F0C-51E5-4552-8A2B-519C6FB54A4E}">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E4955B84-481D-4E5C-9AD2-BD0C4E9A8354}">
      <formula1>DATE(2026,1,1)</formula1>
      <formula2>DATE(2027,12,31)</formula2>
    </dataValidation>
    <dataValidation type="list" allowBlank="1" sqref="C7" xr:uid="{E17185D0-7FBE-4364-B9F1-8863B9DA4204}">
      <formula1>"맑음,구름 조금,흐림,비,눈,바람 강함"</formula1>
    </dataValidation>
    <dataValidation type="list" allowBlank="1" sqref="H50" xr:uid="{0D61A70D-70DC-4684-BEFE-FDEBBFF0818B}">
      <formula1>"RTK-GNSS,네트워크RTK,정적GNSS,휴대GNSS"</formula1>
    </dataValidation>
    <dataValidation type="list" allowBlank="1" sqref="B109" xr:uid="{330EAEDE-37DF-452C-BA70-5A99FC7DA9E0}">
      <formula1>"동일,조정"</formula1>
    </dataValidation>
    <dataValidation type="list" allowBlank="1" showInputMessage="1" showErrorMessage="1" sqref="F56:F57" xr:uid="{80EF8256-A23E-40A0-9394-CC811A53185E}">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&amp;RS26 고남 신규점2</oddHeader>
    <oddFooter>&amp;C&amp;9 &amp;P / &amp;N</oddFooter>
  </headerFooter>
  <rowBreaks count="3" manualBreakCount="3">
    <brk id="38" max="16383" man="1"/>
    <brk id="58" max="16383" man="1"/>
    <brk id="106" max="1638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BAFDD-17C2-411B-80FB-A8936E4E05E1}">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453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454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455</v>
      </c>
      <c r="B3" s="68"/>
      <c r="C3" s="68"/>
      <c r="D3" s="68"/>
      <c r="E3" s="68"/>
      <c r="F3" s="8" t="s">
        <v>154</v>
      </c>
      <c r="G3" s="6"/>
      <c r="H3" s="8" t="s">
        <v>155</v>
      </c>
      <c r="I3" s="9" t="s">
        <v>456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자동계산'!$B$4="27_전의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자동계산'!$B$4&lt;&gt;"27_전의 신규점","",IF('⑨ 구배 자동계산'!H9="","",'⑨ 구배 자동계산'!H9))</f>
        <v/>
      </c>
      <c r="C16" s="30" t="str">
        <f>IF('⑨ 구배 자동계산'!$B$4&lt;&gt;"27_전의 신규점","",IF('⑨ 구배 자동계산'!I9="","",'⑨ 구배 자동계산'!I9))</f>
        <v/>
      </c>
      <c r="D16" s="43" t="str">
        <f>IF('⑨ 구배 자동계산'!$B$4&lt;&gt;"27_전의 신규점","",IF('⑨ 구배 자동계산'!J9="","",'⑨ 구배 자동계산'!J9))</f>
        <v/>
      </c>
      <c r="E16" s="30" t="str">
        <f>IF('⑨ 구배 자동계산'!$B$4&lt;&gt;"27_전의 신규점","",IF('⑨ 구배 자동계산'!K9="","",'⑨ 구배 자동계산'!K9))</f>
        <v/>
      </c>
      <c r="F16" s="43" t="str">
        <f>IF('⑨ 구배 자동계산'!$B$4&lt;&gt;"27_전의 신규점","",IF('⑨ 구배 자동계산'!L9="","",'⑨ 구배 자동계산'!L9))</f>
        <v/>
      </c>
      <c r="G16" s="30" t="str">
        <f>IF('⑨ 구배 자동계산'!$B$4&lt;&gt;"27_전의 신규점","",IF('⑨ 구배 자동계산'!M9="","",'⑨ 구배 자동계산'!M9))</f>
        <v/>
      </c>
      <c r="H16" s="43" t="str">
        <f>IF('⑨ 구배 자동계산'!$B$4&lt;&gt;"27_전의 신규점","",IF('⑨ 구배 자동계산'!N9="","",'⑨ 구배 자동계산'!N9))</f>
        <v/>
      </c>
      <c r="I16" s="30" t="str">
        <f>IF('⑨ 구배 자동계산'!$B$4&lt;&gt;"27_전의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자동계산'!$B$4&lt;&gt;"27_전의 신규점","",IF('⑨ 구배 자동계산'!H10="","",'⑨ 구배 자동계산'!H10))</f>
        <v/>
      </c>
      <c r="C17" s="32" t="str">
        <f>IF('⑨ 구배 자동계산'!$B$4&lt;&gt;"27_전의 신규점","",IF('⑨ 구배 자동계산'!I10="","",'⑨ 구배 자동계산'!I10))</f>
        <v/>
      </c>
      <c r="D17" s="44" t="str">
        <f>IF('⑨ 구배 자동계산'!$B$4&lt;&gt;"27_전의 신규점","",IF('⑨ 구배 자동계산'!J10="","",'⑨ 구배 자동계산'!J10))</f>
        <v/>
      </c>
      <c r="E17" s="32" t="str">
        <f>IF('⑨ 구배 자동계산'!$B$4&lt;&gt;"27_전의 신규점","",IF('⑨ 구배 자동계산'!K10="","",'⑨ 구배 자동계산'!K10))</f>
        <v/>
      </c>
      <c r="F17" s="44" t="str">
        <f>IF('⑨ 구배 자동계산'!$B$4&lt;&gt;"27_전의 신규점","",IF('⑨ 구배 자동계산'!L10="","",'⑨ 구배 자동계산'!L10))</f>
        <v/>
      </c>
      <c r="G17" s="32" t="str">
        <f>IF('⑨ 구배 자동계산'!$B$4&lt;&gt;"27_전의 신규점","",IF('⑨ 구배 자동계산'!M10="","",'⑨ 구배 자동계산'!M10))</f>
        <v/>
      </c>
      <c r="H17" s="44" t="str">
        <f>IF('⑨ 구배 자동계산'!$B$4&lt;&gt;"27_전의 신규점","",IF('⑨ 구배 자동계산'!N10="","",'⑨ 구배 자동계산'!N10))</f>
        <v/>
      </c>
      <c r="I17" s="32" t="str">
        <f>IF('⑨ 구배 자동계산'!$B$4&lt;&gt;"27_전의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자동계산'!$B$4&lt;&gt;"27_전의 신규점","",IF('⑨ 구배 자동계산'!H11="","",'⑨ 구배 자동계산'!H11))</f>
        <v/>
      </c>
      <c r="C18" s="32" t="str">
        <f>IF('⑨ 구배 자동계산'!$B$4&lt;&gt;"27_전의 신규점","",IF('⑨ 구배 자동계산'!I11="","",'⑨ 구배 자동계산'!I11))</f>
        <v/>
      </c>
      <c r="D18" s="44" t="str">
        <f>IF('⑨ 구배 자동계산'!$B$4&lt;&gt;"27_전의 신규점","",IF('⑨ 구배 자동계산'!J11="","",'⑨ 구배 자동계산'!J11))</f>
        <v/>
      </c>
      <c r="E18" s="32" t="str">
        <f>IF('⑨ 구배 자동계산'!$B$4&lt;&gt;"27_전의 신규점","",IF('⑨ 구배 자동계산'!K11="","",'⑨ 구배 자동계산'!K11))</f>
        <v/>
      </c>
      <c r="F18" s="44" t="str">
        <f>IF('⑨ 구배 자동계산'!$B$4&lt;&gt;"27_전의 신규점","",IF('⑨ 구배 자동계산'!L11="","",'⑨ 구배 자동계산'!L11))</f>
        <v/>
      </c>
      <c r="G18" s="32" t="str">
        <f>IF('⑨ 구배 자동계산'!$B$4&lt;&gt;"27_전의 신규점","",IF('⑨ 구배 자동계산'!M11="","",'⑨ 구배 자동계산'!M11))</f>
        <v/>
      </c>
      <c r="H18" s="44" t="str">
        <f>IF('⑨ 구배 자동계산'!$B$4&lt;&gt;"27_전의 신규점","",IF('⑨ 구배 자동계산'!N11="","",'⑨ 구배 자동계산'!N11))</f>
        <v/>
      </c>
      <c r="I18" s="32" t="str">
        <f>IF('⑨ 구배 자동계산'!$B$4&lt;&gt;"27_전의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자동계산'!$B$4&lt;&gt;"27_전의 신규점","",IF('⑨ 구배 자동계산'!H12="","",'⑨ 구배 자동계산'!H12))</f>
        <v/>
      </c>
      <c r="C19" s="32" t="str">
        <f>IF('⑨ 구배 자동계산'!$B$4&lt;&gt;"27_전의 신규점","",IF('⑨ 구배 자동계산'!I12="","",'⑨ 구배 자동계산'!I12))</f>
        <v/>
      </c>
      <c r="D19" s="44" t="str">
        <f>IF('⑨ 구배 자동계산'!$B$4&lt;&gt;"27_전의 신규점","",IF('⑨ 구배 자동계산'!J12="","",'⑨ 구배 자동계산'!J12))</f>
        <v/>
      </c>
      <c r="E19" s="32" t="str">
        <f>IF('⑨ 구배 자동계산'!$B$4&lt;&gt;"27_전의 신규점","",IF('⑨ 구배 자동계산'!K12="","",'⑨ 구배 자동계산'!K12))</f>
        <v/>
      </c>
      <c r="F19" s="44" t="str">
        <f>IF('⑨ 구배 자동계산'!$B$4&lt;&gt;"27_전의 신규점","",IF('⑨ 구배 자동계산'!L12="","",'⑨ 구배 자동계산'!L12))</f>
        <v/>
      </c>
      <c r="G19" s="32" t="str">
        <f>IF('⑨ 구배 자동계산'!$B$4&lt;&gt;"27_전의 신규점","",IF('⑨ 구배 자동계산'!M12="","",'⑨ 구배 자동계산'!M12))</f>
        <v/>
      </c>
      <c r="H19" s="44" t="str">
        <f>IF('⑨ 구배 자동계산'!$B$4&lt;&gt;"27_전의 신규점","",IF('⑨ 구배 자동계산'!N12="","",'⑨ 구배 자동계산'!N12))</f>
        <v/>
      </c>
      <c r="I19" s="32" t="str">
        <f>IF('⑨ 구배 자동계산'!$B$4&lt;&gt;"27_전의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자동계산'!$B$4&lt;&gt;"27_전의 신규점","",IF('⑨ 구배 자동계산'!H13="","",'⑨ 구배 자동계산'!H13))</f>
        <v/>
      </c>
      <c r="C20" s="32" t="str">
        <f>IF('⑨ 구배 자동계산'!$B$4&lt;&gt;"27_전의 신규점","",IF('⑨ 구배 자동계산'!I13="","",'⑨ 구배 자동계산'!I13))</f>
        <v/>
      </c>
      <c r="D20" s="44" t="str">
        <f>IF('⑨ 구배 자동계산'!$B$4&lt;&gt;"27_전의 신규점","",IF('⑨ 구배 자동계산'!J13="","",'⑨ 구배 자동계산'!J13))</f>
        <v/>
      </c>
      <c r="E20" s="32" t="str">
        <f>IF('⑨ 구배 자동계산'!$B$4&lt;&gt;"27_전의 신규점","",IF('⑨ 구배 자동계산'!K13="","",'⑨ 구배 자동계산'!K13))</f>
        <v/>
      </c>
      <c r="F20" s="44" t="str">
        <f>IF('⑨ 구배 자동계산'!$B$4&lt;&gt;"27_전의 신규점","",IF('⑨ 구배 자동계산'!L13="","",'⑨ 구배 자동계산'!L13))</f>
        <v/>
      </c>
      <c r="G20" s="32" t="str">
        <f>IF('⑨ 구배 자동계산'!$B$4&lt;&gt;"27_전의 신규점","",IF('⑨ 구배 자동계산'!M13="","",'⑨ 구배 자동계산'!M13))</f>
        <v/>
      </c>
      <c r="H20" s="44" t="str">
        <f>IF('⑨ 구배 자동계산'!$B$4&lt;&gt;"27_전의 신규점","",IF('⑨ 구배 자동계산'!N13="","",'⑨ 구배 자동계산'!N13))</f>
        <v/>
      </c>
      <c r="I20" s="32" t="str">
        <f>IF('⑨ 구배 자동계산'!$B$4&lt;&gt;"27_전의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자동계산'!$B$4&lt;&gt;"27_전의 신규점","",IF('⑨ 구배 자동계산'!H14="","",'⑨ 구배 자동계산'!H14))</f>
        <v/>
      </c>
      <c r="C21" s="32" t="str">
        <f>IF('⑨ 구배 자동계산'!$B$4&lt;&gt;"27_전의 신규점","",IF('⑨ 구배 자동계산'!I14="","",'⑨ 구배 자동계산'!I14))</f>
        <v/>
      </c>
      <c r="D21" s="44" t="str">
        <f>IF('⑨ 구배 자동계산'!$B$4&lt;&gt;"27_전의 신규점","",IF('⑨ 구배 자동계산'!J14="","",'⑨ 구배 자동계산'!J14))</f>
        <v/>
      </c>
      <c r="E21" s="32" t="str">
        <f>IF('⑨ 구배 자동계산'!$B$4&lt;&gt;"27_전의 신규점","",IF('⑨ 구배 자동계산'!K14="","",'⑨ 구배 자동계산'!K14))</f>
        <v/>
      </c>
      <c r="F21" s="44" t="str">
        <f>IF('⑨ 구배 자동계산'!$B$4&lt;&gt;"27_전의 신규점","",IF('⑨ 구배 자동계산'!L14="","",'⑨ 구배 자동계산'!L14))</f>
        <v/>
      </c>
      <c r="G21" s="32" t="str">
        <f>IF('⑨ 구배 자동계산'!$B$4&lt;&gt;"27_전의 신규점","",IF('⑨ 구배 자동계산'!M14="","",'⑨ 구배 자동계산'!M14))</f>
        <v/>
      </c>
      <c r="H21" s="44" t="str">
        <f>IF('⑨ 구배 자동계산'!$B$4&lt;&gt;"27_전의 신규점","",IF('⑨ 구배 자동계산'!N14="","",'⑨ 구배 자동계산'!N14))</f>
        <v/>
      </c>
      <c r="I21" s="32" t="str">
        <f>IF('⑨ 구배 자동계산'!$B$4&lt;&gt;"27_전의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자동계산'!$B$4&lt;&gt;"27_전의 신규점","",IF('⑨ 구배 자동계산'!H15="","",'⑨ 구배 자동계산'!H15))</f>
        <v/>
      </c>
      <c r="C22" s="32" t="str">
        <f>IF('⑨ 구배 자동계산'!$B$4&lt;&gt;"27_전의 신규점","",IF('⑨ 구배 자동계산'!I15="","",'⑨ 구배 자동계산'!I15))</f>
        <v/>
      </c>
      <c r="D22" s="44" t="str">
        <f>IF('⑨ 구배 자동계산'!$B$4&lt;&gt;"27_전의 신규점","",IF('⑨ 구배 자동계산'!J15="","",'⑨ 구배 자동계산'!J15))</f>
        <v/>
      </c>
      <c r="E22" s="32" t="str">
        <f>IF('⑨ 구배 자동계산'!$B$4&lt;&gt;"27_전의 신규점","",IF('⑨ 구배 자동계산'!K15="","",'⑨ 구배 자동계산'!K15))</f>
        <v/>
      </c>
      <c r="F22" s="44" t="str">
        <f>IF('⑨ 구배 자동계산'!$B$4&lt;&gt;"27_전의 신규점","",IF('⑨ 구배 자동계산'!L15="","",'⑨ 구배 자동계산'!L15))</f>
        <v/>
      </c>
      <c r="G22" s="32" t="str">
        <f>IF('⑨ 구배 자동계산'!$B$4&lt;&gt;"27_전의 신규점","",IF('⑨ 구배 자동계산'!M15="","",'⑨ 구배 자동계산'!M15))</f>
        <v/>
      </c>
      <c r="H22" s="44" t="str">
        <f>IF('⑨ 구배 자동계산'!$B$4&lt;&gt;"27_전의 신규점","",IF('⑨ 구배 자동계산'!N15="","",'⑨ 구배 자동계산'!N15))</f>
        <v/>
      </c>
      <c r="I22" s="32" t="str">
        <f>IF('⑨ 구배 자동계산'!$B$4&lt;&gt;"27_전의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자동계산'!$B$4&lt;&gt;"27_전의 신규점","",IF('⑨ 구배 자동계산'!H16="","",'⑨ 구배 자동계산'!H16))</f>
        <v/>
      </c>
      <c r="C23" s="32" t="str">
        <f>IF('⑨ 구배 자동계산'!$B$4&lt;&gt;"27_전의 신규점","",IF('⑨ 구배 자동계산'!I16="","",'⑨ 구배 자동계산'!I16))</f>
        <v/>
      </c>
      <c r="D23" s="44" t="str">
        <f>IF('⑨ 구배 자동계산'!$B$4&lt;&gt;"27_전의 신규점","",IF('⑨ 구배 자동계산'!J16="","",'⑨ 구배 자동계산'!J16))</f>
        <v/>
      </c>
      <c r="E23" s="32" t="str">
        <f>IF('⑨ 구배 자동계산'!$B$4&lt;&gt;"27_전의 신규점","",IF('⑨ 구배 자동계산'!K16="","",'⑨ 구배 자동계산'!K16))</f>
        <v/>
      </c>
      <c r="F23" s="44" t="str">
        <f>IF('⑨ 구배 자동계산'!$B$4&lt;&gt;"27_전의 신규점","",IF('⑨ 구배 자동계산'!L16="","",'⑨ 구배 자동계산'!L16))</f>
        <v/>
      </c>
      <c r="G23" s="32" t="str">
        <f>IF('⑨ 구배 자동계산'!$B$4&lt;&gt;"27_전의 신규점","",IF('⑨ 구배 자동계산'!M16="","",'⑨ 구배 자동계산'!M16))</f>
        <v/>
      </c>
      <c r="H23" s="44" t="str">
        <f>IF('⑨ 구배 자동계산'!$B$4&lt;&gt;"27_전의 신규점","",IF('⑨ 구배 자동계산'!N16="","",'⑨ 구배 자동계산'!N16))</f>
        <v/>
      </c>
      <c r="I23" s="32" t="str">
        <f>IF('⑨ 구배 자동계산'!$B$4&lt;&gt;"27_전의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자동계산'!$B$4&lt;&gt;"27_전의 신규점","",IF('⑨ 구배 자동계산'!H17="","",'⑨ 구배 자동계산'!H17))</f>
        <v/>
      </c>
      <c r="C24" s="32" t="str">
        <f>IF('⑨ 구배 자동계산'!$B$4&lt;&gt;"27_전의 신규점","",IF('⑨ 구배 자동계산'!I17="","",'⑨ 구배 자동계산'!I17))</f>
        <v/>
      </c>
      <c r="D24" s="44" t="str">
        <f>IF('⑨ 구배 자동계산'!$B$4&lt;&gt;"27_전의 신규점","",IF('⑨ 구배 자동계산'!J17="","",'⑨ 구배 자동계산'!J17))</f>
        <v/>
      </c>
      <c r="E24" s="32" t="str">
        <f>IF('⑨ 구배 자동계산'!$B$4&lt;&gt;"27_전의 신규점","",IF('⑨ 구배 자동계산'!K17="","",'⑨ 구배 자동계산'!K17))</f>
        <v/>
      </c>
      <c r="F24" s="44" t="str">
        <f>IF('⑨ 구배 자동계산'!$B$4&lt;&gt;"27_전의 신규점","",IF('⑨ 구배 자동계산'!L17="","",'⑨ 구배 자동계산'!L17))</f>
        <v/>
      </c>
      <c r="G24" s="32" t="str">
        <f>IF('⑨ 구배 자동계산'!$B$4&lt;&gt;"27_전의 신규점","",IF('⑨ 구배 자동계산'!M17="","",'⑨ 구배 자동계산'!M17))</f>
        <v/>
      </c>
      <c r="H24" s="44" t="str">
        <f>IF('⑨ 구배 자동계산'!$B$4&lt;&gt;"27_전의 신규점","",IF('⑨ 구배 자동계산'!N17="","",'⑨ 구배 자동계산'!N17))</f>
        <v/>
      </c>
      <c r="I24" s="32" t="str">
        <f>IF('⑨ 구배 자동계산'!$B$4&lt;&gt;"27_전의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자동계산'!$B$4&lt;&gt;"27_전의 신규점","",IF('⑨ 구배 자동계산'!H18="","",'⑨ 구배 자동계산'!H18))</f>
        <v/>
      </c>
      <c r="C25" s="32" t="str">
        <f>IF('⑨ 구배 자동계산'!$B$4&lt;&gt;"27_전의 신규점","",IF('⑨ 구배 자동계산'!I18="","",'⑨ 구배 자동계산'!I18))</f>
        <v/>
      </c>
      <c r="D25" s="44" t="str">
        <f>IF('⑨ 구배 자동계산'!$B$4&lt;&gt;"27_전의 신규점","",IF('⑨ 구배 자동계산'!J18="","",'⑨ 구배 자동계산'!J18))</f>
        <v/>
      </c>
      <c r="E25" s="32" t="str">
        <f>IF('⑨ 구배 자동계산'!$B$4&lt;&gt;"27_전의 신규점","",IF('⑨ 구배 자동계산'!K18="","",'⑨ 구배 자동계산'!K18))</f>
        <v/>
      </c>
      <c r="F25" s="44" t="str">
        <f>IF('⑨ 구배 자동계산'!$B$4&lt;&gt;"27_전의 신규점","",IF('⑨ 구배 자동계산'!L18="","",'⑨ 구배 자동계산'!L18))</f>
        <v/>
      </c>
      <c r="G25" s="32" t="str">
        <f>IF('⑨ 구배 자동계산'!$B$4&lt;&gt;"27_전의 신규점","",IF('⑨ 구배 자동계산'!M18="","",'⑨ 구배 자동계산'!M18))</f>
        <v/>
      </c>
      <c r="H25" s="44" t="str">
        <f>IF('⑨ 구배 자동계산'!$B$4&lt;&gt;"27_전의 신규점","",IF('⑨ 구배 자동계산'!N18="","",'⑨ 구배 자동계산'!N18))</f>
        <v/>
      </c>
      <c r="I25" s="32" t="str">
        <f>IF('⑨ 구배 자동계산'!$B$4&lt;&gt;"27_전의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자동계산'!$B$4&lt;&gt;"27_전의 신규점","",IF('⑨ 구배 자동계산'!H19="","",'⑨ 구배 자동계산'!H19))</f>
        <v/>
      </c>
      <c r="C26" s="32" t="str">
        <f>IF('⑨ 구배 자동계산'!$B$4&lt;&gt;"27_전의 신규점","",IF('⑨ 구배 자동계산'!I19="","",'⑨ 구배 자동계산'!I19))</f>
        <v/>
      </c>
      <c r="D26" s="44" t="str">
        <f>IF('⑨ 구배 자동계산'!$B$4&lt;&gt;"27_전의 신규점","",IF('⑨ 구배 자동계산'!J19="","",'⑨ 구배 자동계산'!J19))</f>
        <v/>
      </c>
      <c r="E26" s="32" t="str">
        <f>IF('⑨ 구배 자동계산'!$B$4&lt;&gt;"27_전의 신규점","",IF('⑨ 구배 자동계산'!K19="","",'⑨ 구배 자동계산'!K19))</f>
        <v/>
      </c>
      <c r="F26" s="44" t="str">
        <f>IF('⑨ 구배 자동계산'!$B$4&lt;&gt;"27_전의 신규점","",IF('⑨ 구배 자동계산'!L19="","",'⑨ 구배 자동계산'!L19))</f>
        <v/>
      </c>
      <c r="G26" s="32" t="str">
        <f>IF('⑨ 구배 자동계산'!$B$4&lt;&gt;"27_전의 신규점","",IF('⑨ 구배 자동계산'!M19="","",'⑨ 구배 자동계산'!M19))</f>
        <v/>
      </c>
      <c r="H26" s="44" t="str">
        <f>IF('⑨ 구배 자동계산'!$B$4&lt;&gt;"27_전의 신규점","",IF('⑨ 구배 자동계산'!N19="","",'⑨ 구배 자동계산'!N19))</f>
        <v/>
      </c>
      <c r="I26" s="32" t="str">
        <f>IF('⑨ 구배 자동계산'!$B$4&lt;&gt;"27_전의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자동계산'!$B$4&lt;&gt;"27_전의 신규점","",IF('⑨ 구배 자동계산'!H20="","",'⑨ 구배 자동계산'!H20))</f>
        <v/>
      </c>
      <c r="C27" s="41" t="str">
        <f>IF('⑨ 구배 자동계산'!$B$4&lt;&gt;"27_전의 신규점","",IF('⑨ 구배 자동계산'!I20="","",'⑨ 구배 자동계산'!I20))</f>
        <v/>
      </c>
      <c r="D27" s="45" t="str">
        <f>IF('⑨ 구배 자동계산'!$B$4&lt;&gt;"27_전의 신규점","",IF('⑨ 구배 자동계산'!J20="","",'⑨ 구배 자동계산'!J20))</f>
        <v/>
      </c>
      <c r="E27" s="41" t="str">
        <f>IF('⑨ 구배 자동계산'!$B$4&lt;&gt;"27_전의 신규점","",IF('⑨ 구배 자동계산'!K20="","",'⑨ 구배 자동계산'!K20))</f>
        <v/>
      </c>
      <c r="F27" s="45" t="str">
        <f>IF('⑨ 구배 자동계산'!$B$4&lt;&gt;"27_전의 신규점","",IF('⑨ 구배 자동계산'!L20="","",'⑨ 구배 자동계산'!L20))</f>
        <v/>
      </c>
      <c r="G27" s="41" t="str">
        <f>IF('⑨ 구배 자동계산'!$B$4&lt;&gt;"27_전의 신규점","",IF('⑨ 구배 자동계산'!M20="","",'⑨ 구배 자동계산'!M20))</f>
        <v/>
      </c>
      <c r="H27" s="45" t="str">
        <f>IF('⑨ 구배 자동계산'!$B$4&lt;&gt;"27_전의 신규점","",IF('⑨ 구배 자동계산'!N20="","",'⑨ 구배 자동계산'!N20))</f>
        <v/>
      </c>
      <c r="I27" s="41" t="str">
        <f>IF('⑨ 구배 자동계산'!$B$4&lt;&gt;"27_전의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자동계산'!$B$4&lt;&gt;"27_전의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자동계산'!$B$4&lt;&gt;"27_전의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자동계산'!$B$4&lt;&gt;"27_전의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자동계산'!$B$4&lt;&gt;"27_전의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자동계산'!$B$4&lt;&gt;"27_전의 신규점","",IF('⑨ 구배 자동계산'!I23="","",'⑨ 구배 자동계산'!I23))</f>
        <v/>
      </c>
      <c r="D42" s="8"/>
      <c r="E42" s="8"/>
      <c r="F42" s="8"/>
      <c r="G42" s="92" t="str">
        <f>IF('⑨ 구배 자동계산'!$B$4&lt;&gt;"27_전의 신규점","",IF('⑨ 구배 자동계산'!$J23="","",'⑨ 구배 자동계산'!$J23&amp;"  ·  "&amp;'⑨ 구배 자동계산'!$L23))</f>
        <v/>
      </c>
      <c r="H42" s="93"/>
      <c r="I42" s="93"/>
    </row>
    <row r="43" spans="1:35" ht="19.95" customHeight="1" x14ac:dyDescent="0.4">
      <c r="A43" s="8">
        <v>3</v>
      </c>
      <c r="B43" s="33">
        <v>140</v>
      </c>
      <c r="C43" s="32" t="str">
        <f>IF('⑨ 구배 자동계산'!$B$4&lt;&gt;"27_전의 신규점","",IF('⑨ 구배 자동계산'!I24="","",'⑨ 구배 자동계산'!I24))</f>
        <v/>
      </c>
      <c r="D43" s="34">
        <f>IF(COUNT(B43,B42)&lt;2,"",(B42-B43)/100)</f>
        <v>0.45</v>
      </c>
      <c r="E43" s="35" t="str">
        <f>IF(COUNT(C43,C42)&lt;2,"",C43-C42)</f>
        <v/>
      </c>
      <c r="F43" s="36" t="str">
        <f>IF(OR(D43="",E43="",D43=0),"",E43/D43)</f>
        <v/>
      </c>
      <c r="G43" s="92" t="str">
        <f>IF('⑨ 구배 자동계산'!$B$4&lt;&gt;"27_전의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자동계산'!$B$4&lt;&gt;"27_전의 신규점","",IF('⑨ 구배 자동계산'!I25="","",'⑨ 구배 자동계산'!I25))</f>
        <v/>
      </c>
      <c r="D44" s="34">
        <f>IF(COUNT(B44,B43)&lt;2,"",(B43-B44)/100)</f>
        <v>0.45</v>
      </c>
      <c r="E44" s="35" t="str">
        <f>IF(COUNT(C44,C43)&lt;2,"",C44-C43)</f>
        <v/>
      </c>
      <c r="F44" s="36" t="str">
        <f>IF(OR(D44="",E44="",D44=0),"",E44/D44)</f>
        <v/>
      </c>
      <c r="G44" s="92" t="str">
        <f>IF('⑨ 구배 자동계산'!$B$4&lt;&gt;"27_전의 신규점","",IF('⑨ 구배 자동계산'!$J25="","",'⑨ 구배 자동계산'!$J25&amp;"  ·  "&amp;'⑨ 구배 자동계산'!$L25))</f>
        <v/>
      </c>
      <c r="H44" s="93"/>
      <c r="I44" s="93"/>
    </row>
    <row r="45" spans="1:35" ht="19.95" customHeight="1" x14ac:dyDescent="0.4">
      <c r="A45" s="8">
        <v>1</v>
      </c>
      <c r="B45" s="33">
        <v>50</v>
      </c>
      <c r="C45" s="32" t="str">
        <f>IF('⑨ 구배 자동계산'!$B$4&lt;&gt;"27_전의 신규점","",IF('⑨ 구배 자동계산'!I26="","",'⑨ 구배 자동계산'!I26))</f>
        <v/>
      </c>
      <c r="D45" s="34">
        <f>IF(COUNT(B45,B44)&lt;2,"",(B44-B45)/100)</f>
        <v>0.45</v>
      </c>
      <c r="E45" s="35" t="str">
        <f>IF(COUNT(C45,C44)&lt;2,"",C45-C44)</f>
        <v/>
      </c>
      <c r="F45" s="36" t="str">
        <f>IF(OR(D45="",E45="",D45=0),"",E45/D45)</f>
        <v/>
      </c>
      <c r="G45" s="92" t="str">
        <f>IF('⑨ 구배 자동계산'!$B$4&lt;&gt;"27_전의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IF(COUNT(B50,E50)&lt;2,"",ROUND(SQRT(((127.068702-E50)*111320*COS(RADIANS(36.579379)))^2+((36.579379-B50)*110574)^2),1))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S27-P0a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19" priority="1">
      <formula>AND(ISNUMBER(C31),C31&gt;50)</formula>
    </cfRule>
  </conditionalFormatting>
  <conditionalFormatting sqref="D7">
    <cfRule type="expression" dxfId="118" priority="3" stopIfTrue="1">
      <formula>AND($D$7&lt;&gt;"",VALUE(LEFT($D$7,1))&lt;5)</formula>
    </cfRule>
    <cfRule type="expression" dxfId="117" priority="4" stopIfTrue="1">
      <formula>AND($D$7&lt;&gt;"",VALUE(LEFT($D$7,1))&gt;=5)</formula>
    </cfRule>
  </conditionalFormatting>
  <conditionalFormatting sqref="E7">
    <cfRule type="expression" dxfId="116" priority="5" stopIfTrue="1">
      <formula>AND($E$7&lt;&gt;"",VALUE(LEFT($E$7,1))&lt;5)</formula>
    </cfRule>
    <cfRule type="expression" dxfId="11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A4171DD8-2C88-4795-92EB-1CD4B95AA8DC}">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CD789D59-F85F-4087-82DC-8A8FE54CB069}">
      <formula1>DATE(2026,1,1)</formula1>
      <formula2>DATE(2027,12,31)</formula2>
    </dataValidation>
    <dataValidation type="list" allowBlank="1" sqref="C7" xr:uid="{A899FC38-3159-4760-8A49-BDE85C3C4C1E}">
      <formula1>"맑음,구름 조금,흐림,비,눈,바람 강함"</formula1>
    </dataValidation>
    <dataValidation type="list" allowBlank="1" sqref="H50" xr:uid="{8118E466-3CD9-4CC0-AB10-AC477BEA87CC}">
      <formula1>"RTK-GNSS,네트워크RTK,정적GNSS,휴대GNSS"</formula1>
    </dataValidation>
    <dataValidation type="list" allowBlank="1" sqref="B109" xr:uid="{73A0D01D-74D0-47F7-BA3C-2828B040E6BA}">
      <formula1>"동일,조정"</formula1>
    </dataValidation>
    <dataValidation type="list" allowBlank="1" showInputMessage="1" showErrorMessage="1" sqref="F56:F57" xr:uid="{7595B984-4D35-478D-A45F-D1FB4447F9C8}">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&amp;RS27 전의 신규점</oddHeader>
    <oddFooter>&amp;C&amp;9 &amp;P / &amp;N</oddFooter>
  </headerFooter>
  <rowBreaks count="3" manualBreakCount="3">
    <brk id="38" max="16383" man="1"/>
    <brk id="58" max="16383" man="1"/>
    <brk id="106"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0702B-3C95-41F3-A596-639B441594B4}">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457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458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459</v>
      </c>
      <c r="B3" s="68"/>
      <c r="C3" s="68"/>
      <c r="D3" s="68"/>
      <c r="E3" s="68"/>
      <c r="F3" s="8" t="s">
        <v>154</v>
      </c>
      <c r="G3" s="6"/>
      <c r="H3" s="8" t="s">
        <v>155</v>
      </c>
      <c r="I3" s="9" t="s">
        <v>460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자동계산'!$B$4="28_이원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자동계산'!$B$4&lt;&gt;"28_이원 신규점","",IF('⑨ 구배 자동계산'!H9="","",'⑨ 구배 자동계산'!H9))</f>
        <v/>
      </c>
      <c r="C16" s="30" t="str">
        <f>IF('⑨ 구배 자동계산'!$B$4&lt;&gt;"28_이원 신규점","",IF('⑨ 구배 자동계산'!I9="","",'⑨ 구배 자동계산'!I9))</f>
        <v/>
      </c>
      <c r="D16" s="43" t="str">
        <f>IF('⑨ 구배 자동계산'!$B$4&lt;&gt;"28_이원 신규점","",IF('⑨ 구배 자동계산'!J9="","",'⑨ 구배 자동계산'!J9))</f>
        <v/>
      </c>
      <c r="E16" s="30" t="str">
        <f>IF('⑨ 구배 자동계산'!$B$4&lt;&gt;"28_이원 신규점","",IF('⑨ 구배 자동계산'!K9="","",'⑨ 구배 자동계산'!K9))</f>
        <v/>
      </c>
      <c r="F16" s="43" t="str">
        <f>IF('⑨ 구배 자동계산'!$B$4&lt;&gt;"28_이원 신규점","",IF('⑨ 구배 자동계산'!L9="","",'⑨ 구배 자동계산'!L9))</f>
        <v/>
      </c>
      <c r="G16" s="30" t="str">
        <f>IF('⑨ 구배 자동계산'!$B$4&lt;&gt;"28_이원 신규점","",IF('⑨ 구배 자동계산'!M9="","",'⑨ 구배 자동계산'!M9))</f>
        <v/>
      </c>
      <c r="H16" s="43" t="str">
        <f>IF('⑨ 구배 자동계산'!$B$4&lt;&gt;"28_이원 신규점","",IF('⑨ 구배 자동계산'!N9="","",'⑨ 구배 자동계산'!N9))</f>
        <v/>
      </c>
      <c r="I16" s="30" t="str">
        <f>IF('⑨ 구배 자동계산'!$B$4&lt;&gt;"28_이원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자동계산'!$B$4&lt;&gt;"28_이원 신규점","",IF('⑨ 구배 자동계산'!H10="","",'⑨ 구배 자동계산'!H10))</f>
        <v/>
      </c>
      <c r="C17" s="32" t="str">
        <f>IF('⑨ 구배 자동계산'!$B$4&lt;&gt;"28_이원 신규점","",IF('⑨ 구배 자동계산'!I10="","",'⑨ 구배 자동계산'!I10))</f>
        <v/>
      </c>
      <c r="D17" s="44" t="str">
        <f>IF('⑨ 구배 자동계산'!$B$4&lt;&gt;"28_이원 신규점","",IF('⑨ 구배 자동계산'!J10="","",'⑨ 구배 자동계산'!J10))</f>
        <v/>
      </c>
      <c r="E17" s="32" t="str">
        <f>IF('⑨ 구배 자동계산'!$B$4&lt;&gt;"28_이원 신규점","",IF('⑨ 구배 자동계산'!K10="","",'⑨ 구배 자동계산'!K10))</f>
        <v/>
      </c>
      <c r="F17" s="44" t="str">
        <f>IF('⑨ 구배 자동계산'!$B$4&lt;&gt;"28_이원 신규점","",IF('⑨ 구배 자동계산'!L10="","",'⑨ 구배 자동계산'!L10))</f>
        <v/>
      </c>
      <c r="G17" s="32" t="str">
        <f>IF('⑨ 구배 자동계산'!$B$4&lt;&gt;"28_이원 신규점","",IF('⑨ 구배 자동계산'!M10="","",'⑨ 구배 자동계산'!M10))</f>
        <v/>
      </c>
      <c r="H17" s="44" t="str">
        <f>IF('⑨ 구배 자동계산'!$B$4&lt;&gt;"28_이원 신규점","",IF('⑨ 구배 자동계산'!N10="","",'⑨ 구배 자동계산'!N10))</f>
        <v/>
      </c>
      <c r="I17" s="32" t="str">
        <f>IF('⑨ 구배 자동계산'!$B$4&lt;&gt;"28_이원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자동계산'!$B$4&lt;&gt;"28_이원 신규점","",IF('⑨ 구배 자동계산'!H11="","",'⑨ 구배 자동계산'!H11))</f>
        <v/>
      </c>
      <c r="C18" s="32" t="str">
        <f>IF('⑨ 구배 자동계산'!$B$4&lt;&gt;"28_이원 신규점","",IF('⑨ 구배 자동계산'!I11="","",'⑨ 구배 자동계산'!I11))</f>
        <v/>
      </c>
      <c r="D18" s="44" t="str">
        <f>IF('⑨ 구배 자동계산'!$B$4&lt;&gt;"28_이원 신규점","",IF('⑨ 구배 자동계산'!J11="","",'⑨ 구배 자동계산'!J11))</f>
        <v/>
      </c>
      <c r="E18" s="32" t="str">
        <f>IF('⑨ 구배 자동계산'!$B$4&lt;&gt;"28_이원 신규점","",IF('⑨ 구배 자동계산'!K11="","",'⑨ 구배 자동계산'!K11))</f>
        <v/>
      </c>
      <c r="F18" s="44" t="str">
        <f>IF('⑨ 구배 자동계산'!$B$4&lt;&gt;"28_이원 신규점","",IF('⑨ 구배 자동계산'!L11="","",'⑨ 구배 자동계산'!L11))</f>
        <v/>
      </c>
      <c r="G18" s="32" t="str">
        <f>IF('⑨ 구배 자동계산'!$B$4&lt;&gt;"28_이원 신규점","",IF('⑨ 구배 자동계산'!M11="","",'⑨ 구배 자동계산'!M11))</f>
        <v/>
      </c>
      <c r="H18" s="44" t="str">
        <f>IF('⑨ 구배 자동계산'!$B$4&lt;&gt;"28_이원 신규점","",IF('⑨ 구배 자동계산'!N11="","",'⑨ 구배 자동계산'!N11))</f>
        <v/>
      </c>
      <c r="I18" s="32" t="str">
        <f>IF('⑨ 구배 자동계산'!$B$4&lt;&gt;"28_이원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자동계산'!$B$4&lt;&gt;"28_이원 신규점","",IF('⑨ 구배 자동계산'!H12="","",'⑨ 구배 자동계산'!H12))</f>
        <v/>
      </c>
      <c r="C19" s="32" t="str">
        <f>IF('⑨ 구배 자동계산'!$B$4&lt;&gt;"28_이원 신규점","",IF('⑨ 구배 자동계산'!I12="","",'⑨ 구배 자동계산'!I12))</f>
        <v/>
      </c>
      <c r="D19" s="44" t="str">
        <f>IF('⑨ 구배 자동계산'!$B$4&lt;&gt;"28_이원 신규점","",IF('⑨ 구배 자동계산'!J12="","",'⑨ 구배 자동계산'!J12))</f>
        <v/>
      </c>
      <c r="E19" s="32" t="str">
        <f>IF('⑨ 구배 자동계산'!$B$4&lt;&gt;"28_이원 신규점","",IF('⑨ 구배 자동계산'!K12="","",'⑨ 구배 자동계산'!K12))</f>
        <v/>
      </c>
      <c r="F19" s="44" t="str">
        <f>IF('⑨ 구배 자동계산'!$B$4&lt;&gt;"28_이원 신규점","",IF('⑨ 구배 자동계산'!L12="","",'⑨ 구배 자동계산'!L12))</f>
        <v/>
      </c>
      <c r="G19" s="32" t="str">
        <f>IF('⑨ 구배 자동계산'!$B$4&lt;&gt;"28_이원 신규점","",IF('⑨ 구배 자동계산'!M12="","",'⑨ 구배 자동계산'!M12))</f>
        <v/>
      </c>
      <c r="H19" s="44" t="str">
        <f>IF('⑨ 구배 자동계산'!$B$4&lt;&gt;"28_이원 신규점","",IF('⑨ 구배 자동계산'!N12="","",'⑨ 구배 자동계산'!N12))</f>
        <v/>
      </c>
      <c r="I19" s="32" t="str">
        <f>IF('⑨ 구배 자동계산'!$B$4&lt;&gt;"28_이원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자동계산'!$B$4&lt;&gt;"28_이원 신규점","",IF('⑨ 구배 자동계산'!H13="","",'⑨ 구배 자동계산'!H13))</f>
        <v/>
      </c>
      <c r="C20" s="32" t="str">
        <f>IF('⑨ 구배 자동계산'!$B$4&lt;&gt;"28_이원 신규점","",IF('⑨ 구배 자동계산'!I13="","",'⑨ 구배 자동계산'!I13))</f>
        <v/>
      </c>
      <c r="D20" s="44" t="str">
        <f>IF('⑨ 구배 자동계산'!$B$4&lt;&gt;"28_이원 신규점","",IF('⑨ 구배 자동계산'!J13="","",'⑨ 구배 자동계산'!J13))</f>
        <v/>
      </c>
      <c r="E20" s="32" t="str">
        <f>IF('⑨ 구배 자동계산'!$B$4&lt;&gt;"28_이원 신규점","",IF('⑨ 구배 자동계산'!K13="","",'⑨ 구배 자동계산'!K13))</f>
        <v/>
      </c>
      <c r="F20" s="44" t="str">
        <f>IF('⑨ 구배 자동계산'!$B$4&lt;&gt;"28_이원 신규점","",IF('⑨ 구배 자동계산'!L13="","",'⑨ 구배 자동계산'!L13))</f>
        <v/>
      </c>
      <c r="G20" s="32" t="str">
        <f>IF('⑨ 구배 자동계산'!$B$4&lt;&gt;"28_이원 신규점","",IF('⑨ 구배 자동계산'!M13="","",'⑨ 구배 자동계산'!M13))</f>
        <v/>
      </c>
      <c r="H20" s="44" t="str">
        <f>IF('⑨ 구배 자동계산'!$B$4&lt;&gt;"28_이원 신규점","",IF('⑨ 구배 자동계산'!N13="","",'⑨ 구배 자동계산'!N13))</f>
        <v/>
      </c>
      <c r="I20" s="32" t="str">
        <f>IF('⑨ 구배 자동계산'!$B$4&lt;&gt;"28_이원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자동계산'!$B$4&lt;&gt;"28_이원 신규점","",IF('⑨ 구배 자동계산'!H14="","",'⑨ 구배 자동계산'!H14))</f>
        <v/>
      </c>
      <c r="C21" s="32" t="str">
        <f>IF('⑨ 구배 자동계산'!$B$4&lt;&gt;"28_이원 신규점","",IF('⑨ 구배 자동계산'!I14="","",'⑨ 구배 자동계산'!I14))</f>
        <v/>
      </c>
      <c r="D21" s="44" t="str">
        <f>IF('⑨ 구배 자동계산'!$B$4&lt;&gt;"28_이원 신규점","",IF('⑨ 구배 자동계산'!J14="","",'⑨ 구배 자동계산'!J14))</f>
        <v/>
      </c>
      <c r="E21" s="32" t="str">
        <f>IF('⑨ 구배 자동계산'!$B$4&lt;&gt;"28_이원 신규점","",IF('⑨ 구배 자동계산'!K14="","",'⑨ 구배 자동계산'!K14))</f>
        <v/>
      </c>
      <c r="F21" s="44" t="str">
        <f>IF('⑨ 구배 자동계산'!$B$4&lt;&gt;"28_이원 신규점","",IF('⑨ 구배 자동계산'!L14="","",'⑨ 구배 자동계산'!L14))</f>
        <v/>
      </c>
      <c r="G21" s="32" t="str">
        <f>IF('⑨ 구배 자동계산'!$B$4&lt;&gt;"28_이원 신규점","",IF('⑨ 구배 자동계산'!M14="","",'⑨ 구배 자동계산'!M14))</f>
        <v/>
      </c>
      <c r="H21" s="44" t="str">
        <f>IF('⑨ 구배 자동계산'!$B$4&lt;&gt;"28_이원 신규점","",IF('⑨ 구배 자동계산'!N14="","",'⑨ 구배 자동계산'!N14))</f>
        <v/>
      </c>
      <c r="I21" s="32" t="str">
        <f>IF('⑨ 구배 자동계산'!$B$4&lt;&gt;"28_이원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자동계산'!$B$4&lt;&gt;"28_이원 신규점","",IF('⑨ 구배 자동계산'!H15="","",'⑨ 구배 자동계산'!H15))</f>
        <v/>
      </c>
      <c r="C22" s="32" t="str">
        <f>IF('⑨ 구배 자동계산'!$B$4&lt;&gt;"28_이원 신규점","",IF('⑨ 구배 자동계산'!I15="","",'⑨ 구배 자동계산'!I15))</f>
        <v/>
      </c>
      <c r="D22" s="44" t="str">
        <f>IF('⑨ 구배 자동계산'!$B$4&lt;&gt;"28_이원 신규점","",IF('⑨ 구배 자동계산'!J15="","",'⑨ 구배 자동계산'!J15))</f>
        <v/>
      </c>
      <c r="E22" s="32" t="str">
        <f>IF('⑨ 구배 자동계산'!$B$4&lt;&gt;"28_이원 신규점","",IF('⑨ 구배 자동계산'!K15="","",'⑨ 구배 자동계산'!K15))</f>
        <v/>
      </c>
      <c r="F22" s="44" t="str">
        <f>IF('⑨ 구배 자동계산'!$B$4&lt;&gt;"28_이원 신규점","",IF('⑨ 구배 자동계산'!L15="","",'⑨ 구배 자동계산'!L15))</f>
        <v/>
      </c>
      <c r="G22" s="32" t="str">
        <f>IF('⑨ 구배 자동계산'!$B$4&lt;&gt;"28_이원 신규점","",IF('⑨ 구배 자동계산'!M15="","",'⑨ 구배 자동계산'!M15))</f>
        <v/>
      </c>
      <c r="H22" s="44" t="str">
        <f>IF('⑨ 구배 자동계산'!$B$4&lt;&gt;"28_이원 신규점","",IF('⑨ 구배 자동계산'!N15="","",'⑨ 구배 자동계산'!N15))</f>
        <v/>
      </c>
      <c r="I22" s="32" t="str">
        <f>IF('⑨ 구배 자동계산'!$B$4&lt;&gt;"28_이원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자동계산'!$B$4&lt;&gt;"28_이원 신규점","",IF('⑨ 구배 자동계산'!H16="","",'⑨ 구배 자동계산'!H16))</f>
        <v/>
      </c>
      <c r="C23" s="32" t="str">
        <f>IF('⑨ 구배 자동계산'!$B$4&lt;&gt;"28_이원 신규점","",IF('⑨ 구배 자동계산'!I16="","",'⑨ 구배 자동계산'!I16))</f>
        <v/>
      </c>
      <c r="D23" s="44" t="str">
        <f>IF('⑨ 구배 자동계산'!$B$4&lt;&gt;"28_이원 신규점","",IF('⑨ 구배 자동계산'!J16="","",'⑨ 구배 자동계산'!J16))</f>
        <v/>
      </c>
      <c r="E23" s="32" t="str">
        <f>IF('⑨ 구배 자동계산'!$B$4&lt;&gt;"28_이원 신규점","",IF('⑨ 구배 자동계산'!K16="","",'⑨ 구배 자동계산'!K16))</f>
        <v/>
      </c>
      <c r="F23" s="44" t="str">
        <f>IF('⑨ 구배 자동계산'!$B$4&lt;&gt;"28_이원 신규점","",IF('⑨ 구배 자동계산'!L16="","",'⑨ 구배 자동계산'!L16))</f>
        <v/>
      </c>
      <c r="G23" s="32" t="str">
        <f>IF('⑨ 구배 자동계산'!$B$4&lt;&gt;"28_이원 신규점","",IF('⑨ 구배 자동계산'!M16="","",'⑨ 구배 자동계산'!M16))</f>
        <v/>
      </c>
      <c r="H23" s="44" t="str">
        <f>IF('⑨ 구배 자동계산'!$B$4&lt;&gt;"28_이원 신규점","",IF('⑨ 구배 자동계산'!N16="","",'⑨ 구배 자동계산'!N16))</f>
        <v/>
      </c>
      <c r="I23" s="32" t="str">
        <f>IF('⑨ 구배 자동계산'!$B$4&lt;&gt;"28_이원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자동계산'!$B$4&lt;&gt;"28_이원 신규점","",IF('⑨ 구배 자동계산'!H17="","",'⑨ 구배 자동계산'!H17))</f>
        <v/>
      </c>
      <c r="C24" s="32" t="str">
        <f>IF('⑨ 구배 자동계산'!$B$4&lt;&gt;"28_이원 신규점","",IF('⑨ 구배 자동계산'!I17="","",'⑨ 구배 자동계산'!I17))</f>
        <v/>
      </c>
      <c r="D24" s="44" t="str">
        <f>IF('⑨ 구배 자동계산'!$B$4&lt;&gt;"28_이원 신규점","",IF('⑨ 구배 자동계산'!J17="","",'⑨ 구배 자동계산'!J17))</f>
        <v/>
      </c>
      <c r="E24" s="32" t="str">
        <f>IF('⑨ 구배 자동계산'!$B$4&lt;&gt;"28_이원 신규점","",IF('⑨ 구배 자동계산'!K17="","",'⑨ 구배 자동계산'!K17))</f>
        <v/>
      </c>
      <c r="F24" s="44" t="str">
        <f>IF('⑨ 구배 자동계산'!$B$4&lt;&gt;"28_이원 신규점","",IF('⑨ 구배 자동계산'!L17="","",'⑨ 구배 자동계산'!L17))</f>
        <v/>
      </c>
      <c r="G24" s="32" t="str">
        <f>IF('⑨ 구배 자동계산'!$B$4&lt;&gt;"28_이원 신규점","",IF('⑨ 구배 자동계산'!M17="","",'⑨ 구배 자동계산'!M17))</f>
        <v/>
      </c>
      <c r="H24" s="44" t="str">
        <f>IF('⑨ 구배 자동계산'!$B$4&lt;&gt;"28_이원 신규점","",IF('⑨ 구배 자동계산'!N17="","",'⑨ 구배 자동계산'!N17))</f>
        <v/>
      </c>
      <c r="I24" s="32" t="str">
        <f>IF('⑨ 구배 자동계산'!$B$4&lt;&gt;"28_이원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자동계산'!$B$4&lt;&gt;"28_이원 신규점","",IF('⑨ 구배 자동계산'!H18="","",'⑨ 구배 자동계산'!H18))</f>
        <v/>
      </c>
      <c r="C25" s="32" t="str">
        <f>IF('⑨ 구배 자동계산'!$B$4&lt;&gt;"28_이원 신규점","",IF('⑨ 구배 자동계산'!I18="","",'⑨ 구배 자동계산'!I18))</f>
        <v/>
      </c>
      <c r="D25" s="44" t="str">
        <f>IF('⑨ 구배 자동계산'!$B$4&lt;&gt;"28_이원 신규점","",IF('⑨ 구배 자동계산'!J18="","",'⑨ 구배 자동계산'!J18))</f>
        <v/>
      </c>
      <c r="E25" s="32" t="str">
        <f>IF('⑨ 구배 자동계산'!$B$4&lt;&gt;"28_이원 신규점","",IF('⑨ 구배 자동계산'!K18="","",'⑨ 구배 자동계산'!K18))</f>
        <v/>
      </c>
      <c r="F25" s="44" t="str">
        <f>IF('⑨ 구배 자동계산'!$B$4&lt;&gt;"28_이원 신규점","",IF('⑨ 구배 자동계산'!L18="","",'⑨ 구배 자동계산'!L18))</f>
        <v/>
      </c>
      <c r="G25" s="32" t="str">
        <f>IF('⑨ 구배 자동계산'!$B$4&lt;&gt;"28_이원 신규점","",IF('⑨ 구배 자동계산'!M18="","",'⑨ 구배 자동계산'!M18))</f>
        <v/>
      </c>
      <c r="H25" s="44" t="str">
        <f>IF('⑨ 구배 자동계산'!$B$4&lt;&gt;"28_이원 신규점","",IF('⑨ 구배 자동계산'!N18="","",'⑨ 구배 자동계산'!N18))</f>
        <v/>
      </c>
      <c r="I25" s="32" t="str">
        <f>IF('⑨ 구배 자동계산'!$B$4&lt;&gt;"28_이원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자동계산'!$B$4&lt;&gt;"28_이원 신규점","",IF('⑨ 구배 자동계산'!H19="","",'⑨ 구배 자동계산'!H19))</f>
        <v/>
      </c>
      <c r="C26" s="32" t="str">
        <f>IF('⑨ 구배 자동계산'!$B$4&lt;&gt;"28_이원 신규점","",IF('⑨ 구배 자동계산'!I19="","",'⑨ 구배 자동계산'!I19))</f>
        <v/>
      </c>
      <c r="D26" s="44" t="str">
        <f>IF('⑨ 구배 자동계산'!$B$4&lt;&gt;"28_이원 신규점","",IF('⑨ 구배 자동계산'!J19="","",'⑨ 구배 자동계산'!J19))</f>
        <v/>
      </c>
      <c r="E26" s="32" t="str">
        <f>IF('⑨ 구배 자동계산'!$B$4&lt;&gt;"28_이원 신규점","",IF('⑨ 구배 자동계산'!K19="","",'⑨ 구배 자동계산'!K19))</f>
        <v/>
      </c>
      <c r="F26" s="44" t="str">
        <f>IF('⑨ 구배 자동계산'!$B$4&lt;&gt;"28_이원 신규점","",IF('⑨ 구배 자동계산'!L19="","",'⑨ 구배 자동계산'!L19))</f>
        <v/>
      </c>
      <c r="G26" s="32" t="str">
        <f>IF('⑨ 구배 자동계산'!$B$4&lt;&gt;"28_이원 신규점","",IF('⑨ 구배 자동계산'!M19="","",'⑨ 구배 자동계산'!M19))</f>
        <v/>
      </c>
      <c r="H26" s="44" t="str">
        <f>IF('⑨ 구배 자동계산'!$B$4&lt;&gt;"28_이원 신규점","",IF('⑨ 구배 자동계산'!N19="","",'⑨ 구배 자동계산'!N19))</f>
        <v/>
      </c>
      <c r="I26" s="32" t="str">
        <f>IF('⑨ 구배 자동계산'!$B$4&lt;&gt;"28_이원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자동계산'!$B$4&lt;&gt;"28_이원 신규점","",IF('⑨ 구배 자동계산'!H20="","",'⑨ 구배 자동계산'!H20))</f>
        <v/>
      </c>
      <c r="C27" s="41" t="str">
        <f>IF('⑨ 구배 자동계산'!$B$4&lt;&gt;"28_이원 신규점","",IF('⑨ 구배 자동계산'!I20="","",'⑨ 구배 자동계산'!I20))</f>
        <v/>
      </c>
      <c r="D27" s="45" t="str">
        <f>IF('⑨ 구배 자동계산'!$B$4&lt;&gt;"28_이원 신규점","",IF('⑨ 구배 자동계산'!J20="","",'⑨ 구배 자동계산'!J20))</f>
        <v/>
      </c>
      <c r="E27" s="41" t="str">
        <f>IF('⑨ 구배 자동계산'!$B$4&lt;&gt;"28_이원 신규점","",IF('⑨ 구배 자동계산'!K20="","",'⑨ 구배 자동계산'!K20))</f>
        <v/>
      </c>
      <c r="F27" s="45" t="str">
        <f>IF('⑨ 구배 자동계산'!$B$4&lt;&gt;"28_이원 신규점","",IF('⑨ 구배 자동계산'!L20="","",'⑨ 구배 자동계산'!L20))</f>
        <v/>
      </c>
      <c r="G27" s="41" t="str">
        <f>IF('⑨ 구배 자동계산'!$B$4&lt;&gt;"28_이원 신규점","",IF('⑨ 구배 자동계산'!M20="","",'⑨ 구배 자동계산'!M20))</f>
        <v/>
      </c>
      <c r="H27" s="45" t="str">
        <f>IF('⑨ 구배 자동계산'!$B$4&lt;&gt;"28_이원 신규점","",IF('⑨ 구배 자동계산'!N20="","",'⑨ 구배 자동계산'!N20))</f>
        <v/>
      </c>
      <c r="I27" s="41" t="str">
        <f>IF('⑨ 구배 자동계산'!$B$4&lt;&gt;"28_이원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자동계산'!$B$4&lt;&gt;"28_이원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자동계산'!$B$4&lt;&gt;"28_이원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자동계산'!$B$4&lt;&gt;"28_이원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자동계산'!$B$4&lt;&gt;"28_이원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자동계산'!$B$4&lt;&gt;"28_이원 신규점","",IF('⑨ 구배 자동계산'!I23="","",'⑨ 구배 자동계산'!I23))</f>
        <v/>
      </c>
      <c r="D42" s="8"/>
      <c r="E42" s="8"/>
      <c r="F42" s="8"/>
      <c r="G42" s="92" t="str">
        <f>IF('⑨ 구배 자동계산'!$B$4&lt;&gt;"28_이원 신규점","",IF('⑨ 구배 자동계산'!$J23="","",'⑨ 구배 자동계산'!$J23&amp;"  ·  "&amp;'⑨ 구배 자동계산'!$L23))</f>
        <v/>
      </c>
      <c r="H42" s="93"/>
      <c r="I42" s="93"/>
    </row>
    <row r="43" spans="1:35" ht="19.95" customHeight="1" x14ac:dyDescent="0.4">
      <c r="A43" s="8">
        <v>3</v>
      </c>
      <c r="B43" s="33">
        <v>140</v>
      </c>
      <c r="C43" s="32" t="str">
        <f>IF('⑨ 구배 자동계산'!$B$4&lt;&gt;"28_이원 신규점","",IF('⑨ 구배 자동계산'!I24="","",'⑨ 구배 자동계산'!I24))</f>
        <v/>
      </c>
      <c r="D43" s="34">
        <f>IF(COUNT(B43,B42)&lt;2,"",(B42-B43)/100)</f>
        <v>0.45</v>
      </c>
      <c r="E43" s="35" t="str">
        <f>IF(COUNT(C43,C42)&lt;2,"",C43-C42)</f>
        <v/>
      </c>
      <c r="F43" s="36" t="str">
        <f>IF(OR(D43="",E43="",D43=0),"",E43/D43)</f>
        <v/>
      </c>
      <c r="G43" s="92" t="str">
        <f>IF('⑨ 구배 자동계산'!$B$4&lt;&gt;"28_이원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자동계산'!$B$4&lt;&gt;"28_이원 신규점","",IF('⑨ 구배 자동계산'!I25="","",'⑨ 구배 자동계산'!I25))</f>
        <v/>
      </c>
      <c r="D44" s="34">
        <f>IF(COUNT(B44,B43)&lt;2,"",(B43-B44)/100)</f>
        <v>0.45</v>
      </c>
      <c r="E44" s="35" t="str">
        <f>IF(COUNT(C44,C43)&lt;2,"",C44-C43)</f>
        <v/>
      </c>
      <c r="F44" s="36" t="str">
        <f>IF(OR(D44="",E44="",D44=0),"",E44/D44)</f>
        <v/>
      </c>
      <c r="G44" s="92" t="str">
        <f>IF('⑨ 구배 자동계산'!$B$4&lt;&gt;"28_이원 신규점","",IF('⑨ 구배 자동계산'!$J25="","",'⑨ 구배 자동계산'!$J25&amp;"  ·  "&amp;'⑨ 구배 자동계산'!$L25))</f>
        <v/>
      </c>
      <c r="H44" s="93"/>
      <c r="I44" s="93"/>
    </row>
    <row r="45" spans="1:35" ht="19.95" customHeight="1" x14ac:dyDescent="0.4">
      <c r="A45" s="8">
        <v>1</v>
      </c>
      <c r="B45" s="33">
        <v>50</v>
      </c>
      <c r="C45" s="32" t="str">
        <f>IF('⑨ 구배 자동계산'!$B$4&lt;&gt;"28_이원 신규점","",IF('⑨ 구배 자동계산'!I26="","",'⑨ 구배 자동계산'!I26))</f>
        <v/>
      </c>
      <c r="D45" s="34">
        <f>IF(COUNT(B45,B44)&lt;2,"",(B44-B45)/100)</f>
        <v>0.45</v>
      </c>
      <c r="E45" s="35" t="str">
        <f>IF(COUNT(C45,C44)&lt;2,"",C45-C44)</f>
        <v/>
      </c>
      <c r="F45" s="36" t="str">
        <f>IF(OR(D45="",E45="",D45=0),"",E45/D45)</f>
        <v/>
      </c>
      <c r="G45" s="92" t="str">
        <f>IF('⑨ 구배 자동계산'!$B$4&lt;&gt;"28_이원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IF(COUNT(B50,E50)&lt;2,"",ROUND(SQRT(((127.583121-E50)*111320*COS(RADIANS(36.16662)))^2+((36.16662-B50)*110574)^2),1))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S28-P0a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14" priority="1">
      <formula>AND(ISNUMBER(C31),C31&gt;50)</formula>
    </cfRule>
  </conditionalFormatting>
  <conditionalFormatting sqref="D7">
    <cfRule type="expression" dxfId="113" priority="3" stopIfTrue="1">
      <formula>AND($D$7&lt;&gt;"",VALUE(LEFT($D$7,1))&lt;5)</formula>
    </cfRule>
    <cfRule type="expression" dxfId="112" priority="4" stopIfTrue="1">
      <formula>AND($D$7&lt;&gt;"",VALUE(LEFT($D$7,1))&gt;=5)</formula>
    </cfRule>
  </conditionalFormatting>
  <conditionalFormatting sqref="E7">
    <cfRule type="expression" dxfId="111" priority="5" stopIfTrue="1">
      <formula>AND($E$7&lt;&gt;"",VALUE(LEFT($E$7,1))&lt;5)</formula>
    </cfRule>
    <cfRule type="expression" dxfId="11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B518AD16-9E03-4755-A9CB-D59BB2ED48C4}">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3E9D6BBF-42B2-483D-98E3-C3197969E9EA}">
      <formula1>DATE(2026,1,1)</formula1>
      <formula2>DATE(2027,12,31)</formula2>
    </dataValidation>
    <dataValidation type="list" allowBlank="1" sqref="C7" xr:uid="{E8F7E38A-E1F2-4C59-BE43-330D6A2A216A}">
      <formula1>"맑음,구름 조금,흐림,비,눈,바람 강함"</formula1>
    </dataValidation>
    <dataValidation type="list" allowBlank="1" sqref="H50" xr:uid="{3D07A4E4-6022-47B6-9417-074639FEC8D2}">
      <formula1>"RTK-GNSS,네트워크RTK,정적GNSS,휴대GNSS"</formula1>
    </dataValidation>
    <dataValidation type="list" allowBlank="1" sqref="B109" xr:uid="{3020EDC7-9F1C-4251-9EBE-2CB234AA6CAB}">
      <formula1>"동일,조정"</formula1>
    </dataValidation>
    <dataValidation type="list" allowBlank="1" showInputMessage="1" showErrorMessage="1" sqref="F56:F57" xr:uid="{4CEE9769-3CC1-4C24-B8B7-6699A34951F5}">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&amp;RS28 이원 신규점</oddHeader>
    <oddFooter>&amp;C&amp;9 &amp;P / &amp;N</oddFooter>
  </headerFooter>
  <rowBreaks count="3" manualBreakCount="3">
    <brk id="38" max="16383" man="1"/>
    <brk id="58" max="16383" man="1"/>
    <brk id="106" max="16383"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605D-ABF1-454A-A2AD-C0E5BE475896}">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461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462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463</v>
      </c>
      <c r="B3" s="68"/>
      <c r="C3" s="68"/>
      <c r="D3" s="68"/>
      <c r="E3" s="68"/>
      <c r="F3" s="8" t="s">
        <v>154</v>
      </c>
      <c r="G3" s="6"/>
      <c r="H3" s="8" t="s">
        <v>155</v>
      </c>
      <c r="I3" s="9" t="s">
        <v>464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자동계산'!$B$4="29_가야 신규점1","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자동계산'!$B$4&lt;&gt;"29_가야 신규점1","",IF('⑨ 구배 자동계산'!H9="","",'⑨ 구배 자동계산'!H9))</f>
        <v/>
      </c>
      <c r="C16" s="30" t="str">
        <f>IF('⑨ 구배 자동계산'!$B$4&lt;&gt;"29_가야 신규점1","",IF('⑨ 구배 자동계산'!I9="","",'⑨ 구배 자동계산'!I9))</f>
        <v/>
      </c>
      <c r="D16" s="43" t="str">
        <f>IF('⑨ 구배 자동계산'!$B$4&lt;&gt;"29_가야 신규점1","",IF('⑨ 구배 자동계산'!J9="","",'⑨ 구배 자동계산'!J9))</f>
        <v/>
      </c>
      <c r="E16" s="30" t="str">
        <f>IF('⑨ 구배 자동계산'!$B$4&lt;&gt;"29_가야 신규점1","",IF('⑨ 구배 자동계산'!K9="","",'⑨ 구배 자동계산'!K9))</f>
        <v/>
      </c>
      <c r="F16" s="43" t="str">
        <f>IF('⑨ 구배 자동계산'!$B$4&lt;&gt;"29_가야 신규점1","",IF('⑨ 구배 자동계산'!L9="","",'⑨ 구배 자동계산'!L9))</f>
        <v/>
      </c>
      <c r="G16" s="30" t="str">
        <f>IF('⑨ 구배 자동계산'!$B$4&lt;&gt;"29_가야 신규점1","",IF('⑨ 구배 자동계산'!M9="","",'⑨ 구배 자동계산'!M9))</f>
        <v/>
      </c>
      <c r="H16" s="43" t="str">
        <f>IF('⑨ 구배 자동계산'!$B$4&lt;&gt;"29_가야 신규점1","",IF('⑨ 구배 자동계산'!N9="","",'⑨ 구배 자동계산'!N9))</f>
        <v/>
      </c>
      <c r="I16" s="30" t="str">
        <f>IF('⑨ 구배 자동계산'!$B$4&lt;&gt;"29_가야 신규점1","",IF('⑨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자동계산'!$B$4&lt;&gt;"29_가야 신규점1","",IF('⑨ 구배 자동계산'!H10="","",'⑨ 구배 자동계산'!H10))</f>
        <v/>
      </c>
      <c r="C17" s="32" t="str">
        <f>IF('⑨ 구배 자동계산'!$B$4&lt;&gt;"29_가야 신규점1","",IF('⑨ 구배 자동계산'!I10="","",'⑨ 구배 자동계산'!I10))</f>
        <v/>
      </c>
      <c r="D17" s="44" t="str">
        <f>IF('⑨ 구배 자동계산'!$B$4&lt;&gt;"29_가야 신규점1","",IF('⑨ 구배 자동계산'!J10="","",'⑨ 구배 자동계산'!J10))</f>
        <v/>
      </c>
      <c r="E17" s="32" t="str">
        <f>IF('⑨ 구배 자동계산'!$B$4&lt;&gt;"29_가야 신규점1","",IF('⑨ 구배 자동계산'!K10="","",'⑨ 구배 자동계산'!K10))</f>
        <v/>
      </c>
      <c r="F17" s="44" t="str">
        <f>IF('⑨ 구배 자동계산'!$B$4&lt;&gt;"29_가야 신규점1","",IF('⑨ 구배 자동계산'!L10="","",'⑨ 구배 자동계산'!L10))</f>
        <v/>
      </c>
      <c r="G17" s="32" t="str">
        <f>IF('⑨ 구배 자동계산'!$B$4&lt;&gt;"29_가야 신규점1","",IF('⑨ 구배 자동계산'!M10="","",'⑨ 구배 자동계산'!M10))</f>
        <v/>
      </c>
      <c r="H17" s="44" t="str">
        <f>IF('⑨ 구배 자동계산'!$B$4&lt;&gt;"29_가야 신규점1","",IF('⑨ 구배 자동계산'!N10="","",'⑨ 구배 자동계산'!N10))</f>
        <v/>
      </c>
      <c r="I17" s="32" t="str">
        <f>IF('⑨ 구배 자동계산'!$B$4&lt;&gt;"29_가야 신규점1","",IF('⑨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자동계산'!$B$4&lt;&gt;"29_가야 신규점1","",IF('⑨ 구배 자동계산'!H11="","",'⑨ 구배 자동계산'!H11))</f>
        <v/>
      </c>
      <c r="C18" s="32" t="str">
        <f>IF('⑨ 구배 자동계산'!$B$4&lt;&gt;"29_가야 신규점1","",IF('⑨ 구배 자동계산'!I11="","",'⑨ 구배 자동계산'!I11))</f>
        <v/>
      </c>
      <c r="D18" s="44" t="str">
        <f>IF('⑨ 구배 자동계산'!$B$4&lt;&gt;"29_가야 신규점1","",IF('⑨ 구배 자동계산'!J11="","",'⑨ 구배 자동계산'!J11))</f>
        <v/>
      </c>
      <c r="E18" s="32" t="str">
        <f>IF('⑨ 구배 자동계산'!$B$4&lt;&gt;"29_가야 신규점1","",IF('⑨ 구배 자동계산'!K11="","",'⑨ 구배 자동계산'!K11))</f>
        <v/>
      </c>
      <c r="F18" s="44" t="str">
        <f>IF('⑨ 구배 자동계산'!$B$4&lt;&gt;"29_가야 신규점1","",IF('⑨ 구배 자동계산'!L11="","",'⑨ 구배 자동계산'!L11))</f>
        <v/>
      </c>
      <c r="G18" s="32" t="str">
        <f>IF('⑨ 구배 자동계산'!$B$4&lt;&gt;"29_가야 신규점1","",IF('⑨ 구배 자동계산'!M11="","",'⑨ 구배 자동계산'!M11))</f>
        <v/>
      </c>
      <c r="H18" s="44" t="str">
        <f>IF('⑨ 구배 자동계산'!$B$4&lt;&gt;"29_가야 신규점1","",IF('⑨ 구배 자동계산'!N11="","",'⑨ 구배 자동계산'!N11))</f>
        <v/>
      </c>
      <c r="I18" s="32" t="str">
        <f>IF('⑨ 구배 자동계산'!$B$4&lt;&gt;"29_가야 신규점1","",IF('⑨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자동계산'!$B$4&lt;&gt;"29_가야 신규점1","",IF('⑨ 구배 자동계산'!H12="","",'⑨ 구배 자동계산'!H12))</f>
        <v/>
      </c>
      <c r="C19" s="32" t="str">
        <f>IF('⑨ 구배 자동계산'!$B$4&lt;&gt;"29_가야 신규점1","",IF('⑨ 구배 자동계산'!I12="","",'⑨ 구배 자동계산'!I12))</f>
        <v/>
      </c>
      <c r="D19" s="44" t="str">
        <f>IF('⑨ 구배 자동계산'!$B$4&lt;&gt;"29_가야 신규점1","",IF('⑨ 구배 자동계산'!J12="","",'⑨ 구배 자동계산'!J12))</f>
        <v/>
      </c>
      <c r="E19" s="32" t="str">
        <f>IF('⑨ 구배 자동계산'!$B$4&lt;&gt;"29_가야 신규점1","",IF('⑨ 구배 자동계산'!K12="","",'⑨ 구배 자동계산'!K12))</f>
        <v/>
      </c>
      <c r="F19" s="44" t="str">
        <f>IF('⑨ 구배 자동계산'!$B$4&lt;&gt;"29_가야 신규점1","",IF('⑨ 구배 자동계산'!L12="","",'⑨ 구배 자동계산'!L12))</f>
        <v/>
      </c>
      <c r="G19" s="32" t="str">
        <f>IF('⑨ 구배 자동계산'!$B$4&lt;&gt;"29_가야 신규점1","",IF('⑨ 구배 자동계산'!M12="","",'⑨ 구배 자동계산'!M12))</f>
        <v/>
      </c>
      <c r="H19" s="44" t="str">
        <f>IF('⑨ 구배 자동계산'!$B$4&lt;&gt;"29_가야 신규점1","",IF('⑨ 구배 자동계산'!N12="","",'⑨ 구배 자동계산'!N12))</f>
        <v/>
      </c>
      <c r="I19" s="32" t="str">
        <f>IF('⑨ 구배 자동계산'!$B$4&lt;&gt;"29_가야 신규점1","",IF('⑨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자동계산'!$B$4&lt;&gt;"29_가야 신규점1","",IF('⑨ 구배 자동계산'!H13="","",'⑨ 구배 자동계산'!H13))</f>
        <v/>
      </c>
      <c r="C20" s="32" t="str">
        <f>IF('⑨ 구배 자동계산'!$B$4&lt;&gt;"29_가야 신규점1","",IF('⑨ 구배 자동계산'!I13="","",'⑨ 구배 자동계산'!I13))</f>
        <v/>
      </c>
      <c r="D20" s="44" t="str">
        <f>IF('⑨ 구배 자동계산'!$B$4&lt;&gt;"29_가야 신규점1","",IF('⑨ 구배 자동계산'!J13="","",'⑨ 구배 자동계산'!J13))</f>
        <v/>
      </c>
      <c r="E20" s="32" t="str">
        <f>IF('⑨ 구배 자동계산'!$B$4&lt;&gt;"29_가야 신규점1","",IF('⑨ 구배 자동계산'!K13="","",'⑨ 구배 자동계산'!K13))</f>
        <v/>
      </c>
      <c r="F20" s="44" t="str">
        <f>IF('⑨ 구배 자동계산'!$B$4&lt;&gt;"29_가야 신규점1","",IF('⑨ 구배 자동계산'!L13="","",'⑨ 구배 자동계산'!L13))</f>
        <v/>
      </c>
      <c r="G20" s="32" t="str">
        <f>IF('⑨ 구배 자동계산'!$B$4&lt;&gt;"29_가야 신규점1","",IF('⑨ 구배 자동계산'!M13="","",'⑨ 구배 자동계산'!M13))</f>
        <v/>
      </c>
      <c r="H20" s="44" t="str">
        <f>IF('⑨ 구배 자동계산'!$B$4&lt;&gt;"29_가야 신규점1","",IF('⑨ 구배 자동계산'!N13="","",'⑨ 구배 자동계산'!N13))</f>
        <v/>
      </c>
      <c r="I20" s="32" t="str">
        <f>IF('⑨ 구배 자동계산'!$B$4&lt;&gt;"29_가야 신규점1","",IF('⑨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자동계산'!$B$4&lt;&gt;"29_가야 신규점1","",IF('⑨ 구배 자동계산'!H14="","",'⑨ 구배 자동계산'!H14))</f>
        <v/>
      </c>
      <c r="C21" s="32" t="str">
        <f>IF('⑨ 구배 자동계산'!$B$4&lt;&gt;"29_가야 신규점1","",IF('⑨ 구배 자동계산'!I14="","",'⑨ 구배 자동계산'!I14))</f>
        <v/>
      </c>
      <c r="D21" s="44" t="str">
        <f>IF('⑨ 구배 자동계산'!$B$4&lt;&gt;"29_가야 신규점1","",IF('⑨ 구배 자동계산'!J14="","",'⑨ 구배 자동계산'!J14))</f>
        <v/>
      </c>
      <c r="E21" s="32" t="str">
        <f>IF('⑨ 구배 자동계산'!$B$4&lt;&gt;"29_가야 신규점1","",IF('⑨ 구배 자동계산'!K14="","",'⑨ 구배 자동계산'!K14))</f>
        <v/>
      </c>
      <c r="F21" s="44" t="str">
        <f>IF('⑨ 구배 자동계산'!$B$4&lt;&gt;"29_가야 신규점1","",IF('⑨ 구배 자동계산'!L14="","",'⑨ 구배 자동계산'!L14))</f>
        <v/>
      </c>
      <c r="G21" s="32" t="str">
        <f>IF('⑨ 구배 자동계산'!$B$4&lt;&gt;"29_가야 신규점1","",IF('⑨ 구배 자동계산'!M14="","",'⑨ 구배 자동계산'!M14))</f>
        <v/>
      </c>
      <c r="H21" s="44" t="str">
        <f>IF('⑨ 구배 자동계산'!$B$4&lt;&gt;"29_가야 신규점1","",IF('⑨ 구배 자동계산'!N14="","",'⑨ 구배 자동계산'!N14))</f>
        <v/>
      </c>
      <c r="I21" s="32" t="str">
        <f>IF('⑨ 구배 자동계산'!$B$4&lt;&gt;"29_가야 신규점1","",IF('⑨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자동계산'!$B$4&lt;&gt;"29_가야 신규점1","",IF('⑨ 구배 자동계산'!H15="","",'⑨ 구배 자동계산'!H15))</f>
        <v/>
      </c>
      <c r="C22" s="32" t="str">
        <f>IF('⑨ 구배 자동계산'!$B$4&lt;&gt;"29_가야 신규점1","",IF('⑨ 구배 자동계산'!I15="","",'⑨ 구배 자동계산'!I15))</f>
        <v/>
      </c>
      <c r="D22" s="44" t="str">
        <f>IF('⑨ 구배 자동계산'!$B$4&lt;&gt;"29_가야 신규점1","",IF('⑨ 구배 자동계산'!J15="","",'⑨ 구배 자동계산'!J15))</f>
        <v/>
      </c>
      <c r="E22" s="32" t="str">
        <f>IF('⑨ 구배 자동계산'!$B$4&lt;&gt;"29_가야 신규점1","",IF('⑨ 구배 자동계산'!K15="","",'⑨ 구배 자동계산'!K15))</f>
        <v/>
      </c>
      <c r="F22" s="44" t="str">
        <f>IF('⑨ 구배 자동계산'!$B$4&lt;&gt;"29_가야 신규점1","",IF('⑨ 구배 자동계산'!L15="","",'⑨ 구배 자동계산'!L15))</f>
        <v/>
      </c>
      <c r="G22" s="32" t="str">
        <f>IF('⑨ 구배 자동계산'!$B$4&lt;&gt;"29_가야 신규점1","",IF('⑨ 구배 자동계산'!M15="","",'⑨ 구배 자동계산'!M15))</f>
        <v/>
      </c>
      <c r="H22" s="44" t="str">
        <f>IF('⑨ 구배 자동계산'!$B$4&lt;&gt;"29_가야 신규점1","",IF('⑨ 구배 자동계산'!N15="","",'⑨ 구배 자동계산'!N15))</f>
        <v/>
      </c>
      <c r="I22" s="32" t="str">
        <f>IF('⑨ 구배 자동계산'!$B$4&lt;&gt;"29_가야 신규점1","",IF('⑨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자동계산'!$B$4&lt;&gt;"29_가야 신규점1","",IF('⑨ 구배 자동계산'!H16="","",'⑨ 구배 자동계산'!H16))</f>
        <v/>
      </c>
      <c r="C23" s="32" t="str">
        <f>IF('⑨ 구배 자동계산'!$B$4&lt;&gt;"29_가야 신규점1","",IF('⑨ 구배 자동계산'!I16="","",'⑨ 구배 자동계산'!I16))</f>
        <v/>
      </c>
      <c r="D23" s="44" t="str">
        <f>IF('⑨ 구배 자동계산'!$B$4&lt;&gt;"29_가야 신규점1","",IF('⑨ 구배 자동계산'!J16="","",'⑨ 구배 자동계산'!J16))</f>
        <v/>
      </c>
      <c r="E23" s="32" t="str">
        <f>IF('⑨ 구배 자동계산'!$B$4&lt;&gt;"29_가야 신규점1","",IF('⑨ 구배 자동계산'!K16="","",'⑨ 구배 자동계산'!K16))</f>
        <v/>
      </c>
      <c r="F23" s="44" t="str">
        <f>IF('⑨ 구배 자동계산'!$B$4&lt;&gt;"29_가야 신규점1","",IF('⑨ 구배 자동계산'!L16="","",'⑨ 구배 자동계산'!L16))</f>
        <v/>
      </c>
      <c r="G23" s="32" t="str">
        <f>IF('⑨ 구배 자동계산'!$B$4&lt;&gt;"29_가야 신규점1","",IF('⑨ 구배 자동계산'!M16="","",'⑨ 구배 자동계산'!M16))</f>
        <v/>
      </c>
      <c r="H23" s="44" t="str">
        <f>IF('⑨ 구배 자동계산'!$B$4&lt;&gt;"29_가야 신규점1","",IF('⑨ 구배 자동계산'!N16="","",'⑨ 구배 자동계산'!N16))</f>
        <v/>
      </c>
      <c r="I23" s="32" t="str">
        <f>IF('⑨ 구배 자동계산'!$B$4&lt;&gt;"29_가야 신규점1","",IF('⑨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자동계산'!$B$4&lt;&gt;"29_가야 신규점1","",IF('⑨ 구배 자동계산'!H17="","",'⑨ 구배 자동계산'!H17))</f>
        <v/>
      </c>
      <c r="C24" s="32" t="str">
        <f>IF('⑨ 구배 자동계산'!$B$4&lt;&gt;"29_가야 신규점1","",IF('⑨ 구배 자동계산'!I17="","",'⑨ 구배 자동계산'!I17))</f>
        <v/>
      </c>
      <c r="D24" s="44" t="str">
        <f>IF('⑨ 구배 자동계산'!$B$4&lt;&gt;"29_가야 신규점1","",IF('⑨ 구배 자동계산'!J17="","",'⑨ 구배 자동계산'!J17))</f>
        <v/>
      </c>
      <c r="E24" s="32" t="str">
        <f>IF('⑨ 구배 자동계산'!$B$4&lt;&gt;"29_가야 신규점1","",IF('⑨ 구배 자동계산'!K17="","",'⑨ 구배 자동계산'!K17))</f>
        <v/>
      </c>
      <c r="F24" s="44" t="str">
        <f>IF('⑨ 구배 자동계산'!$B$4&lt;&gt;"29_가야 신규점1","",IF('⑨ 구배 자동계산'!L17="","",'⑨ 구배 자동계산'!L17))</f>
        <v/>
      </c>
      <c r="G24" s="32" t="str">
        <f>IF('⑨ 구배 자동계산'!$B$4&lt;&gt;"29_가야 신규점1","",IF('⑨ 구배 자동계산'!M17="","",'⑨ 구배 자동계산'!M17))</f>
        <v/>
      </c>
      <c r="H24" s="44" t="str">
        <f>IF('⑨ 구배 자동계산'!$B$4&lt;&gt;"29_가야 신규점1","",IF('⑨ 구배 자동계산'!N17="","",'⑨ 구배 자동계산'!N17))</f>
        <v/>
      </c>
      <c r="I24" s="32" t="str">
        <f>IF('⑨ 구배 자동계산'!$B$4&lt;&gt;"29_가야 신규점1","",IF('⑨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자동계산'!$B$4&lt;&gt;"29_가야 신규점1","",IF('⑨ 구배 자동계산'!H18="","",'⑨ 구배 자동계산'!H18))</f>
        <v/>
      </c>
      <c r="C25" s="32" t="str">
        <f>IF('⑨ 구배 자동계산'!$B$4&lt;&gt;"29_가야 신규점1","",IF('⑨ 구배 자동계산'!I18="","",'⑨ 구배 자동계산'!I18))</f>
        <v/>
      </c>
      <c r="D25" s="44" t="str">
        <f>IF('⑨ 구배 자동계산'!$B$4&lt;&gt;"29_가야 신규점1","",IF('⑨ 구배 자동계산'!J18="","",'⑨ 구배 자동계산'!J18))</f>
        <v/>
      </c>
      <c r="E25" s="32" t="str">
        <f>IF('⑨ 구배 자동계산'!$B$4&lt;&gt;"29_가야 신규점1","",IF('⑨ 구배 자동계산'!K18="","",'⑨ 구배 자동계산'!K18))</f>
        <v/>
      </c>
      <c r="F25" s="44" t="str">
        <f>IF('⑨ 구배 자동계산'!$B$4&lt;&gt;"29_가야 신규점1","",IF('⑨ 구배 자동계산'!L18="","",'⑨ 구배 자동계산'!L18))</f>
        <v/>
      </c>
      <c r="G25" s="32" t="str">
        <f>IF('⑨ 구배 자동계산'!$B$4&lt;&gt;"29_가야 신규점1","",IF('⑨ 구배 자동계산'!M18="","",'⑨ 구배 자동계산'!M18))</f>
        <v/>
      </c>
      <c r="H25" s="44" t="str">
        <f>IF('⑨ 구배 자동계산'!$B$4&lt;&gt;"29_가야 신규점1","",IF('⑨ 구배 자동계산'!N18="","",'⑨ 구배 자동계산'!N18))</f>
        <v/>
      </c>
      <c r="I25" s="32" t="str">
        <f>IF('⑨ 구배 자동계산'!$B$4&lt;&gt;"29_가야 신규점1","",IF('⑨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자동계산'!$B$4&lt;&gt;"29_가야 신규점1","",IF('⑨ 구배 자동계산'!H19="","",'⑨ 구배 자동계산'!H19))</f>
        <v/>
      </c>
      <c r="C26" s="32" t="str">
        <f>IF('⑨ 구배 자동계산'!$B$4&lt;&gt;"29_가야 신규점1","",IF('⑨ 구배 자동계산'!I19="","",'⑨ 구배 자동계산'!I19))</f>
        <v/>
      </c>
      <c r="D26" s="44" t="str">
        <f>IF('⑨ 구배 자동계산'!$B$4&lt;&gt;"29_가야 신규점1","",IF('⑨ 구배 자동계산'!J19="","",'⑨ 구배 자동계산'!J19))</f>
        <v/>
      </c>
      <c r="E26" s="32" t="str">
        <f>IF('⑨ 구배 자동계산'!$B$4&lt;&gt;"29_가야 신규점1","",IF('⑨ 구배 자동계산'!K19="","",'⑨ 구배 자동계산'!K19))</f>
        <v/>
      </c>
      <c r="F26" s="44" t="str">
        <f>IF('⑨ 구배 자동계산'!$B$4&lt;&gt;"29_가야 신규점1","",IF('⑨ 구배 자동계산'!L19="","",'⑨ 구배 자동계산'!L19))</f>
        <v/>
      </c>
      <c r="G26" s="32" t="str">
        <f>IF('⑨ 구배 자동계산'!$B$4&lt;&gt;"29_가야 신규점1","",IF('⑨ 구배 자동계산'!M19="","",'⑨ 구배 자동계산'!M19))</f>
        <v/>
      </c>
      <c r="H26" s="44" t="str">
        <f>IF('⑨ 구배 자동계산'!$B$4&lt;&gt;"29_가야 신규점1","",IF('⑨ 구배 자동계산'!N19="","",'⑨ 구배 자동계산'!N19))</f>
        <v/>
      </c>
      <c r="I26" s="32" t="str">
        <f>IF('⑨ 구배 자동계산'!$B$4&lt;&gt;"29_가야 신규점1","",IF('⑨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자동계산'!$B$4&lt;&gt;"29_가야 신규점1","",IF('⑨ 구배 자동계산'!H20="","",'⑨ 구배 자동계산'!H20))</f>
        <v/>
      </c>
      <c r="C27" s="41" t="str">
        <f>IF('⑨ 구배 자동계산'!$B$4&lt;&gt;"29_가야 신규점1","",IF('⑨ 구배 자동계산'!I20="","",'⑨ 구배 자동계산'!I20))</f>
        <v/>
      </c>
      <c r="D27" s="45" t="str">
        <f>IF('⑨ 구배 자동계산'!$B$4&lt;&gt;"29_가야 신규점1","",IF('⑨ 구배 자동계산'!J20="","",'⑨ 구배 자동계산'!J20))</f>
        <v/>
      </c>
      <c r="E27" s="41" t="str">
        <f>IF('⑨ 구배 자동계산'!$B$4&lt;&gt;"29_가야 신규점1","",IF('⑨ 구배 자동계산'!K20="","",'⑨ 구배 자동계산'!K20))</f>
        <v/>
      </c>
      <c r="F27" s="45" t="str">
        <f>IF('⑨ 구배 자동계산'!$B$4&lt;&gt;"29_가야 신규점1","",IF('⑨ 구배 자동계산'!L20="","",'⑨ 구배 자동계산'!L20))</f>
        <v/>
      </c>
      <c r="G27" s="41" t="str">
        <f>IF('⑨ 구배 자동계산'!$B$4&lt;&gt;"29_가야 신규점1","",IF('⑨ 구배 자동계산'!M20="","",'⑨ 구배 자동계산'!M20))</f>
        <v/>
      </c>
      <c r="H27" s="45" t="str">
        <f>IF('⑨ 구배 자동계산'!$B$4&lt;&gt;"29_가야 신규점1","",IF('⑨ 구배 자동계산'!N20="","",'⑨ 구배 자동계산'!N20))</f>
        <v/>
      </c>
      <c r="I27" s="41" t="str">
        <f>IF('⑨ 구배 자동계산'!$B$4&lt;&gt;"29_가야 신규점1","",IF('⑨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자동계산'!$B$4&lt;&gt;"29_가야 신규점1","",IF('⑨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자동계산'!$B$4&lt;&gt;"29_가야 신규점1","",IF('⑨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자동계산'!$B$4&lt;&gt;"29_가야 신규점1","",IF('⑨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자동계산'!$B$4&lt;&gt;"29_가야 신규점1","",IF('⑨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자동계산'!$B$4&lt;&gt;"29_가야 신규점1","",IF('⑨ 구배 자동계산'!I23="","",'⑨ 구배 자동계산'!I23))</f>
        <v/>
      </c>
      <c r="D42" s="8"/>
      <c r="E42" s="8"/>
      <c r="F42" s="8"/>
      <c r="G42" s="92" t="str">
        <f>IF('⑨ 구배 자동계산'!$B$4&lt;&gt;"29_가야 신규점1","",IF('⑨ 구배 자동계산'!$J23="","",'⑨ 구배 자동계산'!$J23&amp;"  ·  "&amp;'⑨ 구배 자동계산'!$L23))</f>
        <v/>
      </c>
      <c r="H42" s="93"/>
      <c r="I42" s="93"/>
    </row>
    <row r="43" spans="1:35" ht="19.95" customHeight="1" x14ac:dyDescent="0.4">
      <c r="A43" s="8">
        <v>3</v>
      </c>
      <c r="B43" s="33">
        <v>140</v>
      </c>
      <c r="C43" s="32" t="str">
        <f>IF('⑨ 구배 자동계산'!$B$4&lt;&gt;"29_가야 신규점1","",IF('⑨ 구배 자동계산'!I24="","",'⑨ 구배 자동계산'!I24))</f>
        <v/>
      </c>
      <c r="D43" s="34">
        <f>IF(COUNT(B43,B42)&lt;2,"",(B42-B43)/100)</f>
        <v>0.45</v>
      </c>
      <c r="E43" s="35" t="str">
        <f>IF(COUNT(C43,C42)&lt;2,"",C43-C42)</f>
        <v/>
      </c>
      <c r="F43" s="36" t="str">
        <f>IF(OR(D43="",E43="",D43=0),"",E43/D43)</f>
        <v/>
      </c>
      <c r="G43" s="92" t="str">
        <f>IF('⑨ 구배 자동계산'!$B$4&lt;&gt;"29_가야 신규점1","",IF('⑨ 구배 자동계산'!$J24="","",'⑨ 구배 자동계산'!$J24&amp;"  ·  "&amp;'⑨ 구배 자동계산'!$L24))</f>
        <v/>
      </c>
      <c r="H43" s="93"/>
      <c r="I43" s="93"/>
      <c r="AH43" t="s">
        <v>234</v>
      </c>
    </row>
    <row r="44" spans="1:35" ht="19.95" customHeight="1" x14ac:dyDescent="0.4">
      <c r="A44" s="8">
        <v>2</v>
      </c>
      <c r="B44" s="33">
        <v>95</v>
      </c>
      <c r="C44" s="32" t="str">
        <f>IF('⑨ 구배 자동계산'!$B$4&lt;&gt;"29_가야 신규점1","",IF('⑨ 구배 자동계산'!I25="","",'⑨ 구배 자동계산'!I25))</f>
        <v/>
      </c>
      <c r="D44" s="34">
        <f>IF(COUNT(B44,B43)&lt;2,"",(B43-B44)/100)</f>
        <v>0.45</v>
      </c>
      <c r="E44" s="35" t="str">
        <f>IF(COUNT(C44,C43)&lt;2,"",C44-C43)</f>
        <v/>
      </c>
      <c r="F44" s="36" t="str">
        <f>IF(OR(D44="",E44="",D44=0),"",E44/D44)</f>
        <v/>
      </c>
      <c r="G44" s="92" t="str">
        <f>IF('⑨ 구배 자동계산'!$B$4&lt;&gt;"29_가야 신규점1","",IF('⑨ 구배 자동계산'!$J25="","",'⑨ 구배 자동계산'!$J25&amp;"  ·  "&amp;'⑨ 구배 자동계산'!$L25))</f>
        <v/>
      </c>
      <c r="H44" s="93"/>
      <c r="I44" s="93"/>
    </row>
    <row r="45" spans="1:35" ht="19.95" customHeight="1" x14ac:dyDescent="0.4">
      <c r="A45" s="8">
        <v>1</v>
      </c>
      <c r="B45" s="33">
        <v>50</v>
      </c>
      <c r="C45" s="32" t="str">
        <f>IF('⑨ 구배 자동계산'!$B$4&lt;&gt;"29_가야 신규점1","",IF('⑨ 구배 자동계산'!I26="","",'⑨ 구배 자동계산'!I26))</f>
        <v/>
      </c>
      <c r="D45" s="34">
        <f>IF(COUNT(B45,B44)&lt;2,"",(B44-B45)/100)</f>
        <v>0.45</v>
      </c>
      <c r="E45" s="35" t="str">
        <f>IF(COUNT(C45,C44)&lt;2,"",C45-C44)</f>
        <v/>
      </c>
      <c r="F45" s="36" t="str">
        <f>IF(OR(D45="",E45="",D45=0),"",E45/D45)</f>
        <v/>
      </c>
      <c r="G45" s="92" t="str">
        <f>IF('⑨ 구배 자동계산'!$B$4&lt;&gt;"29_가야 신규점1","",IF('⑨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IF(COUNT(B50,E50)&lt;2,"",ROUND(SQRT(((128.036833-E50)*111320*COS(RADIANS(35.777986)))^2+((35.777986-B50)*110574)^2),1))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S29-P0a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09" priority="1">
      <formula>AND(ISNUMBER(C31),C31&gt;50)</formula>
    </cfRule>
  </conditionalFormatting>
  <conditionalFormatting sqref="D7">
    <cfRule type="expression" dxfId="108" priority="3" stopIfTrue="1">
      <formula>AND($D$7&lt;&gt;"",VALUE(LEFT($D$7,1))&lt;5)</formula>
    </cfRule>
    <cfRule type="expression" dxfId="107" priority="4" stopIfTrue="1">
      <formula>AND($D$7&lt;&gt;"",VALUE(LEFT($D$7,1))&gt;=5)</formula>
    </cfRule>
  </conditionalFormatting>
  <conditionalFormatting sqref="E7">
    <cfRule type="expression" dxfId="106" priority="5" stopIfTrue="1">
      <formula>AND($E$7&lt;&gt;"",VALUE(LEFT($E$7,1))&lt;5)</formula>
    </cfRule>
    <cfRule type="expression" dxfId="10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C7A24008-15EB-4250-A54D-1F2D5A6DC288}">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B7E054D9-E06C-49AB-BCF3-0366B103BCB1}">
      <formula1>DATE(2026,1,1)</formula1>
      <formula2>DATE(2027,12,31)</formula2>
    </dataValidation>
    <dataValidation type="list" allowBlank="1" sqref="C7" xr:uid="{63C45A8A-9883-422F-9837-1CE96A3F57A4}">
      <formula1>"맑음,구름 조금,흐림,비,눈,바람 강함"</formula1>
    </dataValidation>
    <dataValidation type="list" allowBlank="1" sqref="H50" xr:uid="{49A81001-2A2A-44C1-A2C5-D1B3308E5A81}">
      <formula1>"RTK-GNSS,네트워크RTK,정적GNSS,휴대GNSS"</formula1>
    </dataValidation>
    <dataValidation type="list" allowBlank="1" sqref="B109" xr:uid="{1E831E93-F733-4CCA-B823-9C17AEDFB324}">
      <formula1>"동일,조정"</formula1>
    </dataValidation>
    <dataValidation type="list" allowBlank="1" showInputMessage="1" showErrorMessage="1" sqref="F56:F57" xr:uid="{1429D584-B5FC-4573-85C3-EA9F88B81801}">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&amp;RS29 가야 신규점1</oddHeader>
    <oddFooter>&amp;C&amp;9 &amp;P / &amp;N</oddFooter>
  </headerFooter>
  <rowBreaks count="3" manualBreakCount="3">
    <brk id="38" max="16383" man="1"/>
    <brk id="58" max="16383" man="1"/>
    <brk id="106"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C9D7-5A19-4358-9864-56EB243C85DE}">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465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466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467</v>
      </c>
      <c r="B3" s="68"/>
      <c r="C3" s="68"/>
      <c r="D3" s="68"/>
      <c r="E3" s="68"/>
      <c r="F3" s="8" t="s">
        <v>154</v>
      </c>
      <c r="G3" s="6"/>
      <c r="H3" s="8" t="s">
        <v>155</v>
      </c>
      <c r="I3" s="9" t="s">
        <v>468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자동계산'!$B$4="30_창녕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자동계산'!$B$4&lt;&gt;"30_창녕 신규점","",IF('⑨ 구배 자동계산'!H9="","",'⑨ 구배 자동계산'!H9))</f>
        <v/>
      </c>
      <c r="C16" s="30" t="str">
        <f>IF('⑨ 구배 자동계산'!$B$4&lt;&gt;"30_창녕 신규점","",IF('⑨ 구배 자동계산'!I9="","",'⑨ 구배 자동계산'!I9))</f>
        <v/>
      </c>
      <c r="D16" s="43" t="str">
        <f>IF('⑨ 구배 자동계산'!$B$4&lt;&gt;"30_창녕 신규점","",IF('⑨ 구배 자동계산'!J9="","",'⑨ 구배 자동계산'!J9))</f>
        <v/>
      </c>
      <c r="E16" s="30" t="str">
        <f>IF('⑨ 구배 자동계산'!$B$4&lt;&gt;"30_창녕 신규점","",IF('⑨ 구배 자동계산'!K9="","",'⑨ 구배 자동계산'!K9))</f>
        <v/>
      </c>
      <c r="F16" s="43" t="str">
        <f>IF('⑨ 구배 자동계산'!$B$4&lt;&gt;"30_창녕 신규점","",IF('⑨ 구배 자동계산'!L9="","",'⑨ 구배 자동계산'!L9))</f>
        <v/>
      </c>
      <c r="G16" s="30" t="str">
        <f>IF('⑨ 구배 자동계산'!$B$4&lt;&gt;"30_창녕 신규점","",IF('⑨ 구배 자동계산'!M9="","",'⑨ 구배 자동계산'!M9))</f>
        <v/>
      </c>
      <c r="H16" s="43" t="str">
        <f>IF('⑨ 구배 자동계산'!$B$4&lt;&gt;"30_창녕 신규점","",IF('⑨ 구배 자동계산'!N9="","",'⑨ 구배 자동계산'!N9))</f>
        <v/>
      </c>
      <c r="I16" s="30" t="str">
        <f>IF('⑨ 구배 자동계산'!$B$4&lt;&gt;"30_창녕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자동계산'!$B$4&lt;&gt;"30_창녕 신규점","",IF('⑨ 구배 자동계산'!H10="","",'⑨ 구배 자동계산'!H10))</f>
        <v/>
      </c>
      <c r="C17" s="32" t="str">
        <f>IF('⑨ 구배 자동계산'!$B$4&lt;&gt;"30_창녕 신규점","",IF('⑨ 구배 자동계산'!I10="","",'⑨ 구배 자동계산'!I10))</f>
        <v/>
      </c>
      <c r="D17" s="44" t="str">
        <f>IF('⑨ 구배 자동계산'!$B$4&lt;&gt;"30_창녕 신규점","",IF('⑨ 구배 자동계산'!J10="","",'⑨ 구배 자동계산'!J10))</f>
        <v/>
      </c>
      <c r="E17" s="32" t="str">
        <f>IF('⑨ 구배 자동계산'!$B$4&lt;&gt;"30_창녕 신규점","",IF('⑨ 구배 자동계산'!K10="","",'⑨ 구배 자동계산'!K10))</f>
        <v/>
      </c>
      <c r="F17" s="44" t="str">
        <f>IF('⑨ 구배 자동계산'!$B$4&lt;&gt;"30_창녕 신규점","",IF('⑨ 구배 자동계산'!L10="","",'⑨ 구배 자동계산'!L10))</f>
        <v/>
      </c>
      <c r="G17" s="32" t="str">
        <f>IF('⑨ 구배 자동계산'!$B$4&lt;&gt;"30_창녕 신규점","",IF('⑨ 구배 자동계산'!M10="","",'⑨ 구배 자동계산'!M10))</f>
        <v/>
      </c>
      <c r="H17" s="44" t="str">
        <f>IF('⑨ 구배 자동계산'!$B$4&lt;&gt;"30_창녕 신규점","",IF('⑨ 구배 자동계산'!N10="","",'⑨ 구배 자동계산'!N10))</f>
        <v/>
      </c>
      <c r="I17" s="32" t="str">
        <f>IF('⑨ 구배 자동계산'!$B$4&lt;&gt;"30_창녕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자동계산'!$B$4&lt;&gt;"30_창녕 신규점","",IF('⑨ 구배 자동계산'!H11="","",'⑨ 구배 자동계산'!H11))</f>
        <v/>
      </c>
      <c r="C18" s="32" t="str">
        <f>IF('⑨ 구배 자동계산'!$B$4&lt;&gt;"30_창녕 신규점","",IF('⑨ 구배 자동계산'!I11="","",'⑨ 구배 자동계산'!I11))</f>
        <v/>
      </c>
      <c r="D18" s="44" t="str">
        <f>IF('⑨ 구배 자동계산'!$B$4&lt;&gt;"30_창녕 신규점","",IF('⑨ 구배 자동계산'!J11="","",'⑨ 구배 자동계산'!J11))</f>
        <v/>
      </c>
      <c r="E18" s="32" t="str">
        <f>IF('⑨ 구배 자동계산'!$B$4&lt;&gt;"30_창녕 신규점","",IF('⑨ 구배 자동계산'!K11="","",'⑨ 구배 자동계산'!K11))</f>
        <v/>
      </c>
      <c r="F18" s="44" t="str">
        <f>IF('⑨ 구배 자동계산'!$B$4&lt;&gt;"30_창녕 신규점","",IF('⑨ 구배 자동계산'!L11="","",'⑨ 구배 자동계산'!L11))</f>
        <v/>
      </c>
      <c r="G18" s="32" t="str">
        <f>IF('⑨ 구배 자동계산'!$B$4&lt;&gt;"30_창녕 신규점","",IF('⑨ 구배 자동계산'!M11="","",'⑨ 구배 자동계산'!M11))</f>
        <v/>
      </c>
      <c r="H18" s="44" t="str">
        <f>IF('⑨ 구배 자동계산'!$B$4&lt;&gt;"30_창녕 신규점","",IF('⑨ 구배 자동계산'!N11="","",'⑨ 구배 자동계산'!N11))</f>
        <v/>
      </c>
      <c r="I18" s="32" t="str">
        <f>IF('⑨ 구배 자동계산'!$B$4&lt;&gt;"30_창녕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자동계산'!$B$4&lt;&gt;"30_창녕 신규점","",IF('⑨ 구배 자동계산'!H12="","",'⑨ 구배 자동계산'!H12))</f>
        <v/>
      </c>
      <c r="C19" s="32" t="str">
        <f>IF('⑨ 구배 자동계산'!$B$4&lt;&gt;"30_창녕 신규점","",IF('⑨ 구배 자동계산'!I12="","",'⑨ 구배 자동계산'!I12))</f>
        <v/>
      </c>
      <c r="D19" s="44" t="str">
        <f>IF('⑨ 구배 자동계산'!$B$4&lt;&gt;"30_창녕 신규점","",IF('⑨ 구배 자동계산'!J12="","",'⑨ 구배 자동계산'!J12))</f>
        <v/>
      </c>
      <c r="E19" s="32" t="str">
        <f>IF('⑨ 구배 자동계산'!$B$4&lt;&gt;"30_창녕 신규점","",IF('⑨ 구배 자동계산'!K12="","",'⑨ 구배 자동계산'!K12))</f>
        <v/>
      </c>
      <c r="F19" s="44" t="str">
        <f>IF('⑨ 구배 자동계산'!$B$4&lt;&gt;"30_창녕 신규점","",IF('⑨ 구배 자동계산'!L12="","",'⑨ 구배 자동계산'!L12))</f>
        <v/>
      </c>
      <c r="G19" s="32" t="str">
        <f>IF('⑨ 구배 자동계산'!$B$4&lt;&gt;"30_창녕 신규점","",IF('⑨ 구배 자동계산'!M12="","",'⑨ 구배 자동계산'!M12))</f>
        <v/>
      </c>
      <c r="H19" s="44" t="str">
        <f>IF('⑨ 구배 자동계산'!$B$4&lt;&gt;"30_창녕 신규점","",IF('⑨ 구배 자동계산'!N12="","",'⑨ 구배 자동계산'!N12))</f>
        <v/>
      </c>
      <c r="I19" s="32" t="str">
        <f>IF('⑨ 구배 자동계산'!$B$4&lt;&gt;"30_창녕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자동계산'!$B$4&lt;&gt;"30_창녕 신규점","",IF('⑨ 구배 자동계산'!H13="","",'⑨ 구배 자동계산'!H13))</f>
        <v/>
      </c>
      <c r="C20" s="32" t="str">
        <f>IF('⑨ 구배 자동계산'!$B$4&lt;&gt;"30_창녕 신규점","",IF('⑨ 구배 자동계산'!I13="","",'⑨ 구배 자동계산'!I13))</f>
        <v/>
      </c>
      <c r="D20" s="44" t="str">
        <f>IF('⑨ 구배 자동계산'!$B$4&lt;&gt;"30_창녕 신규점","",IF('⑨ 구배 자동계산'!J13="","",'⑨ 구배 자동계산'!J13))</f>
        <v/>
      </c>
      <c r="E20" s="32" t="str">
        <f>IF('⑨ 구배 자동계산'!$B$4&lt;&gt;"30_창녕 신규점","",IF('⑨ 구배 자동계산'!K13="","",'⑨ 구배 자동계산'!K13))</f>
        <v/>
      </c>
      <c r="F20" s="44" t="str">
        <f>IF('⑨ 구배 자동계산'!$B$4&lt;&gt;"30_창녕 신규점","",IF('⑨ 구배 자동계산'!L13="","",'⑨ 구배 자동계산'!L13))</f>
        <v/>
      </c>
      <c r="G20" s="32" t="str">
        <f>IF('⑨ 구배 자동계산'!$B$4&lt;&gt;"30_창녕 신규점","",IF('⑨ 구배 자동계산'!M13="","",'⑨ 구배 자동계산'!M13))</f>
        <v/>
      </c>
      <c r="H20" s="44" t="str">
        <f>IF('⑨ 구배 자동계산'!$B$4&lt;&gt;"30_창녕 신규점","",IF('⑨ 구배 자동계산'!N13="","",'⑨ 구배 자동계산'!N13))</f>
        <v/>
      </c>
      <c r="I20" s="32" t="str">
        <f>IF('⑨ 구배 자동계산'!$B$4&lt;&gt;"30_창녕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자동계산'!$B$4&lt;&gt;"30_창녕 신규점","",IF('⑨ 구배 자동계산'!H14="","",'⑨ 구배 자동계산'!H14))</f>
        <v/>
      </c>
      <c r="C21" s="32" t="str">
        <f>IF('⑨ 구배 자동계산'!$B$4&lt;&gt;"30_창녕 신규점","",IF('⑨ 구배 자동계산'!I14="","",'⑨ 구배 자동계산'!I14))</f>
        <v/>
      </c>
      <c r="D21" s="44" t="str">
        <f>IF('⑨ 구배 자동계산'!$B$4&lt;&gt;"30_창녕 신규점","",IF('⑨ 구배 자동계산'!J14="","",'⑨ 구배 자동계산'!J14))</f>
        <v/>
      </c>
      <c r="E21" s="32" t="str">
        <f>IF('⑨ 구배 자동계산'!$B$4&lt;&gt;"30_창녕 신규점","",IF('⑨ 구배 자동계산'!K14="","",'⑨ 구배 자동계산'!K14))</f>
        <v/>
      </c>
      <c r="F21" s="44" t="str">
        <f>IF('⑨ 구배 자동계산'!$B$4&lt;&gt;"30_창녕 신규점","",IF('⑨ 구배 자동계산'!L14="","",'⑨ 구배 자동계산'!L14))</f>
        <v/>
      </c>
      <c r="G21" s="32" t="str">
        <f>IF('⑨ 구배 자동계산'!$B$4&lt;&gt;"30_창녕 신규점","",IF('⑨ 구배 자동계산'!M14="","",'⑨ 구배 자동계산'!M14))</f>
        <v/>
      </c>
      <c r="H21" s="44" t="str">
        <f>IF('⑨ 구배 자동계산'!$B$4&lt;&gt;"30_창녕 신규점","",IF('⑨ 구배 자동계산'!N14="","",'⑨ 구배 자동계산'!N14))</f>
        <v/>
      </c>
      <c r="I21" s="32" t="str">
        <f>IF('⑨ 구배 자동계산'!$B$4&lt;&gt;"30_창녕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자동계산'!$B$4&lt;&gt;"30_창녕 신규점","",IF('⑨ 구배 자동계산'!H15="","",'⑨ 구배 자동계산'!H15))</f>
        <v/>
      </c>
      <c r="C22" s="32" t="str">
        <f>IF('⑨ 구배 자동계산'!$B$4&lt;&gt;"30_창녕 신규점","",IF('⑨ 구배 자동계산'!I15="","",'⑨ 구배 자동계산'!I15))</f>
        <v/>
      </c>
      <c r="D22" s="44" t="str">
        <f>IF('⑨ 구배 자동계산'!$B$4&lt;&gt;"30_창녕 신규점","",IF('⑨ 구배 자동계산'!J15="","",'⑨ 구배 자동계산'!J15))</f>
        <v/>
      </c>
      <c r="E22" s="32" t="str">
        <f>IF('⑨ 구배 자동계산'!$B$4&lt;&gt;"30_창녕 신규점","",IF('⑨ 구배 자동계산'!K15="","",'⑨ 구배 자동계산'!K15))</f>
        <v/>
      </c>
      <c r="F22" s="44" t="str">
        <f>IF('⑨ 구배 자동계산'!$B$4&lt;&gt;"30_창녕 신규점","",IF('⑨ 구배 자동계산'!L15="","",'⑨ 구배 자동계산'!L15))</f>
        <v/>
      </c>
      <c r="G22" s="32" t="str">
        <f>IF('⑨ 구배 자동계산'!$B$4&lt;&gt;"30_창녕 신규점","",IF('⑨ 구배 자동계산'!M15="","",'⑨ 구배 자동계산'!M15))</f>
        <v/>
      </c>
      <c r="H22" s="44" t="str">
        <f>IF('⑨ 구배 자동계산'!$B$4&lt;&gt;"30_창녕 신규점","",IF('⑨ 구배 자동계산'!N15="","",'⑨ 구배 자동계산'!N15))</f>
        <v/>
      </c>
      <c r="I22" s="32" t="str">
        <f>IF('⑨ 구배 자동계산'!$B$4&lt;&gt;"30_창녕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자동계산'!$B$4&lt;&gt;"30_창녕 신규점","",IF('⑨ 구배 자동계산'!H16="","",'⑨ 구배 자동계산'!H16))</f>
        <v/>
      </c>
      <c r="C23" s="32" t="str">
        <f>IF('⑨ 구배 자동계산'!$B$4&lt;&gt;"30_창녕 신규점","",IF('⑨ 구배 자동계산'!I16="","",'⑨ 구배 자동계산'!I16))</f>
        <v/>
      </c>
      <c r="D23" s="44" t="str">
        <f>IF('⑨ 구배 자동계산'!$B$4&lt;&gt;"30_창녕 신규점","",IF('⑨ 구배 자동계산'!J16="","",'⑨ 구배 자동계산'!J16))</f>
        <v/>
      </c>
      <c r="E23" s="32" t="str">
        <f>IF('⑨ 구배 자동계산'!$B$4&lt;&gt;"30_창녕 신규점","",IF('⑨ 구배 자동계산'!K16="","",'⑨ 구배 자동계산'!K16))</f>
        <v/>
      </c>
      <c r="F23" s="44" t="str">
        <f>IF('⑨ 구배 자동계산'!$B$4&lt;&gt;"30_창녕 신규점","",IF('⑨ 구배 자동계산'!L16="","",'⑨ 구배 자동계산'!L16))</f>
        <v/>
      </c>
      <c r="G23" s="32" t="str">
        <f>IF('⑨ 구배 자동계산'!$B$4&lt;&gt;"30_창녕 신규점","",IF('⑨ 구배 자동계산'!M16="","",'⑨ 구배 자동계산'!M16))</f>
        <v/>
      </c>
      <c r="H23" s="44" t="str">
        <f>IF('⑨ 구배 자동계산'!$B$4&lt;&gt;"30_창녕 신규점","",IF('⑨ 구배 자동계산'!N16="","",'⑨ 구배 자동계산'!N16))</f>
        <v/>
      </c>
      <c r="I23" s="32" t="str">
        <f>IF('⑨ 구배 자동계산'!$B$4&lt;&gt;"30_창녕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자동계산'!$B$4&lt;&gt;"30_창녕 신규점","",IF('⑨ 구배 자동계산'!H17="","",'⑨ 구배 자동계산'!H17))</f>
        <v/>
      </c>
      <c r="C24" s="32" t="str">
        <f>IF('⑨ 구배 자동계산'!$B$4&lt;&gt;"30_창녕 신규점","",IF('⑨ 구배 자동계산'!I17="","",'⑨ 구배 자동계산'!I17))</f>
        <v/>
      </c>
      <c r="D24" s="44" t="str">
        <f>IF('⑨ 구배 자동계산'!$B$4&lt;&gt;"30_창녕 신규점","",IF('⑨ 구배 자동계산'!J17="","",'⑨ 구배 자동계산'!J17))</f>
        <v/>
      </c>
      <c r="E24" s="32" t="str">
        <f>IF('⑨ 구배 자동계산'!$B$4&lt;&gt;"30_창녕 신규점","",IF('⑨ 구배 자동계산'!K17="","",'⑨ 구배 자동계산'!K17))</f>
        <v/>
      </c>
      <c r="F24" s="44" t="str">
        <f>IF('⑨ 구배 자동계산'!$B$4&lt;&gt;"30_창녕 신규점","",IF('⑨ 구배 자동계산'!L17="","",'⑨ 구배 자동계산'!L17))</f>
        <v/>
      </c>
      <c r="G24" s="32" t="str">
        <f>IF('⑨ 구배 자동계산'!$B$4&lt;&gt;"30_창녕 신규점","",IF('⑨ 구배 자동계산'!M17="","",'⑨ 구배 자동계산'!M17))</f>
        <v/>
      </c>
      <c r="H24" s="44" t="str">
        <f>IF('⑨ 구배 자동계산'!$B$4&lt;&gt;"30_창녕 신규점","",IF('⑨ 구배 자동계산'!N17="","",'⑨ 구배 자동계산'!N17))</f>
        <v/>
      </c>
      <c r="I24" s="32" t="str">
        <f>IF('⑨ 구배 자동계산'!$B$4&lt;&gt;"30_창녕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자동계산'!$B$4&lt;&gt;"30_창녕 신규점","",IF('⑨ 구배 자동계산'!H18="","",'⑨ 구배 자동계산'!H18))</f>
        <v/>
      </c>
      <c r="C25" s="32" t="str">
        <f>IF('⑨ 구배 자동계산'!$B$4&lt;&gt;"30_창녕 신규점","",IF('⑨ 구배 자동계산'!I18="","",'⑨ 구배 자동계산'!I18))</f>
        <v/>
      </c>
      <c r="D25" s="44" t="str">
        <f>IF('⑨ 구배 자동계산'!$B$4&lt;&gt;"30_창녕 신규점","",IF('⑨ 구배 자동계산'!J18="","",'⑨ 구배 자동계산'!J18))</f>
        <v/>
      </c>
      <c r="E25" s="32" t="str">
        <f>IF('⑨ 구배 자동계산'!$B$4&lt;&gt;"30_창녕 신규점","",IF('⑨ 구배 자동계산'!K18="","",'⑨ 구배 자동계산'!K18))</f>
        <v/>
      </c>
      <c r="F25" s="44" t="str">
        <f>IF('⑨ 구배 자동계산'!$B$4&lt;&gt;"30_창녕 신규점","",IF('⑨ 구배 자동계산'!L18="","",'⑨ 구배 자동계산'!L18))</f>
        <v/>
      </c>
      <c r="G25" s="32" t="str">
        <f>IF('⑨ 구배 자동계산'!$B$4&lt;&gt;"30_창녕 신규점","",IF('⑨ 구배 자동계산'!M18="","",'⑨ 구배 자동계산'!M18))</f>
        <v/>
      </c>
      <c r="H25" s="44" t="str">
        <f>IF('⑨ 구배 자동계산'!$B$4&lt;&gt;"30_창녕 신규점","",IF('⑨ 구배 자동계산'!N18="","",'⑨ 구배 자동계산'!N18))</f>
        <v/>
      </c>
      <c r="I25" s="32" t="str">
        <f>IF('⑨ 구배 자동계산'!$B$4&lt;&gt;"30_창녕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자동계산'!$B$4&lt;&gt;"30_창녕 신규점","",IF('⑨ 구배 자동계산'!H19="","",'⑨ 구배 자동계산'!H19))</f>
        <v/>
      </c>
      <c r="C26" s="32" t="str">
        <f>IF('⑨ 구배 자동계산'!$B$4&lt;&gt;"30_창녕 신규점","",IF('⑨ 구배 자동계산'!I19="","",'⑨ 구배 자동계산'!I19))</f>
        <v/>
      </c>
      <c r="D26" s="44" t="str">
        <f>IF('⑨ 구배 자동계산'!$B$4&lt;&gt;"30_창녕 신규점","",IF('⑨ 구배 자동계산'!J19="","",'⑨ 구배 자동계산'!J19))</f>
        <v/>
      </c>
      <c r="E26" s="32" t="str">
        <f>IF('⑨ 구배 자동계산'!$B$4&lt;&gt;"30_창녕 신규점","",IF('⑨ 구배 자동계산'!K19="","",'⑨ 구배 자동계산'!K19))</f>
        <v/>
      </c>
      <c r="F26" s="44" t="str">
        <f>IF('⑨ 구배 자동계산'!$B$4&lt;&gt;"30_창녕 신규점","",IF('⑨ 구배 자동계산'!L19="","",'⑨ 구배 자동계산'!L19))</f>
        <v/>
      </c>
      <c r="G26" s="32" t="str">
        <f>IF('⑨ 구배 자동계산'!$B$4&lt;&gt;"30_창녕 신규점","",IF('⑨ 구배 자동계산'!M19="","",'⑨ 구배 자동계산'!M19))</f>
        <v/>
      </c>
      <c r="H26" s="44" t="str">
        <f>IF('⑨ 구배 자동계산'!$B$4&lt;&gt;"30_창녕 신규점","",IF('⑨ 구배 자동계산'!N19="","",'⑨ 구배 자동계산'!N19))</f>
        <v/>
      </c>
      <c r="I26" s="32" t="str">
        <f>IF('⑨ 구배 자동계산'!$B$4&lt;&gt;"30_창녕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자동계산'!$B$4&lt;&gt;"30_창녕 신규점","",IF('⑨ 구배 자동계산'!H20="","",'⑨ 구배 자동계산'!H20))</f>
        <v/>
      </c>
      <c r="C27" s="41" t="str">
        <f>IF('⑨ 구배 자동계산'!$B$4&lt;&gt;"30_창녕 신규점","",IF('⑨ 구배 자동계산'!I20="","",'⑨ 구배 자동계산'!I20))</f>
        <v/>
      </c>
      <c r="D27" s="45" t="str">
        <f>IF('⑨ 구배 자동계산'!$B$4&lt;&gt;"30_창녕 신규점","",IF('⑨ 구배 자동계산'!J20="","",'⑨ 구배 자동계산'!J20))</f>
        <v/>
      </c>
      <c r="E27" s="41" t="str">
        <f>IF('⑨ 구배 자동계산'!$B$4&lt;&gt;"30_창녕 신규점","",IF('⑨ 구배 자동계산'!K20="","",'⑨ 구배 자동계산'!K20))</f>
        <v/>
      </c>
      <c r="F27" s="45" t="str">
        <f>IF('⑨ 구배 자동계산'!$B$4&lt;&gt;"30_창녕 신규점","",IF('⑨ 구배 자동계산'!L20="","",'⑨ 구배 자동계산'!L20))</f>
        <v/>
      </c>
      <c r="G27" s="41" t="str">
        <f>IF('⑨ 구배 자동계산'!$B$4&lt;&gt;"30_창녕 신규점","",IF('⑨ 구배 자동계산'!M20="","",'⑨ 구배 자동계산'!M20))</f>
        <v/>
      </c>
      <c r="H27" s="45" t="str">
        <f>IF('⑨ 구배 자동계산'!$B$4&lt;&gt;"30_창녕 신규점","",IF('⑨ 구배 자동계산'!N20="","",'⑨ 구배 자동계산'!N20))</f>
        <v/>
      </c>
      <c r="I27" s="41" t="str">
        <f>IF('⑨ 구배 자동계산'!$B$4&lt;&gt;"30_창녕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자동계산'!$B$4&lt;&gt;"30_창녕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자동계산'!$B$4&lt;&gt;"30_창녕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자동계산'!$B$4&lt;&gt;"30_창녕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자동계산'!$B$4&lt;&gt;"30_창녕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자동계산'!$B$4&lt;&gt;"30_창녕 신규점","",IF('⑨ 구배 자동계산'!I23="","",'⑨ 구배 자동계산'!I23))</f>
        <v/>
      </c>
      <c r="D42" s="8"/>
      <c r="E42" s="8"/>
      <c r="F42" s="8"/>
      <c r="G42" s="92" t="str">
        <f>IF('⑨ 구배 자동계산'!$B$4&lt;&gt;"30_창녕 신규점","",IF('⑨ 구배 자동계산'!$J23="","",'⑨ 구배 자동계산'!$J23&amp;"  ·  "&amp;'⑨ 구배 자동계산'!$L23))</f>
        <v/>
      </c>
      <c r="H42" s="93"/>
      <c r="I42" s="93"/>
    </row>
    <row r="43" spans="1:35" ht="19.95" customHeight="1" x14ac:dyDescent="0.4">
      <c r="A43" s="8">
        <v>3</v>
      </c>
      <c r="B43" s="33">
        <v>140</v>
      </c>
      <c r="C43" s="32" t="str">
        <f>IF('⑨ 구배 자동계산'!$B$4&lt;&gt;"30_창녕 신규점","",IF('⑨ 구배 자동계산'!I24="","",'⑨ 구배 자동계산'!I24))</f>
        <v/>
      </c>
      <c r="D43" s="34">
        <f>IF(COUNT(B43,B42)&lt;2,"",(B42-B43)/100)</f>
        <v>0.45</v>
      </c>
      <c r="E43" s="35" t="str">
        <f>IF(COUNT(C43,C42)&lt;2,"",C43-C42)</f>
        <v/>
      </c>
      <c r="F43" s="36" t="str">
        <f>IF(OR(D43="",E43="",D43=0),"",E43/D43)</f>
        <v/>
      </c>
      <c r="G43" s="92" t="str">
        <f>IF('⑨ 구배 자동계산'!$B$4&lt;&gt;"30_창녕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자동계산'!$B$4&lt;&gt;"30_창녕 신규점","",IF('⑨ 구배 자동계산'!I25="","",'⑨ 구배 자동계산'!I25))</f>
        <v/>
      </c>
      <c r="D44" s="34">
        <f>IF(COUNT(B44,B43)&lt;2,"",(B43-B44)/100)</f>
        <v>0.45</v>
      </c>
      <c r="E44" s="35" t="str">
        <f>IF(COUNT(C44,C43)&lt;2,"",C44-C43)</f>
        <v/>
      </c>
      <c r="F44" s="36" t="str">
        <f>IF(OR(D44="",E44="",D44=0),"",E44/D44)</f>
        <v/>
      </c>
      <c r="G44" s="92" t="str">
        <f>IF('⑨ 구배 자동계산'!$B$4&lt;&gt;"30_창녕 신규점","",IF('⑨ 구배 자동계산'!$J25="","",'⑨ 구배 자동계산'!$J25&amp;"  ·  "&amp;'⑨ 구배 자동계산'!$L25))</f>
        <v/>
      </c>
      <c r="H44" s="93"/>
      <c r="I44" s="93"/>
    </row>
    <row r="45" spans="1:35" ht="19.95" customHeight="1" x14ac:dyDescent="0.4">
      <c r="A45" s="8">
        <v>1</v>
      </c>
      <c r="B45" s="33">
        <v>50</v>
      </c>
      <c r="C45" s="32" t="str">
        <f>IF('⑨ 구배 자동계산'!$B$4&lt;&gt;"30_창녕 신규점","",IF('⑨ 구배 자동계산'!I26="","",'⑨ 구배 자동계산'!I26))</f>
        <v/>
      </c>
      <c r="D45" s="34">
        <f>IF(COUNT(B45,B44)&lt;2,"",(B44-B45)/100)</f>
        <v>0.45</v>
      </c>
      <c r="E45" s="35" t="str">
        <f>IF(COUNT(C45,C44)&lt;2,"",C45-C44)</f>
        <v/>
      </c>
      <c r="F45" s="36" t="str">
        <f>IF(OR(D45="",E45="",D45=0),"",E45/D45)</f>
        <v/>
      </c>
      <c r="G45" s="92" t="str">
        <f>IF('⑨ 구배 자동계산'!$B$4&lt;&gt;"30_창녕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IF(COUNT(B50,E50)&lt;2,"",ROUND(SQRT(((128.298099-E50)*111320*COS(RADIANS(35.662586)))^2+((35.662586-B50)*110574)^2),1))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S30-P0a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04" priority="1">
      <formula>AND(ISNUMBER(C31),C31&gt;50)</formula>
    </cfRule>
  </conditionalFormatting>
  <conditionalFormatting sqref="D7">
    <cfRule type="expression" dxfId="103" priority="3" stopIfTrue="1">
      <formula>AND($D$7&lt;&gt;"",VALUE(LEFT($D$7,1))&lt;5)</formula>
    </cfRule>
    <cfRule type="expression" dxfId="102" priority="4" stopIfTrue="1">
      <formula>AND($D$7&lt;&gt;"",VALUE(LEFT($D$7,1))&gt;=5)</formula>
    </cfRule>
  </conditionalFormatting>
  <conditionalFormatting sqref="E7">
    <cfRule type="expression" dxfId="101" priority="5" stopIfTrue="1">
      <formula>AND($E$7&lt;&gt;"",VALUE(LEFT($E$7,1))&lt;5)</formula>
    </cfRule>
    <cfRule type="expression" dxfId="10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1C646B83-8507-4B6D-8981-44AA8567159E}">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D5754731-83C8-482F-A885-F76C55C05185}">
      <formula1>DATE(2026,1,1)</formula1>
      <formula2>DATE(2027,12,31)</formula2>
    </dataValidation>
    <dataValidation type="list" allowBlank="1" sqref="C7" xr:uid="{7293422D-BBA4-47E3-AC8E-60E835C99192}">
      <formula1>"맑음,구름 조금,흐림,비,눈,바람 강함"</formula1>
    </dataValidation>
    <dataValidation type="list" allowBlank="1" sqref="H50" xr:uid="{F60BD065-A545-4EA8-8852-7FBA98EF7C21}">
      <formula1>"RTK-GNSS,네트워크RTK,정적GNSS,휴대GNSS"</formula1>
    </dataValidation>
    <dataValidation type="list" allowBlank="1" sqref="B109" xr:uid="{5C0EF5BA-77BA-4EEC-93F2-5E707D12AE8B}">
      <formula1>"동일,조정"</formula1>
    </dataValidation>
    <dataValidation type="list" allowBlank="1" showInputMessage="1" showErrorMessage="1" sqref="F56:F57" xr:uid="{90A3456C-8756-4FC4-A3C4-022A606550DF}">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&amp;RS30 창녕 신규점</oddHeader>
    <oddFooter>&amp;C&amp;9 &amp;P / &amp;N</oddFooter>
  </headerFooter>
  <rowBreaks count="3" manualBreakCount="3">
    <brk id="38" max="16383" man="1"/>
    <brk id="58" max="16383" man="1"/>
    <brk id="106"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DF1F4-E7DF-46C7-83C5-FF5A10AA78BA}">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469</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470</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471</v>
      </c>
      <c r="B3" s="68"/>
      <c r="C3" s="68"/>
      <c r="D3" s="68"/>
      <c r="E3" s="68"/>
      <c r="F3" s="8" t="s">
        <v>154</v>
      </c>
      <c r="G3" s="6"/>
      <c r="H3" s="8" t="s">
        <v>155</v>
      </c>
      <c r="I3" s="9" t="s">
        <v>472</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자동계산'!$B$4="31_언양 신규점3","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자동계산'!$B$4&lt;&gt;"31_언양 신규점3","",IF('⑨ 구배 자동계산'!H9="","",'⑨ 구배 자동계산'!H9))</f>
        <v/>
      </c>
      <c r="C16" s="30" t="str">
        <f>IF('⑨ 구배 자동계산'!$B$4&lt;&gt;"31_언양 신규점3","",IF('⑨ 구배 자동계산'!I9="","",'⑨ 구배 자동계산'!I9))</f>
        <v/>
      </c>
      <c r="D16" s="43" t="str">
        <f>IF('⑨ 구배 자동계산'!$B$4&lt;&gt;"31_언양 신규점3","",IF('⑨ 구배 자동계산'!J9="","",'⑨ 구배 자동계산'!J9))</f>
        <v/>
      </c>
      <c r="E16" s="30" t="str">
        <f>IF('⑨ 구배 자동계산'!$B$4&lt;&gt;"31_언양 신규점3","",IF('⑨ 구배 자동계산'!K9="","",'⑨ 구배 자동계산'!K9))</f>
        <v/>
      </c>
      <c r="F16" s="43" t="str">
        <f>IF('⑨ 구배 자동계산'!$B$4&lt;&gt;"31_언양 신규점3","",IF('⑨ 구배 자동계산'!L9="","",'⑨ 구배 자동계산'!L9))</f>
        <v/>
      </c>
      <c r="G16" s="30" t="str">
        <f>IF('⑨ 구배 자동계산'!$B$4&lt;&gt;"31_언양 신규점3","",IF('⑨ 구배 자동계산'!M9="","",'⑨ 구배 자동계산'!M9))</f>
        <v/>
      </c>
      <c r="H16" s="43" t="str">
        <f>IF('⑨ 구배 자동계산'!$B$4&lt;&gt;"31_언양 신규점3","",IF('⑨ 구배 자동계산'!N9="","",'⑨ 구배 자동계산'!N9))</f>
        <v/>
      </c>
      <c r="I16" s="30" t="str">
        <f>IF('⑨ 구배 자동계산'!$B$4&lt;&gt;"31_언양 신규점3","",IF('⑨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자동계산'!$B$4&lt;&gt;"31_언양 신규점3","",IF('⑨ 구배 자동계산'!H10="","",'⑨ 구배 자동계산'!H10))</f>
        <v/>
      </c>
      <c r="C17" s="32" t="str">
        <f>IF('⑨ 구배 자동계산'!$B$4&lt;&gt;"31_언양 신규점3","",IF('⑨ 구배 자동계산'!I10="","",'⑨ 구배 자동계산'!I10))</f>
        <v/>
      </c>
      <c r="D17" s="44" t="str">
        <f>IF('⑨ 구배 자동계산'!$B$4&lt;&gt;"31_언양 신규점3","",IF('⑨ 구배 자동계산'!J10="","",'⑨ 구배 자동계산'!J10))</f>
        <v/>
      </c>
      <c r="E17" s="32" t="str">
        <f>IF('⑨ 구배 자동계산'!$B$4&lt;&gt;"31_언양 신규점3","",IF('⑨ 구배 자동계산'!K10="","",'⑨ 구배 자동계산'!K10))</f>
        <v/>
      </c>
      <c r="F17" s="44" t="str">
        <f>IF('⑨ 구배 자동계산'!$B$4&lt;&gt;"31_언양 신규점3","",IF('⑨ 구배 자동계산'!L10="","",'⑨ 구배 자동계산'!L10))</f>
        <v/>
      </c>
      <c r="G17" s="32" t="str">
        <f>IF('⑨ 구배 자동계산'!$B$4&lt;&gt;"31_언양 신규점3","",IF('⑨ 구배 자동계산'!M10="","",'⑨ 구배 자동계산'!M10))</f>
        <v/>
      </c>
      <c r="H17" s="44" t="str">
        <f>IF('⑨ 구배 자동계산'!$B$4&lt;&gt;"31_언양 신규점3","",IF('⑨ 구배 자동계산'!N10="","",'⑨ 구배 자동계산'!N10))</f>
        <v/>
      </c>
      <c r="I17" s="32" t="str">
        <f>IF('⑨ 구배 자동계산'!$B$4&lt;&gt;"31_언양 신규점3","",IF('⑨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자동계산'!$B$4&lt;&gt;"31_언양 신규점3","",IF('⑨ 구배 자동계산'!H11="","",'⑨ 구배 자동계산'!H11))</f>
        <v/>
      </c>
      <c r="C18" s="32" t="str">
        <f>IF('⑨ 구배 자동계산'!$B$4&lt;&gt;"31_언양 신규점3","",IF('⑨ 구배 자동계산'!I11="","",'⑨ 구배 자동계산'!I11))</f>
        <v/>
      </c>
      <c r="D18" s="44" t="str">
        <f>IF('⑨ 구배 자동계산'!$B$4&lt;&gt;"31_언양 신규점3","",IF('⑨ 구배 자동계산'!J11="","",'⑨ 구배 자동계산'!J11))</f>
        <v/>
      </c>
      <c r="E18" s="32" t="str">
        <f>IF('⑨ 구배 자동계산'!$B$4&lt;&gt;"31_언양 신규점3","",IF('⑨ 구배 자동계산'!K11="","",'⑨ 구배 자동계산'!K11))</f>
        <v/>
      </c>
      <c r="F18" s="44" t="str">
        <f>IF('⑨ 구배 자동계산'!$B$4&lt;&gt;"31_언양 신규점3","",IF('⑨ 구배 자동계산'!L11="","",'⑨ 구배 자동계산'!L11))</f>
        <v/>
      </c>
      <c r="G18" s="32" t="str">
        <f>IF('⑨ 구배 자동계산'!$B$4&lt;&gt;"31_언양 신규점3","",IF('⑨ 구배 자동계산'!M11="","",'⑨ 구배 자동계산'!M11))</f>
        <v/>
      </c>
      <c r="H18" s="44" t="str">
        <f>IF('⑨ 구배 자동계산'!$B$4&lt;&gt;"31_언양 신규점3","",IF('⑨ 구배 자동계산'!N11="","",'⑨ 구배 자동계산'!N11))</f>
        <v/>
      </c>
      <c r="I18" s="32" t="str">
        <f>IF('⑨ 구배 자동계산'!$B$4&lt;&gt;"31_언양 신규점3","",IF('⑨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자동계산'!$B$4&lt;&gt;"31_언양 신규점3","",IF('⑨ 구배 자동계산'!H12="","",'⑨ 구배 자동계산'!H12))</f>
        <v/>
      </c>
      <c r="C19" s="32" t="str">
        <f>IF('⑨ 구배 자동계산'!$B$4&lt;&gt;"31_언양 신규점3","",IF('⑨ 구배 자동계산'!I12="","",'⑨ 구배 자동계산'!I12))</f>
        <v/>
      </c>
      <c r="D19" s="44" t="str">
        <f>IF('⑨ 구배 자동계산'!$B$4&lt;&gt;"31_언양 신규점3","",IF('⑨ 구배 자동계산'!J12="","",'⑨ 구배 자동계산'!J12))</f>
        <v/>
      </c>
      <c r="E19" s="32" t="str">
        <f>IF('⑨ 구배 자동계산'!$B$4&lt;&gt;"31_언양 신규점3","",IF('⑨ 구배 자동계산'!K12="","",'⑨ 구배 자동계산'!K12))</f>
        <v/>
      </c>
      <c r="F19" s="44" t="str">
        <f>IF('⑨ 구배 자동계산'!$B$4&lt;&gt;"31_언양 신규점3","",IF('⑨ 구배 자동계산'!L12="","",'⑨ 구배 자동계산'!L12))</f>
        <v/>
      </c>
      <c r="G19" s="32" t="str">
        <f>IF('⑨ 구배 자동계산'!$B$4&lt;&gt;"31_언양 신규점3","",IF('⑨ 구배 자동계산'!M12="","",'⑨ 구배 자동계산'!M12))</f>
        <v/>
      </c>
      <c r="H19" s="44" t="str">
        <f>IF('⑨ 구배 자동계산'!$B$4&lt;&gt;"31_언양 신규점3","",IF('⑨ 구배 자동계산'!N12="","",'⑨ 구배 자동계산'!N12))</f>
        <v/>
      </c>
      <c r="I19" s="32" t="str">
        <f>IF('⑨ 구배 자동계산'!$B$4&lt;&gt;"31_언양 신규점3","",IF('⑨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자동계산'!$B$4&lt;&gt;"31_언양 신규점3","",IF('⑨ 구배 자동계산'!H13="","",'⑨ 구배 자동계산'!H13))</f>
        <v/>
      </c>
      <c r="C20" s="32" t="str">
        <f>IF('⑨ 구배 자동계산'!$B$4&lt;&gt;"31_언양 신규점3","",IF('⑨ 구배 자동계산'!I13="","",'⑨ 구배 자동계산'!I13))</f>
        <v/>
      </c>
      <c r="D20" s="44" t="str">
        <f>IF('⑨ 구배 자동계산'!$B$4&lt;&gt;"31_언양 신규점3","",IF('⑨ 구배 자동계산'!J13="","",'⑨ 구배 자동계산'!J13))</f>
        <v/>
      </c>
      <c r="E20" s="32" t="str">
        <f>IF('⑨ 구배 자동계산'!$B$4&lt;&gt;"31_언양 신규점3","",IF('⑨ 구배 자동계산'!K13="","",'⑨ 구배 자동계산'!K13))</f>
        <v/>
      </c>
      <c r="F20" s="44" t="str">
        <f>IF('⑨ 구배 자동계산'!$B$4&lt;&gt;"31_언양 신규점3","",IF('⑨ 구배 자동계산'!L13="","",'⑨ 구배 자동계산'!L13))</f>
        <v/>
      </c>
      <c r="G20" s="32" t="str">
        <f>IF('⑨ 구배 자동계산'!$B$4&lt;&gt;"31_언양 신규점3","",IF('⑨ 구배 자동계산'!M13="","",'⑨ 구배 자동계산'!M13))</f>
        <v/>
      </c>
      <c r="H20" s="44" t="str">
        <f>IF('⑨ 구배 자동계산'!$B$4&lt;&gt;"31_언양 신규점3","",IF('⑨ 구배 자동계산'!N13="","",'⑨ 구배 자동계산'!N13))</f>
        <v/>
      </c>
      <c r="I20" s="32" t="str">
        <f>IF('⑨ 구배 자동계산'!$B$4&lt;&gt;"31_언양 신규점3","",IF('⑨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자동계산'!$B$4&lt;&gt;"31_언양 신규점3","",IF('⑨ 구배 자동계산'!H14="","",'⑨ 구배 자동계산'!H14))</f>
        <v/>
      </c>
      <c r="C21" s="32" t="str">
        <f>IF('⑨ 구배 자동계산'!$B$4&lt;&gt;"31_언양 신규점3","",IF('⑨ 구배 자동계산'!I14="","",'⑨ 구배 자동계산'!I14))</f>
        <v/>
      </c>
      <c r="D21" s="44" t="str">
        <f>IF('⑨ 구배 자동계산'!$B$4&lt;&gt;"31_언양 신규점3","",IF('⑨ 구배 자동계산'!J14="","",'⑨ 구배 자동계산'!J14))</f>
        <v/>
      </c>
      <c r="E21" s="32" t="str">
        <f>IF('⑨ 구배 자동계산'!$B$4&lt;&gt;"31_언양 신규점3","",IF('⑨ 구배 자동계산'!K14="","",'⑨ 구배 자동계산'!K14))</f>
        <v/>
      </c>
      <c r="F21" s="44" t="str">
        <f>IF('⑨ 구배 자동계산'!$B$4&lt;&gt;"31_언양 신규점3","",IF('⑨ 구배 자동계산'!L14="","",'⑨ 구배 자동계산'!L14))</f>
        <v/>
      </c>
      <c r="G21" s="32" t="str">
        <f>IF('⑨ 구배 자동계산'!$B$4&lt;&gt;"31_언양 신규점3","",IF('⑨ 구배 자동계산'!M14="","",'⑨ 구배 자동계산'!M14))</f>
        <v/>
      </c>
      <c r="H21" s="44" t="str">
        <f>IF('⑨ 구배 자동계산'!$B$4&lt;&gt;"31_언양 신규점3","",IF('⑨ 구배 자동계산'!N14="","",'⑨ 구배 자동계산'!N14))</f>
        <v/>
      </c>
      <c r="I21" s="32" t="str">
        <f>IF('⑨ 구배 자동계산'!$B$4&lt;&gt;"31_언양 신규점3","",IF('⑨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자동계산'!$B$4&lt;&gt;"31_언양 신규점3","",IF('⑨ 구배 자동계산'!H15="","",'⑨ 구배 자동계산'!H15))</f>
        <v/>
      </c>
      <c r="C22" s="32" t="str">
        <f>IF('⑨ 구배 자동계산'!$B$4&lt;&gt;"31_언양 신규점3","",IF('⑨ 구배 자동계산'!I15="","",'⑨ 구배 자동계산'!I15))</f>
        <v/>
      </c>
      <c r="D22" s="44" t="str">
        <f>IF('⑨ 구배 자동계산'!$B$4&lt;&gt;"31_언양 신규점3","",IF('⑨ 구배 자동계산'!J15="","",'⑨ 구배 자동계산'!J15))</f>
        <v/>
      </c>
      <c r="E22" s="32" t="str">
        <f>IF('⑨ 구배 자동계산'!$B$4&lt;&gt;"31_언양 신규점3","",IF('⑨ 구배 자동계산'!K15="","",'⑨ 구배 자동계산'!K15))</f>
        <v/>
      </c>
      <c r="F22" s="44" t="str">
        <f>IF('⑨ 구배 자동계산'!$B$4&lt;&gt;"31_언양 신규점3","",IF('⑨ 구배 자동계산'!L15="","",'⑨ 구배 자동계산'!L15))</f>
        <v/>
      </c>
      <c r="G22" s="32" t="str">
        <f>IF('⑨ 구배 자동계산'!$B$4&lt;&gt;"31_언양 신규점3","",IF('⑨ 구배 자동계산'!M15="","",'⑨ 구배 자동계산'!M15))</f>
        <v/>
      </c>
      <c r="H22" s="44" t="str">
        <f>IF('⑨ 구배 자동계산'!$B$4&lt;&gt;"31_언양 신규점3","",IF('⑨ 구배 자동계산'!N15="","",'⑨ 구배 자동계산'!N15))</f>
        <v/>
      </c>
      <c r="I22" s="32" t="str">
        <f>IF('⑨ 구배 자동계산'!$B$4&lt;&gt;"31_언양 신규점3","",IF('⑨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자동계산'!$B$4&lt;&gt;"31_언양 신규점3","",IF('⑨ 구배 자동계산'!H16="","",'⑨ 구배 자동계산'!H16))</f>
        <v/>
      </c>
      <c r="C23" s="32" t="str">
        <f>IF('⑨ 구배 자동계산'!$B$4&lt;&gt;"31_언양 신규점3","",IF('⑨ 구배 자동계산'!I16="","",'⑨ 구배 자동계산'!I16))</f>
        <v/>
      </c>
      <c r="D23" s="44" t="str">
        <f>IF('⑨ 구배 자동계산'!$B$4&lt;&gt;"31_언양 신규점3","",IF('⑨ 구배 자동계산'!J16="","",'⑨ 구배 자동계산'!J16))</f>
        <v/>
      </c>
      <c r="E23" s="32" t="str">
        <f>IF('⑨ 구배 자동계산'!$B$4&lt;&gt;"31_언양 신규점3","",IF('⑨ 구배 자동계산'!K16="","",'⑨ 구배 자동계산'!K16))</f>
        <v/>
      </c>
      <c r="F23" s="44" t="str">
        <f>IF('⑨ 구배 자동계산'!$B$4&lt;&gt;"31_언양 신규점3","",IF('⑨ 구배 자동계산'!L16="","",'⑨ 구배 자동계산'!L16))</f>
        <v/>
      </c>
      <c r="G23" s="32" t="str">
        <f>IF('⑨ 구배 자동계산'!$B$4&lt;&gt;"31_언양 신규점3","",IF('⑨ 구배 자동계산'!M16="","",'⑨ 구배 자동계산'!M16))</f>
        <v/>
      </c>
      <c r="H23" s="44" t="str">
        <f>IF('⑨ 구배 자동계산'!$B$4&lt;&gt;"31_언양 신규점3","",IF('⑨ 구배 자동계산'!N16="","",'⑨ 구배 자동계산'!N16))</f>
        <v/>
      </c>
      <c r="I23" s="32" t="str">
        <f>IF('⑨ 구배 자동계산'!$B$4&lt;&gt;"31_언양 신규점3","",IF('⑨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자동계산'!$B$4&lt;&gt;"31_언양 신규점3","",IF('⑨ 구배 자동계산'!H17="","",'⑨ 구배 자동계산'!H17))</f>
        <v/>
      </c>
      <c r="C24" s="32" t="str">
        <f>IF('⑨ 구배 자동계산'!$B$4&lt;&gt;"31_언양 신규점3","",IF('⑨ 구배 자동계산'!I17="","",'⑨ 구배 자동계산'!I17))</f>
        <v/>
      </c>
      <c r="D24" s="44" t="str">
        <f>IF('⑨ 구배 자동계산'!$B$4&lt;&gt;"31_언양 신규점3","",IF('⑨ 구배 자동계산'!J17="","",'⑨ 구배 자동계산'!J17))</f>
        <v/>
      </c>
      <c r="E24" s="32" t="str">
        <f>IF('⑨ 구배 자동계산'!$B$4&lt;&gt;"31_언양 신규점3","",IF('⑨ 구배 자동계산'!K17="","",'⑨ 구배 자동계산'!K17))</f>
        <v/>
      </c>
      <c r="F24" s="44" t="str">
        <f>IF('⑨ 구배 자동계산'!$B$4&lt;&gt;"31_언양 신규점3","",IF('⑨ 구배 자동계산'!L17="","",'⑨ 구배 자동계산'!L17))</f>
        <v/>
      </c>
      <c r="G24" s="32" t="str">
        <f>IF('⑨ 구배 자동계산'!$B$4&lt;&gt;"31_언양 신규점3","",IF('⑨ 구배 자동계산'!M17="","",'⑨ 구배 자동계산'!M17))</f>
        <v/>
      </c>
      <c r="H24" s="44" t="str">
        <f>IF('⑨ 구배 자동계산'!$B$4&lt;&gt;"31_언양 신규점3","",IF('⑨ 구배 자동계산'!N17="","",'⑨ 구배 자동계산'!N17))</f>
        <v/>
      </c>
      <c r="I24" s="32" t="str">
        <f>IF('⑨ 구배 자동계산'!$B$4&lt;&gt;"31_언양 신규점3","",IF('⑨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자동계산'!$B$4&lt;&gt;"31_언양 신규점3","",IF('⑨ 구배 자동계산'!H18="","",'⑨ 구배 자동계산'!H18))</f>
        <v/>
      </c>
      <c r="C25" s="32" t="str">
        <f>IF('⑨ 구배 자동계산'!$B$4&lt;&gt;"31_언양 신규점3","",IF('⑨ 구배 자동계산'!I18="","",'⑨ 구배 자동계산'!I18))</f>
        <v/>
      </c>
      <c r="D25" s="44" t="str">
        <f>IF('⑨ 구배 자동계산'!$B$4&lt;&gt;"31_언양 신규점3","",IF('⑨ 구배 자동계산'!J18="","",'⑨ 구배 자동계산'!J18))</f>
        <v/>
      </c>
      <c r="E25" s="32" t="str">
        <f>IF('⑨ 구배 자동계산'!$B$4&lt;&gt;"31_언양 신규점3","",IF('⑨ 구배 자동계산'!K18="","",'⑨ 구배 자동계산'!K18))</f>
        <v/>
      </c>
      <c r="F25" s="44" t="str">
        <f>IF('⑨ 구배 자동계산'!$B$4&lt;&gt;"31_언양 신규점3","",IF('⑨ 구배 자동계산'!L18="","",'⑨ 구배 자동계산'!L18))</f>
        <v/>
      </c>
      <c r="G25" s="32" t="str">
        <f>IF('⑨ 구배 자동계산'!$B$4&lt;&gt;"31_언양 신규점3","",IF('⑨ 구배 자동계산'!M18="","",'⑨ 구배 자동계산'!M18))</f>
        <v/>
      </c>
      <c r="H25" s="44" t="str">
        <f>IF('⑨ 구배 자동계산'!$B$4&lt;&gt;"31_언양 신규점3","",IF('⑨ 구배 자동계산'!N18="","",'⑨ 구배 자동계산'!N18))</f>
        <v/>
      </c>
      <c r="I25" s="32" t="str">
        <f>IF('⑨ 구배 자동계산'!$B$4&lt;&gt;"31_언양 신규점3","",IF('⑨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자동계산'!$B$4&lt;&gt;"31_언양 신규점3","",IF('⑨ 구배 자동계산'!H19="","",'⑨ 구배 자동계산'!H19))</f>
        <v/>
      </c>
      <c r="C26" s="32" t="str">
        <f>IF('⑨ 구배 자동계산'!$B$4&lt;&gt;"31_언양 신규점3","",IF('⑨ 구배 자동계산'!I19="","",'⑨ 구배 자동계산'!I19))</f>
        <v/>
      </c>
      <c r="D26" s="44" t="str">
        <f>IF('⑨ 구배 자동계산'!$B$4&lt;&gt;"31_언양 신규점3","",IF('⑨ 구배 자동계산'!J19="","",'⑨ 구배 자동계산'!J19))</f>
        <v/>
      </c>
      <c r="E26" s="32" t="str">
        <f>IF('⑨ 구배 자동계산'!$B$4&lt;&gt;"31_언양 신규점3","",IF('⑨ 구배 자동계산'!K19="","",'⑨ 구배 자동계산'!K19))</f>
        <v/>
      </c>
      <c r="F26" s="44" t="str">
        <f>IF('⑨ 구배 자동계산'!$B$4&lt;&gt;"31_언양 신규점3","",IF('⑨ 구배 자동계산'!L19="","",'⑨ 구배 자동계산'!L19))</f>
        <v/>
      </c>
      <c r="G26" s="32" t="str">
        <f>IF('⑨ 구배 자동계산'!$B$4&lt;&gt;"31_언양 신규점3","",IF('⑨ 구배 자동계산'!M19="","",'⑨ 구배 자동계산'!M19))</f>
        <v/>
      </c>
      <c r="H26" s="44" t="str">
        <f>IF('⑨ 구배 자동계산'!$B$4&lt;&gt;"31_언양 신규점3","",IF('⑨ 구배 자동계산'!N19="","",'⑨ 구배 자동계산'!N19))</f>
        <v/>
      </c>
      <c r="I26" s="32" t="str">
        <f>IF('⑨ 구배 자동계산'!$B$4&lt;&gt;"31_언양 신규점3","",IF('⑨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자동계산'!$B$4&lt;&gt;"31_언양 신규점3","",IF('⑨ 구배 자동계산'!H20="","",'⑨ 구배 자동계산'!H20))</f>
        <v/>
      </c>
      <c r="C27" s="41" t="str">
        <f>IF('⑨ 구배 자동계산'!$B$4&lt;&gt;"31_언양 신규점3","",IF('⑨ 구배 자동계산'!I20="","",'⑨ 구배 자동계산'!I20))</f>
        <v/>
      </c>
      <c r="D27" s="45" t="str">
        <f>IF('⑨ 구배 자동계산'!$B$4&lt;&gt;"31_언양 신규점3","",IF('⑨ 구배 자동계산'!J20="","",'⑨ 구배 자동계산'!J20))</f>
        <v/>
      </c>
      <c r="E27" s="41" t="str">
        <f>IF('⑨ 구배 자동계산'!$B$4&lt;&gt;"31_언양 신규점3","",IF('⑨ 구배 자동계산'!K20="","",'⑨ 구배 자동계산'!K20))</f>
        <v/>
      </c>
      <c r="F27" s="45" t="str">
        <f>IF('⑨ 구배 자동계산'!$B$4&lt;&gt;"31_언양 신규점3","",IF('⑨ 구배 자동계산'!L20="","",'⑨ 구배 자동계산'!L20))</f>
        <v/>
      </c>
      <c r="G27" s="41" t="str">
        <f>IF('⑨ 구배 자동계산'!$B$4&lt;&gt;"31_언양 신규점3","",IF('⑨ 구배 자동계산'!M20="","",'⑨ 구배 자동계산'!M20))</f>
        <v/>
      </c>
      <c r="H27" s="45" t="str">
        <f>IF('⑨ 구배 자동계산'!$B$4&lt;&gt;"31_언양 신규점3","",IF('⑨ 구배 자동계산'!N20="","",'⑨ 구배 자동계산'!N20))</f>
        <v/>
      </c>
      <c r="I27" s="41" t="str">
        <f>IF('⑨ 구배 자동계산'!$B$4&lt;&gt;"31_언양 신규점3","",IF('⑨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자동계산'!$B$4&lt;&gt;"31_언양 신규점3","",IF('⑨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자동계산'!$B$4&lt;&gt;"31_언양 신규점3","",IF('⑨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자동계산'!$B$4&lt;&gt;"31_언양 신규점3","",IF('⑨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자동계산'!$B$4&lt;&gt;"31_언양 신규점3","",IF('⑨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자동계산'!$B$4&lt;&gt;"31_언양 신규점3","",IF('⑨ 구배 자동계산'!I23="","",'⑨ 구배 자동계산'!I23))</f>
        <v/>
      </c>
      <c r="D42" s="8"/>
      <c r="E42" s="8"/>
      <c r="F42" s="8"/>
      <c r="G42" s="92" t="str">
        <f>IF('⑨ 구배 자동계산'!$B$4&lt;&gt;"31_언양 신규점3","",IF('⑨ 구배 자동계산'!$J23="","",'⑨ 구배 자동계산'!$J23&amp;"  ·  "&amp;'⑨ 구배 자동계산'!$L23))</f>
        <v/>
      </c>
      <c r="H42" s="93"/>
      <c r="I42" s="93"/>
    </row>
    <row r="43" spans="1:35" ht="19.95" customHeight="1" x14ac:dyDescent="0.4">
      <c r="A43" s="8">
        <v>3</v>
      </c>
      <c r="B43" s="33">
        <v>140</v>
      </c>
      <c r="C43" s="32" t="str">
        <f>IF('⑨ 구배 자동계산'!$B$4&lt;&gt;"31_언양 신규점3","",IF('⑨ 구배 자동계산'!I24="","",'⑨ 구배 자동계산'!I24))</f>
        <v/>
      </c>
      <c r="D43" s="34">
        <f>IF(COUNT(B43,B42)&lt;2,"",(B42-B43)/100)</f>
        <v>0.45</v>
      </c>
      <c r="E43" s="35" t="str">
        <f>IF(COUNT(C43,C42)&lt;2,"",C43-C42)</f>
        <v/>
      </c>
      <c r="F43" s="36" t="str">
        <f>IF(OR(D43="",E43="",D43=0),"",E43/D43)</f>
        <v/>
      </c>
      <c r="G43" s="92" t="str">
        <f>IF('⑨ 구배 자동계산'!$B$4&lt;&gt;"31_언양 신규점3","",IF('⑨ 구배 자동계산'!$J24="","",'⑨ 구배 자동계산'!$J24&amp;"  ·  "&amp;'⑨ 구배 자동계산'!$L24))</f>
        <v/>
      </c>
      <c r="H43" s="93"/>
      <c r="I43" s="93"/>
      <c r="AH43" t="s">
        <v>234</v>
      </c>
    </row>
    <row r="44" spans="1:35" ht="19.95" customHeight="1" x14ac:dyDescent="0.4">
      <c r="A44" s="8">
        <v>2</v>
      </c>
      <c r="B44" s="33">
        <v>95</v>
      </c>
      <c r="C44" s="32" t="str">
        <f>IF('⑨ 구배 자동계산'!$B$4&lt;&gt;"31_언양 신규점3","",IF('⑨ 구배 자동계산'!I25="","",'⑨ 구배 자동계산'!I25))</f>
        <v/>
      </c>
      <c r="D44" s="34">
        <f>IF(COUNT(B44,B43)&lt;2,"",(B43-B44)/100)</f>
        <v>0.45</v>
      </c>
      <c r="E44" s="35" t="str">
        <f>IF(COUNT(C44,C43)&lt;2,"",C44-C43)</f>
        <v/>
      </c>
      <c r="F44" s="36" t="str">
        <f>IF(OR(D44="",E44="",D44=0),"",E44/D44)</f>
        <v/>
      </c>
      <c r="G44" s="92" t="str">
        <f>IF('⑨ 구배 자동계산'!$B$4&lt;&gt;"31_언양 신규점3","",IF('⑨ 구배 자동계산'!$J25="","",'⑨ 구배 자동계산'!$J25&amp;"  ·  "&amp;'⑨ 구배 자동계산'!$L25))</f>
        <v/>
      </c>
      <c r="H44" s="93"/>
      <c r="I44" s="93"/>
    </row>
    <row r="45" spans="1:35" ht="19.95" customHeight="1" x14ac:dyDescent="0.4">
      <c r="A45" s="8">
        <v>1</v>
      </c>
      <c r="B45" s="33">
        <v>50</v>
      </c>
      <c r="C45" s="32" t="str">
        <f>IF('⑨ 구배 자동계산'!$B$4&lt;&gt;"31_언양 신규점3","",IF('⑨ 구배 자동계산'!I26="","",'⑨ 구배 자동계산'!I26))</f>
        <v/>
      </c>
      <c r="D45" s="34">
        <f>IF(COUNT(B45,B44)&lt;2,"",(B44-B45)/100)</f>
        <v>0.45</v>
      </c>
      <c r="E45" s="35" t="str">
        <f>IF(COUNT(C45,C44)&lt;2,"",C45-C44)</f>
        <v/>
      </c>
      <c r="F45" s="36" t="str">
        <f>IF(OR(D45="",E45="",D45=0),"",E45/D45)</f>
        <v/>
      </c>
      <c r="G45" s="92" t="str">
        <f>IF('⑨ 구배 자동계산'!$B$4&lt;&gt;"31_언양 신규점3","",IF('⑨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IF(COUNT(B50,E50)&lt;2,"",ROUND(SQRT(((129.029824-E50)*111320*COS(RADIANS(35.742364)))^2+((35.742364-B50)*110574)^2),1))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S31-P0a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99" priority="1">
      <formula>AND(ISNUMBER(C31),C31&gt;50)</formula>
    </cfRule>
  </conditionalFormatting>
  <conditionalFormatting sqref="D7">
    <cfRule type="expression" dxfId="98" priority="3" stopIfTrue="1">
      <formula>AND($D$7&lt;&gt;"",VALUE(LEFT($D$7,1))&lt;5)</formula>
    </cfRule>
    <cfRule type="expression" dxfId="97" priority="4" stopIfTrue="1">
      <formula>AND($D$7&lt;&gt;"",VALUE(LEFT($D$7,1))&gt;=5)</formula>
    </cfRule>
  </conditionalFormatting>
  <conditionalFormatting sqref="E7">
    <cfRule type="expression" dxfId="96" priority="5" stopIfTrue="1">
      <formula>AND($E$7&lt;&gt;"",VALUE(LEFT($E$7,1))&lt;5)</formula>
    </cfRule>
    <cfRule type="expression" dxfId="9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3954F5E6-A603-4AEF-99DC-4E64DAF086E4}">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4B6C439E-4E9E-4505-82CE-DDA92BC8920C}">
      <formula1>DATE(2026,1,1)</formula1>
      <formula2>DATE(2027,12,31)</formula2>
    </dataValidation>
    <dataValidation type="list" allowBlank="1" sqref="C7" xr:uid="{B398D68A-EA0C-432F-92A5-0338A1473013}">
      <formula1>"맑음,구름 조금,흐림,비,눈,바람 강함"</formula1>
    </dataValidation>
    <dataValidation type="list" allowBlank="1" sqref="H50" xr:uid="{A922F506-D92F-42AC-AF1D-3DF2DE894A61}">
      <formula1>"RTK-GNSS,네트워크RTK,정적GNSS,휴대GNSS"</formula1>
    </dataValidation>
    <dataValidation type="list" allowBlank="1" sqref="B109" xr:uid="{57B8FF5A-B738-4DEA-81F4-91E5D58D40B3}">
      <formula1>"동일,조정"</formula1>
    </dataValidation>
    <dataValidation type="list" allowBlank="1" showInputMessage="1" showErrorMessage="1" sqref="F56:F57" xr:uid="{A9A7CA37-7AF8-4394-B48D-FBB3BA97AFFC}">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&amp;RS31 언양 신규점3</oddHeader>
    <oddFooter>&amp;C&amp;9 &amp;P / &amp;N</oddFooter>
  </headerFooter>
  <rowBreaks count="3" manualBreakCount="3">
    <brk id="38" max="16383" man="1"/>
    <brk id="58" max="16383" man="1"/>
    <brk id="106"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9015C-F16A-46F7-8D35-ADF2E5A3E492}">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473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474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475</v>
      </c>
      <c r="B3" s="68"/>
      <c r="C3" s="68"/>
      <c r="D3" s="68"/>
      <c r="E3" s="68"/>
      <c r="F3" s="8" t="s">
        <v>154</v>
      </c>
      <c r="G3" s="6"/>
      <c r="H3" s="8" t="s">
        <v>155</v>
      </c>
      <c r="I3" s="9" t="s">
        <v>476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자동계산'!$B$4="32_함양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자동계산'!$B$4&lt;&gt;"32_함양 신규점","",IF('⑨ 구배 자동계산'!H9="","",'⑨ 구배 자동계산'!H9))</f>
        <v/>
      </c>
      <c r="C16" s="30" t="str">
        <f>IF('⑨ 구배 자동계산'!$B$4&lt;&gt;"32_함양 신규점","",IF('⑨ 구배 자동계산'!I9="","",'⑨ 구배 자동계산'!I9))</f>
        <v/>
      </c>
      <c r="D16" s="43" t="str">
        <f>IF('⑨ 구배 자동계산'!$B$4&lt;&gt;"32_함양 신규점","",IF('⑨ 구배 자동계산'!J9="","",'⑨ 구배 자동계산'!J9))</f>
        <v/>
      </c>
      <c r="E16" s="30" t="str">
        <f>IF('⑨ 구배 자동계산'!$B$4&lt;&gt;"32_함양 신규점","",IF('⑨ 구배 자동계산'!K9="","",'⑨ 구배 자동계산'!K9))</f>
        <v/>
      </c>
      <c r="F16" s="43" t="str">
        <f>IF('⑨ 구배 자동계산'!$B$4&lt;&gt;"32_함양 신규점","",IF('⑨ 구배 자동계산'!L9="","",'⑨ 구배 자동계산'!L9))</f>
        <v/>
      </c>
      <c r="G16" s="30" t="str">
        <f>IF('⑨ 구배 자동계산'!$B$4&lt;&gt;"32_함양 신규점","",IF('⑨ 구배 자동계산'!M9="","",'⑨ 구배 자동계산'!M9))</f>
        <v/>
      </c>
      <c r="H16" s="43" t="str">
        <f>IF('⑨ 구배 자동계산'!$B$4&lt;&gt;"32_함양 신규점","",IF('⑨ 구배 자동계산'!N9="","",'⑨ 구배 자동계산'!N9))</f>
        <v/>
      </c>
      <c r="I16" s="30" t="str">
        <f>IF('⑨ 구배 자동계산'!$B$4&lt;&gt;"32_함양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자동계산'!$B$4&lt;&gt;"32_함양 신규점","",IF('⑨ 구배 자동계산'!H10="","",'⑨ 구배 자동계산'!H10))</f>
        <v/>
      </c>
      <c r="C17" s="32" t="str">
        <f>IF('⑨ 구배 자동계산'!$B$4&lt;&gt;"32_함양 신규점","",IF('⑨ 구배 자동계산'!I10="","",'⑨ 구배 자동계산'!I10))</f>
        <v/>
      </c>
      <c r="D17" s="44" t="str">
        <f>IF('⑨ 구배 자동계산'!$B$4&lt;&gt;"32_함양 신규점","",IF('⑨ 구배 자동계산'!J10="","",'⑨ 구배 자동계산'!J10))</f>
        <v/>
      </c>
      <c r="E17" s="32" t="str">
        <f>IF('⑨ 구배 자동계산'!$B$4&lt;&gt;"32_함양 신규점","",IF('⑨ 구배 자동계산'!K10="","",'⑨ 구배 자동계산'!K10))</f>
        <v/>
      </c>
      <c r="F17" s="44" t="str">
        <f>IF('⑨ 구배 자동계산'!$B$4&lt;&gt;"32_함양 신규점","",IF('⑨ 구배 자동계산'!L10="","",'⑨ 구배 자동계산'!L10))</f>
        <v/>
      </c>
      <c r="G17" s="32" t="str">
        <f>IF('⑨ 구배 자동계산'!$B$4&lt;&gt;"32_함양 신규점","",IF('⑨ 구배 자동계산'!M10="","",'⑨ 구배 자동계산'!M10))</f>
        <v/>
      </c>
      <c r="H17" s="44" t="str">
        <f>IF('⑨ 구배 자동계산'!$B$4&lt;&gt;"32_함양 신규점","",IF('⑨ 구배 자동계산'!N10="","",'⑨ 구배 자동계산'!N10))</f>
        <v/>
      </c>
      <c r="I17" s="32" t="str">
        <f>IF('⑨ 구배 자동계산'!$B$4&lt;&gt;"32_함양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자동계산'!$B$4&lt;&gt;"32_함양 신규점","",IF('⑨ 구배 자동계산'!H11="","",'⑨ 구배 자동계산'!H11))</f>
        <v/>
      </c>
      <c r="C18" s="32" t="str">
        <f>IF('⑨ 구배 자동계산'!$B$4&lt;&gt;"32_함양 신규점","",IF('⑨ 구배 자동계산'!I11="","",'⑨ 구배 자동계산'!I11))</f>
        <v/>
      </c>
      <c r="D18" s="44" t="str">
        <f>IF('⑨ 구배 자동계산'!$B$4&lt;&gt;"32_함양 신규점","",IF('⑨ 구배 자동계산'!J11="","",'⑨ 구배 자동계산'!J11))</f>
        <v/>
      </c>
      <c r="E18" s="32" t="str">
        <f>IF('⑨ 구배 자동계산'!$B$4&lt;&gt;"32_함양 신규점","",IF('⑨ 구배 자동계산'!K11="","",'⑨ 구배 자동계산'!K11))</f>
        <v/>
      </c>
      <c r="F18" s="44" t="str">
        <f>IF('⑨ 구배 자동계산'!$B$4&lt;&gt;"32_함양 신규점","",IF('⑨ 구배 자동계산'!L11="","",'⑨ 구배 자동계산'!L11))</f>
        <v/>
      </c>
      <c r="G18" s="32" t="str">
        <f>IF('⑨ 구배 자동계산'!$B$4&lt;&gt;"32_함양 신규점","",IF('⑨ 구배 자동계산'!M11="","",'⑨ 구배 자동계산'!M11))</f>
        <v/>
      </c>
      <c r="H18" s="44" t="str">
        <f>IF('⑨ 구배 자동계산'!$B$4&lt;&gt;"32_함양 신규점","",IF('⑨ 구배 자동계산'!N11="","",'⑨ 구배 자동계산'!N11))</f>
        <v/>
      </c>
      <c r="I18" s="32" t="str">
        <f>IF('⑨ 구배 자동계산'!$B$4&lt;&gt;"32_함양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자동계산'!$B$4&lt;&gt;"32_함양 신규점","",IF('⑨ 구배 자동계산'!H12="","",'⑨ 구배 자동계산'!H12))</f>
        <v/>
      </c>
      <c r="C19" s="32" t="str">
        <f>IF('⑨ 구배 자동계산'!$B$4&lt;&gt;"32_함양 신규점","",IF('⑨ 구배 자동계산'!I12="","",'⑨ 구배 자동계산'!I12))</f>
        <v/>
      </c>
      <c r="D19" s="44" t="str">
        <f>IF('⑨ 구배 자동계산'!$B$4&lt;&gt;"32_함양 신규점","",IF('⑨ 구배 자동계산'!J12="","",'⑨ 구배 자동계산'!J12))</f>
        <v/>
      </c>
      <c r="E19" s="32" t="str">
        <f>IF('⑨ 구배 자동계산'!$B$4&lt;&gt;"32_함양 신규점","",IF('⑨ 구배 자동계산'!K12="","",'⑨ 구배 자동계산'!K12))</f>
        <v/>
      </c>
      <c r="F19" s="44" t="str">
        <f>IF('⑨ 구배 자동계산'!$B$4&lt;&gt;"32_함양 신규점","",IF('⑨ 구배 자동계산'!L12="","",'⑨ 구배 자동계산'!L12))</f>
        <v/>
      </c>
      <c r="G19" s="32" t="str">
        <f>IF('⑨ 구배 자동계산'!$B$4&lt;&gt;"32_함양 신규점","",IF('⑨ 구배 자동계산'!M12="","",'⑨ 구배 자동계산'!M12))</f>
        <v/>
      </c>
      <c r="H19" s="44" t="str">
        <f>IF('⑨ 구배 자동계산'!$B$4&lt;&gt;"32_함양 신규점","",IF('⑨ 구배 자동계산'!N12="","",'⑨ 구배 자동계산'!N12))</f>
        <v/>
      </c>
      <c r="I19" s="32" t="str">
        <f>IF('⑨ 구배 자동계산'!$B$4&lt;&gt;"32_함양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자동계산'!$B$4&lt;&gt;"32_함양 신규점","",IF('⑨ 구배 자동계산'!H13="","",'⑨ 구배 자동계산'!H13))</f>
        <v/>
      </c>
      <c r="C20" s="32" t="str">
        <f>IF('⑨ 구배 자동계산'!$B$4&lt;&gt;"32_함양 신규점","",IF('⑨ 구배 자동계산'!I13="","",'⑨ 구배 자동계산'!I13))</f>
        <v/>
      </c>
      <c r="D20" s="44" t="str">
        <f>IF('⑨ 구배 자동계산'!$B$4&lt;&gt;"32_함양 신규점","",IF('⑨ 구배 자동계산'!J13="","",'⑨ 구배 자동계산'!J13))</f>
        <v/>
      </c>
      <c r="E20" s="32" t="str">
        <f>IF('⑨ 구배 자동계산'!$B$4&lt;&gt;"32_함양 신규점","",IF('⑨ 구배 자동계산'!K13="","",'⑨ 구배 자동계산'!K13))</f>
        <v/>
      </c>
      <c r="F20" s="44" t="str">
        <f>IF('⑨ 구배 자동계산'!$B$4&lt;&gt;"32_함양 신규점","",IF('⑨ 구배 자동계산'!L13="","",'⑨ 구배 자동계산'!L13))</f>
        <v/>
      </c>
      <c r="G20" s="32" t="str">
        <f>IF('⑨ 구배 자동계산'!$B$4&lt;&gt;"32_함양 신규점","",IF('⑨ 구배 자동계산'!M13="","",'⑨ 구배 자동계산'!M13))</f>
        <v/>
      </c>
      <c r="H20" s="44" t="str">
        <f>IF('⑨ 구배 자동계산'!$B$4&lt;&gt;"32_함양 신규점","",IF('⑨ 구배 자동계산'!N13="","",'⑨ 구배 자동계산'!N13))</f>
        <v/>
      </c>
      <c r="I20" s="32" t="str">
        <f>IF('⑨ 구배 자동계산'!$B$4&lt;&gt;"32_함양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자동계산'!$B$4&lt;&gt;"32_함양 신규점","",IF('⑨ 구배 자동계산'!H14="","",'⑨ 구배 자동계산'!H14))</f>
        <v/>
      </c>
      <c r="C21" s="32" t="str">
        <f>IF('⑨ 구배 자동계산'!$B$4&lt;&gt;"32_함양 신규점","",IF('⑨ 구배 자동계산'!I14="","",'⑨ 구배 자동계산'!I14))</f>
        <v/>
      </c>
      <c r="D21" s="44" t="str">
        <f>IF('⑨ 구배 자동계산'!$B$4&lt;&gt;"32_함양 신규점","",IF('⑨ 구배 자동계산'!J14="","",'⑨ 구배 자동계산'!J14))</f>
        <v/>
      </c>
      <c r="E21" s="32" t="str">
        <f>IF('⑨ 구배 자동계산'!$B$4&lt;&gt;"32_함양 신규점","",IF('⑨ 구배 자동계산'!K14="","",'⑨ 구배 자동계산'!K14))</f>
        <v/>
      </c>
      <c r="F21" s="44" t="str">
        <f>IF('⑨ 구배 자동계산'!$B$4&lt;&gt;"32_함양 신규점","",IF('⑨ 구배 자동계산'!L14="","",'⑨ 구배 자동계산'!L14))</f>
        <v/>
      </c>
      <c r="G21" s="32" t="str">
        <f>IF('⑨ 구배 자동계산'!$B$4&lt;&gt;"32_함양 신규점","",IF('⑨ 구배 자동계산'!M14="","",'⑨ 구배 자동계산'!M14))</f>
        <v/>
      </c>
      <c r="H21" s="44" t="str">
        <f>IF('⑨ 구배 자동계산'!$B$4&lt;&gt;"32_함양 신규점","",IF('⑨ 구배 자동계산'!N14="","",'⑨ 구배 자동계산'!N14))</f>
        <v/>
      </c>
      <c r="I21" s="32" t="str">
        <f>IF('⑨ 구배 자동계산'!$B$4&lt;&gt;"32_함양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자동계산'!$B$4&lt;&gt;"32_함양 신규점","",IF('⑨ 구배 자동계산'!H15="","",'⑨ 구배 자동계산'!H15))</f>
        <v/>
      </c>
      <c r="C22" s="32" t="str">
        <f>IF('⑨ 구배 자동계산'!$B$4&lt;&gt;"32_함양 신규점","",IF('⑨ 구배 자동계산'!I15="","",'⑨ 구배 자동계산'!I15))</f>
        <v/>
      </c>
      <c r="D22" s="44" t="str">
        <f>IF('⑨ 구배 자동계산'!$B$4&lt;&gt;"32_함양 신규점","",IF('⑨ 구배 자동계산'!J15="","",'⑨ 구배 자동계산'!J15))</f>
        <v/>
      </c>
      <c r="E22" s="32" t="str">
        <f>IF('⑨ 구배 자동계산'!$B$4&lt;&gt;"32_함양 신규점","",IF('⑨ 구배 자동계산'!K15="","",'⑨ 구배 자동계산'!K15))</f>
        <v/>
      </c>
      <c r="F22" s="44" t="str">
        <f>IF('⑨ 구배 자동계산'!$B$4&lt;&gt;"32_함양 신규점","",IF('⑨ 구배 자동계산'!L15="","",'⑨ 구배 자동계산'!L15))</f>
        <v/>
      </c>
      <c r="G22" s="32" t="str">
        <f>IF('⑨ 구배 자동계산'!$B$4&lt;&gt;"32_함양 신규점","",IF('⑨ 구배 자동계산'!M15="","",'⑨ 구배 자동계산'!M15))</f>
        <v/>
      </c>
      <c r="H22" s="44" t="str">
        <f>IF('⑨ 구배 자동계산'!$B$4&lt;&gt;"32_함양 신규점","",IF('⑨ 구배 자동계산'!N15="","",'⑨ 구배 자동계산'!N15))</f>
        <v/>
      </c>
      <c r="I22" s="32" t="str">
        <f>IF('⑨ 구배 자동계산'!$B$4&lt;&gt;"32_함양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자동계산'!$B$4&lt;&gt;"32_함양 신규점","",IF('⑨ 구배 자동계산'!H16="","",'⑨ 구배 자동계산'!H16))</f>
        <v/>
      </c>
      <c r="C23" s="32" t="str">
        <f>IF('⑨ 구배 자동계산'!$B$4&lt;&gt;"32_함양 신규점","",IF('⑨ 구배 자동계산'!I16="","",'⑨ 구배 자동계산'!I16))</f>
        <v/>
      </c>
      <c r="D23" s="44" t="str">
        <f>IF('⑨ 구배 자동계산'!$B$4&lt;&gt;"32_함양 신규점","",IF('⑨ 구배 자동계산'!J16="","",'⑨ 구배 자동계산'!J16))</f>
        <v/>
      </c>
      <c r="E23" s="32" t="str">
        <f>IF('⑨ 구배 자동계산'!$B$4&lt;&gt;"32_함양 신규점","",IF('⑨ 구배 자동계산'!K16="","",'⑨ 구배 자동계산'!K16))</f>
        <v/>
      </c>
      <c r="F23" s="44" t="str">
        <f>IF('⑨ 구배 자동계산'!$B$4&lt;&gt;"32_함양 신규점","",IF('⑨ 구배 자동계산'!L16="","",'⑨ 구배 자동계산'!L16))</f>
        <v/>
      </c>
      <c r="G23" s="32" t="str">
        <f>IF('⑨ 구배 자동계산'!$B$4&lt;&gt;"32_함양 신규점","",IF('⑨ 구배 자동계산'!M16="","",'⑨ 구배 자동계산'!M16))</f>
        <v/>
      </c>
      <c r="H23" s="44" t="str">
        <f>IF('⑨ 구배 자동계산'!$B$4&lt;&gt;"32_함양 신규점","",IF('⑨ 구배 자동계산'!N16="","",'⑨ 구배 자동계산'!N16))</f>
        <v/>
      </c>
      <c r="I23" s="32" t="str">
        <f>IF('⑨ 구배 자동계산'!$B$4&lt;&gt;"32_함양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자동계산'!$B$4&lt;&gt;"32_함양 신규점","",IF('⑨ 구배 자동계산'!H17="","",'⑨ 구배 자동계산'!H17))</f>
        <v/>
      </c>
      <c r="C24" s="32" t="str">
        <f>IF('⑨ 구배 자동계산'!$B$4&lt;&gt;"32_함양 신규점","",IF('⑨ 구배 자동계산'!I17="","",'⑨ 구배 자동계산'!I17))</f>
        <v/>
      </c>
      <c r="D24" s="44" t="str">
        <f>IF('⑨ 구배 자동계산'!$B$4&lt;&gt;"32_함양 신규점","",IF('⑨ 구배 자동계산'!J17="","",'⑨ 구배 자동계산'!J17))</f>
        <v/>
      </c>
      <c r="E24" s="32" t="str">
        <f>IF('⑨ 구배 자동계산'!$B$4&lt;&gt;"32_함양 신규점","",IF('⑨ 구배 자동계산'!K17="","",'⑨ 구배 자동계산'!K17))</f>
        <v/>
      </c>
      <c r="F24" s="44" t="str">
        <f>IF('⑨ 구배 자동계산'!$B$4&lt;&gt;"32_함양 신규점","",IF('⑨ 구배 자동계산'!L17="","",'⑨ 구배 자동계산'!L17))</f>
        <v/>
      </c>
      <c r="G24" s="32" t="str">
        <f>IF('⑨ 구배 자동계산'!$B$4&lt;&gt;"32_함양 신규점","",IF('⑨ 구배 자동계산'!M17="","",'⑨ 구배 자동계산'!M17))</f>
        <v/>
      </c>
      <c r="H24" s="44" t="str">
        <f>IF('⑨ 구배 자동계산'!$B$4&lt;&gt;"32_함양 신규점","",IF('⑨ 구배 자동계산'!N17="","",'⑨ 구배 자동계산'!N17))</f>
        <v/>
      </c>
      <c r="I24" s="32" t="str">
        <f>IF('⑨ 구배 자동계산'!$B$4&lt;&gt;"32_함양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자동계산'!$B$4&lt;&gt;"32_함양 신규점","",IF('⑨ 구배 자동계산'!H18="","",'⑨ 구배 자동계산'!H18))</f>
        <v/>
      </c>
      <c r="C25" s="32" t="str">
        <f>IF('⑨ 구배 자동계산'!$B$4&lt;&gt;"32_함양 신규점","",IF('⑨ 구배 자동계산'!I18="","",'⑨ 구배 자동계산'!I18))</f>
        <v/>
      </c>
      <c r="D25" s="44" t="str">
        <f>IF('⑨ 구배 자동계산'!$B$4&lt;&gt;"32_함양 신규점","",IF('⑨ 구배 자동계산'!J18="","",'⑨ 구배 자동계산'!J18))</f>
        <v/>
      </c>
      <c r="E25" s="32" t="str">
        <f>IF('⑨ 구배 자동계산'!$B$4&lt;&gt;"32_함양 신규점","",IF('⑨ 구배 자동계산'!K18="","",'⑨ 구배 자동계산'!K18))</f>
        <v/>
      </c>
      <c r="F25" s="44" t="str">
        <f>IF('⑨ 구배 자동계산'!$B$4&lt;&gt;"32_함양 신규점","",IF('⑨ 구배 자동계산'!L18="","",'⑨ 구배 자동계산'!L18))</f>
        <v/>
      </c>
      <c r="G25" s="32" t="str">
        <f>IF('⑨ 구배 자동계산'!$B$4&lt;&gt;"32_함양 신규점","",IF('⑨ 구배 자동계산'!M18="","",'⑨ 구배 자동계산'!M18))</f>
        <v/>
      </c>
      <c r="H25" s="44" t="str">
        <f>IF('⑨ 구배 자동계산'!$B$4&lt;&gt;"32_함양 신규점","",IF('⑨ 구배 자동계산'!N18="","",'⑨ 구배 자동계산'!N18))</f>
        <v/>
      </c>
      <c r="I25" s="32" t="str">
        <f>IF('⑨ 구배 자동계산'!$B$4&lt;&gt;"32_함양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자동계산'!$B$4&lt;&gt;"32_함양 신규점","",IF('⑨ 구배 자동계산'!H19="","",'⑨ 구배 자동계산'!H19))</f>
        <v/>
      </c>
      <c r="C26" s="32" t="str">
        <f>IF('⑨ 구배 자동계산'!$B$4&lt;&gt;"32_함양 신규점","",IF('⑨ 구배 자동계산'!I19="","",'⑨ 구배 자동계산'!I19))</f>
        <v/>
      </c>
      <c r="D26" s="44" t="str">
        <f>IF('⑨ 구배 자동계산'!$B$4&lt;&gt;"32_함양 신규점","",IF('⑨ 구배 자동계산'!J19="","",'⑨ 구배 자동계산'!J19))</f>
        <v/>
      </c>
      <c r="E26" s="32" t="str">
        <f>IF('⑨ 구배 자동계산'!$B$4&lt;&gt;"32_함양 신규점","",IF('⑨ 구배 자동계산'!K19="","",'⑨ 구배 자동계산'!K19))</f>
        <v/>
      </c>
      <c r="F26" s="44" t="str">
        <f>IF('⑨ 구배 자동계산'!$B$4&lt;&gt;"32_함양 신규점","",IF('⑨ 구배 자동계산'!L19="","",'⑨ 구배 자동계산'!L19))</f>
        <v/>
      </c>
      <c r="G26" s="32" t="str">
        <f>IF('⑨ 구배 자동계산'!$B$4&lt;&gt;"32_함양 신규점","",IF('⑨ 구배 자동계산'!M19="","",'⑨ 구배 자동계산'!M19))</f>
        <v/>
      </c>
      <c r="H26" s="44" t="str">
        <f>IF('⑨ 구배 자동계산'!$B$4&lt;&gt;"32_함양 신규점","",IF('⑨ 구배 자동계산'!N19="","",'⑨ 구배 자동계산'!N19))</f>
        <v/>
      </c>
      <c r="I26" s="32" t="str">
        <f>IF('⑨ 구배 자동계산'!$B$4&lt;&gt;"32_함양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자동계산'!$B$4&lt;&gt;"32_함양 신규점","",IF('⑨ 구배 자동계산'!H20="","",'⑨ 구배 자동계산'!H20))</f>
        <v/>
      </c>
      <c r="C27" s="41" t="str">
        <f>IF('⑨ 구배 자동계산'!$B$4&lt;&gt;"32_함양 신규점","",IF('⑨ 구배 자동계산'!I20="","",'⑨ 구배 자동계산'!I20))</f>
        <v/>
      </c>
      <c r="D27" s="45" t="str">
        <f>IF('⑨ 구배 자동계산'!$B$4&lt;&gt;"32_함양 신규점","",IF('⑨ 구배 자동계산'!J20="","",'⑨ 구배 자동계산'!J20))</f>
        <v/>
      </c>
      <c r="E27" s="41" t="str">
        <f>IF('⑨ 구배 자동계산'!$B$4&lt;&gt;"32_함양 신규점","",IF('⑨ 구배 자동계산'!K20="","",'⑨ 구배 자동계산'!K20))</f>
        <v/>
      </c>
      <c r="F27" s="45" t="str">
        <f>IF('⑨ 구배 자동계산'!$B$4&lt;&gt;"32_함양 신규점","",IF('⑨ 구배 자동계산'!L20="","",'⑨ 구배 자동계산'!L20))</f>
        <v/>
      </c>
      <c r="G27" s="41" t="str">
        <f>IF('⑨ 구배 자동계산'!$B$4&lt;&gt;"32_함양 신규점","",IF('⑨ 구배 자동계산'!M20="","",'⑨ 구배 자동계산'!M20))</f>
        <v/>
      </c>
      <c r="H27" s="45" t="str">
        <f>IF('⑨ 구배 자동계산'!$B$4&lt;&gt;"32_함양 신규점","",IF('⑨ 구배 자동계산'!N20="","",'⑨ 구배 자동계산'!N20))</f>
        <v/>
      </c>
      <c r="I27" s="41" t="str">
        <f>IF('⑨ 구배 자동계산'!$B$4&lt;&gt;"32_함양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자동계산'!$B$4&lt;&gt;"32_함양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자동계산'!$B$4&lt;&gt;"32_함양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자동계산'!$B$4&lt;&gt;"32_함양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자동계산'!$B$4&lt;&gt;"32_함양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자동계산'!$B$4&lt;&gt;"32_함양 신규점","",IF('⑨ 구배 자동계산'!I23="","",'⑨ 구배 자동계산'!I23))</f>
        <v/>
      </c>
      <c r="D42" s="8"/>
      <c r="E42" s="8"/>
      <c r="F42" s="8"/>
      <c r="G42" s="92" t="str">
        <f>IF('⑨ 구배 자동계산'!$B$4&lt;&gt;"32_함양 신규점","",IF('⑨ 구배 자동계산'!$J23="","",'⑨ 구배 자동계산'!$J23&amp;"  ·  "&amp;'⑨ 구배 자동계산'!$L23))</f>
        <v/>
      </c>
      <c r="H42" s="93"/>
      <c r="I42" s="93"/>
    </row>
    <row r="43" spans="1:35" ht="19.95" customHeight="1" x14ac:dyDescent="0.4">
      <c r="A43" s="8">
        <v>3</v>
      </c>
      <c r="B43" s="33">
        <v>140</v>
      </c>
      <c r="C43" s="32" t="str">
        <f>IF('⑨ 구배 자동계산'!$B$4&lt;&gt;"32_함양 신규점","",IF('⑨ 구배 자동계산'!I24="","",'⑨ 구배 자동계산'!I24))</f>
        <v/>
      </c>
      <c r="D43" s="34">
        <f>IF(COUNT(B43,B42)&lt;2,"",(B42-B43)/100)</f>
        <v>0.45</v>
      </c>
      <c r="E43" s="35" t="str">
        <f>IF(COUNT(C43,C42)&lt;2,"",C43-C42)</f>
        <v/>
      </c>
      <c r="F43" s="36" t="str">
        <f>IF(OR(D43="",E43="",D43=0),"",E43/D43)</f>
        <v/>
      </c>
      <c r="G43" s="92" t="str">
        <f>IF('⑨ 구배 자동계산'!$B$4&lt;&gt;"32_함양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자동계산'!$B$4&lt;&gt;"32_함양 신규점","",IF('⑨ 구배 자동계산'!I25="","",'⑨ 구배 자동계산'!I25))</f>
        <v/>
      </c>
      <c r="D44" s="34">
        <f>IF(COUNT(B44,B43)&lt;2,"",(B43-B44)/100)</f>
        <v>0.45</v>
      </c>
      <c r="E44" s="35" t="str">
        <f>IF(COUNT(C44,C43)&lt;2,"",C44-C43)</f>
        <v/>
      </c>
      <c r="F44" s="36" t="str">
        <f>IF(OR(D44="",E44="",D44=0),"",E44/D44)</f>
        <v/>
      </c>
      <c r="G44" s="92" t="str">
        <f>IF('⑨ 구배 자동계산'!$B$4&lt;&gt;"32_함양 신규점","",IF('⑨ 구배 자동계산'!$J25="","",'⑨ 구배 자동계산'!$J25&amp;"  ·  "&amp;'⑨ 구배 자동계산'!$L25))</f>
        <v/>
      </c>
      <c r="H44" s="93"/>
      <c r="I44" s="93"/>
    </row>
    <row r="45" spans="1:35" ht="19.95" customHeight="1" x14ac:dyDescent="0.4">
      <c r="A45" s="8">
        <v>1</v>
      </c>
      <c r="B45" s="33">
        <v>50</v>
      </c>
      <c r="C45" s="32" t="str">
        <f>IF('⑨ 구배 자동계산'!$B$4&lt;&gt;"32_함양 신규점","",IF('⑨ 구배 자동계산'!I26="","",'⑨ 구배 자동계산'!I26))</f>
        <v/>
      </c>
      <c r="D45" s="34">
        <f>IF(COUNT(B45,B44)&lt;2,"",(B44-B45)/100)</f>
        <v>0.45</v>
      </c>
      <c r="E45" s="35" t="str">
        <f>IF(COUNT(C45,C44)&lt;2,"",C45-C44)</f>
        <v/>
      </c>
      <c r="F45" s="36" t="str">
        <f>IF(OR(D45="",E45="",D45=0),"",E45/D45)</f>
        <v/>
      </c>
      <c r="G45" s="92" t="str">
        <f>IF('⑨ 구배 자동계산'!$B$4&lt;&gt;"32_함양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IF(COUNT(B50,E50)&lt;2,"",ROUND(SQRT(((127.574659-E50)*111320*COS(RADIANS(35.586243)))^2+((35.586243-B50)*110574)^2),1))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S32-P0a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94" priority="1">
      <formula>AND(ISNUMBER(C31),C31&gt;50)</formula>
    </cfRule>
  </conditionalFormatting>
  <conditionalFormatting sqref="D7">
    <cfRule type="expression" dxfId="93" priority="3" stopIfTrue="1">
      <formula>AND($D$7&lt;&gt;"",VALUE(LEFT($D$7,1))&lt;5)</formula>
    </cfRule>
    <cfRule type="expression" dxfId="92" priority="4" stopIfTrue="1">
      <formula>AND($D$7&lt;&gt;"",VALUE(LEFT($D$7,1))&gt;=5)</formula>
    </cfRule>
  </conditionalFormatting>
  <conditionalFormatting sqref="E7">
    <cfRule type="expression" dxfId="91" priority="5" stopIfTrue="1">
      <formula>AND($E$7&lt;&gt;"",VALUE(LEFT($E$7,1))&lt;5)</formula>
    </cfRule>
    <cfRule type="expression" dxfId="9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FBEFAB00-A0B9-4EED-AD67-B05CAE6E7D8B}">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D8F1362B-DF35-4341-BA0B-43A2A5C661FC}">
      <formula1>DATE(2026,1,1)</formula1>
      <formula2>DATE(2027,12,31)</formula2>
    </dataValidation>
    <dataValidation type="list" allowBlank="1" sqref="C7" xr:uid="{72ACA555-A5D0-4248-B7E8-B7DA58BBBEE3}">
      <formula1>"맑음,구름 조금,흐림,비,눈,바람 강함"</formula1>
    </dataValidation>
    <dataValidation type="list" allowBlank="1" sqref="H50" xr:uid="{6A38E369-A5CD-4BEB-8A2D-5F95843AD292}">
      <formula1>"RTK-GNSS,네트워크RTK,정적GNSS,휴대GNSS"</formula1>
    </dataValidation>
    <dataValidation type="list" allowBlank="1" sqref="B109" xr:uid="{A02EFA74-47DF-47CE-B48B-EF0D223CC700}">
      <formula1>"동일,조정"</formula1>
    </dataValidation>
    <dataValidation type="list" allowBlank="1" showInputMessage="1" showErrorMessage="1" sqref="F56:F57" xr:uid="{6826A94A-33F0-40A9-BDF5-7F1D8F0D565A}">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&amp;RS32 함양 신규점</oddHeader>
    <oddFooter>&amp;C&amp;9 &amp;P / &amp;N</oddFooter>
  </headerFooter>
  <rowBreaks count="3" manualBreakCount="3">
    <brk id="38" max="16383" man="1"/>
    <brk id="58" max="16383" man="1"/>
    <brk id="106" max="16383"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C403C-CBDF-43B3-896D-8F7F60A4550F}">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477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478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479</v>
      </c>
      <c r="B3" s="68"/>
      <c r="C3" s="68"/>
      <c r="D3" s="68"/>
      <c r="E3" s="68"/>
      <c r="F3" s="8" t="s">
        <v>154</v>
      </c>
      <c r="G3" s="6"/>
      <c r="H3" s="8" t="s">
        <v>155</v>
      </c>
      <c r="I3" s="9" t="s">
        <v>480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자동계산'!$B$4="33_문산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자동계산'!$B$4&lt;&gt;"33_문산 신규점","",IF('⑨ 구배 자동계산'!H9="","",'⑨ 구배 자동계산'!H9))</f>
        <v/>
      </c>
      <c r="C16" s="30" t="str">
        <f>IF('⑨ 구배 자동계산'!$B$4&lt;&gt;"33_문산 신규점","",IF('⑨ 구배 자동계산'!I9="","",'⑨ 구배 자동계산'!I9))</f>
        <v/>
      </c>
      <c r="D16" s="43" t="str">
        <f>IF('⑨ 구배 자동계산'!$B$4&lt;&gt;"33_문산 신규점","",IF('⑨ 구배 자동계산'!J9="","",'⑨ 구배 자동계산'!J9))</f>
        <v/>
      </c>
      <c r="E16" s="30" t="str">
        <f>IF('⑨ 구배 자동계산'!$B$4&lt;&gt;"33_문산 신규점","",IF('⑨ 구배 자동계산'!K9="","",'⑨ 구배 자동계산'!K9))</f>
        <v/>
      </c>
      <c r="F16" s="43" t="str">
        <f>IF('⑨ 구배 자동계산'!$B$4&lt;&gt;"33_문산 신규점","",IF('⑨ 구배 자동계산'!L9="","",'⑨ 구배 자동계산'!L9))</f>
        <v/>
      </c>
      <c r="G16" s="30" t="str">
        <f>IF('⑨ 구배 자동계산'!$B$4&lt;&gt;"33_문산 신규점","",IF('⑨ 구배 자동계산'!M9="","",'⑨ 구배 자동계산'!M9))</f>
        <v/>
      </c>
      <c r="H16" s="43" t="str">
        <f>IF('⑨ 구배 자동계산'!$B$4&lt;&gt;"33_문산 신규점","",IF('⑨ 구배 자동계산'!N9="","",'⑨ 구배 자동계산'!N9))</f>
        <v/>
      </c>
      <c r="I16" s="30" t="str">
        <f>IF('⑨ 구배 자동계산'!$B$4&lt;&gt;"33_문산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자동계산'!$B$4&lt;&gt;"33_문산 신규점","",IF('⑨ 구배 자동계산'!H10="","",'⑨ 구배 자동계산'!H10))</f>
        <v/>
      </c>
      <c r="C17" s="32" t="str">
        <f>IF('⑨ 구배 자동계산'!$B$4&lt;&gt;"33_문산 신규점","",IF('⑨ 구배 자동계산'!I10="","",'⑨ 구배 자동계산'!I10))</f>
        <v/>
      </c>
      <c r="D17" s="44" t="str">
        <f>IF('⑨ 구배 자동계산'!$B$4&lt;&gt;"33_문산 신규점","",IF('⑨ 구배 자동계산'!J10="","",'⑨ 구배 자동계산'!J10))</f>
        <v/>
      </c>
      <c r="E17" s="32" t="str">
        <f>IF('⑨ 구배 자동계산'!$B$4&lt;&gt;"33_문산 신규점","",IF('⑨ 구배 자동계산'!K10="","",'⑨ 구배 자동계산'!K10))</f>
        <v/>
      </c>
      <c r="F17" s="44" t="str">
        <f>IF('⑨ 구배 자동계산'!$B$4&lt;&gt;"33_문산 신규점","",IF('⑨ 구배 자동계산'!L10="","",'⑨ 구배 자동계산'!L10))</f>
        <v/>
      </c>
      <c r="G17" s="32" t="str">
        <f>IF('⑨ 구배 자동계산'!$B$4&lt;&gt;"33_문산 신규점","",IF('⑨ 구배 자동계산'!M10="","",'⑨ 구배 자동계산'!M10))</f>
        <v/>
      </c>
      <c r="H17" s="44" t="str">
        <f>IF('⑨ 구배 자동계산'!$B$4&lt;&gt;"33_문산 신규점","",IF('⑨ 구배 자동계산'!N10="","",'⑨ 구배 자동계산'!N10))</f>
        <v/>
      </c>
      <c r="I17" s="32" t="str">
        <f>IF('⑨ 구배 자동계산'!$B$4&lt;&gt;"33_문산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자동계산'!$B$4&lt;&gt;"33_문산 신규점","",IF('⑨ 구배 자동계산'!H11="","",'⑨ 구배 자동계산'!H11))</f>
        <v/>
      </c>
      <c r="C18" s="32" t="str">
        <f>IF('⑨ 구배 자동계산'!$B$4&lt;&gt;"33_문산 신규점","",IF('⑨ 구배 자동계산'!I11="","",'⑨ 구배 자동계산'!I11))</f>
        <v/>
      </c>
      <c r="D18" s="44" t="str">
        <f>IF('⑨ 구배 자동계산'!$B$4&lt;&gt;"33_문산 신규점","",IF('⑨ 구배 자동계산'!J11="","",'⑨ 구배 자동계산'!J11))</f>
        <v/>
      </c>
      <c r="E18" s="32" t="str">
        <f>IF('⑨ 구배 자동계산'!$B$4&lt;&gt;"33_문산 신규점","",IF('⑨ 구배 자동계산'!K11="","",'⑨ 구배 자동계산'!K11))</f>
        <v/>
      </c>
      <c r="F18" s="44" t="str">
        <f>IF('⑨ 구배 자동계산'!$B$4&lt;&gt;"33_문산 신규점","",IF('⑨ 구배 자동계산'!L11="","",'⑨ 구배 자동계산'!L11))</f>
        <v/>
      </c>
      <c r="G18" s="32" t="str">
        <f>IF('⑨ 구배 자동계산'!$B$4&lt;&gt;"33_문산 신규점","",IF('⑨ 구배 자동계산'!M11="","",'⑨ 구배 자동계산'!M11))</f>
        <v/>
      </c>
      <c r="H18" s="44" t="str">
        <f>IF('⑨ 구배 자동계산'!$B$4&lt;&gt;"33_문산 신규점","",IF('⑨ 구배 자동계산'!N11="","",'⑨ 구배 자동계산'!N11))</f>
        <v/>
      </c>
      <c r="I18" s="32" t="str">
        <f>IF('⑨ 구배 자동계산'!$B$4&lt;&gt;"33_문산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자동계산'!$B$4&lt;&gt;"33_문산 신규점","",IF('⑨ 구배 자동계산'!H12="","",'⑨ 구배 자동계산'!H12))</f>
        <v/>
      </c>
      <c r="C19" s="32" t="str">
        <f>IF('⑨ 구배 자동계산'!$B$4&lt;&gt;"33_문산 신규점","",IF('⑨ 구배 자동계산'!I12="","",'⑨ 구배 자동계산'!I12))</f>
        <v/>
      </c>
      <c r="D19" s="44" t="str">
        <f>IF('⑨ 구배 자동계산'!$B$4&lt;&gt;"33_문산 신규점","",IF('⑨ 구배 자동계산'!J12="","",'⑨ 구배 자동계산'!J12))</f>
        <v/>
      </c>
      <c r="E19" s="32" t="str">
        <f>IF('⑨ 구배 자동계산'!$B$4&lt;&gt;"33_문산 신규점","",IF('⑨ 구배 자동계산'!K12="","",'⑨ 구배 자동계산'!K12))</f>
        <v/>
      </c>
      <c r="F19" s="44" t="str">
        <f>IF('⑨ 구배 자동계산'!$B$4&lt;&gt;"33_문산 신규점","",IF('⑨ 구배 자동계산'!L12="","",'⑨ 구배 자동계산'!L12))</f>
        <v/>
      </c>
      <c r="G19" s="32" t="str">
        <f>IF('⑨ 구배 자동계산'!$B$4&lt;&gt;"33_문산 신규점","",IF('⑨ 구배 자동계산'!M12="","",'⑨ 구배 자동계산'!M12))</f>
        <v/>
      </c>
      <c r="H19" s="44" t="str">
        <f>IF('⑨ 구배 자동계산'!$B$4&lt;&gt;"33_문산 신규점","",IF('⑨ 구배 자동계산'!N12="","",'⑨ 구배 자동계산'!N12))</f>
        <v/>
      </c>
      <c r="I19" s="32" t="str">
        <f>IF('⑨ 구배 자동계산'!$B$4&lt;&gt;"33_문산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자동계산'!$B$4&lt;&gt;"33_문산 신규점","",IF('⑨ 구배 자동계산'!H13="","",'⑨ 구배 자동계산'!H13))</f>
        <v/>
      </c>
      <c r="C20" s="32" t="str">
        <f>IF('⑨ 구배 자동계산'!$B$4&lt;&gt;"33_문산 신규점","",IF('⑨ 구배 자동계산'!I13="","",'⑨ 구배 자동계산'!I13))</f>
        <v/>
      </c>
      <c r="D20" s="44" t="str">
        <f>IF('⑨ 구배 자동계산'!$B$4&lt;&gt;"33_문산 신규점","",IF('⑨ 구배 자동계산'!J13="","",'⑨ 구배 자동계산'!J13))</f>
        <v/>
      </c>
      <c r="E20" s="32" t="str">
        <f>IF('⑨ 구배 자동계산'!$B$4&lt;&gt;"33_문산 신규점","",IF('⑨ 구배 자동계산'!K13="","",'⑨ 구배 자동계산'!K13))</f>
        <v/>
      </c>
      <c r="F20" s="44" t="str">
        <f>IF('⑨ 구배 자동계산'!$B$4&lt;&gt;"33_문산 신규점","",IF('⑨ 구배 자동계산'!L13="","",'⑨ 구배 자동계산'!L13))</f>
        <v/>
      </c>
      <c r="G20" s="32" t="str">
        <f>IF('⑨ 구배 자동계산'!$B$4&lt;&gt;"33_문산 신규점","",IF('⑨ 구배 자동계산'!M13="","",'⑨ 구배 자동계산'!M13))</f>
        <v/>
      </c>
      <c r="H20" s="44" t="str">
        <f>IF('⑨ 구배 자동계산'!$B$4&lt;&gt;"33_문산 신규점","",IF('⑨ 구배 자동계산'!N13="","",'⑨ 구배 자동계산'!N13))</f>
        <v/>
      </c>
      <c r="I20" s="32" t="str">
        <f>IF('⑨ 구배 자동계산'!$B$4&lt;&gt;"33_문산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자동계산'!$B$4&lt;&gt;"33_문산 신규점","",IF('⑨ 구배 자동계산'!H14="","",'⑨ 구배 자동계산'!H14))</f>
        <v/>
      </c>
      <c r="C21" s="32" t="str">
        <f>IF('⑨ 구배 자동계산'!$B$4&lt;&gt;"33_문산 신규점","",IF('⑨ 구배 자동계산'!I14="","",'⑨ 구배 자동계산'!I14))</f>
        <v/>
      </c>
      <c r="D21" s="44" t="str">
        <f>IF('⑨ 구배 자동계산'!$B$4&lt;&gt;"33_문산 신규점","",IF('⑨ 구배 자동계산'!J14="","",'⑨ 구배 자동계산'!J14))</f>
        <v/>
      </c>
      <c r="E21" s="32" t="str">
        <f>IF('⑨ 구배 자동계산'!$B$4&lt;&gt;"33_문산 신규점","",IF('⑨ 구배 자동계산'!K14="","",'⑨ 구배 자동계산'!K14))</f>
        <v/>
      </c>
      <c r="F21" s="44" t="str">
        <f>IF('⑨ 구배 자동계산'!$B$4&lt;&gt;"33_문산 신규점","",IF('⑨ 구배 자동계산'!L14="","",'⑨ 구배 자동계산'!L14))</f>
        <v/>
      </c>
      <c r="G21" s="32" t="str">
        <f>IF('⑨ 구배 자동계산'!$B$4&lt;&gt;"33_문산 신규점","",IF('⑨ 구배 자동계산'!M14="","",'⑨ 구배 자동계산'!M14))</f>
        <v/>
      </c>
      <c r="H21" s="44" t="str">
        <f>IF('⑨ 구배 자동계산'!$B$4&lt;&gt;"33_문산 신규점","",IF('⑨ 구배 자동계산'!N14="","",'⑨ 구배 자동계산'!N14))</f>
        <v/>
      </c>
      <c r="I21" s="32" t="str">
        <f>IF('⑨ 구배 자동계산'!$B$4&lt;&gt;"33_문산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자동계산'!$B$4&lt;&gt;"33_문산 신규점","",IF('⑨ 구배 자동계산'!H15="","",'⑨ 구배 자동계산'!H15))</f>
        <v/>
      </c>
      <c r="C22" s="32" t="str">
        <f>IF('⑨ 구배 자동계산'!$B$4&lt;&gt;"33_문산 신규점","",IF('⑨ 구배 자동계산'!I15="","",'⑨ 구배 자동계산'!I15))</f>
        <v/>
      </c>
      <c r="D22" s="44" t="str">
        <f>IF('⑨ 구배 자동계산'!$B$4&lt;&gt;"33_문산 신규점","",IF('⑨ 구배 자동계산'!J15="","",'⑨ 구배 자동계산'!J15))</f>
        <v/>
      </c>
      <c r="E22" s="32" t="str">
        <f>IF('⑨ 구배 자동계산'!$B$4&lt;&gt;"33_문산 신규점","",IF('⑨ 구배 자동계산'!K15="","",'⑨ 구배 자동계산'!K15))</f>
        <v/>
      </c>
      <c r="F22" s="44" t="str">
        <f>IF('⑨ 구배 자동계산'!$B$4&lt;&gt;"33_문산 신규점","",IF('⑨ 구배 자동계산'!L15="","",'⑨ 구배 자동계산'!L15))</f>
        <v/>
      </c>
      <c r="G22" s="32" t="str">
        <f>IF('⑨ 구배 자동계산'!$B$4&lt;&gt;"33_문산 신규점","",IF('⑨ 구배 자동계산'!M15="","",'⑨ 구배 자동계산'!M15))</f>
        <v/>
      </c>
      <c r="H22" s="44" t="str">
        <f>IF('⑨ 구배 자동계산'!$B$4&lt;&gt;"33_문산 신규점","",IF('⑨ 구배 자동계산'!N15="","",'⑨ 구배 자동계산'!N15))</f>
        <v/>
      </c>
      <c r="I22" s="32" t="str">
        <f>IF('⑨ 구배 자동계산'!$B$4&lt;&gt;"33_문산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자동계산'!$B$4&lt;&gt;"33_문산 신규점","",IF('⑨ 구배 자동계산'!H16="","",'⑨ 구배 자동계산'!H16))</f>
        <v/>
      </c>
      <c r="C23" s="32" t="str">
        <f>IF('⑨ 구배 자동계산'!$B$4&lt;&gt;"33_문산 신규점","",IF('⑨ 구배 자동계산'!I16="","",'⑨ 구배 자동계산'!I16))</f>
        <v/>
      </c>
      <c r="D23" s="44" t="str">
        <f>IF('⑨ 구배 자동계산'!$B$4&lt;&gt;"33_문산 신규점","",IF('⑨ 구배 자동계산'!J16="","",'⑨ 구배 자동계산'!J16))</f>
        <v/>
      </c>
      <c r="E23" s="32" t="str">
        <f>IF('⑨ 구배 자동계산'!$B$4&lt;&gt;"33_문산 신규점","",IF('⑨ 구배 자동계산'!K16="","",'⑨ 구배 자동계산'!K16))</f>
        <v/>
      </c>
      <c r="F23" s="44" t="str">
        <f>IF('⑨ 구배 자동계산'!$B$4&lt;&gt;"33_문산 신규점","",IF('⑨ 구배 자동계산'!L16="","",'⑨ 구배 자동계산'!L16))</f>
        <v/>
      </c>
      <c r="G23" s="32" t="str">
        <f>IF('⑨ 구배 자동계산'!$B$4&lt;&gt;"33_문산 신규점","",IF('⑨ 구배 자동계산'!M16="","",'⑨ 구배 자동계산'!M16))</f>
        <v/>
      </c>
      <c r="H23" s="44" t="str">
        <f>IF('⑨ 구배 자동계산'!$B$4&lt;&gt;"33_문산 신규점","",IF('⑨ 구배 자동계산'!N16="","",'⑨ 구배 자동계산'!N16))</f>
        <v/>
      </c>
      <c r="I23" s="32" t="str">
        <f>IF('⑨ 구배 자동계산'!$B$4&lt;&gt;"33_문산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자동계산'!$B$4&lt;&gt;"33_문산 신규점","",IF('⑨ 구배 자동계산'!H17="","",'⑨ 구배 자동계산'!H17))</f>
        <v/>
      </c>
      <c r="C24" s="32" t="str">
        <f>IF('⑨ 구배 자동계산'!$B$4&lt;&gt;"33_문산 신규점","",IF('⑨ 구배 자동계산'!I17="","",'⑨ 구배 자동계산'!I17))</f>
        <v/>
      </c>
      <c r="D24" s="44" t="str">
        <f>IF('⑨ 구배 자동계산'!$B$4&lt;&gt;"33_문산 신규점","",IF('⑨ 구배 자동계산'!J17="","",'⑨ 구배 자동계산'!J17))</f>
        <v/>
      </c>
      <c r="E24" s="32" t="str">
        <f>IF('⑨ 구배 자동계산'!$B$4&lt;&gt;"33_문산 신규점","",IF('⑨ 구배 자동계산'!K17="","",'⑨ 구배 자동계산'!K17))</f>
        <v/>
      </c>
      <c r="F24" s="44" t="str">
        <f>IF('⑨ 구배 자동계산'!$B$4&lt;&gt;"33_문산 신규점","",IF('⑨ 구배 자동계산'!L17="","",'⑨ 구배 자동계산'!L17))</f>
        <v/>
      </c>
      <c r="G24" s="32" t="str">
        <f>IF('⑨ 구배 자동계산'!$B$4&lt;&gt;"33_문산 신규점","",IF('⑨ 구배 자동계산'!M17="","",'⑨ 구배 자동계산'!M17))</f>
        <v/>
      </c>
      <c r="H24" s="44" t="str">
        <f>IF('⑨ 구배 자동계산'!$B$4&lt;&gt;"33_문산 신규점","",IF('⑨ 구배 자동계산'!N17="","",'⑨ 구배 자동계산'!N17))</f>
        <v/>
      </c>
      <c r="I24" s="32" t="str">
        <f>IF('⑨ 구배 자동계산'!$B$4&lt;&gt;"33_문산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자동계산'!$B$4&lt;&gt;"33_문산 신규점","",IF('⑨ 구배 자동계산'!H18="","",'⑨ 구배 자동계산'!H18))</f>
        <v/>
      </c>
      <c r="C25" s="32" t="str">
        <f>IF('⑨ 구배 자동계산'!$B$4&lt;&gt;"33_문산 신규점","",IF('⑨ 구배 자동계산'!I18="","",'⑨ 구배 자동계산'!I18))</f>
        <v/>
      </c>
      <c r="D25" s="44" t="str">
        <f>IF('⑨ 구배 자동계산'!$B$4&lt;&gt;"33_문산 신규점","",IF('⑨ 구배 자동계산'!J18="","",'⑨ 구배 자동계산'!J18))</f>
        <v/>
      </c>
      <c r="E25" s="32" t="str">
        <f>IF('⑨ 구배 자동계산'!$B$4&lt;&gt;"33_문산 신규점","",IF('⑨ 구배 자동계산'!K18="","",'⑨ 구배 자동계산'!K18))</f>
        <v/>
      </c>
      <c r="F25" s="44" t="str">
        <f>IF('⑨ 구배 자동계산'!$B$4&lt;&gt;"33_문산 신규점","",IF('⑨ 구배 자동계산'!L18="","",'⑨ 구배 자동계산'!L18))</f>
        <v/>
      </c>
      <c r="G25" s="32" t="str">
        <f>IF('⑨ 구배 자동계산'!$B$4&lt;&gt;"33_문산 신규점","",IF('⑨ 구배 자동계산'!M18="","",'⑨ 구배 자동계산'!M18))</f>
        <v/>
      </c>
      <c r="H25" s="44" t="str">
        <f>IF('⑨ 구배 자동계산'!$B$4&lt;&gt;"33_문산 신규점","",IF('⑨ 구배 자동계산'!N18="","",'⑨ 구배 자동계산'!N18))</f>
        <v/>
      </c>
      <c r="I25" s="32" t="str">
        <f>IF('⑨ 구배 자동계산'!$B$4&lt;&gt;"33_문산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자동계산'!$B$4&lt;&gt;"33_문산 신규점","",IF('⑨ 구배 자동계산'!H19="","",'⑨ 구배 자동계산'!H19))</f>
        <v/>
      </c>
      <c r="C26" s="32" t="str">
        <f>IF('⑨ 구배 자동계산'!$B$4&lt;&gt;"33_문산 신규점","",IF('⑨ 구배 자동계산'!I19="","",'⑨ 구배 자동계산'!I19))</f>
        <v/>
      </c>
      <c r="D26" s="44" t="str">
        <f>IF('⑨ 구배 자동계산'!$B$4&lt;&gt;"33_문산 신규점","",IF('⑨ 구배 자동계산'!J19="","",'⑨ 구배 자동계산'!J19))</f>
        <v/>
      </c>
      <c r="E26" s="32" t="str">
        <f>IF('⑨ 구배 자동계산'!$B$4&lt;&gt;"33_문산 신규점","",IF('⑨ 구배 자동계산'!K19="","",'⑨ 구배 자동계산'!K19))</f>
        <v/>
      </c>
      <c r="F26" s="44" t="str">
        <f>IF('⑨ 구배 자동계산'!$B$4&lt;&gt;"33_문산 신규점","",IF('⑨ 구배 자동계산'!L19="","",'⑨ 구배 자동계산'!L19))</f>
        <v/>
      </c>
      <c r="G26" s="32" t="str">
        <f>IF('⑨ 구배 자동계산'!$B$4&lt;&gt;"33_문산 신규점","",IF('⑨ 구배 자동계산'!M19="","",'⑨ 구배 자동계산'!M19))</f>
        <v/>
      </c>
      <c r="H26" s="44" t="str">
        <f>IF('⑨ 구배 자동계산'!$B$4&lt;&gt;"33_문산 신규점","",IF('⑨ 구배 자동계산'!N19="","",'⑨ 구배 자동계산'!N19))</f>
        <v/>
      </c>
      <c r="I26" s="32" t="str">
        <f>IF('⑨ 구배 자동계산'!$B$4&lt;&gt;"33_문산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자동계산'!$B$4&lt;&gt;"33_문산 신규점","",IF('⑨ 구배 자동계산'!H20="","",'⑨ 구배 자동계산'!H20))</f>
        <v/>
      </c>
      <c r="C27" s="41" t="str">
        <f>IF('⑨ 구배 자동계산'!$B$4&lt;&gt;"33_문산 신규점","",IF('⑨ 구배 자동계산'!I20="","",'⑨ 구배 자동계산'!I20))</f>
        <v/>
      </c>
      <c r="D27" s="45" t="str">
        <f>IF('⑨ 구배 자동계산'!$B$4&lt;&gt;"33_문산 신규점","",IF('⑨ 구배 자동계산'!J20="","",'⑨ 구배 자동계산'!J20))</f>
        <v/>
      </c>
      <c r="E27" s="41" t="str">
        <f>IF('⑨ 구배 자동계산'!$B$4&lt;&gt;"33_문산 신규점","",IF('⑨ 구배 자동계산'!K20="","",'⑨ 구배 자동계산'!K20))</f>
        <v/>
      </c>
      <c r="F27" s="45" t="str">
        <f>IF('⑨ 구배 자동계산'!$B$4&lt;&gt;"33_문산 신규점","",IF('⑨ 구배 자동계산'!L20="","",'⑨ 구배 자동계산'!L20))</f>
        <v/>
      </c>
      <c r="G27" s="41" t="str">
        <f>IF('⑨ 구배 자동계산'!$B$4&lt;&gt;"33_문산 신규점","",IF('⑨ 구배 자동계산'!M20="","",'⑨ 구배 자동계산'!M20))</f>
        <v/>
      </c>
      <c r="H27" s="45" t="str">
        <f>IF('⑨ 구배 자동계산'!$B$4&lt;&gt;"33_문산 신규점","",IF('⑨ 구배 자동계산'!N20="","",'⑨ 구배 자동계산'!N20))</f>
        <v/>
      </c>
      <c r="I27" s="41" t="str">
        <f>IF('⑨ 구배 자동계산'!$B$4&lt;&gt;"33_문산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자동계산'!$B$4&lt;&gt;"33_문산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자동계산'!$B$4&lt;&gt;"33_문산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자동계산'!$B$4&lt;&gt;"33_문산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자동계산'!$B$4&lt;&gt;"33_문산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자동계산'!$B$4&lt;&gt;"33_문산 신규점","",IF('⑨ 구배 자동계산'!I23="","",'⑨ 구배 자동계산'!I23))</f>
        <v/>
      </c>
      <c r="D42" s="8"/>
      <c r="E42" s="8"/>
      <c r="F42" s="8"/>
      <c r="G42" s="92" t="str">
        <f>IF('⑨ 구배 자동계산'!$B$4&lt;&gt;"33_문산 신규점","",IF('⑨ 구배 자동계산'!$J23="","",'⑨ 구배 자동계산'!$J23&amp;"  ·  "&amp;'⑨ 구배 자동계산'!$L23))</f>
        <v/>
      </c>
      <c r="H42" s="93"/>
      <c r="I42" s="93"/>
    </row>
    <row r="43" spans="1:35" ht="19.95" customHeight="1" x14ac:dyDescent="0.4">
      <c r="A43" s="8">
        <v>3</v>
      </c>
      <c r="B43" s="33">
        <v>140</v>
      </c>
      <c r="C43" s="32" t="str">
        <f>IF('⑨ 구배 자동계산'!$B$4&lt;&gt;"33_문산 신규점","",IF('⑨ 구배 자동계산'!I24="","",'⑨ 구배 자동계산'!I24))</f>
        <v/>
      </c>
      <c r="D43" s="34">
        <f>IF(COUNT(B43,B42)&lt;2,"",(B42-B43)/100)</f>
        <v>0.45</v>
      </c>
      <c r="E43" s="35" t="str">
        <f>IF(COUNT(C43,C42)&lt;2,"",C43-C42)</f>
        <v/>
      </c>
      <c r="F43" s="36" t="str">
        <f>IF(OR(D43="",E43="",D43=0),"",E43/D43)</f>
        <v/>
      </c>
      <c r="G43" s="92" t="str">
        <f>IF('⑨ 구배 자동계산'!$B$4&lt;&gt;"33_문산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자동계산'!$B$4&lt;&gt;"33_문산 신규점","",IF('⑨ 구배 자동계산'!I25="","",'⑨ 구배 자동계산'!I25))</f>
        <v/>
      </c>
      <c r="D44" s="34">
        <f>IF(COUNT(B44,B43)&lt;2,"",(B43-B44)/100)</f>
        <v>0.45</v>
      </c>
      <c r="E44" s="35" t="str">
        <f>IF(COUNT(C44,C43)&lt;2,"",C44-C43)</f>
        <v/>
      </c>
      <c r="F44" s="36" t="str">
        <f>IF(OR(D44="",E44="",D44=0),"",E44/D44)</f>
        <v/>
      </c>
      <c r="G44" s="92" t="str">
        <f>IF('⑨ 구배 자동계산'!$B$4&lt;&gt;"33_문산 신규점","",IF('⑨ 구배 자동계산'!$J25="","",'⑨ 구배 자동계산'!$J25&amp;"  ·  "&amp;'⑨ 구배 자동계산'!$L25))</f>
        <v/>
      </c>
      <c r="H44" s="93"/>
      <c r="I44" s="93"/>
    </row>
    <row r="45" spans="1:35" ht="19.95" customHeight="1" x14ac:dyDescent="0.4">
      <c r="A45" s="8">
        <v>1</v>
      </c>
      <c r="B45" s="33">
        <v>50</v>
      </c>
      <c r="C45" s="32" t="str">
        <f>IF('⑨ 구배 자동계산'!$B$4&lt;&gt;"33_문산 신규점","",IF('⑨ 구배 자동계산'!I26="","",'⑨ 구배 자동계산'!I26))</f>
        <v/>
      </c>
      <c r="D45" s="34">
        <f>IF(COUNT(B45,B44)&lt;2,"",(B44-B45)/100)</f>
        <v>0.45</v>
      </c>
      <c r="E45" s="35" t="str">
        <f>IF(COUNT(C45,C44)&lt;2,"",C45-C44)</f>
        <v/>
      </c>
      <c r="F45" s="36" t="str">
        <f>IF(OR(D45="",E45="",D45=0),"",E45/D45)</f>
        <v/>
      </c>
      <c r="G45" s="92" t="str">
        <f>IF('⑨ 구배 자동계산'!$B$4&lt;&gt;"33_문산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IF(COUNT(B50,E50)&lt;2,"",ROUND(SQRT(((126.870305-E50)*111320*COS(RADIANS(37.927676)))^2+((37.927676-B50)*110574)^2),1))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S33-P0a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89" priority="1">
      <formula>AND(ISNUMBER(C31),C31&gt;50)</formula>
    </cfRule>
  </conditionalFormatting>
  <conditionalFormatting sqref="D7">
    <cfRule type="expression" dxfId="88" priority="3" stopIfTrue="1">
      <formula>AND($D$7&lt;&gt;"",VALUE(LEFT($D$7,1))&lt;5)</formula>
    </cfRule>
    <cfRule type="expression" dxfId="87" priority="4" stopIfTrue="1">
      <formula>AND($D$7&lt;&gt;"",VALUE(LEFT($D$7,1))&gt;=5)</formula>
    </cfRule>
  </conditionalFormatting>
  <conditionalFormatting sqref="E7">
    <cfRule type="expression" dxfId="86" priority="5" stopIfTrue="1">
      <formula>AND($E$7&lt;&gt;"",VALUE(LEFT($E$7,1))&lt;5)</formula>
    </cfRule>
    <cfRule type="expression" dxfId="8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2AFE7C05-E1BF-4B4B-ABEA-EF992DEB0EAF}">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1CC54650-FE1D-4246-AEFE-2816B775E56E}">
      <formula1>DATE(2026,1,1)</formula1>
      <formula2>DATE(2027,12,31)</formula2>
    </dataValidation>
    <dataValidation type="list" allowBlank="1" sqref="C7" xr:uid="{F1A2A105-23ED-4841-B994-F99ACE01740E}">
      <formula1>"맑음,구름 조금,흐림,비,눈,바람 강함"</formula1>
    </dataValidation>
    <dataValidation type="list" allowBlank="1" sqref="H50" xr:uid="{62832610-D0BF-478A-A2FC-727810C48F20}">
      <formula1>"RTK-GNSS,네트워크RTK,정적GNSS,휴대GNSS"</formula1>
    </dataValidation>
    <dataValidation type="list" allowBlank="1" sqref="B109" xr:uid="{6546842E-FC76-42F0-AA73-7DAD9BBA3F68}">
      <formula1>"동일,조정"</formula1>
    </dataValidation>
    <dataValidation type="list" allowBlank="1" showInputMessage="1" showErrorMessage="1" sqref="F56:F57" xr:uid="{A4ABBD09-69BC-43C4-B8EC-17F2AC4A2DA6}">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&amp;RS33 문산 신규점</oddHeader>
    <oddFooter>&amp;C&amp;9 &amp;P / &amp;N</oddFooter>
  </headerFooter>
  <rowBreaks count="3" manualBreakCount="3">
    <brk id="38" max="16383" man="1"/>
    <brk id="58" max="16383" man="1"/>
    <brk id="106"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1AA0B-88B9-4786-9343-02ACFEDEE476}">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481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482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483</v>
      </c>
      <c r="B3" s="68"/>
      <c r="C3" s="68"/>
      <c r="D3" s="68"/>
      <c r="E3" s="68"/>
      <c r="F3" s="8" t="s">
        <v>154</v>
      </c>
      <c r="G3" s="6"/>
      <c r="H3" s="8" t="s">
        <v>155</v>
      </c>
      <c r="I3" s="9" t="s">
        <v>484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자동계산'!$B$4="34_부안 신규점","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자동계산'!$B$4&lt;&gt;"34_부안 신규점","",IF('⑨ 구배 자동계산'!H9="","",'⑨ 구배 자동계산'!H9))</f>
        <v/>
      </c>
      <c r="C16" s="30" t="str">
        <f>IF('⑨ 구배 자동계산'!$B$4&lt;&gt;"34_부안 신규점","",IF('⑨ 구배 자동계산'!I9="","",'⑨ 구배 자동계산'!I9))</f>
        <v/>
      </c>
      <c r="D16" s="43" t="str">
        <f>IF('⑨ 구배 자동계산'!$B$4&lt;&gt;"34_부안 신규점","",IF('⑨ 구배 자동계산'!J9="","",'⑨ 구배 자동계산'!J9))</f>
        <v/>
      </c>
      <c r="E16" s="30" t="str">
        <f>IF('⑨ 구배 자동계산'!$B$4&lt;&gt;"34_부안 신규점","",IF('⑨ 구배 자동계산'!K9="","",'⑨ 구배 자동계산'!K9))</f>
        <v/>
      </c>
      <c r="F16" s="43" t="str">
        <f>IF('⑨ 구배 자동계산'!$B$4&lt;&gt;"34_부안 신규점","",IF('⑨ 구배 자동계산'!L9="","",'⑨ 구배 자동계산'!L9))</f>
        <v/>
      </c>
      <c r="G16" s="30" t="str">
        <f>IF('⑨ 구배 자동계산'!$B$4&lt;&gt;"34_부안 신규점","",IF('⑨ 구배 자동계산'!M9="","",'⑨ 구배 자동계산'!M9))</f>
        <v/>
      </c>
      <c r="H16" s="43" t="str">
        <f>IF('⑨ 구배 자동계산'!$B$4&lt;&gt;"34_부안 신규점","",IF('⑨ 구배 자동계산'!N9="","",'⑨ 구배 자동계산'!N9))</f>
        <v/>
      </c>
      <c r="I16" s="30" t="str">
        <f>IF('⑨ 구배 자동계산'!$B$4&lt;&gt;"34_부안 신규점","",IF('⑨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자동계산'!$B$4&lt;&gt;"34_부안 신규점","",IF('⑨ 구배 자동계산'!H10="","",'⑨ 구배 자동계산'!H10))</f>
        <v/>
      </c>
      <c r="C17" s="32" t="str">
        <f>IF('⑨ 구배 자동계산'!$B$4&lt;&gt;"34_부안 신규점","",IF('⑨ 구배 자동계산'!I10="","",'⑨ 구배 자동계산'!I10))</f>
        <v/>
      </c>
      <c r="D17" s="44" t="str">
        <f>IF('⑨ 구배 자동계산'!$B$4&lt;&gt;"34_부안 신규점","",IF('⑨ 구배 자동계산'!J10="","",'⑨ 구배 자동계산'!J10))</f>
        <v/>
      </c>
      <c r="E17" s="32" t="str">
        <f>IF('⑨ 구배 자동계산'!$B$4&lt;&gt;"34_부안 신규점","",IF('⑨ 구배 자동계산'!K10="","",'⑨ 구배 자동계산'!K10))</f>
        <v/>
      </c>
      <c r="F17" s="44" t="str">
        <f>IF('⑨ 구배 자동계산'!$B$4&lt;&gt;"34_부안 신규점","",IF('⑨ 구배 자동계산'!L10="","",'⑨ 구배 자동계산'!L10))</f>
        <v/>
      </c>
      <c r="G17" s="32" t="str">
        <f>IF('⑨ 구배 자동계산'!$B$4&lt;&gt;"34_부안 신규점","",IF('⑨ 구배 자동계산'!M10="","",'⑨ 구배 자동계산'!M10))</f>
        <v/>
      </c>
      <c r="H17" s="44" t="str">
        <f>IF('⑨ 구배 자동계산'!$B$4&lt;&gt;"34_부안 신규점","",IF('⑨ 구배 자동계산'!N10="","",'⑨ 구배 자동계산'!N10))</f>
        <v/>
      </c>
      <c r="I17" s="32" t="str">
        <f>IF('⑨ 구배 자동계산'!$B$4&lt;&gt;"34_부안 신규점","",IF('⑨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자동계산'!$B$4&lt;&gt;"34_부안 신규점","",IF('⑨ 구배 자동계산'!H11="","",'⑨ 구배 자동계산'!H11))</f>
        <v/>
      </c>
      <c r="C18" s="32" t="str">
        <f>IF('⑨ 구배 자동계산'!$B$4&lt;&gt;"34_부안 신규점","",IF('⑨ 구배 자동계산'!I11="","",'⑨ 구배 자동계산'!I11))</f>
        <v/>
      </c>
      <c r="D18" s="44" t="str">
        <f>IF('⑨ 구배 자동계산'!$B$4&lt;&gt;"34_부안 신규점","",IF('⑨ 구배 자동계산'!J11="","",'⑨ 구배 자동계산'!J11))</f>
        <v/>
      </c>
      <c r="E18" s="32" t="str">
        <f>IF('⑨ 구배 자동계산'!$B$4&lt;&gt;"34_부안 신규점","",IF('⑨ 구배 자동계산'!K11="","",'⑨ 구배 자동계산'!K11))</f>
        <v/>
      </c>
      <c r="F18" s="44" t="str">
        <f>IF('⑨ 구배 자동계산'!$B$4&lt;&gt;"34_부안 신규점","",IF('⑨ 구배 자동계산'!L11="","",'⑨ 구배 자동계산'!L11))</f>
        <v/>
      </c>
      <c r="G18" s="32" t="str">
        <f>IF('⑨ 구배 자동계산'!$B$4&lt;&gt;"34_부안 신규점","",IF('⑨ 구배 자동계산'!M11="","",'⑨ 구배 자동계산'!M11))</f>
        <v/>
      </c>
      <c r="H18" s="44" t="str">
        <f>IF('⑨ 구배 자동계산'!$B$4&lt;&gt;"34_부안 신규점","",IF('⑨ 구배 자동계산'!N11="","",'⑨ 구배 자동계산'!N11))</f>
        <v/>
      </c>
      <c r="I18" s="32" t="str">
        <f>IF('⑨ 구배 자동계산'!$B$4&lt;&gt;"34_부안 신규점","",IF('⑨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자동계산'!$B$4&lt;&gt;"34_부안 신규점","",IF('⑨ 구배 자동계산'!H12="","",'⑨ 구배 자동계산'!H12))</f>
        <v/>
      </c>
      <c r="C19" s="32" t="str">
        <f>IF('⑨ 구배 자동계산'!$B$4&lt;&gt;"34_부안 신규점","",IF('⑨ 구배 자동계산'!I12="","",'⑨ 구배 자동계산'!I12))</f>
        <v/>
      </c>
      <c r="D19" s="44" t="str">
        <f>IF('⑨ 구배 자동계산'!$B$4&lt;&gt;"34_부안 신규점","",IF('⑨ 구배 자동계산'!J12="","",'⑨ 구배 자동계산'!J12))</f>
        <v/>
      </c>
      <c r="E19" s="32" t="str">
        <f>IF('⑨ 구배 자동계산'!$B$4&lt;&gt;"34_부안 신규점","",IF('⑨ 구배 자동계산'!K12="","",'⑨ 구배 자동계산'!K12))</f>
        <v/>
      </c>
      <c r="F19" s="44" t="str">
        <f>IF('⑨ 구배 자동계산'!$B$4&lt;&gt;"34_부안 신규점","",IF('⑨ 구배 자동계산'!L12="","",'⑨ 구배 자동계산'!L12))</f>
        <v/>
      </c>
      <c r="G19" s="32" t="str">
        <f>IF('⑨ 구배 자동계산'!$B$4&lt;&gt;"34_부안 신규점","",IF('⑨ 구배 자동계산'!M12="","",'⑨ 구배 자동계산'!M12))</f>
        <v/>
      </c>
      <c r="H19" s="44" t="str">
        <f>IF('⑨ 구배 자동계산'!$B$4&lt;&gt;"34_부안 신규점","",IF('⑨ 구배 자동계산'!N12="","",'⑨ 구배 자동계산'!N12))</f>
        <v/>
      </c>
      <c r="I19" s="32" t="str">
        <f>IF('⑨ 구배 자동계산'!$B$4&lt;&gt;"34_부안 신규점","",IF('⑨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자동계산'!$B$4&lt;&gt;"34_부안 신규점","",IF('⑨ 구배 자동계산'!H13="","",'⑨ 구배 자동계산'!H13))</f>
        <v/>
      </c>
      <c r="C20" s="32" t="str">
        <f>IF('⑨ 구배 자동계산'!$B$4&lt;&gt;"34_부안 신규점","",IF('⑨ 구배 자동계산'!I13="","",'⑨ 구배 자동계산'!I13))</f>
        <v/>
      </c>
      <c r="D20" s="44" t="str">
        <f>IF('⑨ 구배 자동계산'!$B$4&lt;&gt;"34_부안 신규점","",IF('⑨ 구배 자동계산'!J13="","",'⑨ 구배 자동계산'!J13))</f>
        <v/>
      </c>
      <c r="E20" s="32" t="str">
        <f>IF('⑨ 구배 자동계산'!$B$4&lt;&gt;"34_부안 신규점","",IF('⑨ 구배 자동계산'!K13="","",'⑨ 구배 자동계산'!K13))</f>
        <v/>
      </c>
      <c r="F20" s="44" t="str">
        <f>IF('⑨ 구배 자동계산'!$B$4&lt;&gt;"34_부안 신규점","",IF('⑨ 구배 자동계산'!L13="","",'⑨ 구배 자동계산'!L13))</f>
        <v/>
      </c>
      <c r="G20" s="32" t="str">
        <f>IF('⑨ 구배 자동계산'!$B$4&lt;&gt;"34_부안 신규점","",IF('⑨ 구배 자동계산'!M13="","",'⑨ 구배 자동계산'!M13))</f>
        <v/>
      </c>
      <c r="H20" s="44" t="str">
        <f>IF('⑨ 구배 자동계산'!$B$4&lt;&gt;"34_부안 신규점","",IF('⑨ 구배 자동계산'!N13="","",'⑨ 구배 자동계산'!N13))</f>
        <v/>
      </c>
      <c r="I20" s="32" t="str">
        <f>IF('⑨ 구배 자동계산'!$B$4&lt;&gt;"34_부안 신규점","",IF('⑨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자동계산'!$B$4&lt;&gt;"34_부안 신규점","",IF('⑨ 구배 자동계산'!H14="","",'⑨ 구배 자동계산'!H14))</f>
        <v/>
      </c>
      <c r="C21" s="32" t="str">
        <f>IF('⑨ 구배 자동계산'!$B$4&lt;&gt;"34_부안 신규점","",IF('⑨ 구배 자동계산'!I14="","",'⑨ 구배 자동계산'!I14))</f>
        <v/>
      </c>
      <c r="D21" s="44" t="str">
        <f>IF('⑨ 구배 자동계산'!$B$4&lt;&gt;"34_부안 신규점","",IF('⑨ 구배 자동계산'!J14="","",'⑨ 구배 자동계산'!J14))</f>
        <v/>
      </c>
      <c r="E21" s="32" t="str">
        <f>IF('⑨ 구배 자동계산'!$B$4&lt;&gt;"34_부안 신규점","",IF('⑨ 구배 자동계산'!K14="","",'⑨ 구배 자동계산'!K14))</f>
        <v/>
      </c>
      <c r="F21" s="44" t="str">
        <f>IF('⑨ 구배 자동계산'!$B$4&lt;&gt;"34_부안 신규점","",IF('⑨ 구배 자동계산'!L14="","",'⑨ 구배 자동계산'!L14))</f>
        <v/>
      </c>
      <c r="G21" s="32" t="str">
        <f>IF('⑨ 구배 자동계산'!$B$4&lt;&gt;"34_부안 신규점","",IF('⑨ 구배 자동계산'!M14="","",'⑨ 구배 자동계산'!M14))</f>
        <v/>
      </c>
      <c r="H21" s="44" t="str">
        <f>IF('⑨ 구배 자동계산'!$B$4&lt;&gt;"34_부안 신규점","",IF('⑨ 구배 자동계산'!N14="","",'⑨ 구배 자동계산'!N14))</f>
        <v/>
      </c>
      <c r="I21" s="32" t="str">
        <f>IF('⑨ 구배 자동계산'!$B$4&lt;&gt;"34_부안 신규점","",IF('⑨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자동계산'!$B$4&lt;&gt;"34_부안 신규점","",IF('⑨ 구배 자동계산'!H15="","",'⑨ 구배 자동계산'!H15))</f>
        <v/>
      </c>
      <c r="C22" s="32" t="str">
        <f>IF('⑨ 구배 자동계산'!$B$4&lt;&gt;"34_부안 신규점","",IF('⑨ 구배 자동계산'!I15="","",'⑨ 구배 자동계산'!I15))</f>
        <v/>
      </c>
      <c r="D22" s="44" t="str">
        <f>IF('⑨ 구배 자동계산'!$B$4&lt;&gt;"34_부안 신규점","",IF('⑨ 구배 자동계산'!J15="","",'⑨ 구배 자동계산'!J15))</f>
        <v/>
      </c>
      <c r="E22" s="32" t="str">
        <f>IF('⑨ 구배 자동계산'!$B$4&lt;&gt;"34_부안 신규점","",IF('⑨ 구배 자동계산'!K15="","",'⑨ 구배 자동계산'!K15))</f>
        <v/>
      </c>
      <c r="F22" s="44" t="str">
        <f>IF('⑨ 구배 자동계산'!$B$4&lt;&gt;"34_부안 신규점","",IF('⑨ 구배 자동계산'!L15="","",'⑨ 구배 자동계산'!L15))</f>
        <v/>
      </c>
      <c r="G22" s="32" t="str">
        <f>IF('⑨ 구배 자동계산'!$B$4&lt;&gt;"34_부안 신규점","",IF('⑨ 구배 자동계산'!M15="","",'⑨ 구배 자동계산'!M15))</f>
        <v/>
      </c>
      <c r="H22" s="44" t="str">
        <f>IF('⑨ 구배 자동계산'!$B$4&lt;&gt;"34_부안 신규점","",IF('⑨ 구배 자동계산'!N15="","",'⑨ 구배 자동계산'!N15))</f>
        <v/>
      </c>
      <c r="I22" s="32" t="str">
        <f>IF('⑨ 구배 자동계산'!$B$4&lt;&gt;"34_부안 신규점","",IF('⑨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자동계산'!$B$4&lt;&gt;"34_부안 신규점","",IF('⑨ 구배 자동계산'!H16="","",'⑨ 구배 자동계산'!H16))</f>
        <v/>
      </c>
      <c r="C23" s="32" t="str">
        <f>IF('⑨ 구배 자동계산'!$B$4&lt;&gt;"34_부안 신규점","",IF('⑨ 구배 자동계산'!I16="","",'⑨ 구배 자동계산'!I16))</f>
        <v/>
      </c>
      <c r="D23" s="44" t="str">
        <f>IF('⑨ 구배 자동계산'!$B$4&lt;&gt;"34_부안 신규점","",IF('⑨ 구배 자동계산'!J16="","",'⑨ 구배 자동계산'!J16))</f>
        <v/>
      </c>
      <c r="E23" s="32" t="str">
        <f>IF('⑨ 구배 자동계산'!$B$4&lt;&gt;"34_부안 신규점","",IF('⑨ 구배 자동계산'!K16="","",'⑨ 구배 자동계산'!K16))</f>
        <v/>
      </c>
      <c r="F23" s="44" t="str">
        <f>IF('⑨ 구배 자동계산'!$B$4&lt;&gt;"34_부안 신규점","",IF('⑨ 구배 자동계산'!L16="","",'⑨ 구배 자동계산'!L16))</f>
        <v/>
      </c>
      <c r="G23" s="32" t="str">
        <f>IF('⑨ 구배 자동계산'!$B$4&lt;&gt;"34_부안 신규점","",IF('⑨ 구배 자동계산'!M16="","",'⑨ 구배 자동계산'!M16))</f>
        <v/>
      </c>
      <c r="H23" s="44" t="str">
        <f>IF('⑨ 구배 자동계산'!$B$4&lt;&gt;"34_부안 신규점","",IF('⑨ 구배 자동계산'!N16="","",'⑨ 구배 자동계산'!N16))</f>
        <v/>
      </c>
      <c r="I23" s="32" t="str">
        <f>IF('⑨ 구배 자동계산'!$B$4&lt;&gt;"34_부안 신규점","",IF('⑨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자동계산'!$B$4&lt;&gt;"34_부안 신규점","",IF('⑨ 구배 자동계산'!H17="","",'⑨ 구배 자동계산'!H17))</f>
        <v/>
      </c>
      <c r="C24" s="32" t="str">
        <f>IF('⑨ 구배 자동계산'!$B$4&lt;&gt;"34_부안 신규점","",IF('⑨ 구배 자동계산'!I17="","",'⑨ 구배 자동계산'!I17))</f>
        <v/>
      </c>
      <c r="D24" s="44" t="str">
        <f>IF('⑨ 구배 자동계산'!$B$4&lt;&gt;"34_부안 신규점","",IF('⑨ 구배 자동계산'!J17="","",'⑨ 구배 자동계산'!J17))</f>
        <v/>
      </c>
      <c r="E24" s="32" t="str">
        <f>IF('⑨ 구배 자동계산'!$B$4&lt;&gt;"34_부안 신규점","",IF('⑨ 구배 자동계산'!K17="","",'⑨ 구배 자동계산'!K17))</f>
        <v/>
      </c>
      <c r="F24" s="44" t="str">
        <f>IF('⑨ 구배 자동계산'!$B$4&lt;&gt;"34_부안 신규점","",IF('⑨ 구배 자동계산'!L17="","",'⑨ 구배 자동계산'!L17))</f>
        <v/>
      </c>
      <c r="G24" s="32" t="str">
        <f>IF('⑨ 구배 자동계산'!$B$4&lt;&gt;"34_부안 신규점","",IF('⑨ 구배 자동계산'!M17="","",'⑨ 구배 자동계산'!M17))</f>
        <v/>
      </c>
      <c r="H24" s="44" t="str">
        <f>IF('⑨ 구배 자동계산'!$B$4&lt;&gt;"34_부안 신규점","",IF('⑨ 구배 자동계산'!N17="","",'⑨ 구배 자동계산'!N17))</f>
        <v/>
      </c>
      <c r="I24" s="32" t="str">
        <f>IF('⑨ 구배 자동계산'!$B$4&lt;&gt;"34_부안 신규점","",IF('⑨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자동계산'!$B$4&lt;&gt;"34_부안 신규점","",IF('⑨ 구배 자동계산'!H18="","",'⑨ 구배 자동계산'!H18))</f>
        <v/>
      </c>
      <c r="C25" s="32" t="str">
        <f>IF('⑨ 구배 자동계산'!$B$4&lt;&gt;"34_부안 신규점","",IF('⑨ 구배 자동계산'!I18="","",'⑨ 구배 자동계산'!I18))</f>
        <v/>
      </c>
      <c r="D25" s="44" t="str">
        <f>IF('⑨ 구배 자동계산'!$B$4&lt;&gt;"34_부안 신규점","",IF('⑨ 구배 자동계산'!J18="","",'⑨ 구배 자동계산'!J18))</f>
        <v/>
      </c>
      <c r="E25" s="32" t="str">
        <f>IF('⑨ 구배 자동계산'!$B$4&lt;&gt;"34_부안 신규점","",IF('⑨ 구배 자동계산'!K18="","",'⑨ 구배 자동계산'!K18))</f>
        <v/>
      </c>
      <c r="F25" s="44" t="str">
        <f>IF('⑨ 구배 자동계산'!$B$4&lt;&gt;"34_부안 신규점","",IF('⑨ 구배 자동계산'!L18="","",'⑨ 구배 자동계산'!L18))</f>
        <v/>
      </c>
      <c r="G25" s="32" t="str">
        <f>IF('⑨ 구배 자동계산'!$B$4&lt;&gt;"34_부안 신규점","",IF('⑨ 구배 자동계산'!M18="","",'⑨ 구배 자동계산'!M18))</f>
        <v/>
      </c>
      <c r="H25" s="44" t="str">
        <f>IF('⑨ 구배 자동계산'!$B$4&lt;&gt;"34_부안 신규점","",IF('⑨ 구배 자동계산'!N18="","",'⑨ 구배 자동계산'!N18))</f>
        <v/>
      </c>
      <c r="I25" s="32" t="str">
        <f>IF('⑨ 구배 자동계산'!$B$4&lt;&gt;"34_부안 신규점","",IF('⑨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자동계산'!$B$4&lt;&gt;"34_부안 신규점","",IF('⑨ 구배 자동계산'!H19="","",'⑨ 구배 자동계산'!H19))</f>
        <v/>
      </c>
      <c r="C26" s="32" t="str">
        <f>IF('⑨ 구배 자동계산'!$B$4&lt;&gt;"34_부안 신규점","",IF('⑨ 구배 자동계산'!I19="","",'⑨ 구배 자동계산'!I19))</f>
        <v/>
      </c>
      <c r="D26" s="44" t="str">
        <f>IF('⑨ 구배 자동계산'!$B$4&lt;&gt;"34_부안 신규점","",IF('⑨ 구배 자동계산'!J19="","",'⑨ 구배 자동계산'!J19))</f>
        <v/>
      </c>
      <c r="E26" s="32" t="str">
        <f>IF('⑨ 구배 자동계산'!$B$4&lt;&gt;"34_부안 신규점","",IF('⑨ 구배 자동계산'!K19="","",'⑨ 구배 자동계산'!K19))</f>
        <v/>
      </c>
      <c r="F26" s="44" t="str">
        <f>IF('⑨ 구배 자동계산'!$B$4&lt;&gt;"34_부안 신규점","",IF('⑨ 구배 자동계산'!L19="","",'⑨ 구배 자동계산'!L19))</f>
        <v/>
      </c>
      <c r="G26" s="32" t="str">
        <f>IF('⑨ 구배 자동계산'!$B$4&lt;&gt;"34_부안 신규점","",IF('⑨ 구배 자동계산'!M19="","",'⑨ 구배 자동계산'!M19))</f>
        <v/>
      </c>
      <c r="H26" s="44" t="str">
        <f>IF('⑨ 구배 자동계산'!$B$4&lt;&gt;"34_부안 신규점","",IF('⑨ 구배 자동계산'!N19="","",'⑨ 구배 자동계산'!N19))</f>
        <v/>
      </c>
      <c r="I26" s="32" t="str">
        <f>IF('⑨ 구배 자동계산'!$B$4&lt;&gt;"34_부안 신규점","",IF('⑨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자동계산'!$B$4&lt;&gt;"34_부안 신규점","",IF('⑨ 구배 자동계산'!H20="","",'⑨ 구배 자동계산'!H20))</f>
        <v/>
      </c>
      <c r="C27" s="41" t="str">
        <f>IF('⑨ 구배 자동계산'!$B$4&lt;&gt;"34_부안 신규점","",IF('⑨ 구배 자동계산'!I20="","",'⑨ 구배 자동계산'!I20))</f>
        <v/>
      </c>
      <c r="D27" s="45" t="str">
        <f>IF('⑨ 구배 자동계산'!$B$4&lt;&gt;"34_부안 신규점","",IF('⑨ 구배 자동계산'!J20="","",'⑨ 구배 자동계산'!J20))</f>
        <v/>
      </c>
      <c r="E27" s="41" t="str">
        <f>IF('⑨ 구배 자동계산'!$B$4&lt;&gt;"34_부안 신규점","",IF('⑨ 구배 자동계산'!K20="","",'⑨ 구배 자동계산'!K20))</f>
        <v/>
      </c>
      <c r="F27" s="45" t="str">
        <f>IF('⑨ 구배 자동계산'!$B$4&lt;&gt;"34_부안 신규점","",IF('⑨ 구배 자동계산'!L20="","",'⑨ 구배 자동계산'!L20))</f>
        <v/>
      </c>
      <c r="G27" s="41" t="str">
        <f>IF('⑨ 구배 자동계산'!$B$4&lt;&gt;"34_부안 신규점","",IF('⑨ 구배 자동계산'!M20="","",'⑨ 구배 자동계산'!M20))</f>
        <v/>
      </c>
      <c r="H27" s="45" t="str">
        <f>IF('⑨ 구배 자동계산'!$B$4&lt;&gt;"34_부안 신규점","",IF('⑨ 구배 자동계산'!N20="","",'⑨ 구배 자동계산'!N20))</f>
        <v/>
      </c>
      <c r="I27" s="41" t="str">
        <f>IF('⑨ 구배 자동계산'!$B$4&lt;&gt;"34_부안 신규점","",IF('⑨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자동계산'!$B$4&lt;&gt;"34_부안 신규점","",IF('⑨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자동계산'!$B$4&lt;&gt;"34_부안 신규점","",IF('⑨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자동계산'!$B$4&lt;&gt;"34_부안 신규점","",IF('⑨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자동계산'!$B$4&lt;&gt;"34_부안 신규점","",IF('⑨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자동계산'!$B$4&lt;&gt;"34_부안 신규점","",IF('⑨ 구배 자동계산'!I23="","",'⑨ 구배 자동계산'!I23))</f>
        <v/>
      </c>
      <c r="D42" s="8"/>
      <c r="E42" s="8"/>
      <c r="F42" s="8"/>
      <c r="G42" s="92" t="str">
        <f>IF('⑨ 구배 자동계산'!$B$4&lt;&gt;"34_부안 신규점","",IF('⑨ 구배 자동계산'!$J23="","",'⑨ 구배 자동계산'!$J23&amp;"  ·  "&amp;'⑨ 구배 자동계산'!$L23))</f>
        <v/>
      </c>
      <c r="H42" s="93"/>
      <c r="I42" s="93"/>
    </row>
    <row r="43" spans="1:35" ht="19.95" customHeight="1" x14ac:dyDescent="0.4">
      <c r="A43" s="8">
        <v>3</v>
      </c>
      <c r="B43" s="33">
        <v>140</v>
      </c>
      <c r="C43" s="32" t="str">
        <f>IF('⑨ 구배 자동계산'!$B$4&lt;&gt;"34_부안 신규점","",IF('⑨ 구배 자동계산'!I24="","",'⑨ 구배 자동계산'!I24))</f>
        <v/>
      </c>
      <c r="D43" s="34">
        <f>IF(COUNT(B43,B42)&lt;2,"",(B42-B43)/100)</f>
        <v>0.45</v>
      </c>
      <c r="E43" s="35" t="str">
        <f>IF(COUNT(C43,C42)&lt;2,"",C43-C42)</f>
        <v/>
      </c>
      <c r="F43" s="36" t="str">
        <f>IF(OR(D43="",E43="",D43=0),"",E43/D43)</f>
        <v/>
      </c>
      <c r="G43" s="92" t="str">
        <f>IF('⑨ 구배 자동계산'!$B$4&lt;&gt;"34_부안 신규점","",IF('⑨ 구배 자동계산'!$J24="","",'⑨ 구배 자동계산'!$J24&amp;"  ·  "&amp;'⑨ 구배 자동계산'!$L24))</f>
        <v/>
      </c>
      <c r="H43" s="93"/>
      <c r="I43" s="93"/>
      <c r="AH43" t="s">
        <v>234</v>
      </c>
    </row>
    <row r="44" spans="1:35" ht="19.95" customHeight="1" x14ac:dyDescent="0.4">
      <c r="A44" s="8">
        <v>2</v>
      </c>
      <c r="B44" s="33">
        <v>95</v>
      </c>
      <c r="C44" s="32" t="str">
        <f>IF('⑨ 구배 자동계산'!$B$4&lt;&gt;"34_부안 신규점","",IF('⑨ 구배 자동계산'!I25="","",'⑨ 구배 자동계산'!I25))</f>
        <v/>
      </c>
      <c r="D44" s="34">
        <f>IF(COUNT(B44,B43)&lt;2,"",(B43-B44)/100)</f>
        <v>0.45</v>
      </c>
      <c r="E44" s="35" t="str">
        <f>IF(COUNT(C44,C43)&lt;2,"",C44-C43)</f>
        <v/>
      </c>
      <c r="F44" s="36" t="str">
        <f>IF(OR(D44="",E44="",D44=0),"",E44/D44)</f>
        <v/>
      </c>
      <c r="G44" s="92" t="str">
        <f>IF('⑨ 구배 자동계산'!$B$4&lt;&gt;"34_부안 신규점","",IF('⑨ 구배 자동계산'!$J25="","",'⑨ 구배 자동계산'!$J25&amp;"  ·  "&amp;'⑨ 구배 자동계산'!$L25))</f>
        <v/>
      </c>
      <c r="H44" s="93"/>
      <c r="I44" s="93"/>
    </row>
    <row r="45" spans="1:35" ht="19.95" customHeight="1" x14ac:dyDescent="0.4">
      <c r="A45" s="8">
        <v>1</v>
      </c>
      <c r="B45" s="33">
        <v>50</v>
      </c>
      <c r="C45" s="32" t="str">
        <f>IF('⑨ 구배 자동계산'!$B$4&lt;&gt;"34_부안 신규점","",IF('⑨ 구배 자동계산'!I26="","",'⑨ 구배 자동계산'!I26))</f>
        <v/>
      </c>
      <c r="D45" s="34">
        <f>IF(COUNT(B45,B44)&lt;2,"",(B44-B45)/100)</f>
        <v>0.45</v>
      </c>
      <c r="E45" s="35" t="str">
        <f>IF(COUNT(C45,C44)&lt;2,"",C45-C44)</f>
        <v/>
      </c>
      <c r="F45" s="36" t="str">
        <f>IF(OR(D45="",E45="",D45=0),"",E45/D45)</f>
        <v/>
      </c>
      <c r="G45" s="92" t="str">
        <f>IF('⑨ 구배 자동계산'!$B$4&lt;&gt;"34_부안 신규점","",IF('⑨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IF(COUNT(B50,E50)&lt;2,"",ROUND(SQRT(((126.645582-E50)*111320*COS(RADIANS(35.541753)))^2+((35.541753-B50)*110574)^2),1))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S34-P0a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84" priority="1">
      <formula>AND(ISNUMBER(C31),C31&gt;50)</formula>
    </cfRule>
  </conditionalFormatting>
  <conditionalFormatting sqref="D7">
    <cfRule type="expression" dxfId="83" priority="3" stopIfTrue="1">
      <formula>AND($D$7&lt;&gt;"",VALUE(LEFT($D$7,1))&lt;5)</formula>
    </cfRule>
    <cfRule type="expression" dxfId="82" priority="4" stopIfTrue="1">
      <formula>AND($D$7&lt;&gt;"",VALUE(LEFT($D$7,1))&gt;=5)</formula>
    </cfRule>
  </conditionalFormatting>
  <conditionalFormatting sqref="E7">
    <cfRule type="expression" dxfId="81" priority="5" stopIfTrue="1">
      <formula>AND($E$7&lt;&gt;"",VALUE(LEFT($E$7,1))&lt;5)</formula>
    </cfRule>
    <cfRule type="expression" dxfId="8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204148A8-BA29-4B9F-AEB3-74F13841A9A6}">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959C5A3F-659F-4649-8A4E-145E3CFE81F2}">
      <formula1>DATE(2026,1,1)</formula1>
      <formula2>DATE(2027,12,31)</formula2>
    </dataValidation>
    <dataValidation type="list" allowBlank="1" sqref="C7" xr:uid="{995AA5F4-FEAC-43D4-BD98-546730D04E9C}">
      <formula1>"맑음,구름 조금,흐림,비,눈,바람 강함"</formula1>
    </dataValidation>
    <dataValidation type="list" allowBlank="1" sqref="H50" xr:uid="{4545ADFB-C23F-4C25-81A0-33EF12063224}">
      <formula1>"RTK-GNSS,네트워크RTK,정적GNSS,휴대GNSS"</formula1>
    </dataValidation>
    <dataValidation type="list" allowBlank="1" sqref="B109" xr:uid="{3BC648C4-4B11-4035-BCA5-06B7EFEE694C}">
      <formula1>"동일,조정"</formula1>
    </dataValidation>
    <dataValidation type="list" allowBlank="1" showInputMessage="1" showErrorMessage="1" sqref="F56:F57" xr:uid="{25F6FFC6-132B-4C04-BDEA-373FB37CEEEB}">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&amp;RS34 부안 신규점</oddHeader>
    <oddFooter>&amp;C&amp;9 &amp;P / &amp;N</oddFooter>
  </headerFooter>
  <rowBreaks count="3" manualBreakCount="3">
    <brk id="38" max="16383" man="1"/>
    <brk id="58" max="16383" man="1"/>
    <brk id="106"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222E4-D9BB-40EA-8E28-36E0C020F25E}">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485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486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487</v>
      </c>
      <c r="B3" s="68"/>
      <c r="C3" s="68"/>
      <c r="D3" s="68"/>
      <c r="E3" s="68"/>
      <c r="F3" s="8" t="s">
        <v>154</v>
      </c>
      <c r="G3" s="6"/>
      <c r="H3" s="8" t="s">
        <v>155</v>
      </c>
      <c r="I3" s="9" t="s">
        <v>488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자동계산'!$B$4="35_상주","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자동계산'!$B$4&lt;&gt;"35_상주","",IF('⑨ 구배 자동계산'!H9="","",'⑨ 구배 자동계산'!H9))</f>
        <v/>
      </c>
      <c r="C16" s="30" t="str">
        <f>IF('⑨ 구배 자동계산'!$B$4&lt;&gt;"35_상주","",IF('⑨ 구배 자동계산'!I9="","",'⑨ 구배 자동계산'!I9))</f>
        <v/>
      </c>
      <c r="D16" s="43" t="str">
        <f>IF('⑨ 구배 자동계산'!$B$4&lt;&gt;"35_상주","",IF('⑨ 구배 자동계산'!J9="","",'⑨ 구배 자동계산'!J9))</f>
        <v/>
      </c>
      <c r="E16" s="30" t="str">
        <f>IF('⑨ 구배 자동계산'!$B$4&lt;&gt;"35_상주","",IF('⑨ 구배 자동계산'!K9="","",'⑨ 구배 자동계산'!K9))</f>
        <v/>
      </c>
      <c r="F16" s="43" t="str">
        <f>IF('⑨ 구배 자동계산'!$B$4&lt;&gt;"35_상주","",IF('⑨ 구배 자동계산'!L9="","",'⑨ 구배 자동계산'!L9))</f>
        <v/>
      </c>
      <c r="G16" s="30" t="str">
        <f>IF('⑨ 구배 자동계산'!$B$4&lt;&gt;"35_상주","",IF('⑨ 구배 자동계산'!M9="","",'⑨ 구배 자동계산'!M9))</f>
        <v/>
      </c>
      <c r="H16" s="43" t="str">
        <f>IF('⑨ 구배 자동계산'!$B$4&lt;&gt;"35_상주","",IF('⑨ 구배 자동계산'!N9="","",'⑨ 구배 자동계산'!N9))</f>
        <v/>
      </c>
      <c r="I16" s="30" t="str">
        <f>IF('⑨ 구배 자동계산'!$B$4&lt;&gt;"35_상주","",IF('⑨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자동계산'!$B$4&lt;&gt;"35_상주","",IF('⑨ 구배 자동계산'!H10="","",'⑨ 구배 자동계산'!H10))</f>
        <v/>
      </c>
      <c r="C17" s="32" t="str">
        <f>IF('⑨ 구배 자동계산'!$B$4&lt;&gt;"35_상주","",IF('⑨ 구배 자동계산'!I10="","",'⑨ 구배 자동계산'!I10))</f>
        <v/>
      </c>
      <c r="D17" s="44" t="str">
        <f>IF('⑨ 구배 자동계산'!$B$4&lt;&gt;"35_상주","",IF('⑨ 구배 자동계산'!J10="","",'⑨ 구배 자동계산'!J10))</f>
        <v/>
      </c>
      <c r="E17" s="32" t="str">
        <f>IF('⑨ 구배 자동계산'!$B$4&lt;&gt;"35_상주","",IF('⑨ 구배 자동계산'!K10="","",'⑨ 구배 자동계산'!K10))</f>
        <v/>
      </c>
      <c r="F17" s="44" t="str">
        <f>IF('⑨ 구배 자동계산'!$B$4&lt;&gt;"35_상주","",IF('⑨ 구배 자동계산'!L10="","",'⑨ 구배 자동계산'!L10))</f>
        <v/>
      </c>
      <c r="G17" s="32" t="str">
        <f>IF('⑨ 구배 자동계산'!$B$4&lt;&gt;"35_상주","",IF('⑨ 구배 자동계산'!M10="","",'⑨ 구배 자동계산'!M10))</f>
        <v/>
      </c>
      <c r="H17" s="44" t="str">
        <f>IF('⑨ 구배 자동계산'!$B$4&lt;&gt;"35_상주","",IF('⑨ 구배 자동계산'!N10="","",'⑨ 구배 자동계산'!N10))</f>
        <v/>
      </c>
      <c r="I17" s="32" t="str">
        <f>IF('⑨ 구배 자동계산'!$B$4&lt;&gt;"35_상주","",IF('⑨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자동계산'!$B$4&lt;&gt;"35_상주","",IF('⑨ 구배 자동계산'!H11="","",'⑨ 구배 자동계산'!H11))</f>
        <v/>
      </c>
      <c r="C18" s="32" t="str">
        <f>IF('⑨ 구배 자동계산'!$B$4&lt;&gt;"35_상주","",IF('⑨ 구배 자동계산'!I11="","",'⑨ 구배 자동계산'!I11))</f>
        <v/>
      </c>
      <c r="D18" s="44" t="str">
        <f>IF('⑨ 구배 자동계산'!$B$4&lt;&gt;"35_상주","",IF('⑨ 구배 자동계산'!J11="","",'⑨ 구배 자동계산'!J11))</f>
        <v/>
      </c>
      <c r="E18" s="32" t="str">
        <f>IF('⑨ 구배 자동계산'!$B$4&lt;&gt;"35_상주","",IF('⑨ 구배 자동계산'!K11="","",'⑨ 구배 자동계산'!K11))</f>
        <v/>
      </c>
      <c r="F18" s="44" t="str">
        <f>IF('⑨ 구배 자동계산'!$B$4&lt;&gt;"35_상주","",IF('⑨ 구배 자동계산'!L11="","",'⑨ 구배 자동계산'!L11))</f>
        <v/>
      </c>
      <c r="G18" s="32" t="str">
        <f>IF('⑨ 구배 자동계산'!$B$4&lt;&gt;"35_상주","",IF('⑨ 구배 자동계산'!M11="","",'⑨ 구배 자동계산'!M11))</f>
        <v/>
      </c>
      <c r="H18" s="44" t="str">
        <f>IF('⑨ 구배 자동계산'!$B$4&lt;&gt;"35_상주","",IF('⑨ 구배 자동계산'!N11="","",'⑨ 구배 자동계산'!N11))</f>
        <v/>
      </c>
      <c r="I18" s="32" t="str">
        <f>IF('⑨ 구배 자동계산'!$B$4&lt;&gt;"35_상주","",IF('⑨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자동계산'!$B$4&lt;&gt;"35_상주","",IF('⑨ 구배 자동계산'!H12="","",'⑨ 구배 자동계산'!H12))</f>
        <v/>
      </c>
      <c r="C19" s="32" t="str">
        <f>IF('⑨ 구배 자동계산'!$B$4&lt;&gt;"35_상주","",IF('⑨ 구배 자동계산'!I12="","",'⑨ 구배 자동계산'!I12))</f>
        <v/>
      </c>
      <c r="D19" s="44" t="str">
        <f>IF('⑨ 구배 자동계산'!$B$4&lt;&gt;"35_상주","",IF('⑨ 구배 자동계산'!J12="","",'⑨ 구배 자동계산'!J12))</f>
        <v/>
      </c>
      <c r="E19" s="32" t="str">
        <f>IF('⑨ 구배 자동계산'!$B$4&lt;&gt;"35_상주","",IF('⑨ 구배 자동계산'!K12="","",'⑨ 구배 자동계산'!K12))</f>
        <v/>
      </c>
      <c r="F19" s="44" t="str">
        <f>IF('⑨ 구배 자동계산'!$B$4&lt;&gt;"35_상주","",IF('⑨ 구배 자동계산'!L12="","",'⑨ 구배 자동계산'!L12))</f>
        <v/>
      </c>
      <c r="G19" s="32" t="str">
        <f>IF('⑨ 구배 자동계산'!$B$4&lt;&gt;"35_상주","",IF('⑨ 구배 자동계산'!M12="","",'⑨ 구배 자동계산'!M12))</f>
        <v/>
      </c>
      <c r="H19" s="44" t="str">
        <f>IF('⑨ 구배 자동계산'!$B$4&lt;&gt;"35_상주","",IF('⑨ 구배 자동계산'!N12="","",'⑨ 구배 자동계산'!N12))</f>
        <v/>
      </c>
      <c r="I19" s="32" t="str">
        <f>IF('⑨ 구배 자동계산'!$B$4&lt;&gt;"35_상주","",IF('⑨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자동계산'!$B$4&lt;&gt;"35_상주","",IF('⑨ 구배 자동계산'!H13="","",'⑨ 구배 자동계산'!H13))</f>
        <v/>
      </c>
      <c r="C20" s="32" t="str">
        <f>IF('⑨ 구배 자동계산'!$B$4&lt;&gt;"35_상주","",IF('⑨ 구배 자동계산'!I13="","",'⑨ 구배 자동계산'!I13))</f>
        <v/>
      </c>
      <c r="D20" s="44" t="str">
        <f>IF('⑨ 구배 자동계산'!$B$4&lt;&gt;"35_상주","",IF('⑨ 구배 자동계산'!J13="","",'⑨ 구배 자동계산'!J13))</f>
        <v/>
      </c>
      <c r="E20" s="32" t="str">
        <f>IF('⑨ 구배 자동계산'!$B$4&lt;&gt;"35_상주","",IF('⑨ 구배 자동계산'!K13="","",'⑨ 구배 자동계산'!K13))</f>
        <v/>
      </c>
      <c r="F20" s="44" t="str">
        <f>IF('⑨ 구배 자동계산'!$B$4&lt;&gt;"35_상주","",IF('⑨ 구배 자동계산'!L13="","",'⑨ 구배 자동계산'!L13))</f>
        <v/>
      </c>
      <c r="G20" s="32" t="str">
        <f>IF('⑨ 구배 자동계산'!$B$4&lt;&gt;"35_상주","",IF('⑨ 구배 자동계산'!M13="","",'⑨ 구배 자동계산'!M13))</f>
        <v/>
      </c>
      <c r="H20" s="44" t="str">
        <f>IF('⑨ 구배 자동계산'!$B$4&lt;&gt;"35_상주","",IF('⑨ 구배 자동계산'!N13="","",'⑨ 구배 자동계산'!N13))</f>
        <v/>
      </c>
      <c r="I20" s="32" t="str">
        <f>IF('⑨ 구배 자동계산'!$B$4&lt;&gt;"35_상주","",IF('⑨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자동계산'!$B$4&lt;&gt;"35_상주","",IF('⑨ 구배 자동계산'!H14="","",'⑨ 구배 자동계산'!H14))</f>
        <v/>
      </c>
      <c r="C21" s="32" t="str">
        <f>IF('⑨ 구배 자동계산'!$B$4&lt;&gt;"35_상주","",IF('⑨ 구배 자동계산'!I14="","",'⑨ 구배 자동계산'!I14))</f>
        <v/>
      </c>
      <c r="D21" s="44" t="str">
        <f>IF('⑨ 구배 자동계산'!$B$4&lt;&gt;"35_상주","",IF('⑨ 구배 자동계산'!J14="","",'⑨ 구배 자동계산'!J14))</f>
        <v/>
      </c>
      <c r="E21" s="32" t="str">
        <f>IF('⑨ 구배 자동계산'!$B$4&lt;&gt;"35_상주","",IF('⑨ 구배 자동계산'!K14="","",'⑨ 구배 자동계산'!K14))</f>
        <v/>
      </c>
      <c r="F21" s="44" t="str">
        <f>IF('⑨ 구배 자동계산'!$B$4&lt;&gt;"35_상주","",IF('⑨ 구배 자동계산'!L14="","",'⑨ 구배 자동계산'!L14))</f>
        <v/>
      </c>
      <c r="G21" s="32" t="str">
        <f>IF('⑨ 구배 자동계산'!$B$4&lt;&gt;"35_상주","",IF('⑨ 구배 자동계산'!M14="","",'⑨ 구배 자동계산'!M14))</f>
        <v/>
      </c>
      <c r="H21" s="44" t="str">
        <f>IF('⑨ 구배 자동계산'!$B$4&lt;&gt;"35_상주","",IF('⑨ 구배 자동계산'!N14="","",'⑨ 구배 자동계산'!N14))</f>
        <v/>
      </c>
      <c r="I21" s="32" t="str">
        <f>IF('⑨ 구배 자동계산'!$B$4&lt;&gt;"35_상주","",IF('⑨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자동계산'!$B$4&lt;&gt;"35_상주","",IF('⑨ 구배 자동계산'!H15="","",'⑨ 구배 자동계산'!H15))</f>
        <v/>
      </c>
      <c r="C22" s="32" t="str">
        <f>IF('⑨ 구배 자동계산'!$B$4&lt;&gt;"35_상주","",IF('⑨ 구배 자동계산'!I15="","",'⑨ 구배 자동계산'!I15))</f>
        <v/>
      </c>
      <c r="D22" s="44" t="str">
        <f>IF('⑨ 구배 자동계산'!$B$4&lt;&gt;"35_상주","",IF('⑨ 구배 자동계산'!J15="","",'⑨ 구배 자동계산'!J15))</f>
        <v/>
      </c>
      <c r="E22" s="32" t="str">
        <f>IF('⑨ 구배 자동계산'!$B$4&lt;&gt;"35_상주","",IF('⑨ 구배 자동계산'!K15="","",'⑨ 구배 자동계산'!K15))</f>
        <v/>
      </c>
      <c r="F22" s="44" t="str">
        <f>IF('⑨ 구배 자동계산'!$B$4&lt;&gt;"35_상주","",IF('⑨ 구배 자동계산'!L15="","",'⑨ 구배 자동계산'!L15))</f>
        <v/>
      </c>
      <c r="G22" s="32" t="str">
        <f>IF('⑨ 구배 자동계산'!$B$4&lt;&gt;"35_상주","",IF('⑨ 구배 자동계산'!M15="","",'⑨ 구배 자동계산'!M15))</f>
        <v/>
      </c>
      <c r="H22" s="44" t="str">
        <f>IF('⑨ 구배 자동계산'!$B$4&lt;&gt;"35_상주","",IF('⑨ 구배 자동계산'!N15="","",'⑨ 구배 자동계산'!N15))</f>
        <v/>
      </c>
      <c r="I22" s="32" t="str">
        <f>IF('⑨ 구배 자동계산'!$B$4&lt;&gt;"35_상주","",IF('⑨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자동계산'!$B$4&lt;&gt;"35_상주","",IF('⑨ 구배 자동계산'!H16="","",'⑨ 구배 자동계산'!H16))</f>
        <v/>
      </c>
      <c r="C23" s="32" t="str">
        <f>IF('⑨ 구배 자동계산'!$B$4&lt;&gt;"35_상주","",IF('⑨ 구배 자동계산'!I16="","",'⑨ 구배 자동계산'!I16))</f>
        <v/>
      </c>
      <c r="D23" s="44" t="str">
        <f>IF('⑨ 구배 자동계산'!$B$4&lt;&gt;"35_상주","",IF('⑨ 구배 자동계산'!J16="","",'⑨ 구배 자동계산'!J16))</f>
        <v/>
      </c>
      <c r="E23" s="32" t="str">
        <f>IF('⑨ 구배 자동계산'!$B$4&lt;&gt;"35_상주","",IF('⑨ 구배 자동계산'!K16="","",'⑨ 구배 자동계산'!K16))</f>
        <v/>
      </c>
      <c r="F23" s="44" t="str">
        <f>IF('⑨ 구배 자동계산'!$B$4&lt;&gt;"35_상주","",IF('⑨ 구배 자동계산'!L16="","",'⑨ 구배 자동계산'!L16))</f>
        <v/>
      </c>
      <c r="G23" s="32" t="str">
        <f>IF('⑨ 구배 자동계산'!$B$4&lt;&gt;"35_상주","",IF('⑨ 구배 자동계산'!M16="","",'⑨ 구배 자동계산'!M16))</f>
        <v/>
      </c>
      <c r="H23" s="44" t="str">
        <f>IF('⑨ 구배 자동계산'!$B$4&lt;&gt;"35_상주","",IF('⑨ 구배 자동계산'!N16="","",'⑨ 구배 자동계산'!N16))</f>
        <v/>
      </c>
      <c r="I23" s="32" t="str">
        <f>IF('⑨ 구배 자동계산'!$B$4&lt;&gt;"35_상주","",IF('⑨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자동계산'!$B$4&lt;&gt;"35_상주","",IF('⑨ 구배 자동계산'!H17="","",'⑨ 구배 자동계산'!H17))</f>
        <v/>
      </c>
      <c r="C24" s="32" t="str">
        <f>IF('⑨ 구배 자동계산'!$B$4&lt;&gt;"35_상주","",IF('⑨ 구배 자동계산'!I17="","",'⑨ 구배 자동계산'!I17))</f>
        <v/>
      </c>
      <c r="D24" s="44" t="str">
        <f>IF('⑨ 구배 자동계산'!$B$4&lt;&gt;"35_상주","",IF('⑨ 구배 자동계산'!J17="","",'⑨ 구배 자동계산'!J17))</f>
        <v/>
      </c>
      <c r="E24" s="32" t="str">
        <f>IF('⑨ 구배 자동계산'!$B$4&lt;&gt;"35_상주","",IF('⑨ 구배 자동계산'!K17="","",'⑨ 구배 자동계산'!K17))</f>
        <v/>
      </c>
      <c r="F24" s="44" t="str">
        <f>IF('⑨ 구배 자동계산'!$B$4&lt;&gt;"35_상주","",IF('⑨ 구배 자동계산'!L17="","",'⑨ 구배 자동계산'!L17))</f>
        <v/>
      </c>
      <c r="G24" s="32" t="str">
        <f>IF('⑨ 구배 자동계산'!$B$4&lt;&gt;"35_상주","",IF('⑨ 구배 자동계산'!M17="","",'⑨ 구배 자동계산'!M17))</f>
        <v/>
      </c>
      <c r="H24" s="44" t="str">
        <f>IF('⑨ 구배 자동계산'!$B$4&lt;&gt;"35_상주","",IF('⑨ 구배 자동계산'!N17="","",'⑨ 구배 자동계산'!N17))</f>
        <v/>
      </c>
      <c r="I24" s="32" t="str">
        <f>IF('⑨ 구배 자동계산'!$B$4&lt;&gt;"35_상주","",IF('⑨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자동계산'!$B$4&lt;&gt;"35_상주","",IF('⑨ 구배 자동계산'!H18="","",'⑨ 구배 자동계산'!H18))</f>
        <v/>
      </c>
      <c r="C25" s="32" t="str">
        <f>IF('⑨ 구배 자동계산'!$B$4&lt;&gt;"35_상주","",IF('⑨ 구배 자동계산'!I18="","",'⑨ 구배 자동계산'!I18))</f>
        <v/>
      </c>
      <c r="D25" s="44" t="str">
        <f>IF('⑨ 구배 자동계산'!$B$4&lt;&gt;"35_상주","",IF('⑨ 구배 자동계산'!J18="","",'⑨ 구배 자동계산'!J18))</f>
        <v/>
      </c>
      <c r="E25" s="32" t="str">
        <f>IF('⑨ 구배 자동계산'!$B$4&lt;&gt;"35_상주","",IF('⑨ 구배 자동계산'!K18="","",'⑨ 구배 자동계산'!K18))</f>
        <v/>
      </c>
      <c r="F25" s="44" t="str">
        <f>IF('⑨ 구배 자동계산'!$B$4&lt;&gt;"35_상주","",IF('⑨ 구배 자동계산'!L18="","",'⑨ 구배 자동계산'!L18))</f>
        <v/>
      </c>
      <c r="G25" s="32" t="str">
        <f>IF('⑨ 구배 자동계산'!$B$4&lt;&gt;"35_상주","",IF('⑨ 구배 자동계산'!M18="","",'⑨ 구배 자동계산'!M18))</f>
        <v/>
      </c>
      <c r="H25" s="44" t="str">
        <f>IF('⑨ 구배 자동계산'!$B$4&lt;&gt;"35_상주","",IF('⑨ 구배 자동계산'!N18="","",'⑨ 구배 자동계산'!N18))</f>
        <v/>
      </c>
      <c r="I25" s="32" t="str">
        <f>IF('⑨ 구배 자동계산'!$B$4&lt;&gt;"35_상주","",IF('⑨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자동계산'!$B$4&lt;&gt;"35_상주","",IF('⑨ 구배 자동계산'!H19="","",'⑨ 구배 자동계산'!H19))</f>
        <v/>
      </c>
      <c r="C26" s="32" t="str">
        <f>IF('⑨ 구배 자동계산'!$B$4&lt;&gt;"35_상주","",IF('⑨ 구배 자동계산'!I19="","",'⑨ 구배 자동계산'!I19))</f>
        <v/>
      </c>
      <c r="D26" s="44" t="str">
        <f>IF('⑨ 구배 자동계산'!$B$4&lt;&gt;"35_상주","",IF('⑨ 구배 자동계산'!J19="","",'⑨ 구배 자동계산'!J19))</f>
        <v/>
      </c>
      <c r="E26" s="32" t="str">
        <f>IF('⑨ 구배 자동계산'!$B$4&lt;&gt;"35_상주","",IF('⑨ 구배 자동계산'!K19="","",'⑨ 구배 자동계산'!K19))</f>
        <v/>
      </c>
      <c r="F26" s="44" t="str">
        <f>IF('⑨ 구배 자동계산'!$B$4&lt;&gt;"35_상주","",IF('⑨ 구배 자동계산'!L19="","",'⑨ 구배 자동계산'!L19))</f>
        <v/>
      </c>
      <c r="G26" s="32" t="str">
        <f>IF('⑨ 구배 자동계산'!$B$4&lt;&gt;"35_상주","",IF('⑨ 구배 자동계산'!M19="","",'⑨ 구배 자동계산'!M19))</f>
        <v/>
      </c>
      <c r="H26" s="44" t="str">
        <f>IF('⑨ 구배 자동계산'!$B$4&lt;&gt;"35_상주","",IF('⑨ 구배 자동계산'!N19="","",'⑨ 구배 자동계산'!N19))</f>
        <v/>
      </c>
      <c r="I26" s="32" t="str">
        <f>IF('⑨ 구배 자동계산'!$B$4&lt;&gt;"35_상주","",IF('⑨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자동계산'!$B$4&lt;&gt;"35_상주","",IF('⑨ 구배 자동계산'!H20="","",'⑨ 구배 자동계산'!H20))</f>
        <v/>
      </c>
      <c r="C27" s="41" t="str">
        <f>IF('⑨ 구배 자동계산'!$B$4&lt;&gt;"35_상주","",IF('⑨ 구배 자동계산'!I20="","",'⑨ 구배 자동계산'!I20))</f>
        <v/>
      </c>
      <c r="D27" s="45" t="str">
        <f>IF('⑨ 구배 자동계산'!$B$4&lt;&gt;"35_상주","",IF('⑨ 구배 자동계산'!J20="","",'⑨ 구배 자동계산'!J20))</f>
        <v/>
      </c>
      <c r="E27" s="41" t="str">
        <f>IF('⑨ 구배 자동계산'!$B$4&lt;&gt;"35_상주","",IF('⑨ 구배 자동계산'!K20="","",'⑨ 구배 자동계산'!K20))</f>
        <v/>
      </c>
      <c r="F27" s="45" t="str">
        <f>IF('⑨ 구배 자동계산'!$B$4&lt;&gt;"35_상주","",IF('⑨ 구배 자동계산'!L20="","",'⑨ 구배 자동계산'!L20))</f>
        <v/>
      </c>
      <c r="G27" s="41" t="str">
        <f>IF('⑨ 구배 자동계산'!$B$4&lt;&gt;"35_상주","",IF('⑨ 구배 자동계산'!M20="","",'⑨ 구배 자동계산'!M20))</f>
        <v/>
      </c>
      <c r="H27" s="45" t="str">
        <f>IF('⑨ 구배 자동계산'!$B$4&lt;&gt;"35_상주","",IF('⑨ 구배 자동계산'!N20="","",'⑨ 구배 자동계산'!N20))</f>
        <v/>
      </c>
      <c r="I27" s="41" t="str">
        <f>IF('⑨ 구배 자동계산'!$B$4&lt;&gt;"35_상주","",IF('⑨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자동계산'!$B$4&lt;&gt;"35_상주","",IF('⑨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자동계산'!$B$4&lt;&gt;"35_상주","",IF('⑨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자동계산'!$B$4&lt;&gt;"35_상주","",IF('⑨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자동계산'!$B$4&lt;&gt;"35_상주","",IF('⑨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자동계산'!$B$4&lt;&gt;"35_상주","",IF('⑨ 구배 자동계산'!I23="","",'⑨ 구배 자동계산'!I23))</f>
        <v/>
      </c>
      <c r="D42" s="8"/>
      <c r="E42" s="8"/>
      <c r="F42" s="8"/>
      <c r="G42" s="92" t="str">
        <f>IF('⑨ 구배 자동계산'!$B$4&lt;&gt;"35_상주","",IF('⑨ 구배 자동계산'!$J23="","",'⑨ 구배 자동계산'!$J23&amp;"  ·  "&amp;'⑨ 구배 자동계산'!$L23))</f>
        <v/>
      </c>
      <c r="H42" s="93"/>
      <c r="I42" s="93"/>
    </row>
    <row r="43" spans="1:35" ht="19.95" customHeight="1" x14ac:dyDescent="0.4">
      <c r="A43" s="8">
        <v>3</v>
      </c>
      <c r="B43" s="33">
        <v>140</v>
      </c>
      <c r="C43" s="32" t="str">
        <f>IF('⑨ 구배 자동계산'!$B$4&lt;&gt;"35_상주","",IF('⑨ 구배 자동계산'!I24="","",'⑨ 구배 자동계산'!I24))</f>
        <v/>
      </c>
      <c r="D43" s="34">
        <f>IF(COUNT(B43,B42)&lt;2,"",(B42-B43)/100)</f>
        <v>0.45</v>
      </c>
      <c r="E43" s="35" t="str">
        <f>IF(COUNT(C43,C42)&lt;2,"",C43-C42)</f>
        <v/>
      </c>
      <c r="F43" s="36" t="str">
        <f>IF(OR(D43="",E43="",D43=0),"",E43/D43)</f>
        <v/>
      </c>
      <c r="G43" s="92" t="str">
        <f>IF('⑨ 구배 자동계산'!$B$4&lt;&gt;"35_상주","",IF('⑨ 구배 자동계산'!$J24="","",'⑨ 구배 자동계산'!$J24&amp;"  ·  "&amp;'⑨ 구배 자동계산'!$L24))</f>
        <v/>
      </c>
      <c r="H43" s="93"/>
      <c r="I43" s="93"/>
      <c r="AH43" t="s">
        <v>234</v>
      </c>
    </row>
    <row r="44" spans="1:35" ht="19.95" customHeight="1" x14ac:dyDescent="0.4">
      <c r="A44" s="8">
        <v>2</v>
      </c>
      <c r="B44" s="33">
        <v>95</v>
      </c>
      <c r="C44" s="32" t="str">
        <f>IF('⑨ 구배 자동계산'!$B$4&lt;&gt;"35_상주","",IF('⑨ 구배 자동계산'!I25="","",'⑨ 구배 자동계산'!I25))</f>
        <v/>
      </c>
      <c r="D44" s="34">
        <f>IF(COUNT(B44,B43)&lt;2,"",(B43-B44)/100)</f>
        <v>0.45</v>
      </c>
      <c r="E44" s="35" t="str">
        <f>IF(COUNT(C44,C43)&lt;2,"",C44-C43)</f>
        <v/>
      </c>
      <c r="F44" s="36" t="str">
        <f>IF(OR(D44="",E44="",D44=0),"",E44/D44)</f>
        <v/>
      </c>
      <c r="G44" s="92" t="str">
        <f>IF('⑨ 구배 자동계산'!$B$4&lt;&gt;"35_상주","",IF('⑨ 구배 자동계산'!$J25="","",'⑨ 구배 자동계산'!$J25&amp;"  ·  "&amp;'⑨ 구배 자동계산'!$L25))</f>
        <v/>
      </c>
      <c r="H44" s="93"/>
      <c r="I44" s="93"/>
    </row>
    <row r="45" spans="1:35" ht="19.95" customHeight="1" x14ac:dyDescent="0.4">
      <c r="A45" s="8">
        <v>1</v>
      </c>
      <c r="B45" s="33">
        <v>50</v>
      </c>
      <c r="C45" s="32" t="str">
        <f>IF('⑨ 구배 자동계산'!$B$4&lt;&gt;"35_상주","",IF('⑨ 구배 자동계산'!I26="","",'⑨ 구배 자동계산'!I26))</f>
        <v/>
      </c>
      <c r="D45" s="34">
        <f>IF(COUNT(B45,B44)&lt;2,"",(B44-B45)/100)</f>
        <v>0.45</v>
      </c>
      <c r="E45" s="35" t="str">
        <f>IF(COUNT(C45,C44)&lt;2,"",C45-C44)</f>
        <v/>
      </c>
      <c r="F45" s="36" t="str">
        <f>IF(OR(D45="",E45="",D45=0),"",E45/D45)</f>
        <v/>
      </c>
      <c r="G45" s="92" t="str">
        <f>IF('⑨ 구배 자동계산'!$B$4&lt;&gt;"35_상주","",IF('⑨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IF(COUNT(B50,E50)&lt;2,"",ROUND(SQRT(((128.110481-E50)*111320*COS(RADIANS(36.355288)))^2+((36.355288-B50)*110574)^2),1))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S35-P0a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79" priority="1">
      <formula>AND(ISNUMBER(C31),C31&gt;50)</formula>
    </cfRule>
  </conditionalFormatting>
  <conditionalFormatting sqref="D7">
    <cfRule type="expression" dxfId="78" priority="3" stopIfTrue="1">
      <formula>AND($D$7&lt;&gt;"",VALUE(LEFT($D$7,1))&lt;5)</formula>
    </cfRule>
    <cfRule type="expression" dxfId="77" priority="4" stopIfTrue="1">
      <formula>AND($D$7&lt;&gt;"",VALUE(LEFT($D$7,1))&gt;=5)</formula>
    </cfRule>
  </conditionalFormatting>
  <conditionalFormatting sqref="E7">
    <cfRule type="expression" dxfId="76" priority="5" stopIfTrue="1">
      <formula>AND($E$7&lt;&gt;"",VALUE(LEFT($E$7,1))&lt;5)</formula>
    </cfRule>
    <cfRule type="expression" dxfId="7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220583F7-6D37-4DEB-9C53-458D7BFBA4A6}">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4AAFB59F-3A84-439A-AC76-001CD334DE7E}">
      <formula1>DATE(2026,1,1)</formula1>
      <formula2>DATE(2027,12,31)</formula2>
    </dataValidation>
    <dataValidation type="list" allowBlank="1" sqref="C7" xr:uid="{29591A57-DEEB-443B-949B-742F5AB6E195}">
      <formula1>"맑음,구름 조금,흐림,비,눈,바람 강함"</formula1>
    </dataValidation>
    <dataValidation type="list" allowBlank="1" sqref="H50" xr:uid="{CA178E1E-8742-447F-9466-EC8AA7AC8BF6}">
      <formula1>"RTK-GNSS,네트워크RTK,정적GNSS,휴대GNSS"</formula1>
    </dataValidation>
    <dataValidation type="list" allowBlank="1" sqref="B109" xr:uid="{357F96D3-AA88-44F2-AF99-43FB4A77B49F}">
      <formula1>"동일,조정"</formula1>
    </dataValidation>
    <dataValidation type="list" allowBlank="1" showInputMessage="1" showErrorMessage="1" sqref="F56:F57" xr:uid="{FC5E2132-3C1F-4DEB-B3CB-4EB039A1D811}">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&amp;RS35 상주</oddHeader>
    <oddFooter>&amp;C&amp;9 &amp;P / &amp;N</oddFooter>
  </headerFooter>
  <rowBreaks count="3" manualBreakCount="3">
    <brk id="38" max="16383" man="1"/>
    <brk id="58" max="16383" man="1"/>
    <brk id="106"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B2F1B-B8F3-4A66-8232-A762996E140D}">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489</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490</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491</v>
      </c>
      <c r="B3" s="68"/>
      <c r="C3" s="68"/>
      <c r="D3" s="68"/>
      <c r="E3" s="68"/>
      <c r="F3" s="8" t="s">
        <v>154</v>
      </c>
      <c r="G3" s="6"/>
      <c r="H3" s="8" t="s">
        <v>155</v>
      </c>
      <c r="I3" s="9" t="s">
        <v>492</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자동계산'!$B$4="36_미원","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자동계산'!$B$4&lt;&gt;"36_미원","",IF('⑨ 구배 자동계산'!H9="","",'⑨ 구배 자동계산'!H9))</f>
        <v/>
      </c>
      <c r="C16" s="30" t="str">
        <f>IF('⑨ 구배 자동계산'!$B$4&lt;&gt;"36_미원","",IF('⑨ 구배 자동계산'!I9="","",'⑨ 구배 자동계산'!I9))</f>
        <v/>
      </c>
      <c r="D16" s="43" t="str">
        <f>IF('⑨ 구배 자동계산'!$B$4&lt;&gt;"36_미원","",IF('⑨ 구배 자동계산'!J9="","",'⑨ 구배 자동계산'!J9))</f>
        <v/>
      </c>
      <c r="E16" s="30" t="str">
        <f>IF('⑨ 구배 자동계산'!$B$4&lt;&gt;"36_미원","",IF('⑨ 구배 자동계산'!K9="","",'⑨ 구배 자동계산'!K9))</f>
        <v/>
      </c>
      <c r="F16" s="43" t="str">
        <f>IF('⑨ 구배 자동계산'!$B$4&lt;&gt;"36_미원","",IF('⑨ 구배 자동계산'!L9="","",'⑨ 구배 자동계산'!L9))</f>
        <v/>
      </c>
      <c r="G16" s="30" t="str">
        <f>IF('⑨ 구배 자동계산'!$B$4&lt;&gt;"36_미원","",IF('⑨ 구배 자동계산'!M9="","",'⑨ 구배 자동계산'!M9))</f>
        <v/>
      </c>
      <c r="H16" s="43" t="str">
        <f>IF('⑨ 구배 자동계산'!$B$4&lt;&gt;"36_미원","",IF('⑨ 구배 자동계산'!N9="","",'⑨ 구배 자동계산'!N9))</f>
        <v/>
      </c>
      <c r="I16" s="30" t="str">
        <f>IF('⑨ 구배 자동계산'!$B$4&lt;&gt;"36_미원","",IF('⑨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자동계산'!$B$4&lt;&gt;"36_미원","",IF('⑨ 구배 자동계산'!H10="","",'⑨ 구배 자동계산'!H10))</f>
        <v/>
      </c>
      <c r="C17" s="32" t="str">
        <f>IF('⑨ 구배 자동계산'!$B$4&lt;&gt;"36_미원","",IF('⑨ 구배 자동계산'!I10="","",'⑨ 구배 자동계산'!I10))</f>
        <v/>
      </c>
      <c r="D17" s="44" t="str">
        <f>IF('⑨ 구배 자동계산'!$B$4&lt;&gt;"36_미원","",IF('⑨ 구배 자동계산'!J10="","",'⑨ 구배 자동계산'!J10))</f>
        <v/>
      </c>
      <c r="E17" s="32" t="str">
        <f>IF('⑨ 구배 자동계산'!$B$4&lt;&gt;"36_미원","",IF('⑨ 구배 자동계산'!K10="","",'⑨ 구배 자동계산'!K10))</f>
        <v/>
      </c>
      <c r="F17" s="44" t="str">
        <f>IF('⑨ 구배 자동계산'!$B$4&lt;&gt;"36_미원","",IF('⑨ 구배 자동계산'!L10="","",'⑨ 구배 자동계산'!L10))</f>
        <v/>
      </c>
      <c r="G17" s="32" t="str">
        <f>IF('⑨ 구배 자동계산'!$B$4&lt;&gt;"36_미원","",IF('⑨ 구배 자동계산'!M10="","",'⑨ 구배 자동계산'!M10))</f>
        <v/>
      </c>
      <c r="H17" s="44" t="str">
        <f>IF('⑨ 구배 자동계산'!$B$4&lt;&gt;"36_미원","",IF('⑨ 구배 자동계산'!N10="","",'⑨ 구배 자동계산'!N10))</f>
        <v/>
      </c>
      <c r="I17" s="32" t="str">
        <f>IF('⑨ 구배 자동계산'!$B$4&lt;&gt;"36_미원","",IF('⑨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자동계산'!$B$4&lt;&gt;"36_미원","",IF('⑨ 구배 자동계산'!H11="","",'⑨ 구배 자동계산'!H11))</f>
        <v/>
      </c>
      <c r="C18" s="32" t="str">
        <f>IF('⑨ 구배 자동계산'!$B$4&lt;&gt;"36_미원","",IF('⑨ 구배 자동계산'!I11="","",'⑨ 구배 자동계산'!I11))</f>
        <v/>
      </c>
      <c r="D18" s="44" t="str">
        <f>IF('⑨ 구배 자동계산'!$B$4&lt;&gt;"36_미원","",IF('⑨ 구배 자동계산'!J11="","",'⑨ 구배 자동계산'!J11))</f>
        <v/>
      </c>
      <c r="E18" s="32" t="str">
        <f>IF('⑨ 구배 자동계산'!$B$4&lt;&gt;"36_미원","",IF('⑨ 구배 자동계산'!K11="","",'⑨ 구배 자동계산'!K11))</f>
        <v/>
      </c>
      <c r="F18" s="44" t="str">
        <f>IF('⑨ 구배 자동계산'!$B$4&lt;&gt;"36_미원","",IF('⑨ 구배 자동계산'!L11="","",'⑨ 구배 자동계산'!L11))</f>
        <v/>
      </c>
      <c r="G18" s="32" t="str">
        <f>IF('⑨ 구배 자동계산'!$B$4&lt;&gt;"36_미원","",IF('⑨ 구배 자동계산'!M11="","",'⑨ 구배 자동계산'!M11))</f>
        <v/>
      </c>
      <c r="H18" s="44" t="str">
        <f>IF('⑨ 구배 자동계산'!$B$4&lt;&gt;"36_미원","",IF('⑨ 구배 자동계산'!N11="","",'⑨ 구배 자동계산'!N11))</f>
        <v/>
      </c>
      <c r="I18" s="32" t="str">
        <f>IF('⑨ 구배 자동계산'!$B$4&lt;&gt;"36_미원","",IF('⑨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자동계산'!$B$4&lt;&gt;"36_미원","",IF('⑨ 구배 자동계산'!H12="","",'⑨ 구배 자동계산'!H12))</f>
        <v/>
      </c>
      <c r="C19" s="32" t="str">
        <f>IF('⑨ 구배 자동계산'!$B$4&lt;&gt;"36_미원","",IF('⑨ 구배 자동계산'!I12="","",'⑨ 구배 자동계산'!I12))</f>
        <v/>
      </c>
      <c r="D19" s="44" t="str">
        <f>IF('⑨ 구배 자동계산'!$B$4&lt;&gt;"36_미원","",IF('⑨ 구배 자동계산'!J12="","",'⑨ 구배 자동계산'!J12))</f>
        <v/>
      </c>
      <c r="E19" s="32" t="str">
        <f>IF('⑨ 구배 자동계산'!$B$4&lt;&gt;"36_미원","",IF('⑨ 구배 자동계산'!K12="","",'⑨ 구배 자동계산'!K12))</f>
        <v/>
      </c>
      <c r="F19" s="44" t="str">
        <f>IF('⑨ 구배 자동계산'!$B$4&lt;&gt;"36_미원","",IF('⑨ 구배 자동계산'!L12="","",'⑨ 구배 자동계산'!L12))</f>
        <v/>
      </c>
      <c r="G19" s="32" t="str">
        <f>IF('⑨ 구배 자동계산'!$B$4&lt;&gt;"36_미원","",IF('⑨ 구배 자동계산'!M12="","",'⑨ 구배 자동계산'!M12))</f>
        <v/>
      </c>
      <c r="H19" s="44" t="str">
        <f>IF('⑨ 구배 자동계산'!$B$4&lt;&gt;"36_미원","",IF('⑨ 구배 자동계산'!N12="","",'⑨ 구배 자동계산'!N12))</f>
        <v/>
      </c>
      <c r="I19" s="32" t="str">
        <f>IF('⑨ 구배 자동계산'!$B$4&lt;&gt;"36_미원","",IF('⑨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자동계산'!$B$4&lt;&gt;"36_미원","",IF('⑨ 구배 자동계산'!H13="","",'⑨ 구배 자동계산'!H13))</f>
        <v/>
      </c>
      <c r="C20" s="32" t="str">
        <f>IF('⑨ 구배 자동계산'!$B$4&lt;&gt;"36_미원","",IF('⑨ 구배 자동계산'!I13="","",'⑨ 구배 자동계산'!I13))</f>
        <v/>
      </c>
      <c r="D20" s="44" t="str">
        <f>IF('⑨ 구배 자동계산'!$B$4&lt;&gt;"36_미원","",IF('⑨ 구배 자동계산'!J13="","",'⑨ 구배 자동계산'!J13))</f>
        <v/>
      </c>
      <c r="E20" s="32" t="str">
        <f>IF('⑨ 구배 자동계산'!$B$4&lt;&gt;"36_미원","",IF('⑨ 구배 자동계산'!K13="","",'⑨ 구배 자동계산'!K13))</f>
        <v/>
      </c>
      <c r="F20" s="44" t="str">
        <f>IF('⑨ 구배 자동계산'!$B$4&lt;&gt;"36_미원","",IF('⑨ 구배 자동계산'!L13="","",'⑨ 구배 자동계산'!L13))</f>
        <v/>
      </c>
      <c r="G20" s="32" t="str">
        <f>IF('⑨ 구배 자동계산'!$B$4&lt;&gt;"36_미원","",IF('⑨ 구배 자동계산'!M13="","",'⑨ 구배 자동계산'!M13))</f>
        <v/>
      </c>
      <c r="H20" s="44" t="str">
        <f>IF('⑨ 구배 자동계산'!$B$4&lt;&gt;"36_미원","",IF('⑨ 구배 자동계산'!N13="","",'⑨ 구배 자동계산'!N13))</f>
        <v/>
      </c>
      <c r="I20" s="32" t="str">
        <f>IF('⑨ 구배 자동계산'!$B$4&lt;&gt;"36_미원","",IF('⑨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자동계산'!$B$4&lt;&gt;"36_미원","",IF('⑨ 구배 자동계산'!H14="","",'⑨ 구배 자동계산'!H14))</f>
        <v/>
      </c>
      <c r="C21" s="32" t="str">
        <f>IF('⑨ 구배 자동계산'!$B$4&lt;&gt;"36_미원","",IF('⑨ 구배 자동계산'!I14="","",'⑨ 구배 자동계산'!I14))</f>
        <v/>
      </c>
      <c r="D21" s="44" t="str">
        <f>IF('⑨ 구배 자동계산'!$B$4&lt;&gt;"36_미원","",IF('⑨ 구배 자동계산'!J14="","",'⑨ 구배 자동계산'!J14))</f>
        <v/>
      </c>
      <c r="E21" s="32" t="str">
        <f>IF('⑨ 구배 자동계산'!$B$4&lt;&gt;"36_미원","",IF('⑨ 구배 자동계산'!K14="","",'⑨ 구배 자동계산'!K14))</f>
        <v/>
      </c>
      <c r="F21" s="44" t="str">
        <f>IF('⑨ 구배 자동계산'!$B$4&lt;&gt;"36_미원","",IF('⑨ 구배 자동계산'!L14="","",'⑨ 구배 자동계산'!L14))</f>
        <v/>
      </c>
      <c r="G21" s="32" t="str">
        <f>IF('⑨ 구배 자동계산'!$B$4&lt;&gt;"36_미원","",IF('⑨ 구배 자동계산'!M14="","",'⑨ 구배 자동계산'!M14))</f>
        <v/>
      </c>
      <c r="H21" s="44" t="str">
        <f>IF('⑨ 구배 자동계산'!$B$4&lt;&gt;"36_미원","",IF('⑨ 구배 자동계산'!N14="","",'⑨ 구배 자동계산'!N14))</f>
        <v/>
      </c>
      <c r="I21" s="32" t="str">
        <f>IF('⑨ 구배 자동계산'!$B$4&lt;&gt;"36_미원","",IF('⑨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자동계산'!$B$4&lt;&gt;"36_미원","",IF('⑨ 구배 자동계산'!H15="","",'⑨ 구배 자동계산'!H15))</f>
        <v/>
      </c>
      <c r="C22" s="32" t="str">
        <f>IF('⑨ 구배 자동계산'!$B$4&lt;&gt;"36_미원","",IF('⑨ 구배 자동계산'!I15="","",'⑨ 구배 자동계산'!I15))</f>
        <v/>
      </c>
      <c r="D22" s="44" t="str">
        <f>IF('⑨ 구배 자동계산'!$B$4&lt;&gt;"36_미원","",IF('⑨ 구배 자동계산'!J15="","",'⑨ 구배 자동계산'!J15))</f>
        <v/>
      </c>
      <c r="E22" s="32" t="str">
        <f>IF('⑨ 구배 자동계산'!$B$4&lt;&gt;"36_미원","",IF('⑨ 구배 자동계산'!K15="","",'⑨ 구배 자동계산'!K15))</f>
        <v/>
      </c>
      <c r="F22" s="44" t="str">
        <f>IF('⑨ 구배 자동계산'!$B$4&lt;&gt;"36_미원","",IF('⑨ 구배 자동계산'!L15="","",'⑨ 구배 자동계산'!L15))</f>
        <v/>
      </c>
      <c r="G22" s="32" t="str">
        <f>IF('⑨ 구배 자동계산'!$B$4&lt;&gt;"36_미원","",IF('⑨ 구배 자동계산'!M15="","",'⑨ 구배 자동계산'!M15))</f>
        <v/>
      </c>
      <c r="H22" s="44" t="str">
        <f>IF('⑨ 구배 자동계산'!$B$4&lt;&gt;"36_미원","",IF('⑨ 구배 자동계산'!N15="","",'⑨ 구배 자동계산'!N15))</f>
        <v/>
      </c>
      <c r="I22" s="32" t="str">
        <f>IF('⑨ 구배 자동계산'!$B$4&lt;&gt;"36_미원","",IF('⑨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자동계산'!$B$4&lt;&gt;"36_미원","",IF('⑨ 구배 자동계산'!H16="","",'⑨ 구배 자동계산'!H16))</f>
        <v/>
      </c>
      <c r="C23" s="32" t="str">
        <f>IF('⑨ 구배 자동계산'!$B$4&lt;&gt;"36_미원","",IF('⑨ 구배 자동계산'!I16="","",'⑨ 구배 자동계산'!I16))</f>
        <v/>
      </c>
      <c r="D23" s="44" t="str">
        <f>IF('⑨ 구배 자동계산'!$B$4&lt;&gt;"36_미원","",IF('⑨ 구배 자동계산'!J16="","",'⑨ 구배 자동계산'!J16))</f>
        <v/>
      </c>
      <c r="E23" s="32" t="str">
        <f>IF('⑨ 구배 자동계산'!$B$4&lt;&gt;"36_미원","",IF('⑨ 구배 자동계산'!K16="","",'⑨ 구배 자동계산'!K16))</f>
        <v/>
      </c>
      <c r="F23" s="44" t="str">
        <f>IF('⑨ 구배 자동계산'!$B$4&lt;&gt;"36_미원","",IF('⑨ 구배 자동계산'!L16="","",'⑨ 구배 자동계산'!L16))</f>
        <v/>
      </c>
      <c r="G23" s="32" t="str">
        <f>IF('⑨ 구배 자동계산'!$B$4&lt;&gt;"36_미원","",IF('⑨ 구배 자동계산'!M16="","",'⑨ 구배 자동계산'!M16))</f>
        <v/>
      </c>
      <c r="H23" s="44" t="str">
        <f>IF('⑨ 구배 자동계산'!$B$4&lt;&gt;"36_미원","",IF('⑨ 구배 자동계산'!N16="","",'⑨ 구배 자동계산'!N16))</f>
        <v/>
      </c>
      <c r="I23" s="32" t="str">
        <f>IF('⑨ 구배 자동계산'!$B$4&lt;&gt;"36_미원","",IF('⑨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자동계산'!$B$4&lt;&gt;"36_미원","",IF('⑨ 구배 자동계산'!H17="","",'⑨ 구배 자동계산'!H17))</f>
        <v/>
      </c>
      <c r="C24" s="32" t="str">
        <f>IF('⑨ 구배 자동계산'!$B$4&lt;&gt;"36_미원","",IF('⑨ 구배 자동계산'!I17="","",'⑨ 구배 자동계산'!I17))</f>
        <v/>
      </c>
      <c r="D24" s="44" t="str">
        <f>IF('⑨ 구배 자동계산'!$B$4&lt;&gt;"36_미원","",IF('⑨ 구배 자동계산'!J17="","",'⑨ 구배 자동계산'!J17))</f>
        <v/>
      </c>
      <c r="E24" s="32" t="str">
        <f>IF('⑨ 구배 자동계산'!$B$4&lt;&gt;"36_미원","",IF('⑨ 구배 자동계산'!K17="","",'⑨ 구배 자동계산'!K17))</f>
        <v/>
      </c>
      <c r="F24" s="44" t="str">
        <f>IF('⑨ 구배 자동계산'!$B$4&lt;&gt;"36_미원","",IF('⑨ 구배 자동계산'!L17="","",'⑨ 구배 자동계산'!L17))</f>
        <v/>
      </c>
      <c r="G24" s="32" t="str">
        <f>IF('⑨ 구배 자동계산'!$B$4&lt;&gt;"36_미원","",IF('⑨ 구배 자동계산'!M17="","",'⑨ 구배 자동계산'!M17))</f>
        <v/>
      </c>
      <c r="H24" s="44" t="str">
        <f>IF('⑨ 구배 자동계산'!$B$4&lt;&gt;"36_미원","",IF('⑨ 구배 자동계산'!N17="","",'⑨ 구배 자동계산'!N17))</f>
        <v/>
      </c>
      <c r="I24" s="32" t="str">
        <f>IF('⑨ 구배 자동계산'!$B$4&lt;&gt;"36_미원","",IF('⑨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자동계산'!$B$4&lt;&gt;"36_미원","",IF('⑨ 구배 자동계산'!H18="","",'⑨ 구배 자동계산'!H18))</f>
        <v/>
      </c>
      <c r="C25" s="32" t="str">
        <f>IF('⑨ 구배 자동계산'!$B$4&lt;&gt;"36_미원","",IF('⑨ 구배 자동계산'!I18="","",'⑨ 구배 자동계산'!I18))</f>
        <v/>
      </c>
      <c r="D25" s="44" t="str">
        <f>IF('⑨ 구배 자동계산'!$B$4&lt;&gt;"36_미원","",IF('⑨ 구배 자동계산'!J18="","",'⑨ 구배 자동계산'!J18))</f>
        <v/>
      </c>
      <c r="E25" s="32" t="str">
        <f>IF('⑨ 구배 자동계산'!$B$4&lt;&gt;"36_미원","",IF('⑨ 구배 자동계산'!K18="","",'⑨ 구배 자동계산'!K18))</f>
        <v/>
      </c>
      <c r="F25" s="44" t="str">
        <f>IF('⑨ 구배 자동계산'!$B$4&lt;&gt;"36_미원","",IF('⑨ 구배 자동계산'!L18="","",'⑨ 구배 자동계산'!L18))</f>
        <v/>
      </c>
      <c r="G25" s="32" t="str">
        <f>IF('⑨ 구배 자동계산'!$B$4&lt;&gt;"36_미원","",IF('⑨ 구배 자동계산'!M18="","",'⑨ 구배 자동계산'!M18))</f>
        <v/>
      </c>
      <c r="H25" s="44" t="str">
        <f>IF('⑨ 구배 자동계산'!$B$4&lt;&gt;"36_미원","",IF('⑨ 구배 자동계산'!N18="","",'⑨ 구배 자동계산'!N18))</f>
        <v/>
      </c>
      <c r="I25" s="32" t="str">
        <f>IF('⑨ 구배 자동계산'!$B$4&lt;&gt;"36_미원","",IF('⑨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자동계산'!$B$4&lt;&gt;"36_미원","",IF('⑨ 구배 자동계산'!H19="","",'⑨ 구배 자동계산'!H19))</f>
        <v/>
      </c>
      <c r="C26" s="32" t="str">
        <f>IF('⑨ 구배 자동계산'!$B$4&lt;&gt;"36_미원","",IF('⑨ 구배 자동계산'!I19="","",'⑨ 구배 자동계산'!I19))</f>
        <v/>
      </c>
      <c r="D26" s="44" t="str">
        <f>IF('⑨ 구배 자동계산'!$B$4&lt;&gt;"36_미원","",IF('⑨ 구배 자동계산'!J19="","",'⑨ 구배 자동계산'!J19))</f>
        <v/>
      </c>
      <c r="E26" s="32" t="str">
        <f>IF('⑨ 구배 자동계산'!$B$4&lt;&gt;"36_미원","",IF('⑨ 구배 자동계산'!K19="","",'⑨ 구배 자동계산'!K19))</f>
        <v/>
      </c>
      <c r="F26" s="44" t="str">
        <f>IF('⑨ 구배 자동계산'!$B$4&lt;&gt;"36_미원","",IF('⑨ 구배 자동계산'!L19="","",'⑨ 구배 자동계산'!L19))</f>
        <v/>
      </c>
      <c r="G26" s="32" t="str">
        <f>IF('⑨ 구배 자동계산'!$B$4&lt;&gt;"36_미원","",IF('⑨ 구배 자동계산'!M19="","",'⑨ 구배 자동계산'!M19))</f>
        <v/>
      </c>
      <c r="H26" s="44" t="str">
        <f>IF('⑨ 구배 자동계산'!$B$4&lt;&gt;"36_미원","",IF('⑨ 구배 자동계산'!N19="","",'⑨ 구배 자동계산'!N19))</f>
        <v/>
      </c>
      <c r="I26" s="32" t="str">
        <f>IF('⑨ 구배 자동계산'!$B$4&lt;&gt;"36_미원","",IF('⑨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자동계산'!$B$4&lt;&gt;"36_미원","",IF('⑨ 구배 자동계산'!H20="","",'⑨ 구배 자동계산'!H20))</f>
        <v/>
      </c>
      <c r="C27" s="41" t="str">
        <f>IF('⑨ 구배 자동계산'!$B$4&lt;&gt;"36_미원","",IF('⑨ 구배 자동계산'!I20="","",'⑨ 구배 자동계산'!I20))</f>
        <v/>
      </c>
      <c r="D27" s="45" t="str">
        <f>IF('⑨ 구배 자동계산'!$B$4&lt;&gt;"36_미원","",IF('⑨ 구배 자동계산'!J20="","",'⑨ 구배 자동계산'!J20))</f>
        <v/>
      </c>
      <c r="E27" s="41" t="str">
        <f>IF('⑨ 구배 자동계산'!$B$4&lt;&gt;"36_미원","",IF('⑨ 구배 자동계산'!K20="","",'⑨ 구배 자동계산'!K20))</f>
        <v/>
      </c>
      <c r="F27" s="45" t="str">
        <f>IF('⑨ 구배 자동계산'!$B$4&lt;&gt;"36_미원","",IF('⑨ 구배 자동계산'!L20="","",'⑨ 구배 자동계산'!L20))</f>
        <v/>
      </c>
      <c r="G27" s="41" t="str">
        <f>IF('⑨ 구배 자동계산'!$B$4&lt;&gt;"36_미원","",IF('⑨ 구배 자동계산'!M20="","",'⑨ 구배 자동계산'!M20))</f>
        <v/>
      </c>
      <c r="H27" s="45" t="str">
        <f>IF('⑨ 구배 자동계산'!$B$4&lt;&gt;"36_미원","",IF('⑨ 구배 자동계산'!N20="","",'⑨ 구배 자동계산'!N20))</f>
        <v/>
      </c>
      <c r="I27" s="41" t="str">
        <f>IF('⑨ 구배 자동계산'!$B$4&lt;&gt;"36_미원","",IF('⑨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자동계산'!$B$4&lt;&gt;"36_미원","",IF('⑨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자동계산'!$B$4&lt;&gt;"36_미원","",IF('⑨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자동계산'!$B$4&lt;&gt;"36_미원","",IF('⑨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자동계산'!$B$4&lt;&gt;"36_미원","",IF('⑨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자동계산'!$B$4&lt;&gt;"36_미원","",IF('⑨ 구배 자동계산'!I23="","",'⑨ 구배 자동계산'!I23))</f>
        <v/>
      </c>
      <c r="D42" s="8"/>
      <c r="E42" s="8"/>
      <c r="F42" s="8"/>
      <c r="G42" s="92" t="str">
        <f>IF('⑨ 구배 자동계산'!$B$4&lt;&gt;"36_미원","",IF('⑨ 구배 자동계산'!$J23="","",'⑨ 구배 자동계산'!$J23&amp;"  ·  "&amp;'⑨ 구배 자동계산'!$L23))</f>
        <v/>
      </c>
      <c r="H42" s="93"/>
      <c r="I42" s="93"/>
    </row>
    <row r="43" spans="1:35" ht="19.95" customHeight="1" x14ac:dyDescent="0.4">
      <c r="A43" s="8">
        <v>3</v>
      </c>
      <c r="B43" s="33">
        <v>140</v>
      </c>
      <c r="C43" s="32" t="str">
        <f>IF('⑨ 구배 자동계산'!$B$4&lt;&gt;"36_미원","",IF('⑨ 구배 자동계산'!I24="","",'⑨ 구배 자동계산'!I24))</f>
        <v/>
      </c>
      <c r="D43" s="34">
        <f>IF(COUNT(B43,B42)&lt;2,"",(B42-B43)/100)</f>
        <v>0.45</v>
      </c>
      <c r="E43" s="35" t="str">
        <f>IF(COUNT(C43,C42)&lt;2,"",C43-C42)</f>
        <v/>
      </c>
      <c r="F43" s="36" t="str">
        <f>IF(OR(D43="",E43="",D43=0),"",E43/D43)</f>
        <v/>
      </c>
      <c r="G43" s="92" t="str">
        <f>IF('⑨ 구배 자동계산'!$B$4&lt;&gt;"36_미원","",IF('⑨ 구배 자동계산'!$J24="","",'⑨ 구배 자동계산'!$J24&amp;"  ·  "&amp;'⑨ 구배 자동계산'!$L24))</f>
        <v/>
      </c>
      <c r="H43" s="93"/>
      <c r="I43" s="93"/>
      <c r="AH43" t="s">
        <v>234</v>
      </c>
    </row>
    <row r="44" spans="1:35" ht="19.95" customHeight="1" x14ac:dyDescent="0.4">
      <c r="A44" s="8">
        <v>2</v>
      </c>
      <c r="B44" s="33">
        <v>95</v>
      </c>
      <c r="C44" s="32" t="str">
        <f>IF('⑨ 구배 자동계산'!$B$4&lt;&gt;"36_미원","",IF('⑨ 구배 자동계산'!I25="","",'⑨ 구배 자동계산'!I25))</f>
        <v/>
      </c>
      <c r="D44" s="34">
        <f>IF(COUNT(B44,B43)&lt;2,"",(B43-B44)/100)</f>
        <v>0.45</v>
      </c>
      <c r="E44" s="35" t="str">
        <f>IF(COUNT(C44,C43)&lt;2,"",C44-C43)</f>
        <v/>
      </c>
      <c r="F44" s="36" t="str">
        <f>IF(OR(D44="",E44="",D44=0),"",E44/D44)</f>
        <v/>
      </c>
      <c r="G44" s="92" t="str">
        <f>IF('⑨ 구배 자동계산'!$B$4&lt;&gt;"36_미원","",IF('⑨ 구배 자동계산'!$J25="","",'⑨ 구배 자동계산'!$J25&amp;"  ·  "&amp;'⑨ 구배 자동계산'!$L25))</f>
        <v/>
      </c>
      <c r="H44" s="93"/>
      <c r="I44" s="93"/>
    </row>
    <row r="45" spans="1:35" ht="19.95" customHeight="1" x14ac:dyDescent="0.4">
      <c r="A45" s="8">
        <v>1</v>
      </c>
      <c r="B45" s="33">
        <v>50</v>
      </c>
      <c r="C45" s="32" t="str">
        <f>IF('⑨ 구배 자동계산'!$B$4&lt;&gt;"36_미원","",IF('⑨ 구배 자동계산'!I26="","",'⑨ 구배 자동계산'!I26))</f>
        <v/>
      </c>
      <c r="D45" s="34">
        <f>IF(COUNT(B45,B44)&lt;2,"",(B44-B45)/100)</f>
        <v>0.45</v>
      </c>
      <c r="E45" s="35" t="str">
        <f>IF(COUNT(C45,C44)&lt;2,"",C45-C44)</f>
        <v/>
      </c>
      <c r="F45" s="36" t="str">
        <f>IF(OR(D45="",E45="",D45=0),"",E45/D45)</f>
        <v/>
      </c>
      <c r="G45" s="92" t="str">
        <f>IF('⑨ 구배 자동계산'!$B$4&lt;&gt;"36_미원","",IF('⑨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IF(COUNT(B50,E50)&lt;2,"",ROUND(SQRT(((127.586222-E50)*111320*COS(RADIANS(36.725028)))^2+((36.725028-B50)*110574)^2),1))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S36-P0a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74" priority="1">
      <formula>AND(ISNUMBER(C31),C31&gt;50)</formula>
    </cfRule>
  </conditionalFormatting>
  <conditionalFormatting sqref="D7">
    <cfRule type="expression" dxfId="73" priority="3" stopIfTrue="1">
      <formula>AND($D$7&lt;&gt;"",VALUE(LEFT($D$7,1))&lt;5)</formula>
    </cfRule>
    <cfRule type="expression" dxfId="72" priority="4" stopIfTrue="1">
      <formula>AND($D$7&lt;&gt;"",VALUE(LEFT($D$7,1))&gt;=5)</formula>
    </cfRule>
  </conditionalFormatting>
  <conditionalFormatting sqref="E7">
    <cfRule type="expression" dxfId="71" priority="5" stopIfTrue="1">
      <formula>AND($E$7&lt;&gt;"",VALUE(LEFT($E$7,1))&lt;5)</formula>
    </cfRule>
    <cfRule type="expression" dxfId="7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9D02C2E7-DE16-4182-9D95-AB6C0061593C}">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155F6802-F08F-4720-97A7-586047CC87FE}">
      <formula1>DATE(2026,1,1)</formula1>
      <formula2>DATE(2027,12,31)</formula2>
    </dataValidation>
    <dataValidation type="list" allowBlank="1" sqref="C7" xr:uid="{0E0381A9-9736-4746-96AE-A052016A913A}">
      <formula1>"맑음,구름 조금,흐림,비,눈,바람 강함"</formula1>
    </dataValidation>
    <dataValidation type="list" allowBlank="1" sqref="H50" xr:uid="{1B89EB34-D76B-4EE9-83E1-0EC502727089}">
      <formula1>"RTK-GNSS,네트워크RTK,정적GNSS,휴대GNSS"</formula1>
    </dataValidation>
    <dataValidation type="list" allowBlank="1" sqref="B109" xr:uid="{2D636C23-6721-4BE7-A361-3EDED349B26F}">
      <formula1>"동일,조정"</formula1>
    </dataValidation>
    <dataValidation type="list" allowBlank="1" showInputMessage="1" showErrorMessage="1" sqref="F56:F57" xr:uid="{A515E2D4-24C6-43C6-B236-4F8919965D22}">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&amp;RS36 미원</oddHeader>
    <oddFooter>&amp;C&amp;9 &amp;P / &amp;N</oddFooter>
  </headerFooter>
  <rowBreaks count="3" manualBreakCount="3">
    <brk id="38" max="16383" man="1"/>
    <brk id="58" max="16383" man="1"/>
    <brk id="106" max="16383" man="1"/>
  </row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5DCE6-C4B6-4C85-B1E8-7694BD3C2540}">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493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494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495</v>
      </c>
      <c r="B3" s="68"/>
      <c r="C3" s="68"/>
      <c r="D3" s="68"/>
      <c r="E3" s="68"/>
      <c r="F3" s="8" t="s">
        <v>154</v>
      </c>
      <c r="G3" s="6"/>
      <c r="H3" s="8" t="s">
        <v>155</v>
      </c>
      <c r="I3" s="9" t="s">
        <v>496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자동계산'!$B$4="37_부안","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자동계산'!$B$4&lt;&gt;"37_부안","",IF('⑨ 구배 자동계산'!H9="","",'⑨ 구배 자동계산'!H9))</f>
        <v/>
      </c>
      <c r="C16" s="30" t="str">
        <f>IF('⑨ 구배 자동계산'!$B$4&lt;&gt;"37_부안","",IF('⑨ 구배 자동계산'!I9="","",'⑨ 구배 자동계산'!I9))</f>
        <v/>
      </c>
      <c r="D16" s="43" t="str">
        <f>IF('⑨ 구배 자동계산'!$B$4&lt;&gt;"37_부안","",IF('⑨ 구배 자동계산'!J9="","",'⑨ 구배 자동계산'!J9))</f>
        <v/>
      </c>
      <c r="E16" s="30" t="str">
        <f>IF('⑨ 구배 자동계산'!$B$4&lt;&gt;"37_부안","",IF('⑨ 구배 자동계산'!K9="","",'⑨ 구배 자동계산'!K9))</f>
        <v/>
      </c>
      <c r="F16" s="43" t="str">
        <f>IF('⑨ 구배 자동계산'!$B$4&lt;&gt;"37_부안","",IF('⑨ 구배 자동계산'!L9="","",'⑨ 구배 자동계산'!L9))</f>
        <v/>
      </c>
      <c r="G16" s="30" t="str">
        <f>IF('⑨ 구배 자동계산'!$B$4&lt;&gt;"37_부안","",IF('⑨ 구배 자동계산'!M9="","",'⑨ 구배 자동계산'!M9))</f>
        <v/>
      </c>
      <c r="H16" s="43" t="str">
        <f>IF('⑨ 구배 자동계산'!$B$4&lt;&gt;"37_부안","",IF('⑨ 구배 자동계산'!N9="","",'⑨ 구배 자동계산'!N9))</f>
        <v/>
      </c>
      <c r="I16" s="30" t="str">
        <f>IF('⑨ 구배 자동계산'!$B$4&lt;&gt;"37_부안","",IF('⑨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자동계산'!$B$4&lt;&gt;"37_부안","",IF('⑨ 구배 자동계산'!H10="","",'⑨ 구배 자동계산'!H10))</f>
        <v/>
      </c>
      <c r="C17" s="32" t="str">
        <f>IF('⑨ 구배 자동계산'!$B$4&lt;&gt;"37_부안","",IF('⑨ 구배 자동계산'!I10="","",'⑨ 구배 자동계산'!I10))</f>
        <v/>
      </c>
      <c r="D17" s="44" t="str">
        <f>IF('⑨ 구배 자동계산'!$B$4&lt;&gt;"37_부안","",IF('⑨ 구배 자동계산'!J10="","",'⑨ 구배 자동계산'!J10))</f>
        <v/>
      </c>
      <c r="E17" s="32" t="str">
        <f>IF('⑨ 구배 자동계산'!$B$4&lt;&gt;"37_부안","",IF('⑨ 구배 자동계산'!K10="","",'⑨ 구배 자동계산'!K10))</f>
        <v/>
      </c>
      <c r="F17" s="44" t="str">
        <f>IF('⑨ 구배 자동계산'!$B$4&lt;&gt;"37_부안","",IF('⑨ 구배 자동계산'!L10="","",'⑨ 구배 자동계산'!L10))</f>
        <v/>
      </c>
      <c r="G17" s="32" t="str">
        <f>IF('⑨ 구배 자동계산'!$B$4&lt;&gt;"37_부안","",IF('⑨ 구배 자동계산'!M10="","",'⑨ 구배 자동계산'!M10))</f>
        <v/>
      </c>
      <c r="H17" s="44" t="str">
        <f>IF('⑨ 구배 자동계산'!$B$4&lt;&gt;"37_부안","",IF('⑨ 구배 자동계산'!N10="","",'⑨ 구배 자동계산'!N10))</f>
        <v/>
      </c>
      <c r="I17" s="32" t="str">
        <f>IF('⑨ 구배 자동계산'!$B$4&lt;&gt;"37_부안","",IF('⑨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자동계산'!$B$4&lt;&gt;"37_부안","",IF('⑨ 구배 자동계산'!H11="","",'⑨ 구배 자동계산'!H11))</f>
        <v/>
      </c>
      <c r="C18" s="32" t="str">
        <f>IF('⑨ 구배 자동계산'!$B$4&lt;&gt;"37_부안","",IF('⑨ 구배 자동계산'!I11="","",'⑨ 구배 자동계산'!I11))</f>
        <v/>
      </c>
      <c r="D18" s="44" t="str">
        <f>IF('⑨ 구배 자동계산'!$B$4&lt;&gt;"37_부안","",IF('⑨ 구배 자동계산'!J11="","",'⑨ 구배 자동계산'!J11))</f>
        <v/>
      </c>
      <c r="E18" s="32" t="str">
        <f>IF('⑨ 구배 자동계산'!$B$4&lt;&gt;"37_부안","",IF('⑨ 구배 자동계산'!K11="","",'⑨ 구배 자동계산'!K11))</f>
        <v/>
      </c>
      <c r="F18" s="44" t="str">
        <f>IF('⑨ 구배 자동계산'!$B$4&lt;&gt;"37_부안","",IF('⑨ 구배 자동계산'!L11="","",'⑨ 구배 자동계산'!L11))</f>
        <v/>
      </c>
      <c r="G18" s="32" t="str">
        <f>IF('⑨ 구배 자동계산'!$B$4&lt;&gt;"37_부안","",IF('⑨ 구배 자동계산'!M11="","",'⑨ 구배 자동계산'!M11))</f>
        <v/>
      </c>
      <c r="H18" s="44" t="str">
        <f>IF('⑨ 구배 자동계산'!$B$4&lt;&gt;"37_부안","",IF('⑨ 구배 자동계산'!N11="","",'⑨ 구배 자동계산'!N11))</f>
        <v/>
      </c>
      <c r="I18" s="32" t="str">
        <f>IF('⑨ 구배 자동계산'!$B$4&lt;&gt;"37_부안","",IF('⑨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자동계산'!$B$4&lt;&gt;"37_부안","",IF('⑨ 구배 자동계산'!H12="","",'⑨ 구배 자동계산'!H12))</f>
        <v/>
      </c>
      <c r="C19" s="32" t="str">
        <f>IF('⑨ 구배 자동계산'!$B$4&lt;&gt;"37_부안","",IF('⑨ 구배 자동계산'!I12="","",'⑨ 구배 자동계산'!I12))</f>
        <v/>
      </c>
      <c r="D19" s="44" t="str">
        <f>IF('⑨ 구배 자동계산'!$B$4&lt;&gt;"37_부안","",IF('⑨ 구배 자동계산'!J12="","",'⑨ 구배 자동계산'!J12))</f>
        <v/>
      </c>
      <c r="E19" s="32" t="str">
        <f>IF('⑨ 구배 자동계산'!$B$4&lt;&gt;"37_부안","",IF('⑨ 구배 자동계산'!K12="","",'⑨ 구배 자동계산'!K12))</f>
        <v/>
      </c>
      <c r="F19" s="44" t="str">
        <f>IF('⑨ 구배 자동계산'!$B$4&lt;&gt;"37_부안","",IF('⑨ 구배 자동계산'!L12="","",'⑨ 구배 자동계산'!L12))</f>
        <v/>
      </c>
      <c r="G19" s="32" t="str">
        <f>IF('⑨ 구배 자동계산'!$B$4&lt;&gt;"37_부안","",IF('⑨ 구배 자동계산'!M12="","",'⑨ 구배 자동계산'!M12))</f>
        <v/>
      </c>
      <c r="H19" s="44" t="str">
        <f>IF('⑨ 구배 자동계산'!$B$4&lt;&gt;"37_부안","",IF('⑨ 구배 자동계산'!N12="","",'⑨ 구배 자동계산'!N12))</f>
        <v/>
      </c>
      <c r="I19" s="32" t="str">
        <f>IF('⑨ 구배 자동계산'!$B$4&lt;&gt;"37_부안","",IF('⑨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자동계산'!$B$4&lt;&gt;"37_부안","",IF('⑨ 구배 자동계산'!H13="","",'⑨ 구배 자동계산'!H13))</f>
        <v/>
      </c>
      <c r="C20" s="32" t="str">
        <f>IF('⑨ 구배 자동계산'!$B$4&lt;&gt;"37_부안","",IF('⑨ 구배 자동계산'!I13="","",'⑨ 구배 자동계산'!I13))</f>
        <v/>
      </c>
      <c r="D20" s="44" t="str">
        <f>IF('⑨ 구배 자동계산'!$B$4&lt;&gt;"37_부안","",IF('⑨ 구배 자동계산'!J13="","",'⑨ 구배 자동계산'!J13))</f>
        <v/>
      </c>
      <c r="E20" s="32" t="str">
        <f>IF('⑨ 구배 자동계산'!$B$4&lt;&gt;"37_부안","",IF('⑨ 구배 자동계산'!K13="","",'⑨ 구배 자동계산'!K13))</f>
        <v/>
      </c>
      <c r="F20" s="44" t="str">
        <f>IF('⑨ 구배 자동계산'!$B$4&lt;&gt;"37_부안","",IF('⑨ 구배 자동계산'!L13="","",'⑨ 구배 자동계산'!L13))</f>
        <v/>
      </c>
      <c r="G20" s="32" t="str">
        <f>IF('⑨ 구배 자동계산'!$B$4&lt;&gt;"37_부안","",IF('⑨ 구배 자동계산'!M13="","",'⑨ 구배 자동계산'!M13))</f>
        <v/>
      </c>
      <c r="H20" s="44" t="str">
        <f>IF('⑨ 구배 자동계산'!$B$4&lt;&gt;"37_부안","",IF('⑨ 구배 자동계산'!N13="","",'⑨ 구배 자동계산'!N13))</f>
        <v/>
      </c>
      <c r="I20" s="32" t="str">
        <f>IF('⑨ 구배 자동계산'!$B$4&lt;&gt;"37_부안","",IF('⑨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자동계산'!$B$4&lt;&gt;"37_부안","",IF('⑨ 구배 자동계산'!H14="","",'⑨ 구배 자동계산'!H14))</f>
        <v/>
      </c>
      <c r="C21" s="32" t="str">
        <f>IF('⑨ 구배 자동계산'!$B$4&lt;&gt;"37_부안","",IF('⑨ 구배 자동계산'!I14="","",'⑨ 구배 자동계산'!I14))</f>
        <v/>
      </c>
      <c r="D21" s="44" t="str">
        <f>IF('⑨ 구배 자동계산'!$B$4&lt;&gt;"37_부안","",IF('⑨ 구배 자동계산'!J14="","",'⑨ 구배 자동계산'!J14))</f>
        <v/>
      </c>
      <c r="E21" s="32" t="str">
        <f>IF('⑨ 구배 자동계산'!$B$4&lt;&gt;"37_부안","",IF('⑨ 구배 자동계산'!K14="","",'⑨ 구배 자동계산'!K14))</f>
        <v/>
      </c>
      <c r="F21" s="44" t="str">
        <f>IF('⑨ 구배 자동계산'!$B$4&lt;&gt;"37_부안","",IF('⑨ 구배 자동계산'!L14="","",'⑨ 구배 자동계산'!L14))</f>
        <v/>
      </c>
      <c r="G21" s="32" t="str">
        <f>IF('⑨ 구배 자동계산'!$B$4&lt;&gt;"37_부안","",IF('⑨ 구배 자동계산'!M14="","",'⑨ 구배 자동계산'!M14))</f>
        <v/>
      </c>
      <c r="H21" s="44" t="str">
        <f>IF('⑨ 구배 자동계산'!$B$4&lt;&gt;"37_부안","",IF('⑨ 구배 자동계산'!N14="","",'⑨ 구배 자동계산'!N14))</f>
        <v/>
      </c>
      <c r="I21" s="32" t="str">
        <f>IF('⑨ 구배 자동계산'!$B$4&lt;&gt;"37_부안","",IF('⑨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자동계산'!$B$4&lt;&gt;"37_부안","",IF('⑨ 구배 자동계산'!H15="","",'⑨ 구배 자동계산'!H15))</f>
        <v/>
      </c>
      <c r="C22" s="32" t="str">
        <f>IF('⑨ 구배 자동계산'!$B$4&lt;&gt;"37_부안","",IF('⑨ 구배 자동계산'!I15="","",'⑨ 구배 자동계산'!I15))</f>
        <v/>
      </c>
      <c r="D22" s="44" t="str">
        <f>IF('⑨ 구배 자동계산'!$B$4&lt;&gt;"37_부안","",IF('⑨ 구배 자동계산'!J15="","",'⑨ 구배 자동계산'!J15))</f>
        <v/>
      </c>
      <c r="E22" s="32" t="str">
        <f>IF('⑨ 구배 자동계산'!$B$4&lt;&gt;"37_부안","",IF('⑨ 구배 자동계산'!K15="","",'⑨ 구배 자동계산'!K15))</f>
        <v/>
      </c>
      <c r="F22" s="44" t="str">
        <f>IF('⑨ 구배 자동계산'!$B$4&lt;&gt;"37_부안","",IF('⑨ 구배 자동계산'!L15="","",'⑨ 구배 자동계산'!L15))</f>
        <v/>
      </c>
      <c r="G22" s="32" t="str">
        <f>IF('⑨ 구배 자동계산'!$B$4&lt;&gt;"37_부안","",IF('⑨ 구배 자동계산'!M15="","",'⑨ 구배 자동계산'!M15))</f>
        <v/>
      </c>
      <c r="H22" s="44" t="str">
        <f>IF('⑨ 구배 자동계산'!$B$4&lt;&gt;"37_부안","",IF('⑨ 구배 자동계산'!N15="","",'⑨ 구배 자동계산'!N15))</f>
        <v/>
      </c>
      <c r="I22" s="32" t="str">
        <f>IF('⑨ 구배 자동계산'!$B$4&lt;&gt;"37_부안","",IF('⑨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자동계산'!$B$4&lt;&gt;"37_부안","",IF('⑨ 구배 자동계산'!H16="","",'⑨ 구배 자동계산'!H16))</f>
        <v/>
      </c>
      <c r="C23" s="32" t="str">
        <f>IF('⑨ 구배 자동계산'!$B$4&lt;&gt;"37_부안","",IF('⑨ 구배 자동계산'!I16="","",'⑨ 구배 자동계산'!I16))</f>
        <v/>
      </c>
      <c r="D23" s="44" t="str">
        <f>IF('⑨ 구배 자동계산'!$B$4&lt;&gt;"37_부안","",IF('⑨ 구배 자동계산'!J16="","",'⑨ 구배 자동계산'!J16))</f>
        <v/>
      </c>
      <c r="E23" s="32" t="str">
        <f>IF('⑨ 구배 자동계산'!$B$4&lt;&gt;"37_부안","",IF('⑨ 구배 자동계산'!K16="","",'⑨ 구배 자동계산'!K16))</f>
        <v/>
      </c>
      <c r="F23" s="44" t="str">
        <f>IF('⑨ 구배 자동계산'!$B$4&lt;&gt;"37_부안","",IF('⑨ 구배 자동계산'!L16="","",'⑨ 구배 자동계산'!L16))</f>
        <v/>
      </c>
      <c r="G23" s="32" t="str">
        <f>IF('⑨ 구배 자동계산'!$B$4&lt;&gt;"37_부안","",IF('⑨ 구배 자동계산'!M16="","",'⑨ 구배 자동계산'!M16))</f>
        <v/>
      </c>
      <c r="H23" s="44" t="str">
        <f>IF('⑨ 구배 자동계산'!$B$4&lt;&gt;"37_부안","",IF('⑨ 구배 자동계산'!N16="","",'⑨ 구배 자동계산'!N16))</f>
        <v/>
      </c>
      <c r="I23" s="32" t="str">
        <f>IF('⑨ 구배 자동계산'!$B$4&lt;&gt;"37_부안","",IF('⑨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자동계산'!$B$4&lt;&gt;"37_부안","",IF('⑨ 구배 자동계산'!H17="","",'⑨ 구배 자동계산'!H17))</f>
        <v/>
      </c>
      <c r="C24" s="32" t="str">
        <f>IF('⑨ 구배 자동계산'!$B$4&lt;&gt;"37_부안","",IF('⑨ 구배 자동계산'!I17="","",'⑨ 구배 자동계산'!I17))</f>
        <v/>
      </c>
      <c r="D24" s="44" t="str">
        <f>IF('⑨ 구배 자동계산'!$B$4&lt;&gt;"37_부안","",IF('⑨ 구배 자동계산'!J17="","",'⑨ 구배 자동계산'!J17))</f>
        <v/>
      </c>
      <c r="E24" s="32" t="str">
        <f>IF('⑨ 구배 자동계산'!$B$4&lt;&gt;"37_부안","",IF('⑨ 구배 자동계산'!K17="","",'⑨ 구배 자동계산'!K17))</f>
        <v/>
      </c>
      <c r="F24" s="44" t="str">
        <f>IF('⑨ 구배 자동계산'!$B$4&lt;&gt;"37_부안","",IF('⑨ 구배 자동계산'!L17="","",'⑨ 구배 자동계산'!L17))</f>
        <v/>
      </c>
      <c r="G24" s="32" t="str">
        <f>IF('⑨ 구배 자동계산'!$B$4&lt;&gt;"37_부안","",IF('⑨ 구배 자동계산'!M17="","",'⑨ 구배 자동계산'!M17))</f>
        <v/>
      </c>
      <c r="H24" s="44" t="str">
        <f>IF('⑨ 구배 자동계산'!$B$4&lt;&gt;"37_부안","",IF('⑨ 구배 자동계산'!N17="","",'⑨ 구배 자동계산'!N17))</f>
        <v/>
      </c>
      <c r="I24" s="32" t="str">
        <f>IF('⑨ 구배 자동계산'!$B$4&lt;&gt;"37_부안","",IF('⑨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자동계산'!$B$4&lt;&gt;"37_부안","",IF('⑨ 구배 자동계산'!H18="","",'⑨ 구배 자동계산'!H18))</f>
        <v/>
      </c>
      <c r="C25" s="32" t="str">
        <f>IF('⑨ 구배 자동계산'!$B$4&lt;&gt;"37_부안","",IF('⑨ 구배 자동계산'!I18="","",'⑨ 구배 자동계산'!I18))</f>
        <v/>
      </c>
      <c r="D25" s="44" t="str">
        <f>IF('⑨ 구배 자동계산'!$B$4&lt;&gt;"37_부안","",IF('⑨ 구배 자동계산'!J18="","",'⑨ 구배 자동계산'!J18))</f>
        <v/>
      </c>
      <c r="E25" s="32" t="str">
        <f>IF('⑨ 구배 자동계산'!$B$4&lt;&gt;"37_부안","",IF('⑨ 구배 자동계산'!K18="","",'⑨ 구배 자동계산'!K18))</f>
        <v/>
      </c>
      <c r="F25" s="44" t="str">
        <f>IF('⑨ 구배 자동계산'!$B$4&lt;&gt;"37_부안","",IF('⑨ 구배 자동계산'!L18="","",'⑨ 구배 자동계산'!L18))</f>
        <v/>
      </c>
      <c r="G25" s="32" t="str">
        <f>IF('⑨ 구배 자동계산'!$B$4&lt;&gt;"37_부안","",IF('⑨ 구배 자동계산'!M18="","",'⑨ 구배 자동계산'!M18))</f>
        <v/>
      </c>
      <c r="H25" s="44" t="str">
        <f>IF('⑨ 구배 자동계산'!$B$4&lt;&gt;"37_부안","",IF('⑨ 구배 자동계산'!N18="","",'⑨ 구배 자동계산'!N18))</f>
        <v/>
      </c>
      <c r="I25" s="32" t="str">
        <f>IF('⑨ 구배 자동계산'!$B$4&lt;&gt;"37_부안","",IF('⑨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자동계산'!$B$4&lt;&gt;"37_부안","",IF('⑨ 구배 자동계산'!H19="","",'⑨ 구배 자동계산'!H19))</f>
        <v/>
      </c>
      <c r="C26" s="32" t="str">
        <f>IF('⑨ 구배 자동계산'!$B$4&lt;&gt;"37_부안","",IF('⑨ 구배 자동계산'!I19="","",'⑨ 구배 자동계산'!I19))</f>
        <v/>
      </c>
      <c r="D26" s="44" t="str">
        <f>IF('⑨ 구배 자동계산'!$B$4&lt;&gt;"37_부안","",IF('⑨ 구배 자동계산'!J19="","",'⑨ 구배 자동계산'!J19))</f>
        <v/>
      </c>
      <c r="E26" s="32" t="str">
        <f>IF('⑨ 구배 자동계산'!$B$4&lt;&gt;"37_부안","",IF('⑨ 구배 자동계산'!K19="","",'⑨ 구배 자동계산'!K19))</f>
        <v/>
      </c>
      <c r="F26" s="44" t="str">
        <f>IF('⑨ 구배 자동계산'!$B$4&lt;&gt;"37_부안","",IF('⑨ 구배 자동계산'!L19="","",'⑨ 구배 자동계산'!L19))</f>
        <v/>
      </c>
      <c r="G26" s="32" t="str">
        <f>IF('⑨ 구배 자동계산'!$B$4&lt;&gt;"37_부안","",IF('⑨ 구배 자동계산'!M19="","",'⑨ 구배 자동계산'!M19))</f>
        <v/>
      </c>
      <c r="H26" s="44" t="str">
        <f>IF('⑨ 구배 자동계산'!$B$4&lt;&gt;"37_부안","",IF('⑨ 구배 자동계산'!N19="","",'⑨ 구배 자동계산'!N19))</f>
        <v/>
      </c>
      <c r="I26" s="32" t="str">
        <f>IF('⑨ 구배 자동계산'!$B$4&lt;&gt;"37_부안","",IF('⑨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자동계산'!$B$4&lt;&gt;"37_부안","",IF('⑨ 구배 자동계산'!H20="","",'⑨ 구배 자동계산'!H20))</f>
        <v/>
      </c>
      <c r="C27" s="41" t="str">
        <f>IF('⑨ 구배 자동계산'!$B$4&lt;&gt;"37_부안","",IF('⑨ 구배 자동계산'!I20="","",'⑨ 구배 자동계산'!I20))</f>
        <v/>
      </c>
      <c r="D27" s="45" t="str">
        <f>IF('⑨ 구배 자동계산'!$B$4&lt;&gt;"37_부안","",IF('⑨ 구배 자동계산'!J20="","",'⑨ 구배 자동계산'!J20))</f>
        <v/>
      </c>
      <c r="E27" s="41" t="str">
        <f>IF('⑨ 구배 자동계산'!$B$4&lt;&gt;"37_부안","",IF('⑨ 구배 자동계산'!K20="","",'⑨ 구배 자동계산'!K20))</f>
        <v/>
      </c>
      <c r="F27" s="45" t="str">
        <f>IF('⑨ 구배 자동계산'!$B$4&lt;&gt;"37_부안","",IF('⑨ 구배 자동계산'!L20="","",'⑨ 구배 자동계산'!L20))</f>
        <v/>
      </c>
      <c r="G27" s="41" t="str">
        <f>IF('⑨ 구배 자동계산'!$B$4&lt;&gt;"37_부안","",IF('⑨ 구배 자동계산'!M20="","",'⑨ 구배 자동계산'!M20))</f>
        <v/>
      </c>
      <c r="H27" s="45" t="str">
        <f>IF('⑨ 구배 자동계산'!$B$4&lt;&gt;"37_부안","",IF('⑨ 구배 자동계산'!N20="","",'⑨ 구배 자동계산'!N20))</f>
        <v/>
      </c>
      <c r="I27" s="41" t="str">
        <f>IF('⑨ 구배 자동계산'!$B$4&lt;&gt;"37_부안","",IF('⑨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자동계산'!$B$4&lt;&gt;"37_부안","",IF('⑨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자동계산'!$B$4&lt;&gt;"37_부안","",IF('⑨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자동계산'!$B$4&lt;&gt;"37_부안","",IF('⑨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자동계산'!$B$4&lt;&gt;"37_부안","",IF('⑨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자동계산'!$B$4&lt;&gt;"37_부안","",IF('⑨ 구배 자동계산'!I23="","",'⑨ 구배 자동계산'!I23))</f>
        <v/>
      </c>
      <c r="D42" s="8"/>
      <c r="E42" s="8"/>
      <c r="F42" s="8"/>
      <c r="G42" s="92" t="str">
        <f>IF('⑨ 구배 자동계산'!$B$4&lt;&gt;"37_부안","",IF('⑨ 구배 자동계산'!$J23="","",'⑨ 구배 자동계산'!$J23&amp;"  ·  "&amp;'⑨ 구배 자동계산'!$L23))</f>
        <v/>
      </c>
      <c r="H42" s="93"/>
      <c r="I42" s="93"/>
    </row>
    <row r="43" spans="1:35" ht="19.95" customHeight="1" x14ac:dyDescent="0.4">
      <c r="A43" s="8">
        <v>3</v>
      </c>
      <c r="B43" s="33">
        <v>140</v>
      </c>
      <c r="C43" s="32" t="str">
        <f>IF('⑨ 구배 자동계산'!$B$4&lt;&gt;"37_부안","",IF('⑨ 구배 자동계산'!I24="","",'⑨ 구배 자동계산'!I24))</f>
        <v/>
      </c>
      <c r="D43" s="34">
        <f>IF(COUNT(B43,B42)&lt;2,"",(B42-B43)/100)</f>
        <v>0.45</v>
      </c>
      <c r="E43" s="35" t="str">
        <f>IF(COUNT(C43,C42)&lt;2,"",C43-C42)</f>
        <v/>
      </c>
      <c r="F43" s="36" t="str">
        <f>IF(OR(D43="",E43="",D43=0),"",E43/D43)</f>
        <v/>
      </c>
      <c r="G43" s="92" t="str">
        <f>IF('⑨ 구배 자동계산'!$B$4&lt;&gt;"37_부안","",IF('⑨ 구배 자동계산'!$J24="","",'⑨ 구배 자동계산'!$J24&amp;"  ·  "&amp;'⑨ 구배 자동계산'!$L24))</f>
        <v/>
      </c>
      <c r="H43" s="93"/>
      <c r="I43" s="93"/>
      <c r="AH43" t="s">
        <v>234</v>
      </c>
    </row>
    <row r="44" spans="1:35" ht="19.95" customHeight="1" x14ac:dyDescent="0.4">
      <c r="A44" s="8">
        <v>2</v>
      </c>
      <c r="B44" s="33">
        <v>95</v>
      </c>
      <c r="C44" s="32" t="str">
        <f>IF('⑨ 구배 자동계산'!$B$4&lt;&gt;"37_부안","",IF('⑨ 구배 자동계산'!I25="","",'⑨ 구배 자동계산'!I25))</f>
        <v/>
      </c>
      <c r="D44" s="34">
        <f>IF(COUNT(B44,B43)&lt;2,"",(B43-B44)/100)</f>
        <v>0.45</v>
      </c>
      <c r="E44" s="35" t="str">
        <f>IF(COUNT(C44,C43)&lt;2,"",C44-C43)</f>
        <v/>
      </c>
      <c r="F44" s="36" t="str">
        <f>IF(OR(D44="",E44="",D44=0),"",E44/D44)</f>
        <v/>
      </c>
      <c r="G44" s="92" t="str">
        <f>IF('⑨ 구배 자동계산'!$B$4&lt;&gt;"37_부안","",IF('⑨ 구배 자동계산'!$J25="","",'⑨ 구배 자동계산'!$J25&amp;"  ·  "&amp;'⑨ 구배 자동계산'!$L25))</f>
        <v/>
      </c>
      <c r="H44" s="93"/>
      <c r="I44" s="93"/>
    </row>
    <row r="45" spans="1:35" ht="19.95" customHeight="1" x14ac:dyDescent="0.4">
      <c r="A45" s="8">
        <v>1</v>
      </c>
      <c r="B45" s="33">
        <v>50</v>
      </c>
      <c r="C45" s="32" t="str">
        <f>IF('⑨ 구배 자동계산'!$B$4&lt;&gt;"37_부안","",IF('⑨ 구배 자동계산'!I26="","",'⑨ 구배 자동계산'!I26))</f>
        <v/>
      </c>
      <c r="D45" s="34">
        <f>IF(COUNT(B45,B44)&lt;2,"",(B44-B45)/100)</f>
        <v>0.45</v>
      </c>
      <c r="E45" s="35" t="str">
        <f>IF(COUNT(C45,C44)&lt;2,"",C45-C44)</f>
        <v/>
      </c>
      <c r="F45" s="36" t="str">
        <f>IF(OR(D45="",E45="",D45=0),"",E45/D45)</f>
        <v/>
      </c>
      <c r="G45" s="92" t="str">
        <f>IF('⑨ 구배 자동계산'!$B$4&lt;&gt;"37_부안","",IF('⑨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IF(COUNT(B50,E50)&lt;2,"",ROUND(SQRT(((126.716139-E50)*111320*COS(RADIANS(35.58775)))^2+((35.58775-B50)*110574)^2),1))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S37-P0a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69" priority="1">
      <formula>AND(ISNUMBER(C31),C31&gt;50)</formula>
    </cfRule>
  </conditionalFormatting>
  <conditionalFormatting sqref="D7">
    <cfRule type="expression" dxfId="68" priority="3" stopIfTrue="1">
      <formula>AND($D$7&lt;&gt;"",VALUE(LEFT($D$7,1))&lt;5)</formula>
    </cfRule>
    <cfRule type="expression" dxfId="67" priority="4" stopIfTrue="1">
      <formula>AND($D$7&lt;&gt;"",VALUE(LEFT($D$7,1))&gt;=5)</formula>
    </cfRule>
  </conditionalFormatting>
  <conditionalFormatting sqref="E7">
    <cfRule type="expression" dxfId="66" priority="5" stopIfTrue="1">
      <formula>AND($E$7&lt;&gt;"",VALUE(LEFT($E$7,1))&lt;5)</formula>
    </cfRule>
    <cfRule type="expression" dxfId="6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78C8A7FB-C6E1-4607-A29E-01FDE5C982EB}">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CDE58480-0AAB-4430-BA7B-124167E8B684}">
      <formula1>DATE(2026,1,1)</formula1>
      <formula2>DATE(2027,12,31)</formula2>
    </dataValidation>
    <dataValidation type="list" allowBlank="1" sqref="C7" xr:uid="{1F6C0DEB-3312-41FC-BB0E-F16DA07151E0}">
      <formula1>"맑음,구름 조금,흐림,비,눈,바람 강함"</formula1>
    </dataValidation>
    <dataValidation type="list" allowBlank="1" sqref="H50" xr:uid="{3A5E1CA6-2215-4727-AFE9-8146CD9CF943}">
      <formula1>"RTK-GNSS,네트워크RTK,정적GNSS,휴대GNSS"</formula1>
    </dataValidation>
    <dataValidation type="list" allowBlank="1" sqref="B109" xr:uid="{026B6B3C-9F28-465A-85D6-07409269CB07}">
      <formula1>"동일,조정"</formula1>
    </dataValidation>
    <dataValidation type="list" allowBlank="1" showInputMessage="1" showErrorMessage="1" sqref="F56:F57" xr:uid="{C3A87E1E-6607-4470-A669-20B701E58E3D}">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&amp;RS37 부안</oddHeader>
    <oddFooter>&amp;C&amp;9 &amp;P / &amp;N</oddFooter>
  </headerFooter>
  <rowBreaks count="3" manualBreakCount="3">
    <brk id="38" max="16383" man="1"/>
    <brk id="58" max="16383" man="1"/>
    <brk id="106" max="16383"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6BAD-5D13-44C7-A949-1ED6401CD1CE}">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497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498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499</v>
      </c>
      <c r="B3" s="68"/>
      <c r="C3" s="68"/>
      <c r="D3" s="68"/>
      <c r="E3" s="68"/>
      <c r="F3" s="8" t="s">
        <v>154</v>
      </c>
      <c r="G3" s="6"/>
      <c r="H3" s="8" t="s">
        <v>155</v>
      </c>
      <c r="I3" s="9" t="s">
        <v>500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자동계산'!$B$4="38_강화","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자동계산'!$B$4&lt;&gt;"38_강화","",IF('⑨ 구배 자동계산'!H9="","",'⑨ 구배 자동계산'!H9))</f>
        <v/>
      </c>
      <c r="C16" s="30" t="str">
        <f>IF('⑨ 구배 자동계산'!$B$4&lt;&gt;"38_강화","",IF('⑨ 구배 자동계산'!I9="","",'⑨ 구배 자동계산'!I9))</f>
        <v/>
      </c>
      <c r="D16" s="43" t="str">
        <f>IF('⑨ 구배 자동계산'!$B$4&lt;&gt;"38_강화","",IF('⑨ 구배 자동계산'!J9="","",'⑨ 구배 자동계산'!J9))</f>
        <v/>
      </c>
      <c r="E16" s="30" t="str">
        <f>IF('⑨ 구배 자동계산'!$B$4&lt;&gt;"38_강화","",IF('⑨ 구배 자동계산'!K9="","",'⑨ 구배 자동계산'!K9))</f>
        <v/>
      </c>
      <c r="F16" s="43" t="str">
        <f>IF('⑨ 구배 자동계산'!$B$4&lt;&gt;"38_강화","",IF('⑨ 구배 자동계산'!L9="","",'⑨ 구배 자동계산'!L9))</f>
        <v/>
      </c>
      <c r="G16" s="30" t="str">
        <f>IF('⑨ 구배 자동계산'!$B$4&lt;&gt;"38_강화","",IF('⑨ 구배 자동계산'!M9="","",'⑨ 구배 자동계산'!M9))</f>
        <v/>
      </c>
      <c r="H16" s="43" t="str">
        <f>IF('⑨ 구배 자동계산'!$B$4&lt;&gt;"38_강화","",IF('⑨ 구배 자동계산'!N9="","",'⑨ 구배 자동계산'!N9))</f>
        <v/>
      </c>
      <c r="I16" s="30" t="str">
        <f>IF('⑨ 구배 자동계산'!$B$4&lt;&gt;"38_강화","",IF('⑨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자동계산'!$B$4&lt;&gt;"38_강화","",IF('⑨ 구배 자동계산'!H10="","",'⑨ 구배 자동계산'!H10))</f>
        <v/>
      </c>
      <c r="C17" s="32" t="str">
        <f>IF('⑨ 구배 자동계산'!$B$4&lt;&gt;"38_강화","",IF('⑨ 구배 자동계산'!I10="","",'⑨ 구배 자동계산'!I10))</f>
        <v/>
      </c>
      <c r="D17" s="44" t="str">
        <f>IF('⑨ 구배 자동계산'!$B$4&lt;&gt;"38_강화","",IF('⑨ 구배 자동계산'!J10="","",'⑨ 구배 자동계산'!J10))</f>
        <v/>
      </c>
      <c r="E17" s="32" t="str">
        <f>IF('⑨ 구배 자동계산'!$B$4&lt;&gt;"38_강화","",IF('⑨ 구배 자동계산'!K10="","",'⑨ 구배 자동계산'!K10))</f>
        <v/>
      </c>
      <c r="F17" s="44" t="str">
        <f>IF('⑨ 구배 자동계산'!$B$4&lt;&gt;"38_강화","",IF('⑨ 구배 자동계산'!L10="","",'⑨ 구배 자동계산'!L10))</f>
        <v/>
      </c>
      <c r="G17" s="32" t="str">
        <f>IF('⑨ 구배 자동계산'!$B$4&lt;&gt;"38_강화","",IF('⑨ 구배 자동계산'!M10="","",'⑨ 구배 자동계산'!M10))</f>
        <v/>
      </c>
      <c r="H17" s="44" t="str">
        <f>IF('⑨ 구배 자동계산'!$B$4&lt;&gt;"38_강화","",IF('⑨ 구배 자동계산'!N10="","",'⑨ 구배 자동계산'!N10))</f>
        <v/>
      </c>
      <c r="I17" s="32" t="str">
        <f>IF('⑨ 구배 자동계산'!$B$4&lt;&gt;"38_강화","",IF('⑨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자동계산'!$B$4&lt;&gt;"38_강화","",IF('⑨ 구배 자동계산'!H11="","",'⑨ 구배 자동계산'!H11))</f>
        <v/>
      </c>
      <c r="C18" s="32" t="str">
        <f>IF('⑨ 구배 자동계산'!$B$4&lt;&gt;"38_강화","",IF('⑨ 구배 자동계산'!I11="","",'⑨ 구배 자동계산'!I11))</f>
        <v/>
      </c>
      <c r="D18" s="44" t="str">
        <f>IF('⑨ 구배 자동계산'!$B$4&lt;&gt;"38_강화","",IF('⑨ 구배 자동계산'!J11="","",'⑨ 구배 자동계산'!J11))</f>
        <v/>
      </c>
      <c r="E18" s="32" t="str">
        <f>IF('⑨ 구배 자동계산'!$B$4&lt;&gt;"38_강화","",IF('⑨ 구배 자동계산'!K11="","",'⑨ 구배 자동계산'!K11))</f>
        <v/>
      </c>
      <c r="F18" s="44" t="str">
        <f>IF('⑨ 구배 자동계산'!$B$4&lt;&gt;"38_강화","",IF('⑨ 구배 자동계산'!L11="","",'⑨ 구배 자동계산'!L11))</f>
        <v/>
      </c>
      <c r="G18" s="32" t="str">
        <f>IF('⑨ 구배 자동계산'!$B$4&lt;&gt;"38_강화","",IF('⑨ 구배 자동계산'!M11="","",'⑨ 구배 자동계산'!M11))</f>
        <v/>
      </c>
      <c r="H18" s="44" t="str">
        <f>IF('⑨ 구배 자동계산'!$B$4&lt;&gt;"38_강화","",IF('⑨ 구배 자동계산'!N11="","",'⑨ 구배 자동계산'!N11))</f>
        <v/>
      </c>
      <c r="I18" s="32" t="str">
        <f>IF('⑨ 구배 자동계산'!$B$4&lt;&gt;"38_강화","",IF('⑨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자동계산'!$B$4&lt;&gt;"38_강화","",IF('⑨ 구배 자동계산'!H12="","",'⑨ 구배 자동계산'!H12))</f>
        <v/>
      </c>
      <c r="C19" s="32" t="str">
        <f>IF('⑨ 구배 자동계산'!$B$4&lt;&gt;"38_강화","",IF('⑨ 구배 자동계산'!I12="","",'⑨ 구배 자동계산'!I12))</f>
        <v/>
      </c>
      <c r="D19" s="44" t="str">
        <f>IF('⑨ 구배 자동계산'!$B$4&lt;&gt;"38_강화","",IF('⑨ 구배 자동계산'!J12="","",'⑨ 구배 자동계산'!J12))</f>
        <v/>
      </c>
      <c r="E19" s="32" t="str">
        <f>IF('⑨ 구배 자동계산'!$B$4&lt;&gt;"38_강화","",IF('⑨ 구배 자동계산'!K12="","",'⑨ 구배 자동계산'!K12))</f>
        <v/>
      </c>
      <c r="F19" s="44" t="str">
        <f>IF('⑨ 구배 자동계산'!$B$4&lt;&gt;"38_강화","",IF('⑨ 구배 자동계산'!L12="","",'⑨ 구배 자동계산'!L12))</f>
        <v/>
      </c>
      <c r="G19" s="32" t="str">
        <f>IF('⑨ 구배 자동계산'!$B$4&lt;&gt;"38_강화","",IF('⑨ 구배 자동계산'!M12="","",'⑨ 구배 자동계산'!M12))</f>
        <v/>
      </c>
      <c r="H19" s="44" t="str">
        <f>IF('⑨ 구배 자동계산'!$B$4&lt;&gt;"38_강화","",IF('⑨ 구배 자동계산'!N12="","",'⑨ 구배 자동계산'!N12))</f>
        <v/>
      </c>
      <c r="I19" s="32" t="str">
        <f>IF('⑨ 구배 자동계산'!$B$4&lt;&gt;"38_강화","",IF('⑨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자동계산'!$B$4&lt;&gt;"38_강화","",IF('⑨ 구배 자동계산'!H13="","",'⑨ 구배 자동계산'!H13))</f>
        <v/>
      </c>
      <c r="C20" s="32" t="str">
        <f>IF('⑨ 구배 자동계산'!$B$4&lt;&gt;"38_강화","",IF('⑨ 구배 자동계산'!I13="","",'⑨ 구배 자동계산'!I13))</f>
        <v/>
      </c>
      <c r="D20" s="44" t="str">
        <f>IF('⑨ 구배 자동계산'!$B$4&lt;&gt;"38_강화","",IF('⑨ 구배 자동계산'!J13="","",'⑨ 구배 자동계산'!J13))</f>
        <v/>
      </c>
      <c r="E20" s="32" t="str">
        <f>IF('⑨ 구배 자동계산'!$B$4&lt;&gt;"38_강화","",IF('⑨ 구배 자동계산'!K13="","",'⑨ 구배 자동계산'!K13))</f>
        <v/>
      </c>
      <c r="F20" s="44" t="str">
        <f>IF('⑨ 구배 자동계산'!$B$4&lt;&gt;"38_강화","",IF('⑨ 구배 자동계산'!L13="","",'⑨ 구배 자동계산'!L13))</f>
        <v/>
      </c>
      <c r="G20" s="32" t="str">
        <f>IF('⑨ 구배 자동계산'!$B$4&lt;&gt;"38_강화","",IF('⑨ 구배 자동계산'!M13="","",'⑨ 구배 자동계산'!M13))</f>
        <v/>
      </c>
      <c r="H20" s="44" t="str">
        <f>IF('⑨ 구배 자동계산'!$B$4&lt;&gt;"38_강화","",IF('⑨ 구배 자동계산'!N13="","",'⑨ 구배 자동계산'!N13))</f>
        <v/>
      </c>
      <c r="I20" s="32" t="str">
        <f>IF('⑨ 구배 자동계산'!$B$4&lt;&gt;"38_강화","",IF('⑨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자동계산'!$B$4&lt;&gt;"38_강화","",IF('⑨ 구배 자동계산'!H14="","",'⑨ 구배 자동계산'!H14))</f>
        <v/>
      </c>
      <c r="C21" s="32" t="str">
        <f>IF('⑨ 구배 자동계산'!$B$4&lt;&gt;"38_강화","",IF('⑨ 구배 자동계산'!I14="","",'⑨ 구배 자동계산'!I14))</f>
        <v/>
      </c>
      <c r="D21" s="44" t="str">
        <f>IF('⑨ 구배 자동계산'!$B$4&lt;&gt;"38_강화","",IF('⑨ 구배 자동계산'!J14="","",'⑨ 구배 자동계산'!J14))</f>
        <v/>
      </c>
      <c r="E21" s="32" t="str">
        <f>IF('⑨ 구배 자동계산'!$B$4&lt;&gt;"38_강화","",IF('⑨ 구배 자동계산'!K14="","",'⑨ 구배 자동계산'!K14))</f>
        <v/>
      </c>
      <c r="F21" s="44" t="str">
        <f>IF('⑨ 구배 자동계산'!$B$4&lt;&gt;"38_강화","",IF('⑨ 구배 자동계산'!L14="","",'⑨ 구배 자동계산'!L14))</f>
        <v/>
      </c>
      <c r="G21" s="32" t="str">
        <f>IF('⑨ 구배 자동계산'!$B$4&lt;&gt;"38_강화","",IF('⑨ 구배 자동계산'!M14="","",'⑨ 구배 자동계산'!M14))</f>
        <v/>
      </c>
      <c r="H21" s="44" t="str">
        <f>IF('⑨ 구배 자동계산'!$B$4&lt;&gt;"38_강화","",IF('⑨ 구배 자동계산'!N14="","",'⑨ 구배 자동계산'!N14))</f>
        <v/>
      </c>
      <c r="I21" s="32" t="str">
        <f>IF('⑨ 구배 자동계산'!$B$4&lt;&gt;"38_강화","",IF('⑨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자동계산'!$B$4&lt;&gt;"38_강화","",IF('⑨ 구배 자동계산'!H15="","",'⑨ 구배 자동계산'!H15))</f>
        <v/>
      </c>
      <c r="C22" s="32" t="str">
        <f>IF('⑨ 구배 자동계산'!$B$4&lt;&gt;"38_강화","",IF('⑨ 구배 자동계산'!I15="","",'⑨ 구배 자동계산'!I15))</f>
        <v/>
      </c>
      <c r="D22" s="44" t="str">
        <f>IF('⑨ 구배 자동계산'!$B$4&lt;&gt;"38_강화","",IF('⑨ 구배 자동계산'!J15="","",'⑨ 구배 자동계산'!J15))</f>
        <v/>
      </c>
      <c r="E22" s="32" t="str">
        <f>IF('⑨ 구배 자동계산'!$B$4&lt;&gt;"38_강화","",IF('⑨ 구배 자동계산'!K15="","",'⑨ 구배 자동계산'!K15))</f>
        <v/>
      </c>
      <c r="F22" s="44" t="str">
        <f>IF('⑨ 구배 자동계산'!$B$4&lt;&gt;"38_강화","",IF('⑨ 구배 자동계산'!L15="","",'⑨ 구배 자동계산'!L15))</f>
        <v/>
      </c>
      <c r="G22" s="32" t="str">
        <f>IF('⑨ 구배 자동계산'!$B$4&lt;&gt;"38_강화","",IF('⑨ 구배 자동계산'!M15="","",'⑨ 구배 자동계산'!M15))</f>
        <v/>
      </c>
      <c r="H22" s="44" t="str">
        <f>IF('⑨ 구배 자동계산'!$B$4&lt;&gt;"38_강화","",IF('⑨ 구배 자동계산'!N15="","",'⑨ 구배 자동계산'!N15))</f>
        <v/>
      </c>
      <c r="I22" s="32" t="str">
        <f>IF('⑨ 구배 자동계산'!$B$4&lt;&gt;"38_강화","",IF('⑨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자동계산'!$B$4&lt;&gt;"38_강화","",IF('⑨ 구배 자동계산'!H16="","",'⑨ 구배 자동계산'!H16))</f>
        <v/>
      </c>
      <c r="C23" s="32" t="str">
        <f>IF('⑨ 구배 자동계산'!$B$4&lt;&gt;"38_강화","",IF('⑨ 구배 자동계산'!I16="","",'⑨ 구배 자동계산'!I16))</f>
        <v/>
      </c>
      <c r="D23" s="44" t="str">
        <f>IF('⑨ 구배 자동계산'!$B$4&lt;&gt;"38_강화","",IF('⑨ 구배 자동계산'!J16="","",'⑨ 구배 자동계산'!J16))</f>
        <v/>
      </c>
      <c r="E23" s="32" t="str">
        <f>IF('⑨ 구배 자동계산'!$B$4&lt;&gt;"38_강화","",IF('⑨ 구배 자동계산'!K16="","",'⑨ 구배 자동계산'!K16))</f>
        <v/>
      </c>
      <c r="F23" s="44" t="str">
        <f>IF('⑨ 구배 자동계산'!$B$4&lt;&gt;"38_강화","",IF('⑨ 구배 자동계산'!L16="","",'⑨ 구배 자동계산'!L16))</f>
        <v/>
      </c>
      <c r="G23" s="32" t="str">
        <f>IF('⑨ 구배 자동계산'!$B$4&lt;&gt;"38_강화","",IF('⑨ 구배 자동계산'!M16="","",'⑨ 구배 자동계산'!M16))</f>
        <v/>
      </c>
      <c r="H23" s="44" t="str">
        <f>IF('⑨ 구배 자동계산'!$B$4&lt;&gt;"38_강화","",IF('⑨ 구배 자동계산'!N16="","",'⑨ 구배 자동계산'!N16))</f>
        <v/>
      </c>
      <c r="I23" s="32" t="str">
        <f>IF('⑨ 구배 자동계산'!$B$4&lt;&gt;"38_강화","",IF('⑨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자동계산'!$B$4&lt;&gt;"38_강화","",IF('⑨ 구배 자동계산'!H17="","",'⑨ 구배 자동계산'!H17))</f>
        <v/>
      </c>
      <c r="C24" s="32" t="str">
        <f>IF('⑨ 구배 자동계산'!$B$4&lt;&gt;"38_강화","",IF('⑨ 구배 자동계산'!I17="","",'⑨ 구배 자동계산'!I17))</f>
        <v/>
      </c>
      <c r="D24" s="44" t="str">
        <f>IF('⑨ 구배 자동계산'!$B$4&lt;&gt;"38_강화","",IF('⑨ 구배 자동계산'!J17="","",'⑨ 구배 자동계산'!J17))</f>
        <v/>
      </c>
      <c r="E24" s="32" t="str">
        <f>IF('⑨ 구배 자동계산'!$B$4&lt;&gt;"38_강화","",IF('⑨ 구배 자동계산'!K17="","",'⑨ 구배 자동계산'!K17))</f>
        <v/>
      </c>
      <c r="F24" s="44" t="str">
        <f>IF('⑨ 구배 자동계산'!$B$4&lt;&gt;"38_강화","",IF('⑨ 구배 자동계산'!L17="","",'⑨ 구배 자동계산'!L17))</f>
        <v/>
      </c>
      <c r="G24" s="32" t="str">
        <f>IF('⑨ 구배 자동계산'!$B$4&lt;&gt;"38_강화","",IF('⑨ 구배 자동계산'!M17="","",'⑨ 구배 자동계산'!M17))</f>
        <v/>
      </c>
      <c r="H24" s="44" t="str">
        <f>IF('⑨ 구배 자동계산'!$B$4&lt;&gt;"38_강화","",IF('⑨ 구배 자동계산'!N17="","",'⑨ 구배 자동계산'!N17))</f>
        <v/>
      </c>
      <c r="I24" s="32" t="str">
        <f>IF('⑨ 구배 자동계산'!$B$4&lt;&gt;"38_강화","",IF('⑨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자동계산'!$B$4&lt;&gt;"38_강화","",IF('⑨ 구배 자동계산'!H18="","",'⑨ 구배 자동계산'!H18))</f>
        <v/>
      </c>
      <c r="C25" s="32" t="str">
        <f>IF('⑨ 구배 자동계산'!$B$4&lt;&gt;"38_강화","",IF('⑨ 구배 자동계산'!I18="","",'⑨ 구배 자동계산'!I18))</f>
        <v/>
      </c>
      <c r="D25" s="44" t="str">
        <f>IF('⑨ 구배 자동계산'!$B$4&lt;&gt;"38_강화","",IF('⑨ 구배 자동계산'!J18="","",'⑨ 구배 자동계산'!J18))</f>
        <v/>
      </c>
      <c r="E25" s="32" t="str">
        <f>IF('⑨ 구배 자동계산'!$B$4&lt;&gt;"38_강화","",IF('⑨ 구배 자동계산'!K18="","",'⑨ 구배 자동계산'!K18))</f>
        <v/>
      </c>
      <c r="F25" s="44" t="str">
        <f>IF('⑨ 구배 자동계산'!$B$4&lt;&gt;"38_강화","",IF('⑨ 구배 자동계산'!L18="","",'⑨ 구배 자동계산'!L18))</f>
        <v/>
      </c>
      <c r="G25" s="32" t="str">
        <f>IF('⑨ 구배 자동계산'!$B$4&lt;&gt;"38_강화","",IF('⑨ 구배 자동계산'!M18="","",'⑨ 구배 자동계산'!M18))</f>
        <v/>
      </c>
      <c r="H25" s="44" t="str">
        <f>IF('⑨ 구배 자동계산'!$B$4&lt;&gt;"38_강화","",IF('⑨ 구배 자동계산'!N18="","",'⑨ 구배 자동계산'!N18))</f>
        <v/>
      </c>
      <c r="I25" s="32" t="str">
        <f>IF('⑨ 구배 자동계산'!$B$4&lt;&gt;"38_강화","",IF('⑨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자동계산'!$B$4&lt;&gt;"38_강화","",IF('⑨ 구배 자동계산'!H19="","",'⑨ 구배 자동계산'!H19))</f>
        <v/>
      </c>
      <c r="C26" s="32" t="str">
        <f>IF('⑨ 구배 자동계산'!$B$4&lt;&gt;"38_강화","",IF('⑨ 구배 자동계산'!I19="","",'⑨ 구배 자동계산'!I19))</f>
        <v/>
      </c>
      <c r="D26" s="44" t="str">
        <f>IF('⑨ 구배 자동계산'!$B$4&lt;&gt;"38_강화","",IF('⑨ 구배 자동계산'!J19="","",'⑨ 구배 자동계산'!J19))</f>
        <v/>
      </c>
      <c r="E26" s="32" t="str">
        <f>IF('⑨ 구배 자동계산'!$B$4&lt;&gt;"38_강화","",IF('⑨ 구배 자동계산'!K19="","",'⑨ 구배 자동계산'!K19))</f>
        <v/>
      </c>
      <c r="F26" s="44" t="str">
        <f>IF('⑨ 구배 자동계산'!$B$4&lt;&gt;"38_강화","",IF('⑨ 구배 자동계산'!L19="","",'⑨ 구배 자동계산'!L19))</f>
        <v/>
      </c>
      <c r="G26" s="32" t="str">
        <f>IF('⑨ 구배 자동계산'!$B$4&lt;&gt;"38_강화","",IF('⑨ 구배 자동계산'!M19="","",'⑨ 구배 자동계산'!M19))</f>
        <v/>
      </c>
      <c r="H26" s="44" t="str">
        <f>IF('⑨ 구배 자동계산'!$B$4&lt;&gt;"38_강화","",IF('⑨ 구배 자동계산'!N19="","",'⑨ 구배 자동계산'!N19))</f>
        <v/>
      </c>
      <c r="I26" s="32" t="str">
        <f>IF('⑨ 구배 자동계산'!$B$4&lt;&gt;"38_강화","",IF('⑨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자동계산'!$B$4&lt;&gt;"38_강화","",IF('⑨ 구배 자동계산'!H20="","",'⑨ 구배 자동계산'!H20))</f>
        <v/>
      </c>
      <c r="C27" s="41" t="str">
        <f>IF('⑨ 구배 자동계산'!$B$4&lt;&gt;"38_강화","",IF('⑨ 구배 자동계산'!I20="","",'⑨ 구배 자동계산'!I20))</f>
        <v/>
      </c>
      <c r="D27" s="45" t="str">
        <f>IF('⑨ 구배 자동계산'!$B$4&lt;&gt;"38_강화","",IF('⑨ 구배 자동계산'!J20="","",'⑨ 구배 자동계산'!J20))</f>
        <v/>
      </c>
      <c r="E27" s="41" t="str">
        <f>IF('⑨ 구배 자동계산'!$B$4&lt;&gt;"38_강화","",IF('⑨ 구배 자동계산'!K20="","",'⑨ 구배 자동계산'!K20))</f>
        <v/>
      </c>
      <c r="F27" s="45" t="str">
        <f>IF('⑨ 구배 자동계산'!$B$4&lt;&gt;"38_강화","",IF('⑨ 구배 자동계산'!L20="","",'⑨ 구배 자동계산'!L20))</f>
        <v/>
      </c>
      <c r="G27" s="41" t="str">
        <f>IF('⑨ 구배 자동계산'!$B$4&lt;&gt;"38_강화","",IF('⑨ 구배 자동계산'!M20="","",'⑨ 구배 자동계산'!M20))</f>
        <v/>
      </c>
      <c r="H27" s="45" t="str">
        <f>IF('⑨ 구배 자동계산'!$B$4&lt;&gt;"38_강화","",IF('⑨ 구배 자동계산'!N20="","",'⑨ 구배 자동계산'!N20))</f>
        <v/>
      </c>
      <c r="I27" s="41" t="str">
        <f>IF('⑨ 구배 자동계산'!$B$4&lt;&gt;"38_강화","",IF('⑨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자동계산'!$B$4&lt;&gt;"38_강화","",IF('⑨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자동계산'!$B$4&lt;&gt;"38_강화","",IF('⑨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자동계산'!$B$4&lt;&gt;"38_강화","",IF('⑨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자동계산'!$B$4&lt;&gt;"38_강화","",IF('⑨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자동계산'!$B$4&lt;&gt;"38_강화","",IF('⑨ 구배 자동계산'!I23="","",'⑨ 구배 자동계산'!I23))</f>
        <v/>
      </c>
      <c r="D42" s="8"/>
      <c r="E42" s="8"/>
      <c r="F42" s="8"/>
      <c r="G42" s="92" t="str">
        <f>IF('⑨ 구배 자동계산'!$B$4&lt;&gt;"38_강화","",IF('⑨ 구배 자동계산'!$J23="","",'⑨ 구배 자동계산'!$J23&amp;"  ·  "&amp;'⑨ 구배 자동계산'!$L23))</f>
        <v/>
      </c>
      <c r="H42" s="93"/>
      <c r="I42" s="93"/>
    </row>
    <row r="43" spans="1:35" ht="19.95" customHeight="1" x14ac:dyDescent="0.4">
      <c r="A43" s="8">
        <v>3</v>
      </c>
      <c r="B43" s="33">
        <v>140</v>
      </c>
      <c r="C43" s="32" t="str">
        <f>IF('⑨ 구배 자동계산'!$B$4&lt;&gt;"38_강화","",IF('⑨ 구배 자동계산'!I24="","",'⑨ 구배 자동계산'!I24))</f>
        <v/>
      </c>
      <c r="D43" s="34">
        <f>IF(COUNT(B43,B42)&lt;2,"",(B42-B43)/100)</f>
        <v>0.45</v>
      </c>
      <c r="E43" s="35" t="str">
        <f>IF(COUNT(C43,C42)&lt;2,"",C43-C42)</f>
        <v/>
      </c>
      <c r="F43" s="36" t="str">
        <f>IF(OR(D43="",E43="",D43=0),"",E43/D43)</f>
        <v/>
      </c>
      <c r="G43" s="92" t="str">
        <f>IF('⑨ 구배 자동계산'!$B$4&lt;&gt;"38_강화","",IF('⑨ 구배 자동계산'!$J24="","",'⑨ 구배 자동계산'!$J24&amp;"  ·  "&amp;'⑨ 구배 자동계산'!$L24))</f>
        <v/>
      </c>
      <c r="H43" s="93"/>
      <c r="I43" s="93"/>
      <c r="AH43" t="s">
        <v>234</v>
      </c>
    </row>
    <row r="44" spans="1:35" ht="19.95" customHeight="1" x14ac:dyDescent="0.4">
      <c r="A44" s="8">
        <v>2</v>
      </c>
      <c r="B44" s="33">
        <v>95</v>
      </c>
      <c r="C44" s="32" t="str">
        <f>IF('⑨ 구배 자동계산'!$B$4&lt;&gt;"38_강화","",IF('⑨ 구배 자동계산'!I25="","",'⑨ 구배 자동계산'!I25))</f>
        <v/>
      </c>
      <c r="D44" s="34">
        <f>IF(COUNT(B44,B43)&lt;2,"",(B43-B44)/100)</f>
        <v>0.45</v>
      </c>
      <c r="E44" s="35" t="str">
        <f>IF(COUNT(C44,C43)&lt;2,"",C44-C43)</f>
        <v/>
      </c>
      <c r="F44" s="36" t="str">
        <f>IF(OR(D44="",E44="",D44=0),"",E44/D44)</f>
        <v/>
      </c>
      <c r="G44" s="92" t="str">
        <f>IF('⑨ 구배 자동계산'!$B$4&lt;&gt;"38_강화","",IF('⑨ 구배 자동계산'!$J25="","",'⑨ 구배 자동계산'!$J25&amp;"  ·  "&amp;'⑨ 구배 자동계산'!$L25))</f>
        <v/>
      </c>
      <c r="H44" s="93"/>
      <c r="I44" s="93"/>
    </row>
    <row r="45" spans="1:35" ht="19.95" customHeight="1" x14ac:dyDescent="0.4">
      <c r="A45" s="8">
        <v>1</v>
      </c>
      <c r="B45" s="33">
        <v>50</v>
      </c>
      <c r="C45" s="32" t="str">
        <f>IF('⑨ 구배 자동계산'!$B$4&lt;&gt;"38_강화","",IF('⑨ 구배 자동계산'!I26="","",'⑨ 구배 자동계산'!I26))</f>
        <v/>
      </c>
      <c r="D45" s="34">
        <f>IF(COUNT(B45,B44)&lt;2,"",(B44-B45)/100)</f>
        <v>0.45</v>
      </c>
      <c r="E45" s="35" t="str">
        <f>IF(COUNT(C45,C44)&lt;2,"",C45-C44)</f>
        <v/>
      </c>
      <c r="F45" s="36" t="str">
        <f>IF(OR(D45="",E45="",D45=0),"",E45/D45)</f>
        <v/>
      </c>
      <c r="G45" s="92" t="str">
        <f>IF('⑨ 구배 자동계산'!$B$4&lt;&gt;"38_강화","",IF('⑨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IF(COUNT(B50,E50)&lt;2,"",ROUND(SQRT(((126.478775-E50)*111320*COS(RADIANS(37.666124)))^2+((37.666124-B50)*110574)^2),1))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S38-P0a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64" priority="1">
      <formula>AND(ISNUMBER(C31),C31&gt;50)</formula>
    </cfRule>
  </conditionalFormatting>
  <conditionalFormatting sqref="D7">
    <cfRule type="expression" dxfId="63" priority="3" stopIfTrue="1">
      <formula>AND($D$7&lt;&gt;"",VALUE(LEFT($D$7,1))&lt;5)</formula>
    </cfRule>
    <cfRule type="expression" dxfId="62" priority="4" stopIfTrue="1">
      <formula>AND($D$7&lt;&gt;"",VALUE(LEFT($D$7,1))&gt;=5)</formula>
    </cfRule>
  </conditionalFormatting>
  <conditionalFormatting sqref="E7">
    <cfRule type="expression" dxfId="61" priority="5" stopIfTrue="1">
      <formula>AND($E$7&lt;&gt;"",VALUE(LEFT($E$7,1))&lt;5)</formula>
    </cfRule>
    <cfRule type="expression" dxfId="6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32FD5711-FCD7-44CB-8819-5A5C6A25E149}">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7A565D56-0C6A-4AF8-B377-5D32DCE0620D}">
      <formula1>DATE(2026,1,1)</formula1>
      <formula2>DATE(2027,12,31)</formula2>
    </dataValidation>
    <dataValidation type="list" allowBlank="1" sqref="C7" xr:uid="{82703736-6831-4815-A645-63AA4297022D}">
      <formula1>"맑음,구름 조금,흐림,비,눈,바람 강함"</formula1>
    </dataValidation>
    <dataValidation type="list" allowBlank="1" sqref="H50" xr:uid="{A94267C8-725C-4D83-8CBB-B7965F213EF5}">
      <formula1>"RTK-GNSS,네트워크RTK,정적GNSS,휴대GNSS"</formula1>
    </dataValidation>
    <dataValidation type="list" allowBlank="1" sqref="B109" xr:uid="{B0F51B8F-70FD-493D-A48A-0DA3B8E0B6B0}">
      <formula1>"동일,조정"</formula1>
    </dataValidation>
    <dataValidation type="list" allowBlank="1" showInputMessage="1" showErrorMessage="1" sqref="F56:F57" xr:uid="{8CCB7CAF-D3C9-4E1D-AED9-BADBBF03936C}">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&amp;RS38 강화</oddHeader>
    <oddFooter>&amp;C&amp;9 &amp;P / &amp;N</oddFooter>
  </headerFooter>
  <rowBreaks count="3" manualBreakCount="3">
    <brk id="38" max="16383" man="1"/>
    <brk id="58" max="16383" man="1"/>
    <brk id="106" max="16383"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21976-CE3F-4C3E-B000-7B38F0B57B8F}">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501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502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503</v>
      </c>
      <c r="B3" s="68"/>
      <c r="C3" s="68"/>
      <c r="D3" s="68"/>
      <c r="E3" s="68"/>
      <c r="F3" s="8" t="s">
        <v>154</v>
      </c>
      <c r="G3" s="6"/>
      <c r="H3" s="8" t="s">
        <v>155</v>
      </c>
      <c r="I3" s="9" t="s">
        <v>504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자동계산'!$B$4="39_언양","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자동계산'!$B$4&lt;&gt;"39_언양","",IF('⑨ 구배 자동계산'!H9="","",'⑨ 구배 자동계산'!H9))</f>
        <v/>
      </c>
      <c r="C16" s="30" t="str">
        <f>IF('⑨ 구배 자동계산'!$B$4&lt;&gt;"39_언양","",IF('⑨ 구배 자동계산'!I9="","",'⑨ 구배 자동계산'!I9))</f>
        <v/>
      </c>
      <c r="D16" s="43" t="str">
        <f>IF('⑨ 구배 자동계산'!$B$4&lt;&gt;"39_언양","",IF('⑨ 구배 자동계산'!J9="","",'⑨ 구배 자동계산'!J9))</f>
        <v/>
      </c>
      <c r="E16" s="30" t="str">
        <f>IF('⑨ 구배 자동계산'!$B$4&lt;&gt;"39_언양","",IF('⑨ 구배 자동계산'!K9="","",'⑨ 구배 자동계산'!K9))</f>
        <v/>
      </c>
      <c r="F16" s="43" t="str">
        <f>IF('⑨ 구배 자동계산'!$B$4&lt;&gt;"39_언양","",IF('⑨ 구배 자동계산'!L9="","",'⑨ 구배 자동계산'!L9))</f>
        <v/>
      </c>
      <c r="G16" s="30" t="str">
        <f>IF('⑨ 구배 자동계산'!$B$4&lt;&gt;"39_언양","",IF('⑨ 구배 자동계산'!M9="","",'⑨ 구배 자동계산'!M9))</f>
        <v/>
      </c>
      <c r="H16" s="43" t="str">
        <f>IF('⑨ 구배 자동계산'!$B$4&lt;&gt;"39_언양","",IF('⑨ 구배 자동계산'!N9="","",'⑨ 구배 자동계산'!N9))</f>
        <v/>
      </c>
      <c r="I16" s="30" t="str">
        <f>IF('⑨ 구배 자동계산'!$B$4&lt;&gt;"39_언양","",IF('⑨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자동계산'!$B$4&lt;&gt;"39_언양","",IF('⑨ 구배 자동계산'!H10="","",'⑨ 구배 자동계산'!H10))</f>
        <v/>
      </c>
      <c r="C17" s="32" t="str">
        <f>IF('⑨ 구배 자동계산'!$B$4&lt;&gt;"39_언양","",IF('⑨ 구배 자동계산'!I10="","",'⑨ 구배 자동계산'!I10))</f>
        <v/>
      </c>
      <c r="D17" s="44" t="str">
        <f>IF('⑨ 구배 자동계산'!$B$4&lt;&gt;"39_언양","",IF('⑨ 구배 자동계산'!J10="","",'⑨ 구배 자동계산'!J10))</f>
        <v/>
      </c>
      <c r="E17" s="32" t="str">
        <f>IF('⑨ 구배 자동계산'!$B$4&lt;&gt;"39_언양","",IF('⑨ 구배 자동계산'!K10="","",'⑨ 구배 자동계산'!K10))</f>
        <v/>
      </c>
      <c r="F17" s="44" t="str">
        <f>IF('⑨ 구배 자동계산'!$B$4&lt;&gt;"39_언양","",IF('⑨ 구배 자동계산'!L10="","",'⑨ 구배 자동계산'!L10))</f>
        <v/>
      </c>
      <c r="G17" s="32" t="str">
        <f>IF('⑨ 구배 자동계산'!$B$4&lt;&gt;"39_언양","",IF('⑨ 구배 자동계산'!M10="","",'⑨ 구배 자동계산'!M10))</f>
        <v/>
      </c>
      <c r="H17" s="44" t="str">
        <f>IF('⑨ 구배 자동계산'!$B$4&lt;&gt;"39_언양","",IF('⑨ 구배 자동계산'!N10="","",'⑨ 구배 자동계산'!N10))</f>
        <v/>
      </c>
      <c r="I17" s="32" t="str">
        <f>IF('⑨ 구배 자동계산'!$B$4&lt;&gt;"39_언양","",IF('⑨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자동계산'!$B$4&lt;&gt;"39_언양","",IF('⑨ 구배 자동계산'!H11="","",'⑨ 구배 자동계산'!H11))</f>
        <v/>
      </c>
      <c r="C18" s="32" t="str">
        <f>IF('⑨ 구배 자동계산'!$B$4&lt;&gt;"39_언양","",IF('⑨ 구배 자동계산'!I11="","",'⑨ 구배 자동계산'!I11))</f>
        <v/>
      </c>
      <c r="D18" s="44" t="str">
        <f>IF('⑨ 구배 자동계산'!$B$4&lt;&gt;"39_언양","",IF('⑨ 구배 자동계산'!J11="","",'⑨ 구배 자동계산'!J11))</f>
        <v/>
      </c>
      <c r="E18" s="32" t="str">
        <f>IF('⑨ 구배 자동계산'!$B$4&lt;&gt;"39_언양","",IF('⑨ 구배 자동계산'!K11="","",'⑨ 구배 자동계산'!K11))</f>
        <v/>
      </c>
      <c r="F18" s="44" t="str">
        <f>IF('⑨ 구배 자동계산'!$B$4&lt;&gt;"39_언양","",IF('⑨ 구배 자동계산'!L11="","",'⑨ 구배 자동계산'!L11))</f>
        <v/>
      </c>
      <c r="G18" s="32" t="str">
        <f>IF('⑨ 구배 자동계산'!$B$4&lt;&gt;"39_언양","",IF('⑨ 구배 자동계산'!M11="","",'⑨ 구배 자동계산'!M11))</f>
        <v/>
      </c>
      <c r="H18" s="44" t="str">
        <f>IF('⑨ 구배 자동계산'!$B$4&lt;&gt;"39_언양","",IF('⑨ 구배 자동계산'!N11="","",'⑨ 구배 자동계산'!N11))</f>
        <v/>
      </c>
      <c r="I18" s="32" t="str">
        <f>IF('⑨ 구배 자동계산'!$B$4&lt;&gt;"39_언양","",IF('⑨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자동계산'!$B$4&lt;&gt;"39_언양","",IF('⑨ 구배 자동계산'!H12="","",'⑨ 구배 자동계산'!H12))</f>
        <v/>
      </c>
      <c r="C19" s="32" t="str">
        <f>IF('⑨ 구배 자동계산'!$B$4&lt;&gt;"39_언양","",IF('⑨ 구배 자동계산'!I12="","",'⑨ 구배 자동계산'!I12))</f>
        <v/>
      </c>
      <c r="D19" s="44" t="str">
        <f>IF('⑨ 구배 자동계산'!$B$4&lt;&gt;"39_언양","",IF('⑨ 구배 자동계산'!J12="","",'⑨ 구배 자동계산'!J12))</f>
        <v/>
      </c>
      <c r="E19" s="32" t="str">
        <f>IF('⑨ 구배 자동계산'!$B$4&lt;&gt;"39_언양","",IF('⑨ 구배 자동계산'!K12="","",'⑨ 구배 자동계산'!K12))</f>
        <v/>
      </c>
      <c r="F19" s="44" t="str">
        <f>IF('⑨ 구배 자동계산'!$B$4&lt;&gt;"39_언양","",IF('⑨ 구배 자동계산'!L12="","",'⑨ 구배 자동계산'!L12))</f>
        <v/>
      </c>
      <c r="G19" s="32" t="str">
        <f>IF('⑨ 구배 자동계산'!$B$4&lt;&gt;"39_언양","",IF('⑨ 구배 자동계산'!M12="","",'⑨ 구배 자동계산'!M12))</f>
        <v/>
      </c>
      <c r="H19" s="44" t="str">
        <f>IF('⑨ 구배 자동계산'!$B$4&lt;&gt;"39_언양","",IF('⑨ 구배 자동계산'!N12="","",'⑨ 구배 자동계산'!N12))</f>
        <v/>
      </c>
      <c r="I19" s="32" t="str">
        <f>IF('⑨ 구배 자동계산'!$B$4&lt;&gt;"39_언양","",IF('⑨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자동계산'!$B$4&lt;&gt;"39_언양","",IF('⑨ 구배 자동계산'!H13="","",'⑨ 구배 자동계산'!H13))</f>
        <v/>
      </c>
      <c r="C20" s="32" t="str">
        <f>IF('⑨ 구배 자동계산'!$B$4&lt;&gt;"39_언양","",IF('⑨ 구배 자동계산'!I13="","",'⑨ 구배 자동계산'!I13))</f>
        <v/>
      </c>
      <c r="D20" s="44" t="str">
        <f>IF('⑨ 구배 자동계산'!$B$4&lt;&gt;"39_언양","",IF('⑨ 구배 자동계산'!J13="","",'⑨ 구배 자동계산'!J13))</f>
        <v/>
      </c>
      <c r="E20" s="32" t="str">
        <f>IF('⑨ 구배 자동계산'!$B$4&lt;&gt;"39_언양","",IF('⑨ 구배 자동계산'!K13="","",'⑨ 구배 자동계산'!K13))</f>
        <v/>
      </c>
      <c r="F20" s="44" t="str">
        <f>IF('⑨ 구배 자동계산'!$B$4&lt;&gt;"39_언양","",IF('⑨ 구배 자동계산'!L13="","",'⑨ 구배 자동계산'!L13))</f>
        <v/>
      </c>
      <c r="G20" s="32" t="str">
        <f>IF('⑨ 구배 자동계산'!$B$4&lt;&gt;"39_언양","",IF('⑨ 구배 자동계산'!M13="","",'⑨ 구배 자동계산'!M13))</f>
        <v/>
      </c>
      <c r="H20" s="44" t="str">
        <f>IF('⑨ 구배 자동계산'!$B$4&lt;&gt;"39_언양","",IF('⑨ 구배 자동계산'!N13="","",'⑨ 구배 자동계산'!N13))</f>
        <v/>
      </c>
      <c r="I20" s="32" t="str">
        <f>IF('⑨ 구배 자동계산'!$B$4&lt;&gt;"39_언양","",IF('⑨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자동계산'!$B$4&lt;&gt;"39_언양","",IF('⑨ 구배 자동계산'!H14="","",'⑨ 구배 자동계산'!H14))</f>
        <v/>
      </c>
      <c r="C21" s="32" t="str">
        <f>IF('⑨ 구배 자동계산'!$B$4&lt;&gt;"39_언양","",IF('⑨ 구배 자동계산'!I14="","",'⑨ 구배 자동계산'!I14))</f>
        <v/>
      </c>
      <c r="D21" s="44" t="str">
        <f>IF('⑨ 구배 자동계산'!$B$4&lt;&gt;"39_언양","",IF('⑨ 구배 자동계산'!J14="","",'⑨ 구배 자동계산'!J14))</f>
        <v/>
      </c>
      <c r="E21" s="32" t="str">
        <f>IF('⑨ 구배 자동계산'!$B$4&lt;&gt;"39_언양","",IF('⑨ 구배 자동계산'!K14="","",'⑨ 구배 자동계산'!K14))</f>
        <v/>
      </c>
      <c r="F21" s="44" t="str">
        <f>IF('⑨ 구배 자동계산'!$B$4&lt;&gt;"39_언양","",IF('⑨ 구배 자동계산'!L14="","",'⑨ 구배 자동계산'!L14))</f>
        <v/>
      </c>
      <c r="G21" s="32" t="str">
        <f>IF('⑨ 구배 자동계산'!$B$4&lt;&gt;"39_언양","",IF('⑨ 구배 자동계산'!M14="","",'⑨ 구배 자동계산'!M14))</f>
        <v/>
      </c>
      <c r="H21" s="44" t="str">
        <f>IF('⑨ 구배 자동계산'!$B$4&lt;&gt;"39_언양","",IF('⑨ 구배 자동계산'!N14="","",'⑨ 구배 자동계산'!N14))</f>
        <v/>
      </c>
      <c r="I21" s="32" t="str">
        <f>IF('⑨ 구배 자동계산'!$B$4&lt;&gt;"39_언양","",IF('⑨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자동계산'!$B$4&lt;&gt;"39_언양","",IF('⑨ 구배 자동계산'!H15="","",'⑨ 구배 자동계산'!H15))</f>
        <v/>
      </c>
      <c r="C22" s="32" t="str">
        <f>IF('⑨ 구배 자동계산'!$B$4&lt;&gt;"39_언양","",IF('⑨ 구배 자동계산'!I15="","",'⑨ 구배 자동계산'!I15))</f>
        <v/>
      </c>
      <c r="D22" s="44" t="str">
        <f>IF('⑨ 구배 자동계산'!$B$4&lt;&gt;"39_언양","",IF('⑨ 구배 자동계산'!J15="","",'⑨ 구배 자동계산'!J15))</f>
        <v/>
      </c>
      <c r="E22" s="32" t="str">
        <f>IF('⑨ 구배 자동계산'!$B$4&lt;&gt;"39_언양","",IF('⑨ 구배 자동계산'!K15="","",'⑨ 구배 자동계산'!K15))</f>
        <v/>
      </c>
      <c r="F22" s="44" t="str">
        <f>IF('⑨ 구배 자동계산'!$B$4&lt;&gt;"39_언양","",IF('⑨ 구배 자동계산'!L15="","",'⑨ 구배 자동계산'!L15))</f>
        <v/>
      </c>
      <c r="G22" s="32" t="str">
        <f>IF('⑨ 구배 자동계산'!$B$4&lt;&gt;"39_언양","",IF('⑨ 구배 자동계산'!M15="","",'⑨ 구배 자동계산'!M15))</f>
        <v/>
      </c>
      <c r="H22" s="44" t="str">
        <f>IF('⑨ 구배 자동계산'!$B$4&lt;&gt;"39_언양","",IF('⑨ 구배 자동계산'!N15="","",'⑨ 구배 자동계산'!N15))</f>
        <v/>
      </c>
      <c r="I22" s="32" t="str">
        <f>IF('⑨ 구배 자동계산'!$B$4&lt;&gt;"39_언양","",IF('⑨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자동계산'!$B$4&lt;&gt;"39_언양","",IF('⑨ 구배 자동계산'!H16="","",'⑨ 구배 자동계산'!H16))</f>
        <v/>
      </c>
      <c r="C23" s="32" t="str">
        <f>IF('⑨ 구배 자동계산'!$B$4&lt;&gt;"39_언양","",IF('⑨ 구배 자동계산'!I16="","",'⑨ 구배 자동계산'!I16))</f>
        <v/>
      </c>
      <c r="D23" s="44" t="str">
        <f>IF('⑨ 구배 자동계산'!$B$4&lt;&gt;"39_언양","",IF('⑨ 구배 자동계산'!J16="","",'⑨ 구배 자동계산'!J16))</f>
        <v/>
      </c>
      <c r="E23" s="32" t="str">
        <f>IF('⑨ 구배 자동계산'!$B$4&lt;&gt;"39_언양","",IF('⑨ 구배 자동계산'!K16="","",'⑨ 구배 자동계산'!K16))</f>
        <v/>
      </c>
      <c r="F23" s="44" t="str">
        <f>IF('⑨ 구배 자동계산'!$B$4&lt;&gt;"39_언양","",IF('⑨ 구배 자동계산'!L16="","",'⑨ 구배 자동계산'!L16))</f>
        <v/>
      </c>
      <c r="G23" s="32" t="str">
        <f>IF('⑨ 구배 자동계산'!$B$4&lt;&gt;"39_언양","",IF('⑨ 구배 자동계산'!M16="","",'⑨ 구배 자동계산'!M16))</f>
        <v/>
      </c>
      <c r="H23" s="44" t="str">
        <f>IF('⑨ 구배 자동계산'!$B$4&lt;&gt;"39_언양","",IF('⑨ 구배 자동계산'!N16="","",'⑨ 구배 자동계산'!N16))</f>
        <v/>
      </c>
      <c r="I23" s="32" t="str">
        <f>IF('⑨ 구배 자동계산'!$B$4&lt;&gt;"39_언양","",IF('⑨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자동계산'!$B$4&lt;&gt;"39_언양","",IF('⑨ 구배 자동계산'!H17="","",'⑨ 구배 자동계산'!H17))</f>
        <v/>
      </c>
      <c r="C24" s="32" t="str">
        <f>IF('⑨ 구배 자동계산'!$B$4&lt;&gt;"39_언양","",IF('⑨ 구배 자동계산'!I17="","",'⑨ 구배 자동계산'!I17))</f>
        <v/>
      </c>
      <c r="D24" s="44" t="str">
        <f>IF('⑨ 구배 자동계산'!$B$4&lt;&gt;"39_언양","",IF('⑨ 구배 자동계산'!J17="","",'⑨ 구배 자동계산'!J17))</f>
        <v/>
      </c>
      <c r="E24" s="32" t="str">
        <f>IF('⑨ 구배 자동계산'!$B$4&lt;&gt;"39_언양","",IF('⑨ 구배 자동계산'!K17="","",'⑨ 구배 자동계산'!K17))</f>
        <v/>
      </c>
      <c r="F24" s="44" t="str">
        <f>IF('⑨ 구배 자동계산'!$B$4&lt;&gt;"39_언양","",IF('⑨ 구배 자동계산'!L17="","",'⑨ 구배 자동계산'!L17))</f>
        <v/>
      </c>
      <c r="G24" s="32" t="str">
        <f>IF('⑨ 구배 자동계산'!$B$4&lt;&gt;"39_언양","",IF('⑨ 구배 자동계산'!M17="","",'⑨ 구배 자동계산'!M17))</f>
        <v/>
      </c>
      <c r="H24" s="44" t="str">
        <f>IF('⑨ 구배 자동계산'!$B$4&lt;&gt;"39_언양","",IF('⑨ 구배 자동계산'!N17="","",'⑨ 구배 자동계산'!N17))</f>
        <v/>
      </c>
      <c r="I24" s="32" t="str">
        <f>IF('⑨ 구배 자동계산'!$B$4&lt;&gt;"39_언양","",IF('⑨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자동계산'!$B$4&lt;&gt;"39_언양","",IF('⑨ 구배 자동계산'!H18="","",'⑨ 구배 자동계산'!H18))</f>
        <v/>
      </c>
      <c r="C25" s="32" t="str">
        <f>IF('⑨ 구배 자동계산'!$B$4&lt;&gt;"39_언양","",IF('⑨ 구배 자동계산'!I18="","",'⑨ 구배 자동계산'!I18))</f>
        <v/>
      </c>
      <c r="D25" s="44" t="str">
        <f>IF('⑨ 구배 자동계산'!$B$4&lt;&gt;"39_언양","",IF('⑨ 구배 자동계산'!J18="","",'⑨ 구배 자동계산'!J18))</f>
        <v/>
      </c>
      <c r="E25" s="32" t="str">
        <f>IF('⑨ 구배 자동계산'!$B$4&lt;&gt;"39_언양","",IF('⑨ 구배 자동계산'!K18="","",'⑨ 구배 자동계산'!K18))</f>
        <v/>
      </c>
      <c r="F25" s="44" t="str">
        <f>IF('⑨ 구배 자동계산'!$B$4&lt;&gt;"39_언양","",IF('⑨ 구배 자동계산'!L18="","",'⑨ 구배 자동계산'!L18))</f>
        <v/>
      </c>
      <c r="G25" s="32" t="str">
        <f>IF('⑨ 구배 자동계산'!$B$4&lt;&gt;"39_언양","",IF('⑨ 구배 자동계산'!M18="","",'⑨ 구배 자동계산'!M18))</f>
        <v/>
      </c>
      <c r="H25" s="44" t="str">
        <f>IF('⑨ 구배 자동계산'!$B$4&lt;&gt;"39_언양","",IF('⑨ 구배 자동계산'!N18="","",'⑨ 구배 자동계산'!N18))</f>
        <v/>
      </c>
      <c r="I25" s="32" t="str">
        <f>IF('⑨ 구배 자동계산'!$B$4&lt;&gt;"39_언양","",IF('⑨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자동계산'!$B$4&lt;&gt;"39_언양","",IF('⑨ 구배 자동계산'!H19="","",'⑨ 구배 자동계산'!H19))</f>
        <v/>
      </c>
      <c r="C26" s="32" t="str">
        <f>IF('⑨ 구배 자동계산'!$B$4&lt;&gt;"39_언양","",IF('⑨ 구배 자동계산'!I19="","",'⑨ 구배 자동계산'!I19))</f>
        <v/>
      </c>
      <c r="D26" s="44" t="str">
        <f>IF('⑨ 구배 자동계산'!$B$4&lt;&gt;"39_언양","",IF('⑨ 구배 자동계산'!J19="","",'⑨ 구배 자동계산'!J19))</f>
        <v/>
      </c>
      <c r="E26" s="32" t="str">
        <f>IF('⑨ 구배 자동계산'!$B$4&lt;&gt;"39_언양","",IF('⑨ 구배 자동계산'!K19="","",'⑨ 구배 자동계산'!K19))</f>
        <v/>
      </c>
      <c r="F26" s="44" t="str">
        <f>IF('⑨ 구배 자동계산'!$B$4&lt;&gt;"39_언양","",IF('⑨ 구배 자동계산'!L19="","",'⑨ 구배 자동계산'!L19))</f>
        <v/>
      </c>
      <c r="G26" s="32" t="str">
        <f>IF('⑨ 구배 자동계산'!$B$4&lt;&gt;"39_언양","",IF('⑨ 구배 자동계산'!M19="","",'⑨ 구배 자동계산'!M19))</f>
        <v/>
      </c>
      <c r="H26" s="44" t="str">
        <f>IF('⑨ 구배 자동계산'!$B$4&lt;&gt;"39_언양","",IF('⑨ 구배 자동계산'!N19="","",'⑨ 구배 자동계산'!N19))</f>
        <v/>
      </c>
      <c r="I26" s="32" t="str">
        <f>IF('⑨ 구배 자동계산'!$B$4&lt;&gt;"39_언양","",IF('⑨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자동계산'!$B$4&lt;&gt;"39_언양","",IF('⑨ 구배 자동계산'!H20="","",'⑨ 구배 자동계산'!H20))</f>
        <v/>
      </c>
      <c r="C27" s="41" t="str">
        <f>IF('⑨ 구배 자동계산'!$B$4&lt;&gt;"39_언양","",IF('⑨ 구배 자동계산'!I20="","",'⑨ 구배 자동계산'!I20))</f>
        <v/>
      </c>
      <c r="D27" s="45" t="str">
        <f>IF('⑨ 구배 자동계산'!$B$4&lt;&gt;"39_언양","",IF('⑨ 구배 자동계산'!J20="","",'⑨ 구배 자동계산'!J20))</f>
        <v/>
      </c>
      <c r="E27" s="41" t="str">
        <f>IF('⑨ 구배 자동계산'!$B$4&lt;&gt;"39_언양","",IF('⑨ 구배 자동계산'!K20="","",'⑨ 구배 자동계산'!K20))</f>
        <v/>
      </c>
      <c r="F27" s="45" t="str">
        <f>IF('⑨ 구배 자동계산'!$B$4&lt;&gt;"39_언양","",IF('⑨ 구배 자동계산'!L20="","",'⑨ 구배 자동계산'!L20))</f>
        <v/>
      </c>
      <c r="G27" s="41" t="str">
        <f>IF('⑨ 구배 자동계산'!$B$4&lt;&gt;"39_언양","",IF('⑨ 구배 자동계산'!M20="","",'⑨ 구배 자동계산'!M20))</f>
        <v/>
      </c>
      <c r="H27" s="45" t="str">
        <f>IF('⑨ 구배 자동계산'!$B$4&lt;&gt;"39_언양","",IF('⑨ 구배 자동계산'!N20="","",'⑨ 구배 자동계산'!N20))</f>
        <v/>
      </c>
      <c r="I27" s="41" t="str">
        <f>IF('⑨ 구배 자동계산'!$B$4&lt;&gt;"39_언양","",IF('⑨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자동계산'!$B$4&lt;&gt;"39_언양","",IF('⑨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자동계산'!$B$4&lt;&gt;"39_언양","",IF('⑨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자동계산'!$B$4&lt;&gt;"39_언양","",IF('⑨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자동계산'!$B$4&lt;&gt;"39_언양","",IF('⑨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자동계산'!$B$4&lt;&gt;"39_언양","",IF('⑨ 구배 자동계산'!I23="","",'⑨ 구배 자동계산'!I23))</f>
        <v/>
      </c>
      <c r="D42" s="8"/>
      <c r="E42" s="8"/>
      <c r="F42" s="8"/>
      <c r="G42" s="92" t="str">
        <f>IF('⑨ 구배 자동계산'!$B$4&lt;&gt;"39_언양","",IF('⑨ 구배 자동계산'!$J23="","",'⑨ 구배 자동계산'!$J23&amp;"  ·  "&amp;'⑨ 구배 자동계산'!$L23))</f>
        <v/>
      </c>
      <c r="H42" s="93"/>
      <c r="I42" s="93"/>
    </row>
    <row r="43" spans="1:35" ht="19.95" customHeight="1" x14ac:dyDescent="0.4">
      <c r="A43" s="8">
        <v>3</v>
      </c>
      <c r="B43" s="33">
        <v>140</v>
      </c>
      <c r="C43" s="32" t="str">
        <f>IF('⑨ 구배 자동계산'!$B$4&lt;&gt;"39_언양","",IF('⑨ 구배 자동계산'!I24="","",'⑨ 구배 자동계산'!I24))</f>
        <v/>
      </c>
      <c r="D43" s="34">
        <f>IF(COUNT(B43,B42)&lt;2,"",(B42-B43)/100)</f>
        <v>0.45</v>
      </c>
      <c r="E43" s="35" t="str">
        <f>IF(COUNT(C43,C42)&lt;2,"",C43-C42)</f>
        <v/>
      </c>
      <c r="F43" s="36" t="str">
        <f>IF(OR(D43="",E43="",D43=0),"",E43/D43)</f>
        <v/>
      </c>
      <c r="G43" s="92" t="str">
        <f>IF('⑨ 구배 자동계산'!$B$4&lt;&gt;"39_언양","",IF('⑨ 구배 자동계산'!$J24="","",'⑨ 구배 자동계산'!$J24&amp;"  ·  "&amp;'⑨ 구배 자동계산'!$L24))</f>
        <v/>
      </c>
      <c r="H43" s="93"/>
      <c r="I43" s="93"/>
      <c r="AH43" t="s">
        <v>234</v>
      </c>
    </row>
    <row r="44" spans="1:35" ht="19.95" customHeight="1" x14ac:dyDescent="0.4">
      <c r="A44" s="8">
        <v>2</v>
      </c>
      <c r="B44" s="33">
        <v>95</v>
      </c>
      <c r="C44" s="32" t="str">
        <f>IF('⑨ 구배 자동계산'!$B$4&lt;&gt;"39_언양","",IF('⑨ 구배 자동계산'!I25="","",'⑨ 구배 자동계산'!I25))</f>
        <v/>
      </c>
      <c r="D44" s="34">
        <f>IF(COUNT(B44,B43)&lt;2,"",(B43-B44)/100)</f>
        <v>0.45</v>
      </c>
      <c r="E44" s="35" t="str">
        <f>IF(COUNT(C44,C43)&lt;2,"",C44-C43)</f>
        <v/>
      </c>
      <c r="F44" s="36" t="str">
        <f>IF(OR(D44="",E44="",D44=0),"",E44/D44)</f>
        <v/>
      </c>
      <c r="G44" s="92" t="str">
        <f>IF('⑨ 구배 자동계산'!$B$4&lt;&gt;"39_언양","",IF('⑨ 구배 자동계산'!$J25="","",'⑨ 구배 자동계산'!$J25&amp;"  ·  "&amp;'⑨ 구배 자동계산'!$L25))</f>
        <v/>
      </c>
      <c r="H44" s="93"/>
      <c r="I44" s="93"/>
    </row>
    <row r="45" spans="1:35" ht="19.95" customHeight="1" x14ac:dyDescent="0.4">
      <c r="A45" s="8">
        <v>1</v>
      </c>
      <c r="B45" s="33">
        <v>50</v>
      </c>
      <c r="C45" s="32" t="str">
        <f>IF('⑨ 구배 자동계산'!$B$4&lt;&gt;"39_언양","",IF('⑨ 구배 자동계산'!I26="","",'⑨ 구배 자동계산'!I26))</f>
        <v/>
      </c>
      <c r="D45" s="34">
        <f>IF(COUNT(B45,B44)&lt;2,"",(B44-B45)/100)</f>
        <v>0.45</v>
      </c>
      <c r="E45" s="35" t="str">
        <f>IF(COUNT(C45,C44)&lt;2,"",C45-C44)</f>
        <v/>
      </c>
      <c r="F45" s="36" t="str">
        <f>IF(OR(D45="",E45="",D45=0),"",E45/D45)</f>
        <v/>
      </c>
      <c r="G45" s="92" t="str">
        <f>IF('⑨ 구배 자동계산'!$B$4&lt;&gt;"39_언양","",IF('⑨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IF(COUNT(B50,E50)&lt;2,"",ROUND(SQRT(((129.190872-E50)*111320*COS(RADIANS(35.6762)))^2+((35.6762-B50)*110574)^2),1))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S39-P0a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59" priority="1">
      <formula>AND(ISNUMBER(C31),C31&gt;50)</formula>
    </cfRule>
  </conditionalFormatting>
  <conditionalFormatting sqref="D7">
    <cfRule type="expression" dxfId="58" priority="3" stopIfTrue="1">
      <formula>AND($D$7&lt;&gt;"",VALUE(LEFT($D$7,1))&lt;5)</formula>
    </cfRule>
    <cfRule type="expression" dxfId="57" priority="4" stopIfTrue="1">
      <formula>AND($D$7&lt;&gt;"",VALUE(LEFT($D$7,1))&gt;=5)</formula>
    </cfRule>
  </conditionalFormatting>
  <conditionalFormatting sqref="E7">
    <cfRule type="expression" dxfId="56" priority="5" stopIfTrue="1">
      <formula>AND($E$7&lt;&gt;"",VALUE(LEFT($E$7,1))&lt;5)</formula>
    </cfRule>
    <cfRule type="expression" dxfId="5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42C535EB-68FE-4CC6-9A45-2FA7AB6FD7F8}">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B7BB3A40-60AA-41EB-9CFE-EBA12B9528ED}">
      <formula1>DATE(2026,1,1)</formula1>
      <formula2>DATE(2027,12,31)</formula2>
    </dataValidation>
    <dataValidation type="list" allowBlank="1" sqref="C7" xr:uid="{29A49985-D141-423E-B5BA-051285EB206A}">
      <formula1>"맑음,구름 조금,흐림,비,눈,바람 강함"</formula1>
    </dataValidation>
    <dataValidation type="list" allowBlank="1" sqref="H50" xr:uid="{183304F1-B6E6-4C5D-BFD9-48DB489B6D3B}">
      <formula1>"RTK-GNSS,네트워크RTK,정적GNSS,휴대GNSS"</formula1>
    </dataValidation>
    <dataValidation type="list" allowBlank="1" sqref="B109" xr:uid="{D4F6E0B8-A390-41CC-9E97-03A5811F1904}">
      <formula1>"동일,조정"</formula1>
    </dataValidation>
    <dataValidation type="list" allowBlank="1" showInputMessage="1" showErrorMessage="1" sqref="F56:F57" xr:uid="{B2E61111-1D9B-4743-B6A8-DECF3F889DCD}">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&amp;RS39 언양</oddHeader>
    <oddFooter>&amp;C&amp;9 &amp;P / &amp;N</oddFooter>
  </headerFooter>
  <rowBreaks count="3" manualBreakCount="3">
    <brk id="38" max="16383" man="1"/>
    <brk id="58" max="16383" man="1"/>
    <brk id="106" max="16383"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97491-FD9B-4C36-9B87-FA6093794D17}">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505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506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507</v>
      </c>
      <c r="B3" s="68"/>
      <c r="C3" s="68"/>
      <c r="D3" s="68"/>
      <c r="E3" s="68"/>
      <c r="F3" s="8" t="s">
        <v>154</v>
      </c>
      <c r="G3" s="6"/>
      <c r="H3" s="8" t="s">
        <v>155</v>
      </c>
      <c r="I3" s="9" t="s">
        <v>508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자동계산'!$B$4="40_남지","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자동계산'!$B$4&lt;&gt;"40_남지","",IF('⑨ 구배 자동계산'!H9="","",'⑨ 구배 자동계산'!H9))</f>
        <v/>
      </c>
      <c r="C16" s="30" t="str">
        <f>IF('⑨ 구배 자동계산'!$B$4&lt;&gt;"40_남지","",IF('⑨ 구배 자동계산'!I9="","",'⑨ 구배 자동계산'!I9))</f>
        <v/>
      </c>
      <c r="D16" s="43" t="str">
        <f>IF('⑨ 구배 자동계산'!$B$4&lt;&gt;"40_남지","",IF('⑨ 구배 자동계산'!J9="","",'⑨ 구배 자동계산'!J9))</f>
        <v/>
      </c>
      <c r="E16" s="30" t="str">
        <f>IF('⑨ 구배 자동계산'!$B$4&lt;&gt;"40_남지","",IF('⑨ 구배 자동계산'!K9="","",'⑨ 구배 자동계산'!K9))</f>
        <v/>
      </c>
      <c r="F16" s="43" t="str">
        <f>IF('⑨ 구배 자동계산'!$B$4&lt;&gt;"40_남지","",IF('⑨ 구배 자동계산'!L9="","",'⑨ 구배 자동계산'!L9))</f>
        <v/>
      </c>
      <c r="G16" s="30" t="str">
        <f>IF('⑨ 구배 자동계산'!$B$4&lt;&gt;"40_남지","",IF('⑨ 구배 자동계산'!M9="","",'⑨ 구배 자동계산'!M9))</f>
        <v/>
      </c>
      <c r="H16" s="43" t="str">
        <f>IF('⑨ 구배 자동계산'!$B$4&lt;&gt;"40_남지","",IF('⑨ 구배 자동계산'!N9="","",'⑨ 구배 자동계산'!N9))</f>
        <v/>
      </c>
      <c r="I16" s="30" t="str">
        <f>IF('⑨ 구배 자동계산'!$B$4&lt;&gt;"40_남지","",IF('⑨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자동계산'!$B$4&lt;&gt;"40_남지","",IF('⑨ 구배 자동계산'!H10="","",'⑨ 구배 자동계산'!H10))</f>
        <v/>
      </c>
      <c r="C17" s="32" t="str">
        <f>IF('⑨ 구배 자동계산'!$B$4&lt;&gt;"40_남지","",IF('⑨ 구배 자동계산'!I10="","",'⑨ 구배 자동계산'!I10))</f>
        <v/>
      </c>
      <c r="D17" s="44" t="str">
        <f>IF('⑨ 구배 자동계산'!$B$4&lt;&gt;"40_남지","",IF('⑨ 구배 자동계산'!J10="","",'⑨ 구배 자동계산'!J10))</f>
        <v/>
      </c>
      <c r="E17" s="32" t="str">
        <f>IF('⑨ 구배 자동계산'!$B$4&lt;&gt;"40_남지","",IF('⑨ 구배 자동계산'!K10="","",'⑨ 구배 자동계산'!K10))</f>
        <v/>
      </c>
      <c r="F17" s="44" t="str">
        <f>IF('⑨ 구배 자동계산'!$B$4&lt;&gt;"40_남지","",IF('⑨ 구배 자동계산'!L10="","",'⑨ 구배 자동계산'!L10))</f>
        <v/>
      </c>
      <c r="G17" s="32" t="str">
        <f>IF('⑨ 구배 자동계산'!$B$4&lt;&gt;"40_남지","",IF('⑨ 구배 자동계산'!M10="","",'⑨ 구배 자동계산'!M10))</f>
        <v/>
      </c>
      <c r="H17" s="44" t="str">
        <f>IF('⑨ 구배 자동계산'!$B$4&lt;&gt;"40_남지","",IF('⑨ 구배 자동계산'!N10="","",'⑨ 구배 자동계산'!N10))</f>
        <v/>
      </c>
      <c r="I17" s="32" t="str">
        <f>IF('⑨ 구배 자동계산'!$B$4&lt;&gt;"40_남지","",IF('⑨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자동계산'!$B$4&lt;&gt;"40_남지","",IF('⑨ 구배 자동계산'!H11="","",'⑨ 구배 자동계산'!H11))</f>
        <v/>
      </c>
      <c r="C18" s="32" t="str">
        <f>IF('⑨ 구배 자동계산'!$B$4&lt;&gt;"40_남지","",IF('⑨ 구배 자동계산'!I11="","",'⑨ 구배 자동계산'!I11))</f>
        <v/>
      </c>
      <c r="D18" s="44" t="str">
        <f>IF('⑨ 구배 자동계산'!$B$4&lt;&gt;"40_남지","",IF('⑨ 구배 자동계산'!J11="","",'⑨ 구배 자동계산'!J11))</f>
        <v/>
      </c>
      <c r="E18" s="32" t="str">
        <f>IF('⑨ 구배 자동계산'!$B$4&lt;&gt;"40_남지","",IF('⑨ 구배 자동계산'!K11="","",'⑨ 구배 자동계산'!K11))</f>
        <v/>
      </c>
      <c r="F18" s="44" t="str">
        <f>IF('⑨ 구배 자동계산'!$B$4&lt;&gt;"40_남지","",IF('⑨ 구배 자동계산'!L11="","",'⑨ 구배 자동계산'!L11))</f>
        <v/>
      </c>
      <c r="G18" s="32" t="str">
        <f>IF('⑨ 구배 자동계산'!$B$4&lt;&gt;"40_남지","",IF('⑨ 구배 자동계산'!M11="","",'⑨ 구배 자동계산'!M11))</f>
        <v/>
      </c>
      <c r="H18" s="44" t="str">
        <f>IF('⑨ 구배 자동계산'!$B$4&lt;&gt;"40_남지","",IF('⑨ 구배 자동계산'!N11="","",'⑨ 구배 자동계산'!N11))</f>
        <v/>
      </c>
      <c r="I18" s="32" t="str">
        <f>IF('⑨ 구배 자동계산'!$B$4&lt;&gt;"40_남지","",IF('⑨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자동계산'!$B$4&lt;&gt;"40_남지","",IF('⑨ 구배 자동계산'!H12="","",'⑨ 구배 자동계산'!H12))</f>
        <v/>
      </c>
      <c r="C19" s="32" t="str">
        <f>IF('⑨ 구배 자동계산'!$B$4&lt;&gt;"40_남지","",IF('⑨ 구배 자동계산'!I12="","",'⑨ 구배 자동계산'!I12))</f>
        <v/>
      </c>
      <c r="D19" s="44" t="str">
        <f>IF('⑨ 구배 자동계산'!$B$4&lt;&gt;"40_남지","",IF('⑨ 구배 자동계산'!J12="","",'⑨ 구배 자동계산'!J12))</f>
        <v/>
      </c>
      <c r="E19" s="32" t="str">
        <f>IF('⑨ 구배 자동계산'!$B$4&lt;&gt;"40_남지","",IF('⑨ 구배 자동계산'!K12="","",'⑨ 구배 자동계산'!K12))</f>
        <v/>
      </c>
      <c r="F19" s="44" t="str">
        <f>IF('⑨ 구배 자동계산'!$B$4&lt;&gt;"40_남지","",IF('⑨ 구배 자동계산'!L12="","",'⑨ 구배 자동계산'!L12))</f>
        <v/>
      </c>
      <c r="G19" s="32" t="str">
        <f>IF('⑨ 구배 자동계산'!$B$4&lt;&gt;"40_남지","",IF('⑨ 구배 자동계산'!M12="","",'⑨ 구배 자동계산'!M12))</f>
        <v/>
      </c>
      <c r="H19" s="44" t="str">
        <f>IF('⑨ 구배 자동계산'!$B$4&lt;&gt;"40_남지","",IF('⑨ 구배 자동계산'!N12="","",'⑨ 구배 자동계산'!N12))</f>
        <v/>
      </c>
      <c r="I19" s="32" t="str">
        <f>IF('⑨ 구배 자동계산'!$B$4&lt;&gt;"40_남지","",IF('⑨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자동계산'!$B$4&lt;&gt;"40_남지","",IF('⑨ 구배 자동계산'!H13="","",'⑨ 구배 자동계산'!H13))</f>
        <v/>
      </c>
      <c r="C20" s="32" t="str">
        <f>IF('⑨ 구배 자동계산'!$B$4&lt;&gt;"40_남지","",IF('⑨ 구배 자동계산'!I13="","",'⑨ 구배 자동계산'!I13))</f>
        <v/>
      </c>
      <c r="D20" s="44" t="str">
        <f>IF('⑨ 구배 자동계산'!$B$4&lt;&gt;"40_남지","",IF('⑨ 구배 자동계산'!J13="","",'⑨ 구배 자동계산'!J13))</f>
        <v/>
      </c>
      <c r="E20" s="32" t="str">
        <f>IF('⑨ 구배 자동계산'!$B$4&lt;&gt;"40_남지","",IF('⑨ 구배 자동계산'!K13="","",'⑨ 구배 자동계산'!K13))</f>
        <v/>
      </c>
      <c r="F20" s="44" t="str">
        <f>IF('⑨ 구배 자동계산'!$B$4&lt;&gt;"40_남지","",IF('⑨ 구배 자동계산'!L13="","",'⑨ 구배 자동계산'!L13))</f>
        <v/>
      </c>
      <c r="G20" s="32" t="str">
        <f>IF('⑨ 구배 자동계산'!$B$4&lt;&gt;"40_남지","",IF('⑨ 구배 자동계산'!M13="","",'⑨ 구배 자동계산'!M13))</f>
        <v/>
      </c>
      <c r="H20" s="44" t="str">
        <f>IF('⑨ 구배 자동계산'!$B$4&lt;&gt;"40_남지","",IF('⑨ 구배 자동계산'!N13="","",'⑨ 구배 자동계산'!N13))</f>
        <v/>
      </c>
      <c r="I20" s="32" t="str">
        <f>IF('⑨ 구배 자동계산'!$B$4&lt;&gt;"40_남지","",IF('⑨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자동계산'!$B$4&lt;&gt;"40_남지","",IF('⑨ 구배 자동계산'!H14="","",'⑨ 구배 자동계산'!H14))</f>
        <v/>
      </c>
      <c r="C21" s="32" t="str">
        <f>IF('⑨ 구배 자동계산'!$B$4&lt;&gt;"40_남지","",IF('⑨ 구배 자동계산'!I14="","",'⑨ 구배 자동계산'!I14))</f>
        <v/>
      </c>
      <c r="D21" s="44" t="str">
        <f>IF('⑨ 구배 자동계산'!$B$4&lt;&gt;"40_남지","",IF('⑨ 구배 자동계산'!J14="","",'⑨ 구배 자동계산'!J14))</f>
        <v/>
      </c>
      <c r="E21" s="32" t="str">
        <f>IF('⑨ 구배 자동계산'!$B$4&lt;&gt;"40_남지","",IF('⑨ 구배 자동계산'!K14="","",'⑨ 구배 자동계산'!K14))</f>
        <v/>
      </c>
      <c r="F21" s="44" t="str">
        <f>IF('⑨ 구배 자동계산'!$B$4&lt;&gt;"40_남지","",IF('⑨ 구배 자동계산'!L14="","",'⑨ 구배 자동계산'!L14))</f>
        <v/>
      </c>
      <c r="G21" s="32" t="str">
        <f>IF('⑨ 구배 자동계산'!$B$4&lt;&gt;"40_남지","",IF('⑨ 구배 자동계산'!M14="","",'⑨ 구배 자동계산'!M14))</f>
        <v/>
      </c>
      <c r="H21" s="44" t="str">
        <f>IF('⑨ 구배 자동계산'!$B$4&lt;&gt;"40_남지","",IF('⑨ 구배 자동계산'!N14="","",'⑨ 구배 자동계산'!N14))</f>
        <v/>
      </c>
      <c r="I21" s="32" t="str">
        <f>IF('⑨ 구배 자동계산'!$B$4&lt;&gt;"40_남지","",IF('⑨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자동계산'!$B$4&lt;&gt;"40_남지","",IF('⑨ 구배 자동계산'!H15="","",'⑨ 구배 자동계산'!H15))</f>
        <v/>
      </c>
      <c r="C22" s="32" t="str">
        <f>IF('⑨ 구배 자동계산'!$B$4&lt;&gt;"40_남지","",IF('⑨ 구배 자동계산'!I15="","",'⑨ 구배 자동계산'!I15))</f>
        <v/>
      </c>
      <c r="D22" s="44" t="str">
        <f>IF('⑨ 구배 자동계산'!$B$4&lt;&gt;"40_남지","",IF('⑨ 구배 자동계산'!J15="","",'⑨ 구배 자동계산'!J15))</f>
        <v/>
      </c>
      <c r="E22" s="32" t="str">
        <f>IF('⑨ 구배 자동계산'!$B$4&lt;&gt;"40_남지","",IF('⑨ 구배 자동계산'!K15="","",'⑨ 구배 자동계산'!K15))</f>
        <v/>
      </c>
      <c r="F22" s="44" t="str">
        <f>IF('⑨ 구배 자동계산'!$B$4&lt;&gt;"40_남지","",IF('⑨ 구배 자동계산'!L15="","",'⑨ 구배 자동계산'!L15))</f>
        <v/>
      </c>
      <c r="G22" s="32" t="str">
        <f>IF('⑨ 구배 자동계산'!$B$4&lt;&gt;"40_남지","",IF('⑨ 구배 자동계산'!M15="","",'⑨ 구배 자동계산'!M15))</f>
        <v/>
      </c>
      <c r="H22" s="44" t="str">
        <f>IF('⑨ 구배 자동계산'!$B$4&lt;&gt;"40_남지","",IF('⑨ 구배 자동계산'!N15="","",'⑨ 구배 자동계산'!N15))</f>
        <v/>
      </c>
      <c r="I22" s="32" t="str">
        <f>IF('⑨ 구배 자동계산'!$B$4&lt;&gt;"40_남지","",IF('⑨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자동계산'!$B$4&lt;&gt;"40_남지","",IF('⑨ 구배 자동계산'!H16="","",'⑨ 구배 자동계산'!H16))</f>
        <v/>
      </c>
      <c r="C23" s="32" t="str">
        <f>IF('⑨ 구배 자동계산'!$B$4&lt;&gt;"40_남지","",IF('⑨ 구배 자동계산'!I16="","",'⑨ 구배 자동계산'!I16))</f>
        <v/>
      </c>
      <c r="D23" s="44" t="str">
        <f>IF('⑨ 구배 자동계산'!$B$4&lt;&gt;"40_남지","",IF('⑨ 구배 자동계산'!J16="","",'⑨ 구배 자동계산'!J16))</f>
        <v/>
      </c>
      <c r="E23" s="32" t="str">
        <f>IF('⑨ 구배 자동계산'!$B$4&lt;&gt;"40_남지","",IF('⑨ 구배 자동계산'!K16="","",'⑨ 구배 자동계산'!K16))</f>
        <v/>
      </c>
      <c r="F23" s="44" t="str">
        <f>IF('⑨ 구배 자동계산'!$B$4&lt;&gt;"40_남지","",IF('⑨ 구배 자동계산'!L16="","",'⑨ 구배 자동계산'!L16))</f>
        <v/>
      </c>
      <c r="G23" s="32" t="str">
        <f>IF('⑨ 구배 자동계산'!$B$4&lt;&gt;"40_남지","",IF('⑨ 구배 자동계산'!M16="","",'⑨ 구배 자동계산'!M16))</f>
        <v/>
      </c>
      <c r="H23" s="44" t="str">
        <f>IF('⑨ 구배 자동계산'!$B$4&lt;&gt;"40_남지","",IF('⑨ 구배 자동계산'!N16="","",'⑨ 구배 자동계산'!N16))</f>
        <v/>
      </c>
      <c r="I23" s="32" t="str">
        <f>IF('⑨ 구배 자동계산'!$B$4&lt;&gt;"40_남지","",IF('⑨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자동계산'!$B$4&lt;&gt;"40_남지","",IF('⑨ 구배 자동계산'!H17="","",'⑨ 구배 자동계산'!H17))</f>
        <v/>
      </c>
      <c r="C24" s="32" t="str">
        <f>IF('⑨ 구배 자동계산'!$B$4&lt;&gt;"40_남지","",IF('⑨ 구배 자동계산'!I17="","",'⑨ 구배 자동계산'!I17))</f>
        <v/>
      </c>
      <c r="D24" s="44" t="str">
        <f>IF('⑨ 구배 자동계산'!$B$4&lt;&gt;"40_남지","",IF('⑨ 구배 자동계산'!J17="","",'⑨ 구배 자동계산'!J17))</f>
        <v/>
      </c>
      <c r="E24" s="32" t="str">
        <f>IF('⑨ 구배 자동계산'!$B$4&lt;&gt;"40_남지","",IF('⑨ 구배 자동계산'!K17="","",'⑨ 구배 자동계산'!K17))</f>
        <v/>
      </c>
      <c r="F24" s="44" t="str">
        <f>IF('⑨ 구배 자동계산'!$B$4&lt;&gt;"40_남지","",IF('⑨ 구배 자동계산'!L17="","",'⑨ 구배 자동계산'!L17))</f>
        <v/>
      </c>
      <c r="G24" s="32" t="str">
        <f>IF('⑨ 구배 자동계산'!$B$4&lt;&gt;"40_남지","",IF('⑨ 구배 자동계산'!M17="","",'⑨ 구배 자동계산'!M17))</f>
        <v/>
      </c>
      <c r="H24" s="44" t="str">
        <f>IF('⑨ 구배 자동계산'!$B$4&lt;&gt;"40_남지","",IF('⑨ 구배 자동계산'!N17="","",'⑨ 구배 자동계산'!N17))</f>
        <v/>
      </c>
      <c r="I24" s="32" t="str">
        <f>IF('⑨ 구배 자동계산'!$B$4&lt;&gt;"40_남지","",IF('⑨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자동계산'!$B$4&lt;&gt;"40_남지","",IF('⑨ 구배 자동계산'!H18="","",'⑨ 구배 자동계산'!H18))</f>
        <v/>
      </c>
      <c r="C25" s="32" t="str">
        <f>IF('⑨ 구배 자동계산'!$B$4&lt;&gt;"40_남지","",IF('⑨ 구배 자동계산'!I18="","",'⑨ 구배 자동계산'!I18))</f>
        <v/>
      </c>
      <c r="D25" s="44" t="str">
        <f>IF('⑨ 구배 자동계산'!$B$4&lt;&gt;"40_남지","",IF('⑨ 구배 자동계산'!J18="","",'⑨ 구배 자동계산'!J18))</f>
        <v/>
      </c>
      <c r="E25" s="32" t="str">
        <f>IF('⑨ 구배 자동계산'!$B$4&lt;&gt;"40_남지","",IF('⑨ 구배 자동계산'!K18="","",'⑨ 구배 자동계산'!K18))</f>
        <v/>
      </c>
      <c r="F25" s="44" t="str">
        <f>IF('⑨ 구배 자동계산'!$B$4&lt;&gt;"40_남지","",IF('⑨ 구배 자동계산'!L18="","",'⑨ 구배 자동계산'!L18))</f>
        <v/>
      </c>
      <c r="G25" s="32" t="str">
        <f>IF('⑨ 구배 자동계산'!$B$4&lt;&gt;"40_남지","",IF('⑨ 구배 자동계산'!M18="","",'⑨ 구배 자동계산'!M18))</f>
        <v/>
      </c>
      <c r="H25" s="44" t="str">
        <f>IF('⑨ 구배 자동계산'!$B$4&lt;&gt;"40_남지","",IF('⑨ 구배 자동계산'!N18="","",'⑨ 구배 자동계산'!N18))</f>
        <v/>
      </c>
      <c r="I25" s="32" t="str">
        <f>IF('⑨ 구배 자동계산'!$B$4&lt;&gt;"40_남지","",IF('⑨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자동계산'!$B$4&lt;&gt;"40_남지","",IF('⑨ 구배 자동계산'!H19="","",'⑨ 구배 자동계산'!H19))</f>
        <v/>
      </c>
      <c r="C26" s="32" t="str">
        <f>IF('⑨ 구배 자동계산'!$B$4&lt;&gt;"40_남지","",IF('⑨ 구배 자동계산'!I19="","",'⑨ 구배 자동계산'!I19))</f>
        <v/>
      </c>
      <c r="D26" s="44" t="str">
        <f>IF('⑨ 구배 자동계산'!$B$4&lt;&gt;"40_남지","",IF('⑨ 구배 자동계산'!J19="","",'⑨ 구배 자동계산'!J19))</f>
        <v/>
      </c>
      <c r="E26" s="32" t="str">
        <f>IF('⑨ 구배 자동계산'!$B$4&lt;&gt;"40_남지","",IF('⑨ 구배 자동계산'!K19="","",'⑨ 구배 자동계산'!K19))</f>
        <v/>
      </c>
      <c r="F26" s="44" t="str">
        <f>IF('⑨ 구배 자동계산'!$B$4&lt;&gt;"40_남지","",IF('⑨ 구배 자동계산'!L19="","",'⑨ 구배 자동계산'!L19))</f>
        <v/>
      </c>
      <c r="G26" s="32" t="str">
        <f>IF('⑨ 구배 자동계산'!$B$4&lt;&gt;"40_남지","",IF('⑨ 구배 자동계산'!M19="","",'⑨ 구배 자동계산'!M19))</f>
        <v/>
      </c>
      <c r="H26" s="44" t="str">
        <f>IF('⑨ 구배 자동계산'!$B$4&lt;&gt;"40_남지","",IF('⑨ 구배 자동계산'!N19="","",'⑨ 구배 자동계산'!N19))</f>
        <v/>
      </c>
      <c r="I26" s="32" t="str">
        <f>IF('⑨ 구배 자동계산'!$B$4&lt;&gt;"40_남지","",IF('⑨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자동계산'!$B$4&lt;&gt;"40_남지","",IF('⑨ 구배 자동계산'!H20="","",'⑨ 구배 자동계산'!H20))</f>
        <v/>
      </c>
      <c r="C27" s="41" t="str">
        <f>IF('⑨ 구배 자동계산'!$B$4&lt;&gt;"40_남지","",IF('⑨ 구배 자동계산'!I20="","",'⑨ 구배 자동계산'!I20))</f>
        <v/>
      </c>
      <c r="D27" s="45" t="str">
        <f>IF('⑨ 구배 자동계산'!$B$4&lt;&gt;"40_남지","",IF('⑨ 구배 자동계산'!J20="","",'⑨ 구배 자동계산'!J20))</f>
        <v/>
      </c>
      <c r="E27" s="41" t="str">
        <f>IF('⑨ 구배 자동계산'!$B$4&lt;&gt;"40_남지","",IF('⑨ 구배 자동계산'!K20="","",'⑨ 구배 자동계산'!K20))</f>
        <v/>
      </c>
      <c r="F27" s="45" t="str">
        <f>IF('⑨ 구배 자동계산'!$B$4&lt;&gt;"40_남지","",IF('⑨ 구배 자동계산'!L20="","",'⑨ 구배 자동계산'!L20))</f>
        <v/>
      </c>
      <c r="G27" s="41" t="str">
        <f>IF('⑨ 구배 자동계산'!$B$4&lt;&gt;"40_남지","",IF('⑨ 구배 자동계산'!M20="","",'⑨ 구배 자동계산'!M20))</f>
        <v/>
      </c>
      <c r="H27" s="45" t="str">
        <f>IF('⑨ 구배 자동계산'!$B$4&lt;&gt;"40_남지","",IF('⑨ 구배 자동계산'!N20="","",'⑨ 구배 자동계산'!N20))</f>
        <v/>
      </c>
      <c r="I27" s="41" t="str">
        <f>IF('⑨ 구배 자동계산'!$B$4&lt;&gt;"40_남지","",IF('⑨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자동계산'!$B$4&lt;&gt;"40_남지","",IF('⑨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자동계산'!$B$4&lt;&gt;"40_남지","",IF('⑨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자동계산'!$B$4&lt;&gt;"40_남지","",IF('⑨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자동계산'!$B$4&lt;&gt;"40_남지","",IF('⑨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자동계산'!$B$4&lt;&gt;"40_남지","",IF('⑨ 구배 자동계산'!I23="","",'⑨ 구배 자동계산'!I23))</f>
        <v/>
      </c>
      <c r="D42" s="8"/>
      <c r="E42" s="8"/>
      <c r="F42" s="8"/>
      <c r="G42" s="92" t="str">
        <f>IF('⑨ 구배 자동계산'!$B$4&lt;&gt;"40_남지","",IF('⑨ 구배 자동계산'!$J23="","",'⑨ 구배 자동계산'!$J23&amp;"  ·  "&amp;'⑨ 구배 자동계산'!$L23))</f>
        <v/>
      </c>
      <c r="H42" s="93"/>
      <c r="I42" s="93"/>
    </row>
    <row r="43" spans="1:35" ht="19.95" customHeight="1" x14ac:dyDescent="0.4">
      <c r="A43" s="8">
        <v>3</v>
      </c>
      <c r="B43" s="33">
        <v>140</v>
      </c>
      <c r="C43" s="32" t="str">
        <f>IF('⑨ 구배 자동계산'!$B$4&lt;&gt;"40_남지","",IF('⑨ 구배 자동계산'!I24="","",'⑨ 구배 자동계산'!I24))</f>
        <v/>
      </c>
      <c r="D43" s="34">
        <f>IF(COUNT(B43,B42)&lt;2,"",(B42-B43)/100)</f>
        <v>0.45</v>
      </c>
      <c r="E43" s="35" t="str">
        <f>IF(COUNT(C43,C42)&lt;2,"",C43-C42)</f>
        <v/>
      </c>
      <c r="F43" s="36" t="str">
        <f>IF(OR(D43="",E43="",D43=0),"",E43/D43)</f>
        <v/>
      </c>
      <c r="G43" s="92" t="str">
        <f>IF('⑨ 구배 자동계산'!$B$4&lt;&gt;"40_남지","",IF('⑨ 구배 자동계산'!$J24="","",'⑨ 구배 자동계산'!$J24&amp;"  ·  "&amp;'⑨ 구배 자동계산'!$L24))</f>
        <v/>
      </c>
      <c r="H43" s="93"/>
      <c r="I43" s="93"/>
      <c r="AH43" t="s">
        <v>234</v>
      </c>
    </row>
    <row r="44" spans="1:35" ht="19.95" customHeight="1" x14ac:dyDescent="0.4">
      <c r="A44" s="8">
        <v>2</v>
      </c>
      <c r="B44" s="33">
        <v>95</v>
      </c>
      <c r="C44" s="32" t="str">
        <f>IF('⑨ 구배 자동계산'!$B$4&lt;&gt;"40_남지","",IF('⑨ 구배 자동계산'!I25="","",'⑨ 구배 자동계산'!I25))</f>
        <v/>
      </c>
      <c r="D44" s="34">
        <f>IF(COUNT(B44,B43)&lt;2,"",(B43-B44)/100)</f>
        <v>0.45</v>
      </c>
      <c r="E44" s="35" t="str">
        <f>IF(COUNT(C44,C43)&lt;2,"",C44-C43)</f>
        <v/>
      </c>
      <c r="F44" s="36" t="str">
        <f>IF(OR(D44="",E44="",D44=0),"",E44/D44)</f>
        <v/>
      </c>
      <c r="G44" s="92" t="str">
        <f>IF('⑨ 구배 자동계산'!$B$4&lt;&gt;"40_남지","",IF('⑨ 구배 자동계산'!$J25="","",'⑨ 구배 자동계산'!$J25&amp;"  ·  "&amp;'⑨ 구배 자동계산'!$L25))</f>
        <v/>
      </c>
      <c r="H44" s="93"/>
      <c r="I44" s="93"/>
    </row>
    <row r="45" spans="1:35" ht="19.95" customHeight="1" x14ac:dyDescent="0.4">
      <c r="A45" s="8">
        <v>1</v>
      </c>
      <c r="B45" s="33">
        <v>50</v>
      </c>
      <c r="C45" s="32" t="str">
        <f>IF('⑨ 구배 자동계산'!$B$4&lt;&gt;"40_남지","",IF('⑨ 구배 자동계산'!I26="","",'⑨ 구배 자동계산'!I26))</f>
        <v/>
      </c>
      <c r="D45" s="34">
        <f>IF(COUNT(B45,B44)&lt;2,"",(B44-B45)/100)</f>
        <v>0.45</v>
      </c>
      <c r="E45" s="35" t="str">
        <f>IF(COUNT(C45,C44)&lt;2,"",C45-C44)</f>
        <v/>
      </c>
      <c r="F45" s="36" t="str">
        <f>IF(OR(D45="",E45="",D45=0),"",E45/D45)</f>
        <v/>
      </c>
      <c r="G45" s="92" t="str">
        <f>IF('⑨ 구배 자동계산'!$B$4&lt;&gt;"40_남지","",IF('⑨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IF(COUNT(B50,E50)&lt;2,"",ROUND(SQRT(((128.473778-E50)*111320*COS(RADIANS(35.436167)))^2+((35.436167-B50)*110574)^2),1))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S40-P0a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54" priority="1">
      <formula>AND(ISNUMBER(C31),C31&gt;50)</formula>
    </cfRule>
  </conditionalFormatting>
  <conditionalFormatting sqref="D7">
    <cfRule type="expression" dxfId="53" priority="3" stopIfTrue="1">
      <formula>AND($D$7&lt;&gt;"",VALUE(LEFT($D$7,1))&lt;5)</formula>
    </cfRule>
    <cfRule type="expression" dxfId="52" priority="4" stopIfTrue="1">
      <formula>AND($D$7&lt;&gt;"",VALUE(LEFT($D$7,1))&gt;=5)</formula>
    </cfRule>
  </conditionalFormatting>
  <conditionalFormatting sqref="E7">
    <cfRule type="expression" dxfId="51" priority="5" stopIfTrue="1">
      <formula>AND($E$7&lt;&gt;"",VALUE(LEFT($E$7,1))&lt;5)</formula>
    </cfRule>
    <cfRule type="expression" dxfId="5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843B72C0-E292-494E-A047-A45EE4C8DECE}">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F6732C4C-499E-41D2-AAAD-98C14F4AD458}">
      <formula1>DATE(2026,1,1)</formula1>
      <formula2>DATE(2027,12,31)</formula2>
    </dataValidation>
    <dataValidation type="list" allowBlank="1" sqref="C7" xr:uid="{31EB5819-66BD-4A6B-8360-7AB76B48739F}">
      <formula1>"맑음,구름 조금,흐림,비,눈,바람 강함"</formula1>
    </dataValidation>
    <dataValidation type="list" allowBlank="1" sqref="H50" xr:uid="{A6D7C42C-332B-471A-B300-0253F218237F}">
      <formula1>"RTK-GNSS,네트워크RTK,정적GNSS,휴대GNSS"</formula1>
    </dataValidation>
    <dataValidation type="list" allowBlank="1" sqref="B109" xr:uid="{608DCAD3-65BA-41BA-BFB8-B99B63600193}">
      <formula1>"동일,조정"</formula1>
    </dataValidation>
    <dataValidation type="list" allowBlank="1" showInputMessage="1" showErrorMessage="1" sqref="F56:F57" xr:uid="{51DD3CAC-51E7-4D51-9B89-D715F9DF7660}">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&amp;RS40 남지</oddHeader>
    <oddFooter>&amp;C&amp;9 &amp;P / &amp;N</oddFooter>
  </headerFooter>
  <rowBreaks count="3" manualBreakCount="3">
    <brk id="38" max="16383" man="1"/>
    <brk id="58" max="16383" man="1"/>
    <brk id="106" max="16383"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E3511-4591-4AC4-9F8A-7366A31F8815}">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509</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510</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511</v>
      </c>
      <c r="B3" s="68"/>
      <c r="C3" s="68"/>
      <c r="D3" s="68"/>
      <c r="E3" s="68"/>
      <c r="F3" s="8" t="s">
        <v>154</v>
      </c>
      <c r="G3" s="6"/>
      <c r="H3" s="8" t="s">
        <v>155</v>
      </c>
      <c r="I3" s="9" t="s">
        <v>512</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자동계산'!$B$4="41_거제","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자동계산'!$B$4&lt;&gt;"41_거제","",IF('⑨ 구배 자동계산'!H9="","",'⑨ 구배 자동계산'!H9))</f>
        <v/>
      </c>
      <c r="C16" s="30" t="str">
        <f>IF('⑨ 구배 자동계산'!$B$4&lt;&gt;"41_거제","",IF('⑨ 구배 자동계산'!I9="","",'⑨ 구배 자동계산'!I9))</f>
        <v/>
      </c>
      <c r="D16" s="43" t="str">
        <f>IF('⑨ 구배 자동계산'!$B$4&lt;&gt;"41_거제","",IF('⑨ 구배 자동계산'!J9="","",'⑨ 구배 자동계산'!J9))</f>
        <v/>
      </c>
      <c r="E16" s="30" t="str">
        <f>IF('⑨ 구배 자동계산'!$B$4&lt;&gt;"41_거제","",IF('⑨ 구배 자동계산'!K9="","",'⑨ 구배 자동계산'!K9))</f>
        <v/>
      </c>
      <c r="F16" s="43" t="str">
        <f>IF('⑨ 구배 자동계산'!$B$4&lt;&gt;"41_거제","",IF('⑨ 구배 자동계산'!L9="","",'⑨ 구배 자동계산'!L9))</f>
        <v/>
      </c>
      <c r="G16" s="30" t="str">
        <f>IF('⑨ 구배 자동계산'!$B$4&lt;&gt;"41_거제","",IF('⑨ 구배 자동계산'!M9="","",'⑨ 구배 자동계산'!M9))</f>
        <v/>
      </c>
      <c r="H16" s="43" t="str">
        <f>IF('⑨ 구배 자동계산'!$B$4&lt;&gt;"41_거제","",IF('⑨ 구배 자동계산'!N9="","",'⑨ 구배 자동계산'!N9))</f>
        <v/>
      </c>
      <c r="I16" s="30" t="str">
        <f>IF('⑨ 구배 자동계산'!$B$4&lt;&gt;"41_거제","",IF('⑨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자동계산'!$B$4&lt;&gt;"41_거제","",IF('⑨ 구배 자동계산'!H10="","",'⑨ 구배 자동계산'!H10))</f>
        <v/>
      </c>
      <c r="C17" s="32" t="str">
        <f>IF('⑨ 구배 자동계산'!$B$4&lt;&gt;"41_거제","",IF('⑨ 구배 자동계산'!I10="","",'⑨ 구배 자동계산'!I10))</f>
        <v/>
      </c>
      <c r="D17" s="44" t="str">
        <f>IF('⑨ 구배 자동계산'!$B$4&lt;&gt;"41_거제","",IF('⑨ 구배 자동계산'!J10="","",'⑨ 구배 자동계산'!J10))</f>
        <v/>
      </c>
      <c r="E17" s="32" t="str">
        <f>IF('⑨ 구배 자동계산'!$B$4&lt;&gt;"41_거제","",IF('⑨ 구배 자동계산'!K10="","",'⑨ 구배 자동계산'!K10))</f>
        <v/>
      </c>
      <c r="F17" s="44" t="str">
        <f>IF('⑨ 구배 자동계산'!$B$4&lt;&gt;"41_거제","",IF('⑨ 구배 자동계산'!L10="","",'⑨ 구배 자동계산'!L10))</f>
        <v/>
      </c>
      <c r="G17" s="32" t="str">
        <f>IF('⑨ 구배 자동계산'!$B$4&lt;&gt;"41_거제","",IF('⑨ 구배 자동계산'!M10="","",'⑨ 구배 자동계산'!M10))</f>
        <v/>
      </c>
      <c r="H17" s="44" t="str">
        <f>IF('⑨ 구배 자동계산'!$B$4&lt;&gt;"41_거제","",IF('⑨ 구배 자동계산'!N10="","",'⑨ 구배 자동계산'!N10))</f>
        <v/>
      </c>
      <c r="I17" s="32" t="str">
        <f>IF('⑨ 구배 자동계산'!$B$4&lt;&gt;"41_거제","",IF('⑨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자동계산'!$B$4&lt;&gt;"41_거제","",IF('⑨ 구배 자동계산'!H11="","",'⑨ 구배 자동계산'!H11))</f>
        <v/>
      </c>
      <c r="C18" s="32" t="str">
        <f>IF('⑨ 구배 자동계산'!$B$4&lt;&gt;"41_거제","",IF('⑨ 구배 자동계산'!I11="","",'⑨ 구배 자동계산'!I11))</f>
        <v/>
      </c>
      <c r="D18" s="44" t="str">
        <f>IF('⑨ 구배 자동계산'!$B$4&lt;&gt;"41_거제","",IF('⑨ 구배 자동계산'!J11="","",'⑨ 구배 자동계산'!J11))</f>
        <v/>
      </c>
      <c r="E18" s="32" t="str">
        <f>IF('⑨ 구배 자동계산'!$B$4&lt;&gt;"41_거제","",IF('⑨ 구배 자동계산'!K11="","",'⑨ 구배 자동계산'!K11))</f>
        <v/>
      </c>
      <c r="F18" s="44" t="str">
        <f>IF('⑨ 구배 자동계산'!$B$4&lt;&gt;"41_거제","",IF('⑨ 구배 자동계산'!L11="","",'⑨ 구배 자동계산'!L11))</f>
        <v/>
      </c>
      <c r="G18" s="32" t="str">
        <f>IF('⑨ 구배 자동계산'!$B$4&lt;&gt;"41_거제","",IF('⑨ 구배 자동계산'!M11="","",'⑨ 구배 자동계산'!M11))</f>
        <v/>
      </c>
      <c r="H18" s="44" t="str">
        <f>IF('⑨ 구배 자동계산'!$B$4&lt;&gt;"41_거제","",IF('⑨ 구배 자동계산'!N11="","",'⑨ 구배 자동계산'!N11))</f>
        <v/>
      </c>
      <c r="I18" s="32" t="str">
        <f>IF('⑨ 구배 자동계산'!$B$4&lt;&gt;"41_거제","",IF('⑨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자동계산'!$B$4&lt;&gt;"41_거제","",IF('⑨ 구배 자동계산'!H12="","",'⑨ 구배 자동계산'!H12))</f>
        <v/>
      </c>
      <c r="C19" s="32" t="str">
        <f>IF('⑨ 구배 자동계산'!$B$4&lt;&gt;"41_거제","",IF('⑨ 구배 자동계산'!I12="","",'⑨ 구배 자동계산'!I12))</f>
        <v/>
      </c>
      <c r="D19" s="44" t="str">
        <f>IF('⑨ 구배 자동계산'!$B$4&lt;&gt;"41_거제","",IF('⑨ 구배 자동계산'!J12="","",'⑨ 구배 자동계산'!J12))</f>
        <v/>
      </c>
      <c r="E19" s="32" t="str">
        <f>IF('⑨ 구배 자동계산'!$B$4&lt;&gt;"41_거제","",IF('⑨ 구배 자동계산'!K12="","",'⑨ 구배 자동계산'!K12))</f>
        <v/>
      </c>
      <c r="F19" s="44" t="str">
        <f>IF('⑨ 구배 자동계산'!$B$4&lt;&gt;"41_거제","",IF('⑨ 구배 자동계산'!L12="","",'⑨ 구배 자동계산'!L12))</f>
        <v/>
      </c>
      <c r="G19" s="32" t="str">
        <f>IF('⑨ 구배 자동계산'!$B$4&lt;&gt;"41_거제","",IF('⑨ 구배 자동계산'!M12="","",'⑨ 구배 자동계산'!M12))</f>
        <v/>
      </c>
      <c r="H19" s="44" t="str">
        <f>IF('⑨ 구배 자동계산'!$B$4&lt;&gt;"41_거제","",IF('⑨ 구배 자동계산'!N12="","",'⑨ 구배 자동계산'!N12))</f>
        <v/>
      </c>
      <c r="I19" s="32" t="str">
        <f>IF('⑨ 구배 자동계산'!$B$4&lt;&gt;"41_거제","",IF('⑨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자동계산'!$B$4&lt;&gt;"41_거제","",IF('⑨ 구배 자동계산'!H13="","",'⑨ 구배 자동계산'!H13))</f>
        <v/>
      </c>
      <c r="C20" s="32" t="str">
        <f>IF('⑨ 구배 자동계산'!$B$4&lt;&gt;"41_거제","",IF('⑨ 구배 자동계산'!I13="","",'⑨ 구배 자동계산'!I13))</f>
        <v/>
      </c>
      <c r="D20" s="44" t="str">
        <f>IF('⑨ 구배 자동계산'!$B$4&lt;&gt;"41_거제","",IF('⑨ 구배 자동계산'!J13="","",'⑨ 구배 자동계산'!J13))</f>
        <v/>
      </c>
      <c r="E20" s="32" t="str">
        <f>IF('⑨ 구배 자동계산'!$B$4&lt;&gt;"41_거제","",IF('⑨ 구배 자동계산'!K13="","",'⑨ 구배 자동계산'!K13))</f>
        <v/>
      </c>
      <c r="F20" s="44" t="str">
        <f>IF('⑨ 구배 자동계산'!$B$4&lt;&gt;"41_거제","",IF('⑨ 구배 자동계산'!L13="","",'⑨ 구배 자동계산'!L13))</f>
        <v/>
      </c>
      <c r="G20" s="32" t="str">
        <f>IF('⑨ 구배 자동계산'!$B$4&lt;&gt;"41_거제","",IF('⑨ 구배 자동계산'!M13="","",'⑨ 구배 자동계산'!M13))</f>
        <v/>
      </c>
      <c r="H20" s="44" t="str">
        <f>IF('⑨ 구배 자동계산'!$B$4&lt;&gt;"41_거제","",IF('⑨ 구배 자동계산'!N13="","",'⑨ 구배 자동계산'!N13))</f>
        <v/>
      </c>
      <c r="I20" s="32" t="str">
        <f>IF('⑨ 구배 자동계산'!$B$4&lt;&gt;"41_거제","",IF('⑨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자동계산'!$B$4&lt;&gt;"41_거제","",IF('⑨ 구배 자동계산'!H14="","",'⑨ 구배 자동계산'!H14))</f>
        <v/>
      </c>
      <c r="C21" s="32" t="str">
        <f>IF('⑨ 구배 자동계산'!$B$4&lt;&gt;"41_거제","",IF('⑨ 구배 자동계산'!I14="","",'⑨ 구배 자동계산'!I14))</f>
        <v/>
      </c>
      <c r="D21" s="44" t="str">
        <f>IF('⑨ 구배 자동계산'!$B$4&lt;&gt;"41_거제","",IF('⑨ 구배 자동계산'!J14="","",'⑨ 구배 자동계산'!J14))</f>
        <v/>
      </c>
      <c r="E21" s="32" t="str">
        <f>IF('⑨ 구배 자동계산'!$B$4&lt;&gt;"41_거제","",IF('⑨ 구배 자동계산'!K14="","",'⑨ 구배 자동계산'!K14))</f>
        <v/>
      </c>
      <c r="F21" s="44" t="str">
        <f>IF('⑨ 구배 자동계산'!$B$4&lt;&gt;"41_거제","",IF('⑨ 구배 자동계산'!L14="","",'⑨ 구배 자동계산'!L14))</f>
        <v/>
      </c>
      <c r="G21" s="32" t="str">
        <f>IF('⑨ 구배 자동계산'!$B$4&lt;&gt;"41_거제","",IF('⑨ 구배 자동계산'!M14="","",'⑨ 구배 자동계산'!M14))</f>
        <v/>
      </c>
      <c r="H21" s="44" t="str">
        <f>IF('⑨ 구배 자동계산'!$B$4&lt;&gt;"41_거제","",IF('⑨ 구배 자동계산'!N14="","",'⑨ 구배 자동계산'!N14))</f>
        <v/>
      </c>
      <c r="I21" s="32" t="str">
        <f>IF('⑨ 구배 자동계산'!$B$4&lt;&gt;"41_거제","",IF('⑨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자동계산'!$B$4&lt;&gt;"41_거제","",IF('⑨ 구배 자동계산'!H15="","",'⑨ 구배 자동계산'!H15))</f>
        <v/>
      </c>
      <c r="C22" s="32" t="str">
        <f>IF('⑨ 구배 자동계산'!$B$4&lt;&gt;"41_거제","",IF('⑨ 구배 자동계산'!I15="","",'⑨ 구배 자동계산'!I15))</f>
        <v/>
      </c>
      <c r="D22" s="44" t="str">
        <f>IF('⑨ 구배 자동계산'!$B$4&lt;&gt;"41_거제","",IF('⑨ 구배 자동계산'!J15="","",'⑨ 구배 자동계산'!J15))</f>
        <v/>
      </c>
      <c r="E22" s="32" t="str">
        <f>IF('⑨ 구배 자동계산'!$B$4&lt;&gt;"41_거제","",IF('⑨ 구배 자동계산'!K15="","",'⑨ 구배 자동계산'!K15))</f>
        <v/>
      </c>
      <c r="F22" s="44" t="str">
        <f>IF('⑨ 구배 자동계산'!$B$4&lt;&gt;"41_거제","",IF('⑨ 구배 자동계산'!L15="","",'⑨ 구배 자동계산'!L15))</f>
        <v/>
      </c>
      <c r="G22" s="32" t="str">
        <f>IF('⑨ 구배 자동계산'!$B$4&lt;&gt;"41_거제","",IF('⑨ 구배 자동계산'!M15="","",'⑨ 구배 자동계산'!M15))</f>
        <v/>
      </c>
      <c r="H22" s="44" t="str">
        <f>IF('⑨ 구배 자동계산'!$B$4&lt;&gt;"41_거제","",IF('⑨ 구배 자동계산'!N15="","",'⑨ 구배 자동계산'!N15))</f>
        <v/>
      </c>
      <c r="I22" s="32" t="str">
        <f>IF('⑨ 구배 자동계산'!$B$4&lt;&gt;"41_거제","",IF('⑨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자동계산'!$B$4&lt;&gt;"41_거제","",IF('⑨ 구배 자동계산'!H16="","",'⑨ 구배 자동계산'!H16))</f>
        <v/>
      </c>
      <c r="C23" s="32" t="str">
        <f>IF('⑨ 구배 자동계산'!$B$4&lt;&gt;"41_거제","",IF('⑨ 구배 자동계산'!I16="","",'⑨ 구배 자동계산'!I16))</f>
        <v/>
      </c>
      <c r="D23" s="44" t="str">
        <f>IF('⑨ 구배 자동계산'!$B$4&lt;&gt;"41_거제","",IF('⑨ 구배 자동계산'!J16="","",'⑨ 구배 자동계산'!J16))</f>
        <v/>
      </c>
      <c r="E23" s="32" t="str">
        <f>IF('⑨ 구배 자동계산'!$B$4&lt;&gt;"41_거제","",IF('⑨ 구배 자동계산'!K16="","",'⑨ 구배 자동계산'!K16))</f>
        <v/>
      </c>
      <c r="F23" s="44" t="str">
        <f>IF('⑨ 구배 자동계산'!$B$4&lt;&gt;"41_거제","",IF('⑨ 구배 자동계산'!L16="","",'⑨ 구배 자동계산'!L16))</f>
        <v/>
      </c>
      <c r="G23" s="32" t="str">
        <f>IF('⑨ 구배 자동계산'!$B$4&lt;&gt;"41_거제","",IF('⑨ 구배 자동계산'!M16="","",'⑨ 구배 자동계산'!M16))</f>
        <v/>
      </c>
      <c r="H23" s="44" t="str">
        <f>IF('⑨ 구배 자동계산'!$B$4&lt;&gt;"41_거제","",IF('⑨ 구배 자동계산'!N16="","",'⑨ 구배 자동계산'!N16))</f>
        <v/>
      </c>
      <c r="I23" s="32" t="str">
        <f>IF('⑨ 구배 자동계산'!$B$4&lt;&gt;"41_거제","",IF('⑨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자동계산'!$B$4&lt;&gt;"41_거제","",IF('⑨ 구배 자동계산'!H17="","",'⑨ 구배 자동계산'!H17))</f>
        <v/>
      </c>
      <c r="C24" s="32" t="str">
        <f>IF('⑨ 구배 자동계산'!$B$4&lt;&gt;"41_거제","",IF('⑨ 구배 자동계산'!I17="","",'⑨ 구배 자동계산'!I17))</f>
        <v/>
      </c>
      <c r="D24" s="44" t="str">
        <f>IF('⑨ 구배 자동계산'!$B$4&lt;&gt;"41_거제","",IF('⑨ 구배 자동계산'!J17="","",'⑨ 구배 자동계산'!J17))</f>
        <v/>
      </c>
      <c r="E24" s="32" t="str">
        <f>IF('⑨ 구배 자동계산'!$B$4&lt;&gt;"41_거제","",IF('⑨ 구배 자동계산'!K17="","",'⑨ 구배 자동계산'!K17))</f>
        <v/>
      </c>
      <c r="F24" s="44" t="str">
        <f>IF('⑨ 구배 자동계산'!$B$4&lt;&gt;"41_거제","",IF('⑨ 구배 자동계산'!L17="","",'⑨ 구배 자동계산'!L17))</f>
        <v/>
      </c>
      <c r="G24" s="32" t="str">
        <f>IF('⑨ 구배 자동계산'!$B$4&lt;&gt;"41_거제","",IF('⑨ 구배 자동계산'!M17="","",'⑨ 구배 자동계산'!M17))</f>
        <v/>
      </c>
      <c r="H24" s="44" t="str">
        <f>IF('⑨ 구배 자동계산'!$B$4&lt;&gt;"41_거제","",IF('⑨ 구배 자동계산'!N17="","",'⑨ 구배 자동계산'!N17))</f>
        <v/>
      </c>
      <c r="I24" s="32" t="str">
        <f>IF('⑨ 구배 자동계산'!$B$4&lt;&gt;"41_거제","",IF('⑨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자동계산'!$B$4&lt;&gt;"41_거제","",IF('⑨ 구배 자동계산'!H18="","",'⑨ 구배 자동계산'!H18))</f>
        <v/>
      </c>
      <c r="C25" s="32" t="str">
        <f>IF('⑨ 구배 자동계산'!$B$4&lt;&gt;"41_거제","",IF('⑨ 구배 자동계산'!I18="","",'⑨ 구배 자동계산'!I18))</f>
        <v/>
      </c>
      <c r="D25" s="44" t="str">
        <f>IF('⑨ 구배 자동계산'!$B$4&lt;&gt;"41_거제","",IF('⑨ 구배 자동계산'!J18="","",'⑨ 구배 자동계산'!J18))</f>
        <v/>
      </c>
      <c r="E25" s="32" t="str">
        <f>IF('⑨ 구배 자동계산'!$B$4&lt;&gt;"41_거제","",IF('⑨ 구배 자동계산'!K18="","",'⑨ 구배 자동계산'!K18))</f>
        <v/>
      </c>
      <c r="F25" s="44" t="str">
        <f>IF('⑨ 구배 자동계산'!$B$4&lt;&gt;"41_거제","",IF('⑨ 구배 자동계산'!L18="","",'⑨ 구배 자동계산'!L18))</f>
        <v/>
      </c>
      <c r="G25" s="32" t="str">
        <f>IF('⑨ 구배 자동계산'!$B$4&lt;&gt;"41_거제","",IF('⑨ 구배 자동계산'!M18="","",'⑨ 구배 자동계산'!M18))</f>
        <v/>
      </c>
      <c r="H25" s="44" t="str">
        <f>IF('⑨ 구배 자동계산'!$B$4&lt;&gt;"41_거제","",IF('⑨ 구배 자동계산'!N18="","",'⑨ 구배 자동계산'!N18))</f>
        <v/>
      </c>
      <c r="I25" s="32" t="str">
        <f>IF('⑨ 구배 자동계산'!$B$4&lt;&gt;"41_거제","",IF('⑨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자동계산'!$B$4&lt;&gt;"41_거제","",IF('⑨ 구배 자동계산'!H19="","",'⑨ 구배 자동계산'!H19))</f>
        <v/>
      </c>
      <c r="C26" s="32" t="str">
        <f>IF('⑨ 구배 자동계산'!$B$4&lt;&gt;"41_거제","",IF('⑨ 구배 자동계산'!I19="","",'⑨ 구배 자동계산'!I19))</f>
        <v/>
      </c>
      <c r="D26" s="44" t="str">
        <f>IF('⑨ 구배 자동계산'!$B$4&lt;&gt;"41_거제","",IF('⑨ 구배 자동계산'!J19="","",'⑨ 구배 자동계산'!J19))</f>
        <v/>
      </c>
      <c r="E26" s="32" t="str">
        <f>IF('⑨ 구배 자동계산'!$B$4&lt;&gt;"41_거제","",IF('⑨ 구배 자동계산'!K19="","",'⑨ 구배 자동계산'!K19))</f>
        <v/>
      </c>
      <c r="F26" s="44" t="str">
        <f>IF('⑨ 구배 자동계산'!$B$4&lt;&gt;"41_거제","",IF('⑨ 구배 자동계산'!L19="","",'⑨ 구배 자동계산'!L19))</f>
        <v/>
      </c>
      <c r="G26" s="32" t="str">
        <f>IF('⑨ 구배 자동계산'!$B$4&lt;&gt;"41_거제","",IF('⑨ 구배 자동계산'!M19="","",'⑨ 구배 자동계산'!M19))</f>
        <v/>
      </c>
      <c r="H26" s="44" t="str">
        <f>IF('⑨ 구배 자동계산'!$B$4&lt;&gt;"41_거제","",IF('⑨ 구배 자동계산'!N19="","",'⑨ 구배 자동계산'!N19))</f>
        <v/>
      </c>
      <c r="I26" s="32" t="str">
        <f>IF('⑨ 구배 자동계산'!$B$4&lt;&gt;"41_거제","",IF('⑨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자동계산'!$B$4&lt;&gt;"41_거제","",IF('⑨ 구배 자동계산'!H20="","",'⑨ 구배 자동계산'!H20))</f>
        <v/>
      </c>
      <c r="C27" s="41" t="str">
        <f>IF('⑨ 구배 자동계산'!$B$4&lt;&gt;"41_거제","",IF('⑨ 구배 자동계산'!I20="","",'⑨ 구배 자동계산'!I20))</f>
        <v/>
      </c>
      <c r="D27" s="45" t="str">
        <f>IF('⑨ 구배 자동계산'!$B$4&lt;&gt;"41_거제","",IF('⑨ 구배 자동계산'!J20="","",'⑨ 구배 자동계산'!J20))</f>
        <v/>
      </c>
      <c r="E27" s="41" t="str">
        <f>IF('⑨ 구배 자동계산'!$B$4&lt;&gt;"41_거제","",IF('⑨ 구배 자동계산'!K20="","",'⑨ 구배 자동계산'!K20))</f>
        <v/>
      </c>
      <c r="F27" s="45" t="str">
        <f>IF('⑨ 구배 자동계산'!$B$4&lt;&gt;"41_거제","",IF('⑨ 구배 자동계산'!L20="","",'⑨ 구배 자동계산'!L20))</f>
        <v/>
      </c>
      <c r="G27" s="41" t="str">
        <f>IF('⑨ 구배 자동계산'!$B$4&lt;&gt;"41_거제","",IF('⑨ 구배 자동계산'!M20="","",'⑨ 구배 자동계산'!M20))</f>
        <v/>
      </c>
      <c r="H27" s="45" t="str">
        <f>IF('⑨ 구배 자동계산'!$B$4&lt;&gt;"41_거제","",IF('⑨ 구배 자동계산'!N20="","",'⑨ 구배 자동계산'!N20))</f>
        <v/>
      </c>
      <c r="I27" s="41" t="str">
        <f>IF('⑨ 구배 자동계산'!$B$4&lt;&gt;"41_거제","",IF('⑨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자동계산'!$B$4&lt;&gt;"41_거제","",IF('⑨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자동계산'!$B$4&lt;&gt;"41_거제","",IF('⑨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자동계산'!$B$4&lt;&gt;"41_거제","",IF('⑨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자동계산'!$B$4&lt;&gt;"41_거제","",IF('⑨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자동계산'!$B$4&lt;&gt;"41_거제","",IF('⑨ 구배 자동계산'!I23="","",'⑨ 구배 자동계산'!I23))</f>
        <v/>
      </c>
      <c r="D42" s="8"/>
      <c r="E42" s="8"/>
      <c r="F42" s="8"/>
      <c r="G42" s="92" t="str">
        <f>IF('⑨ 구배 자동계산'!$B$4&lt;&gt;"41_거제","",IF('⑨ 구배 자동계산'!$J23="","",'⑨ 구배 자동계산'!$J23&amp;"  ·  "&amp;'⑨ 구배 자동계산'!$L23))</f>
        <v/>
      </c>
      <c r="H42" s="93"/>
      <c r="I42" s="93"/>
    </row>
    <row r="43" spans="1:35" ht="19.95" customHeight="1" x14ac:dyDescent="0.4">
      <c r="A43" s="8">
        <v>3</v>
      </c>
      <c r="B43" s="33">
        <v>140</v>
      </c>
      <c r="C43" s="32" t="str">
        <f>IF('⑨ 구배 자동계산'!$B$4&lt;&gt;"41_거제","",IF('⑨ 구배 자동계산'!I24="","",'⑨ 구배 자동계산'!I24))</f>
        <v/>
      </c>
      <c r="D43" s="34">
        <f>IF(COUNT(B43,B42)&lt;2,"",(B42-B43)/100)</f>
        <v>0.45</v>
      </c>
      <c r="E43" s="35" t="str">
        <f>IF(COUNT(C43,C42)&lt;2,"",C43-C42)</f>
        <v/>
      </c>
      <c r="F43" s="36" t="str">
        <f>IF(OR(D43="",E43="",D43=0),"",E43/D43)</f>
        <v/>
      </c>
      <c r="G43" s="92" t="str">
        <f>IF('⑨ 구배 자동계산'!$B$4&lt;&gt;"41_거제","",IF('⑨ 구배 자동계산'!$J24="","",'⑨ 구배 자동계산'!$J24&amp;"  ·  "&amp;'⑨ 구배 자동계산'!$L24))</f>
        <v/>
      </c>
      <c r="H43" s="93"/>
      <c r="I43" s="93"/>
      <c r="AH43" t="s">
        <v>234</v>
      </c>
    </row>
    <row r="44" spans="1:35" ht="19.95" customHeight="1" x14ac:dyDescent="0.4">
      <c r="A44" s="8">
        <v>2</v>
      </c>
      <c r="B44" s="33">
        <v>95</v>
      </c>
      <c r="C44" s="32" t="str">
        <f>IF('⑨ 구배 자동계산'!$B$4&lt;&gt;"41_거제","",IF('⑨ 구배 자동계산'!I25="","",'⑨ 구배 자동계산'!I25))</f>
        <v/>
      </c>
      <c r="D44" s="34">
        <f>IF(COUNT(B44,B43)&lt;2,"",(B43-B44)/100)</f>
        <v>0.45</v>
      </c>
      <c r="E44" s="35" t="str">
        <f>IF(COUNT(C44,C43)&lt;2,"",C44-C43)</f>
        <v/>
      </c>
      <c r="F44" s="36" t="str">
        <f>IF(OR(D44="",E44="",D44=0),"",E44/D44)</f>
        <v/>
      </c>
      <c r="G44" s="92" t="str">
        <f>IF('⑨ 구배 자동계산'!$B$4&lt;&gt;"41_거제","",IF('⑨ 구배 자동계산'!$J25="","",'⑨ 구배 자동계산'!$J25&amp;"  ·  "&amp;'⑨ 구배 자동계산'!$L25))</f>
        <v/>
      </c>
      <c r="H44" s="93"/>
      <c r="I44" s="93"/>
    </row>
    <row r="45" spans="1:35" ht="19.95" customHeight="1" x14ac:dyDescent="0.4">
      <c r="A45" s="8">
        <v>1</v>
      </c>
      <c r="B45" s="33">
        <v>50</v>
      </c>
      <c r="C45" s="32" t="str">
        <f>IF('⑨ 구배 자동계산'!$B$4&lt;&gt;"41_거제","",IF('⑨ 구배 자동계산'!I26="","",'⑨ 구배 자동계산'!I26))</f>
        <v/>
      </c>
      <c r="D45" s="34">
        <f>IF(COUNT(B45,B44)&lt;2,"",(B44-B45)/100)</f>
        <v>0.45</v>
      </c>
      <c r="E45" s="35" t="str">
        <f>IF(COUNT(C45,C44)&lt;2,"",C45-C44)</f>
        <v/>
      </c>
      <c r="F45" s="36" t="str">
        <f>IF(OR(D45="",E45="",D45=0),"",E45/D45)</f>
        <v/>
      </c>
      <c r="G45" s="92" t="str">
        <f>IF('⑨ 구배 자동계산'!$B$4&lt;&gt;"41_거제","",IF('⑨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IF(COUNT(B50,E50)&lt;2,"",ROUND(SQRT(((128.592861-E50)*111320*COS(RADIANS(34.870311)))^2+((34.870311-B50)*110574)^2),1))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S41-P0a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49" priority="1">
      <formula>AND(ISNUMBER(C31),C31&gt;50)</formula>
    </cfRule>
  </conditionalFormatting>
  <conditionalFormatting sqref="D7">
    <cfRule type="expression" dxfId="48" priority="3" stopIfTrue="1">
      <formula>AND($D$7&lt;&gt;"",VALUE(LEFT($D$7,1))&lt;5)</formula>
    </cfRule>
    <cfRule type="expression" dxfId="47" priority="4" stopIfTrue="1">
      <formula>AND($D$7&lt;&gt;"",VALUE(LEFT($D$7,1))&gt;=5)</formula>
    </cfRule>
  </conditionalFormatting>
  <conditionalFormatting sqref="E7">
    <cfRule type="expression" dxfId="46" priority="5" stopIfTrue="1">
      <formula>AND($E$7&lt;&gt;"",VALUE(LEFT($E$7,1))&lt;5)</formula>
    </cfRule>
    <cfRule type="expression" dxfId="4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A2601121-F390-4273-8E63-5792F28A2A7A}">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51726178-A345-48A7-906A-3F8CC3F062D6}">
      <formula1>DATE(2026,1,1)</formula1>
      <formula2>DATE(2027,12,31)</formula2>
    </dataValidation>
    <dataValidation type="list" allowBlank="1" sqref="C7" xr:uid="{6DB5F4D2-6567-4570-9D5F-883B678A3F37}">
      <formula1>"맑음,구름 조금,흐림,비,눈,바람 강함"</formula1>
    </dataValidation>
    <dataValidation type="list" allowBlank="1" sqref="H50" xr:uid="{078521BE-24CE-4997-940C-7D1F9A50F477}">
      <formula1>"RTK-GNSS,네트워크RTK,정적GNSS,휴대GNSS"</formula1>
    </dataValidation>
    <dataValidation type="list" allowBlank="1" sqref="B109" xr:uid="{1E152D95-9847-497B-826F-7A86AB849694}">
      <formula1>"동일,조정"</formula1>
    </dataValidation>
    <dataValidation type="list" allowBlank="1" showInputMessage="1" showErrorMessage="1" sqref="F56:F57" xr:uid="{2A2CC8A7-576C-4344-9AF0-BD61BBF73171}">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&amp;RS41 거제</oddHeader>
    <oddFooter>&amp;C&amp;9 &amp;P / &amp;N</oddFooter>
  </headerFooter>
  <rowBreaks count="3" manualBreakCount="3">
    <brk id="38" max="16383" man="1"/>
    <brk id="58" max="16383" man="1"/>
    <brk id="106" max="16383" man="1"/>
  </rowBreak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C8293-35BD-495C-B55C-046DFBCBD4F9}">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513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514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515</v>
      </c>
      <c r="B3" s="68"/>
      <c r="C3" s="68"/>
      <c r="D3" s="68"/>
      <c r="E3" s="68"/>
      <c r="F3" s="8" t="s">
        <v>154</v>
      </c>
      <c r="G3" s="6"/>
      <c r="H3" s="8" t="s">
        <v>155</v>
      </c>
      <c r="I3" s="9" t="s">
        <v>516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자동계산'!$B$4="42_조도","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자동계산'!$B$4&lt;&gt;"42_조도","",IF('⑨ 구배 자동계산'!H9="","",'⑨ 구배 자동계산'!H9))</f>
        <v/>
      </c>
      <c r="C16" s="30" t="str">
        <f>IF('⑨ 구배 자동계산'!$B$4&lt;&gt;"42_조도","",IF('⑨ 구배 자동계산'!I9="","",'⑨ 구배 자동계산'!I9))</f>
        <v/>
      </c>
      <c r="D16" s="43" t="str">
        <f>IF('⑨ 구배 자동계산'!$B$4&lt;&gt;"42_조도","",IF('⑨ 구배 자동계산'!J9="","",'⑨ 구배 자동계산'!J9))</f>
        <v/>
      </c>
      <c r="E16" s="30" t="str">
        <f>IF('⑨ 구배 자동계산'!$B$4&lt;&gt;"42_조도","",IF('⑨ 구배 자동계산'!K9="","",'⑨ 구배 자동계산'!K9))</f>
        <v/>
      </c>
      <c r="F16" s="43" t="str">
        <f>IF('⑨ 구배 자동계산'!$B$4&lt;&gt;"42_조도","",IF('⑨ 구배 자동계산'!L9="","",'⑨ 구배 자동계산'!L9))</f>
        <v/>
      </c>
      <c r="G16" s="30" t="str">
        <f>IF('⑨ 구배 자동계산'!$B$4&lt;&gt;"42_조도","",IF('⑨ 구배 자동계산'!M9="","",'⑨ 구배 자동계산'!M9))</f>
        <v/>
      </c>
      <c r="H16" s="43" t="str">
        <f>IF('⑨ 구배 자동계산'!$B$4&lt;&gt;"42_조도","",IF('⑨ 구배 자동계산'!N9="","",'⑨ 구배 자동계산'!N9))</f>
        <v/>
      </c>
      <c r="I16" s="30" t="str">
        <f>IF('⑨ 구배 자동계산'!$B$4&lt;&gt;"42_조도","",IF('⑨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자동계산'!$B$4&lt;&gt;"42_조도","",IF('⑨ 구배 자동계산'!H10="","",'⑨ 구배 자동계산'!H10))</f>
        <v/>
      </c>
      <c r="C17" s="32" t="str">
        <f>IF('⑨ 구배 자동계산'!$B$4&lt;&gt;"42_조도","",IF('⑨ 구배 자동계산'!I10="","",'⑨ 구배 자동계산'!I10))</f>
        <v/>
      </c>
      <c r="D17" s="44" t="str">
        <f>IF('⑨ 구배 자동계산'!$B$4&lt;&gt;"42_조도","",IF('⑨ 구배 자동계산'!J10="","",'⑨ 구배 자동계산'!J10))</f>
        <v/>
      </c>
      <c r="E17" s="32" t="str">
        <f>IF('⑨ 구배 자동계산'!$B$4&lt;&gt;"42_조도","",IF('⑨ 구배 자동계산'!K10="","",'⑨ 구배 자동계산'!K10))</f>
        <v/>
      </c>
      <c r="F17" s="44" t="str">
        <f>IF('⑨ 구배 자동계산'!$B$4&lt;&gt;"42_조도","",IF('⑨ 구배 자동계산'!L10="","",'⑨ 구배 자동계산'!L10))</f>
        <v/>
      </c>
      <c r="G17" s="32" t="str">
        <f>IF('⑨ 구배 자동계산'!$B$4&lt;&gt;"42_조도","",IF('⑨ 구배 자동계산'!M10="","",'⑨ 구배 자동계산'!M10))</f>
        <v/>
      </c>
      <c r="H17" s="44" t="str">
        <f>IF('⑨ 구배 자동계산'!$B$4&lt;&gt;"42_조도","",IF('⑨ 구배 자동계산'!N10="","",'⑨ 구배 자동계산'!N10))</f>
        <v/>
      </c>
      <c r="I17" s="32" t="str">
        <f>IF('⑨ 구배 자동계산'!$B$4&lt;&gt;"42_조도","",IF('⑨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자동계산'!$B$4&lt;&gt;"42_조도","",IF('⑨ 구배 자동계산'!H11="","",'⑨ 구배 자동계산'!H11))</f>
        <v/>
      </c>
      <c r="C18" s="32" t="str">
        <f>IF('⑨ 구배 자동계산'!$B$4&lt;&gt;"42_조도","",IF('⑨ 구배 자동계산'!I11="","",'⑨ 구배 자동계산'!I11))</f>
        <v/>
      </c>
      <c r="D18" s="44" t="str">
        <f>IF('⑨ 구배 자동계산'!$B$4&lt;&gt;"42_조도","",IF('⑨ 구배 자동계산'!J11="","",'⑨ 구배 자동계산'!J11))</f>
        <v/>
      </c>
      <c r="E18" s="32" t="str">
        <f>IF('⑨ 구배 자동계산'!$B$4&lt;&gt;"42_조도","",IF('⑨ 구배 자동계산'!K11="","",'⑨ 구배 자동계산'!K11))</f>
        <v/>
      </c>
      <c r="F18" s="44" t="str">
        <f>IF('⑨ 구배 자동계산'!$B$4&lt;&gt;"42_조도","",IF('⑨ 구배 자동계산'!L11="","",'⑨ 구배 자동계산'!L11))</f>
        <v/>
      </c>
      <c r="G18" s="32" t="str">
        <f>IF('⑨ 구배 자동계산'!$B$4&lt;&gt;"42_조도","",IF('⑨ 구배 자동계산'!M11="","",'⑨ 구배 자동계산'!M11))</f>
        <v/>
      </c>
      <c r="H18" s="44" t="str">
        <f>IF('⑨ 구배 자동계산'!$B$4&lt;&gt;"42_조도","",IF('⑨ 구배 자동계산'!N11="","",'⑨ 구배 자동계산'!N11))</f>
        <v/>
      </c>
      <c r="I18" s="32" t="str">
        <f>IF('⑨ 구배 자동계산'!$B$4&lt;&gt;"42_조도","",IF('⑨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자동계산'!$B$4&lt;&gt;"42_조도","",IF('⑨ 구배 자동계산'!H12="","",'⑨ 구배 자동계산'!H12))</f>
        <v/>
      </c>
      <c r="C19" s="32" t="str">
        <f>IF('⑨ 구배 자동계산'!$B$4&lt;&gt;"42_조도","",IF('⑨ 구배 자동계산'!I12="","",'⑨ 구배 자동계산'!I12))</f>
        <v/>
      </c>
      <c r="D19" s="44" t="str">
        <f>IF('⑨ 구배 자동계산'!$B$4&lt;&gt;"42_조도","",IF('⑨ 구배 자동계산'!J12="","",'⑨ 구배 자동계산'!J12))</f>
        <v/>
      </c>
      <c r="E19" s="32" t="str">
        <f>IF('⑨ 구배 자동계산'!$B$4&lt;&gt;"42_조도","",IF('⑨ 구배 자동계산'!K12="","",'⑨ 구배 자동계산'!K12))</f>
        <v/>
      </c>
      <c r="F19" s="44" t="str">
        <f>IF('⑨ 구배 자동계산'!$B$4&lt;&gt;"42_조도","",IF('⑨ 구배 자동계산'!L12="","",'⑨ 구배 자동계산'!L12))</f>
        <v/>
      </c>
      <c r="G19" s="32" t="str">
        <f>IF('⑨ 구배 자동계산'!$B$4&lt;&gt;"42_조도","",IF('⑨ 구배 자동계산'!M12="","",'⑨ 구배 자동계산'!M12))</f>
        <v/>
      </c>
      <c r="H19" s="44" t="str">
        <f>IF('⑨ 구배 자동계산'!$B$4&lt;&gt;"42_조도","",IF('⑨ 구배 자동계산'!N12="","",'⑨ 구배 자동계산'!N12))</f>
        <v/>
      </c>
      <c r="I19" s="32" t="str">
        <f>IF('⑨ 구배 자동계산'!$B$4&lt;&gt;"42_조도","",IF('⑨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자동계산'!$B$4&lt;&gt;"42_조도","",IF('⑨ 구배 자동계산'!H13="","",'⑨ 구배 자동계산'!H13))</f>
        <v/>
      </c>
      <c r="C20" s="32" t="str">
        <f>IF('⑨ 구배 자동계산'!$B$4&lt;&gt;"42_조도","",IF('⑨ 구배 자동계산'!I13="","",'⑨ 구배 자동계산'!I13))</f>
        <v/>
      </c>
      <c r="D20" s="44" t="str">
        <f>IF('⑨ 구배 자동계산'!$B$4&lt;&gt;"42_조도","",IF('⑨ 구배 자동계산'!J13="","",'⑨ 구배 자동계산'!J13))</f>
        <v/>
      </c>
      <c r="E20" s="32" t="str">
        <f>IF('⑨ 구배 자동계산'!$B$4&lt;&gt;"42_조도","",IF('⑨ 구배 자동계산'!K13="","",'⑨ 구배 자동계산'!K13))</f>
        <v/>
      </c>
      <c r="F20" s="44" t="str">
        <f>IF('⑨ 구배 자동계산'!$B$4&lt;&gt;"42_조도","",IF('⑨ 구배 자동계산'!L13="","",'⑨ 구배 자동계산'!L13))</f>
        <v/>
      </c>
      <c r="G20" s="32" t="str">
        <f>IF('⑨ 구배 자동계산'!$B$4&lt;&gt;"42_조도","",IF('⑨ 구배 자동계산'!M13="","",'⑨ 구배 자동계산'!M13))</f>
        <v/>
      </c>
      <c r="H20" s="44" t="str">
        <f>IF('⑨ 구배 자동계산'!$B$4&lt;&gt;"42_조도","",IF('⑨ 구배 자동계산'!N13="","",'⑨ 구배 자동계산'!N13))</f>
        <v/>
      </c>
      <c r="I20" s="32" t="str">
        <f>IF('⑨ 구배 자동계산'!$B$4&lt;&gt;"42_조도","",IF('⑨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자동계산'!$B$4&lt;&gt;"42_조도","",IF('⑨ 구배 자동계산'!H14="","",'⑨ 구배 자동계산'!H14))</f>
        <v/>
      </c>
      <c r="C21" s="32" t="str">
        <f>IF('⑨ 구배 자동계산'!$B$4&lt;&gt;"42_조도","",IF('⑨ 구배 자동계산'!I14="","",'⑨ 구배 자동계산'!I14))</f>
        <v/>
      </c>
      <c r="D21" s="44" t="str">
        <f>IF('⑨ 구배 자동계산'!$B$4&lt;&gt;"42_조도","",IF('⑨ 구배 자동계산'!J14="","",'⑨ 구배 자동계산'!J14))</f>
        <v/>
      </c>
      <c r="E21" s="32" t="str">
        <f>IF('⑨ 구배 자동계산'!$B$4&lt;&gt;"42_조도","",IF('⑨ 구배 자동계산'!K14="","",'⑨ 구배 자동계산'!K14))</f>
        <v/>
      </c>
      <c r="F21" s="44" t="str">
        <f>IF('⑨ 구배 자동계산'!$B$4&lt;&gt;"42_조도","",IF('⑨ 구배 자동계산'!L14="","",'⑨ 구배 자동계산'!L14))</f>
        <v/>
      </c>
      <c r="G21" s="32" t="str">
        <f>IF('⑨ 구배 자동계산'!$B$4&lt;&gt;"42_조도","",IF('⑨ 구배 자동계산'!M14="","",'⑨ 구배 자동계산'!M14))</f>
        <v/>
      </c>
      <c r="H21" s="44" t="str">
        <f>IF('⑨ 구배 자동계산'!$B$4&lt;&gt;"42_조도","",IF('⑨ 구배 자동계산'!N14="","",'⑨ 구배 자동계산'!N14))</f>
        <v/>
      </c>
      <c r="I21" s="32" t="str">
        <f>IF('⑨ 구배 자동계산'!$B$4&lt;&gt;"42_조도","",IF('⑨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자동계산'!$B$4&lt;&gt;"42_조도","",IF('⑨ 구배 자동계산'!H15="","",'⑨ 구배 자동계산'!H15))</f>
        <v/>
      </c>
      <c r="C22" s="32" t="str">
        <f>IF('⑨ 구배 자동계산'!$B$4&lt;&gt;"42_조도","",IF('⑨ 구배 자동계산'!I15="","",'⑨ 구배 자동계산'!I15))</f>
        <v/>
      </c>
      <c r="D22" s="44" t="str">
        <f>IF('⑨ 구배 자동계산'!$B$4&lt;&gt;"42_조도","",IF('⑨ 구배 자동계산'!J15="","",'⑨ 구배 자동계산'!J15))</f>
        <v/>
      </c>
      <c r="E22" s="32" t="str">
        <f>IF('⑨ 구배 자동계산'!$B$4&lt;&gt;"42_조도","",IF('⑨ 구배 자동계산'!K15="","",'⑨ 구배 자동계산'!K15))</f>
        <v/>
      </c>
      <c r="F22" s="44" t="str">
        <f>IF('⑨ 구배 자동계산'!$B$4&lt;&gt;"42_조도","",IF('⑨ 구배 자동계산'!L15="","",'⑨ 구배 자동계산'!L15))</f>
        <v/>
      </c>
      <c r="G22" s="32" t="str">
        <f>IF('⑨ 구배 자동계산'!$B$4&lt;&gt;"42_조도","",IF('⑨ 구배 자동계산'!M15="","",'⑨ 구배 자동계산'!M15))</f>
        <v/>
      </c>
      <c r="H22" s="44" t="str">
        <f>IF('⑨ 구배 자동계산'!$B$4&lt;&gt;"42_조도","",IF('⑨ 구배 자동계산'!N15="","",'⑨ 구배 자동계산'!N15))</f>
        <v/>
      </c>
      <c r="I22" s="32" t="str">
        <f>IF('⑨ 구배 자동계산'!$B$4&lt;&gt;"42_조도","",IF('⑨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자동계산'!$B$4&lt;&gt;"42_조도","",IF('⑨ 구배 자동계산'!H16="","",'⑨ 구배 자동계산'!H16))</f>
        <v/>
      </c>
      <c r="C23" s="32" t="str">
        <f>IF('⑨ 구배 자동계산'!$B$4&lt;&gt;"42_조도","",IF('⑨ 구배 자동계산'!I16="","",'⑨ 구배 자동계산'!I16))</f>
        <v/>
      </c>
      <c r="D23" s="44" t="str">
        <f>IF('⑨ 구배 자동계산'!$B$4&lt;&gt;"42_조도","",IF('⑨ 구배 자동계산'!J16="","",'⑨ 구배 자동계산'!J16))</f>
        <v/>
      </c>
      <c r="E23" s="32" t="str">
        <f>IF('⑨ 구배 자동계산'!$B$4&lt;&gt;"42_조도","",IF('⑨ 구배 자동계산'!K16="","",'⑨ 구배 자동계산'!K16))</f>
        <v/>
      </c>
      <c r="F23" s="44" t="str">
        <f>IF('⑨ 구배 자동계산'!$B$4&lt;&gt;"42_조도","",IF('⑨ 구배 자동계산'!L16="","",'⑨ 구배 자동계산'!L16))</f>
        <v/>
      </c>
      <c r="G23" s="32" t="str">
        <f>IF('⑨ 구배 자동계산'!$B$4&lt;&gt;"42_조도","",IF('⑨ 구배 자동계산'!M16="","",'⑨ 구배 자동계산'!M16))</f>
        <v/>
      </c>
      <c r="H23" s="44" t="str">
        <f>IF('⑨ 구배 자동계산'!$B$4&lt;&gt;"42_조도","",IF('⑨ 구배 자동계산'!N16="","",'⑨ 구배 자동계산'!N16))</f>
        <v/>
      </c>
      <c r="I23" s="32" t="str">
        <f>IF('⑨ 구배 자동계산'!$B$4&lt;&gt;"42_조도","",IF('⑨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자동계산'!$B$4&lt;&gt;"42_조도","",IF('⑨ 구배 자동계산'!H17="","",'⑨ 구배 자동계산'!H17))</f>
        <v/>
      </c>
      <c r="C24" s="32" t="str">
        <f>IF('⑨ 구배 자동계산'!$B$4&lt;&gt;"42_조도","",IF('⑨ 구배 자동계산'!I17="","",'⑨ 구배 자동계산'!I17))</f>
        <v/>
      </c>
      <c r="D24" s="44" t="str">
        <f>IF('⑨ 구배 자동계산'!$B$4&lt;&gt;"42_조도","",IF('⑨ 구배 자동계산'!J17="","",'⑨ 구배 자동계산'!J17))</f>
        <v/>
      </c>
      <c r="E24" s="32" t="str">
        <f>IF('⑨ 구배 자동계산'!$B$4&lt;&gt;"42_조도","",IF('⑨ 구배 자동계산'!K17="","",'⑨ 구배 자동계산'!K17))</f>
        <v/>
      </c>
      <c r="F24" s="44" t="str">
        <f>IF('⑨ 구배 자동계산'!$B$4&lt;&gt;"42_조도","",IF('⑨ 구배 자동계산'!L17="","",'⑨ 구배 자동계산'!L17))</f>
        <v/>
      </c>
      <c r="G24" s="32" t="str">
        <f>IF('⑨ 구배 자동계산'!$B$4&lt;&gt;"42_조도","",IF('⑨ 구배 자동계산'!M17="","",'⑨ 구배 자동계산'!M17))</f>
        <v/>
      </c>
      <c r="H24" s="44" t="str">
        <f>IF('⑨ 구배 자동계산'!$B$4&lt;&gt;"42_조도","",IF('⑨ 구배 자동계산'!N17="","",'⑨ 구배 자동계산'!N17))</f>
        <v/>
      </c>
      <c r="I24" s="32" t="str">
        <f>IF('⑨ 구배 자동계산'!$B$4&lt;&gt;"42_조도","",IF('⑨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자동계산'!$B$4&lt;&gt;"42_조도","",IF('⑨ 구배 자동계산'!H18="","",'⑨ 구배 자동계산'!H18))</f>
        <v/>
      </c>
      <c r="C25" s="32" t="str">
        <f>IF('⑨ 구배 자동계산'!$B$4&lt;&gt;"42_조도","",IF('⑨ 구배 자동계산'!I18="","",'⑨ 구배 자동계산'!I18))</f>
        <v/>
      </c>
      <c r="D25" s="44" t="str">
        <f>IF('⑨ 구배 자동계산'!$B$4&lt;&gt;"42_조도","",IF('⑨ 구배 자동계산'!J18="","",'⑨ 구배 자동계산'!J18))</f>
        <v/>
      </c>
      <c r="E25" s="32" t="str">
        <f>IF('⑨ 구배 자동계산'!$B$4&lt;&gt;"42_조도","",IF('⑨ 구배 자동계산'!K18="","",'⑨ 구배 자동계산'!K18))</f>
        <v/>
      </c>
      <c r="F25" s="44" t="str">
        <f>IF('⑨ 구배 자동계산'!$B$4&lt;&gt;"42_조도","",IF('⑨ 구배 자동계산'!L18="","",'⑨ 구배 자동계산'!L18))</f>
        <v/>
      </c>
      <c r="G25" s="32" t="str">
        <f>IF('⑨ 구배 자동계산'!$B$4&lt;&gt;"42_조도","",IF('⑨ 구배 자동계산'!M18="","",'⑨ 구배 자동계산'!M18))</f>
        <v/>
      </c>
      <c r="H25" s="44" t="str">
        <f>IF('⑨ 구배 자동계산'!$B$4&lt;&gt;"42_조도","",IF('⑨ 구배 자동계산'!N18="","",'⑨ 구배 자동계산'!N18))</f>
        <v/>
      </c>
      <c r="I25" s="32" t="str">
        <f>IF('⑨ 구배 자동계산'!$B$4&lt;&gt;"42_조도","",IF('⑨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자동계산'!$B$4&lt;&gt;"42_조도","",IF('⑨ 구배 자동계산'!H19="","",'⑨ 구배 자동계산'!H19))</f>
        <v/>
      </c>
      <c r="C26" s="32" t="str">
        <f>IF('⑨ 구배 자동계산'!$B$4&lt;&gt;"42_조도","",IF('⑨ 구배 자동계산'!I19="","",'⑨ 구배 자동계산'!I19))</f>
        <v/>
      </c>
      <c r="D26" s="44" t="str">
        <f>IF('⑨ 구배 자동계산'!$B$4&lt;&gt;"42_조도","",IF('⑨ 구배 자동계산'!J19="","",'⑨ 구배 자동계산'!J19))</f>
        <v/>
      </c>
      <c r="E26" s="32" t="str">
        <f>IF('⑨ 구배 자동계산'!$B$4&lt;&gt;"42_조도","",IF('⑨ 구배 자동계산'!K19="","",'⑨ 구배 자동계산'!K19))</f>
        <v/>
      </c>
      <c r="F26" s="44" t="str">
        <f>IF('⑨ 구배 자동계산'!$B$4&lt;&gt;"42_조도","",IF('⑨ 구배 자동계산'!L19="","",'⑨ 구배 자동계산'!L19))</f>
        <v/>
      </c>
      <c r="G26" s="32" t="str">
        <f>IF('⑨ 구배 자동계산'!$B$4&lt;&gt;"42_조도","",IF('⑨ 구배 자동계산'!M19="","",'⑨ 구배 자동계산'!M19))</f>
        <v/>
      </c>
      <c r="H26" s="44" t="str">
        <f>IF('⑨ 구배 자동계산'!$B$4&lt;&gt;"42_조도","",IF('⑨ 구배 자동계산'!N19="","",'⑨ 구배 자동계산'!N19))</f>
        <v/>
      </c>
      <c r="I26" s="32" t="str">
        <f>IF('⑨ 구배 자동계산'!$B$4&lt;&gt;"42_조도","",IF('⑨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자동계산'!$B$4&lt;&gt;"42_조도","",IF('⑨ 구배 자동계산'!H20="","",'⑨ 구배 자동계산'!H20))</f>
        <v/>
      </c>
      <c r="C27" s="41" t="str">
        <f>IF('⑨ 구배 자동계산'!$B$4&lt;&gt;"42_조도","",IF('⑨ 구배 자동계산'!I20="","",'⑨ 구배 자동계산'!I20))</f>
        <v/>
      </c>
      <c r="D27" s="45" t="str">
        <f>IF('⑨ 구배 자동계산'!$B$4&lt;&gt;"42_조도","",IF('⑨ 구배 자동계산'!J20="","",'⑨ 구배 자동계산'!J20))</f>
        <v/>
      </c>
      <c r="E27" s="41" t="str">
        <f>IF('⑨ 구배 자동계산'!$B$4&lt;&gt;"42_조도","",IF('⑨ 구배 자동계산'!K20="","",'⑨ 구배 자동계산'!K20))</f>
        <v/>
      </c>
      <c r="F27" s="45" t="str">
        <f>IF('⑨ 구배 자동계산'!$B$4&lt;&gt;"42_조도","",IF('⑨ 구배 자동계산'!L20="","",'⑨ 구배 자동계산'!L20))</f>
        <v/>
      </c>
      <c r="G27" s="41" t="str">
        <f>IF('⑨ 구배 자동계산'!$B$4&lt;&gt;"42_조도","",IF('⑨ 구배 자동계산'!M20="","",'⑨ 구배 자동계산'!M20))</f>
        <v/>
      </c>
      <c r="H27" s="45" t="str">
        <f>IF('⑨ 구배 자동계산'!$B$4&lt;&gt;"42_조도","",IF('⑨ 구배 자동계산'!N20="","",'⑨ 구배 자동계산'!N20))</f>
        <v/>
      </c>
      <c r="I27" s="41" t="str">
        <f>IF('⑨ 구배 자동계산'!$B$4&lt;&gt;"42_조도","",IF('⑨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자동계산'!$B$4&lt;&gt;"42_조도","",IF('⑨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자동계산'!$B$4&lt;&gt;"42_조도","",IF('⑨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자동계산'!$B$4&lt;&gt;"42_조도","",IF('⑨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자동계산'!$B$4&lt;&gt;"42_조도","",IF('⑨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자동계산'!$B$4&lt;&gt;"42_조도","",IF('⑨ 구배 자동계산'!I23="","",'⑨ 구배 자동계산'!I23))</f>
        <v/>
      </c>
      <c r="D42" s="8"/>
      <c r="E42" s="8"/>
      <c r="F42" s="8"/>
      <c r="G42" s="92" t="str">
        <f>IF('⑨ 구배 자동계산'!$B$4&lt;&gt;"42_조도","",IF('⑨ 구배 자동계산'!$J23="","",'⑨ 구배 자동계산'!$J23&amp;"  ·  "&amp;'⑨ 구배 자동계산'!$L23))</f>
        <v/>
      </c>
      <c r="H42" s="93"/>
      <c r="I42" s="93"/>
    </row>
    <row r="43" spans="1:35" ht="19.95" customHeight="1" x14ac:dyDescent="0.4">
      <c r="A43" s="8">
        <v>3</v>
      </c>
      <c r="B43" s="33">
        <v>140</v>
      </c>
      <c r="C43" s="32" t="str">
        <f>IF('⑨ 구배 자동계산'!$B$4&lt;&gt;"42_조도","",IF('⑨ 구배 자동계산'!I24="","",'⑨ 구배 자동계산'!I24))</f>
        <v/>
      </c>
      <c r="D43" s="34">
        <f>IF(COUNT(B43,B42)&lt;2,"",(B42-B43)/100)</f>
        <v>0.45</v>
      </c>
      <c r="E43" s="35" t="str">
        <f>IF(COUNT(C43,C42)&lt;2,"",C43-C42)</f>
        <v/>
      </c>
      <c r="F43" s="36" t="str">
        <f>IF(OR(D43="",E43="",D43=0),"",E43/D43)</f>
        <v/>
      </c>
      <c r="G43" s="92" t="str">
        <f>IF('⑨ 구배 자동계산'!$B$4&lt;&gt;"42_조도","",IF('⑨ 구배 자동계산'!$J24="","",'⑨ 구배 자동계산'!$J24&amp;"  ·  "&amp;'⑨ 구배 자동계산'!$L24))</f>
        <v/>
      </c>
      <c r="H43" s="93"/>
      <c r="I43" s="93"/>
      <c r="AH43" t="s">
        <v>234</v>
      </c>
    </row>
    <row r="44" spans="1:35" ht="19.95" customHeight="1" x14ac:dyDescent="0.4">
      <c r="A44" s="8">
        <v>2</v>
      </c>
      <c r="B44" s="33">
        <v>95</v>
      </c>
      <c r="C44" s="32" t="str">
        <f>IF('⑨ 구배 자동계산'!$B$4&lt;&gt;"42_조도","",IF('⑨ 구배 자동계산'!I25="","",'⑨ 구배 자동계산'!I25))</f>
        <v/>
      </c>
      <c r="D44" s="34">
        <f>IF(COUNT(B44,B43)&lt;2,"",(B43-B44)/100)</f>
        <v>0.45</v>
      </c>
      <c r="E44" s="35" t="str">
        <f>IF(COUNT(C44,C43)&lt;2,"",C44-C43)</f>
        <v/>
      </c>
      <c r="F44" s="36" t="str">
        <f>IF(OR(D44="",E44="",D44=0),"",E44/D44)</f>
        <v/>
      </c>
      <c r="G44" s="92" t="str">
        <f>IF('⑨ 구배 자동계산'!$B$4&lt;&gt;"42_조도","",IF('⑨ 구배 자동계산'!$J25="","",'⑨ 구배 자동계산'!$J25&amp;"  ·  "&amp;'⑨ 구배 자동계산'!$L25))</f>
        <v/>
      </c>
      <c r="H44" s="93"/>
      <c r="I44" s="93"/>
    </row>
    <row r="45" spans="1:35" ht="19.95" customHeight="1" x14ac:dyDescent="0.4">
      <c r="A45" s="8">
        <v>1</v>
      </c>
      <c r="B45" s="33">
        <v>50</v>
      </c>
      <c r="C45" s="32" t="str">
        <f>IF('⑨ 구배 자동계산'!$B$4&lt;&gt;"42_조도","",IF('⑨ 구배 자동계산'!I26="","",'⑨ 구배 자동계산'!I26))</f>
        <v/>
      </c>
      <c r="D45" s="34">
        <f>IF(COUNT(B45,B44)&lt;2,"",(B44-B45)/100)</f>
        <v>0.45</v>
      </c>
      <c r="E45" s="35" t="str">
        <f>IF(COUNT(C45,C44)&lt;2,"",C45-C44)</f>
        <v/>
      </c>
      <c r="F45" s="36" t="str">
        <f>IF(OR(D45="",E45="",D45=0),"",E45/D45)</f>
        <v/>
      </c>
      <c r="G45" s="92" t="str">
        <f>IF('⑨ 구배 자동계산'!$B$4&lt;&gt;"42_조도","",IF('⑨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IF(COUNT(B50,E50)&lt;2,"",ROUND(SQRT(((126.223806-E50)*111320*COS(RADIANS(34.431917)))^2+((34.431917-B50)*110574)^2),1))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S42-P0a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44" priority="1">
      <formula>AND(ISNUMBER(C31),C31&gt;50)</formula>
    </cfRule>
  </conditionalFormatting>
  <conditionalFormatting sqref="D7">
    <cfRule type="expression" dxfId="43" priority="3" stopIfTrue="1">
      <formula>AND($D$7&lt;&gt;"",VALUE(LEFT($D$7,1))&lt;5)</formula>
    </cfRule>
    <cfRule type="expression" dxfId="42" priority="4" stopIfTrue="1">
      <formula>AND($D$7&lt;&gt;"",VALUE(LEFT($D$7,1))&gt;=5)</formula>
    </cfRule>
  </conditionalFormatting>
  <conditionalFormatting sqref="E7">
    <cfRule type="expression" dxfId="41" priority="5" stopIfTrue="1">
      <formula>AND($E$7&lt;&gt;"",VALUE(LEFT($E$7,1))&lt;5)</formula>
    </cfRule>
    <cfRule type="expression" dxfId="4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67DD8FD8-3549-4B53-8E34-BB0957D00F00}">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D64977E2-97F7-48C5-A6F3-DFA41DC82B3A}">
      <formula1>DATE(2026,1,1)</formula1>
      <formula2>DATE(2027,12,31)</formula2>
    </dataValidation>
    <dataValidation type="list" allowBlank="1" sqref="C7" xr:uid="{C52FA4E9-8455-4B05-B3A5-EBC6008FE990}">
      <formula1>"맑음,구름 조금,흐림,비,눈,바람 강함"</formula1>
    </dataValidation>
    <dataValidation type="list" allowBlank="1" sqref="H50" xr:uid="{481E4E2B-6A47-4758-B837-B6DE3FFFA193}">
      <formula1>"RTK-GNSS,네트워크RTK,정적GNSS,휴대GNSS"</formula1>
    </dataValidation>
    <dataValidation type="list" allowBlank="1" sqref="B109" xr:uid="{846BB4E8-E331-47D8-A596-037F35AC1D38}">
      <formula1>"동일,조정"</formula1>
    </dataValidation>
    <dataValidation type="list" allowBlank="1" showInputMessage="1" showErrorMessage="1" sqref="F56:F57" xr:uid="{5F5CF3F0-5BA3-48DE-8C85-3C039677FF43}">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&amp;RS42 조도</oddHeader>
    <oddFooter>&amp;C&amp;9 &amp;P / &amp;N</oddFooter>
  </headerFooter>
  <rowBreaks count="3" manualBreakCount="3">
    <brk id="38" max="16383" man="1"/>
    <brk id="58" max="16383" man="1"/>
    <brk id="106" max="16383" man="1"/>
  </rowBreak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6292-6F3F-4351-BFC4-5E0298E5DE8C}">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517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518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519</v>
      </c>
      <c r="B3" s="68"/>
      <c r="C3" s="68"/>
      <c r="D3" s="68"/>
      <c r="E3" s="68"/>
      <c r="F3" s="8" t="s">
        <v>154</v>
      </c>
      <c r="G3" s="6"/>
      <c r="H3" s="8" t="s">
        <v>155</v>
      </c>
      <c r="I3" s="9" t="s">
        <v>520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자동계산'!$B$4="43_포천","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자동계산'!$B$4&lt;&gt;"43_포천","",IF('⑨ 구배 자동계산'!H9="","",'⑨ 구배 자동계산'!H9))</f>
        <v/>
      </c>
      <c r="C16" s="30" t="str">
        <f>IF('⑨ 구배 자동계산'!$B$4&lt;&gt;"43_포천","",IF('⑨ 구배 자동계산'!I9="","",'⑨ 구배 자동계산'!I9))</f>
        <v/>
      </c>
      <c r="D16" s="43" t="str">
        <f>IF('⑨ 구배 자동계산'!$B$4&lt;&gt;"43_포천","",IF('⑨ 구배 자동계산'!J9="","",'⑨ 구배 자동계산'!J9))</f>
        <v/>
      </c>
      <c r="E16" s="30" t="str">
        <f>IF('⑨ 구배 자동계산'!$B$4&lt;&gt;"43_포천","",IF('⑨ 구배 자동계산'!K9="","",'⑨ 구배 자동계산'!K9))</f>
        <v/>
      </c>
      <c r="F16" s="43" t="str">
        <f>IF('⑨ 구배 자동계산'!$B$4&lt;&gt;"43_포천","",IF('⑨ 구배 자동계산'!L9="","",'⑨ 구배 자동계산'!L9))</f>
        <v/>
      </c>
      <c r="G16" s="30" t="str">
        <f>IF('⑨ 구배 자동계산'!$B$4&lt;&gt;"43_포천","",IF('⑨ 구배 자동계산'!M9="","",'⑨ 구배 자동계산'!M9))</f>
        <v/>
      </c>
      <c r="H16" s="43" t="str">
        <f>IF('⑨ 구배 자동계산'!$B$4&lt;&gt;"43_포천","",IF('⑨ 구배 자동계산'!N9="","",'⑨ 구배 자동계산'!N9))</f>
        <v/>
      </c>
      <c r="I16" s="30" t="str">
        <f>IF('⑨ 구배 자동계산'!$B$4&lt;&gt;"43_포천","",IF('⑨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자동계산'!$B$4&lt;&gt;"43_포천","",IF('⑨ 구배 자동계산'!H10="","",'⑨ 구배 자동계산'!H10))</f>
        <v/>
      </c>
      <c r="C17" s="32" t="str">
        <f>IF('⑨ 구배 자동계산'!$B$4&lt;&gt;"43_포천","",IF('⑨ 구배 자동계산'!I10="","",'⑨ 구배 자동계산'!I10))</f>
        <v/>
      </c>
      <c r="D17" s="44" t="str">
        <f>IF('⑨ 구배 자동계산'!$B$4&lt;&gt;"43_포천","",IF('⑨ 구배 자동계산'!J10="","",'⑨ 구배 자동계산'!J10))</f>
        <v/>
      </c>
      <c r="E17" s="32" t="str">
        <f>IF('⑨ 구배 자동계산'!$B$4&lt;&gt;"43_포천","",IF('⑨ 구배 자동계산'!K10="","",'⑨ 구배 자동계산'!K10))</f>
        <v/>
      </c>
      <c r="F17" s="44" t="str">
        <f>IF('⑨ 구배 자동계산'!$B$4&lt;&gt;"43_포천","",IF('⑨ 구배 자동계산'!L10="","",'⑨ 구배 자동계산'!L10))</f>
        <v/>
      </c>
      <c r="G17" s="32" t="str">
        <f>IF('⑨ 구배 자동계산'!$B$4&lt;&gt;"43_포천","",IF('⑨ 구배 자동계산'!M10="","",'⑨ 구배 자동계산'!M10))</f>
        <v/>
      </c>
      <c r="H17" s="44" t="str">
        <f>IF('⑨ 구배 자동계산'!$B$4&lt;&gt;"43_포천","",IF('⑨ 구배 자동계산'!N10="","",'⑨ 구배 자동계산'!N10))</f>
        <v/>
      </c>
      <c r="I17" s="32" t="str">
        <f>IF('⑨ 구배 자동계산'!$B$4&lt;&gt;"43_포천","",IF('⑨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자동계산'!$B$4&lt;&gt;"43_포천","",IF('⑨ 구배 자동계산'!H11="","",'⑨ 구배 자동계산'!H11))</f>
        <v/>
      </c>
      <c r="C18" s="32" t="str">
        <f>IF('⑨ 구배 자동계산'!$B$4&lt;&gt;"43_포천","",IF('⑨ 구배 자동계산'!I11="","",'⑨ 구배 자동계산'!I11))</f>
        <v/>
      </c>
      <c r="D18" s="44" t="str">
        <f>IF('⑨ 구배 자동계산'!$B$4&lt;&gt;"43_포천","",IF('⑨ 구배 자동계산'!J11="","",'⑨ 구배 자동계산'!J11))</f>
        <v/>
      </c>
      <c r="E18" s="32" t="str">
        <f>IF('⑨ 구배 자동계산'!$B$4&lt;&gt;"43_포천","",IF('⑨ 구배 자동계산'!K11="","",'⑨ 구배 자동계산'!K11))</f>
        <v/>
      </c>
      <c r="F18" s="44" t="str">
        <f>IF('⑨ 구배 자동계산'!$B$4&lt;&gt;"43_포천","",IF('⑨ 구배 자동계산'!L11="","",'⑨ 구배 자동계산'!L11))</f>
        <v/>
      </c>
      <c r="G18" s="32" t="str">
        <f>IF('⑨ 구배 자동계산'!$B$4&lt;&gt;"43_포천","",IF('⑨ 구배 자동계산'!M11="","",'⑨ 구배 자동계산'!M11))</f>
        <v/>
      </c>
      <c r="H18" s="44" t="str">
        <f>IF('⑨ 구배 자동계산'!$B$4&lt;&gt;"43_포천","",IF('⑨ 구배 자동계산'!N11="","",'⑨ 구배 자동계산'!N11))</f>
        <v/>
      </c>
      <c r="I18" s="32" t="str">
        <f>IF('⑨ 구배 자동계산'!$B$4&lt;&gt;"43_포천","",IF('⑨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자동계산'!$B$4&lt;&gt;"43_포천","",IF('⑨ 구배 자동계산'!H12="","",'⑨ 구배 자동계산'!H12))</f>
        <v/>
      </c>
      <c r="C19" s="32" t="str">
        <f>IF('⑨ 구배 자동계산'!$B$4&lt;&gt;"43_포천","",IF('⑨ 구배 자동계산'!I12="","",'⑨ 구배 자동계산'!I12))</f>
        <v/>
      </c>
      <c r="D19" s="44" t="str">
        <f>IF('⑨ 구배 자동계산'!$B$4&lt;&gt;"43_포천","",IF('⑨ 구배 자동계산'!J12="","",'⑨ 구배 자동계산'!J12))</f>
        <v/>
      </c>
      <c r="E19" s="32" t="str">
        <f>IF('⑨ 구배 자동계산'!$B$4&lt;&gt;"43_포천","",IF('⑨ 구배 자동계산'!K12="","",'⑨ 구배 자동계산'!K12))</f>
        <v/>
      </c>
      <c r="F19" s="44" t="str">
        <f>IF('⑨ 구배 자동계산'!$B$4&lt;&gt;"43_포천","",IF('⑨ 구배 자동계산'!L12="","",'⑨ 구배 자동계산'!L12))</f>
        <v/>
      </c>
      <c r="G19" s="32" t="str">
        <f>IF('⑨ 구배 자동계산'!$B$4&lt;&gt;"43_포천","",IF('⑨ 구배 자동계산'!M12="","",'⑨ 구배 자동계산'!M12))</f>
        <v/>
      </c>
      <c r="H19" s="44" t="str">
        <f>IF('⑨ 구배 자동계산'!$B$4&lt;&gt;"43_포천","",IF('⑨ 구배 자동계산'!N12="","",'⑨ 구배 자동계산'!N12))</f>
        <v/>
      </c>
      <c r="I19" s="32" t="str">
        <f>IF('⑨ 구배 자동계산'!$B$4&lt;&gt;"43_포천","",IF('⑨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자동계산'!$B$4&lt;&gt;"43_포천","",IF('⑨ 구배 자동계산'!H13="","",'⑨ 구배 자동계산'!H13))</f>
        <v/>
      </c>
      <c r="C20" s="32" t="str">
        <f>IF('⑨ 구배 자동계산'!$B$4&lt;&gt;"43_포천","",IF('⑨ 구배 자동계산'!I13="","",'⑨ 구배 자동계산'!I13))</f>
        <v/>
      </c>
      <c r="D20" s="44" t="str">
        <f>IF('⑨ 구배 자동계산'!$B$4&lt;&gt;"43_포천","",IF('⑨ 구배 자동계산'!J13="","",'⑨ 구배 자동계산'!J13))</f>
        <v/>
      </c>
      <c r="E20" s="32" t="str">
        <f>IF('⑨ 구배 자동계산'!$B$4&lt;&gt;"43_포천","",IF('⑨ 구배 자동계산'!K13="","",'⑨ 구배 자동계산'!K13))</f>
        <v/>
      </c>
      <c r="F20" s="44" t="str">
        <f>IF('⑨ 구배 자동계산'!$B$4&lt;&gt;"43_포천","",IF('⑨ 구배 자동계산'!L13="","",'⑨ 구배 자동계산'!L13))</f>
        <v/>
      </c>
      <c r="G20" s="32" t="str">
        <f>IF('⑨ 구배 자동계산'!$B$4&lt;&gt;"43_포천","",IF('⑨ 구배 자동계산'!M13="","",'⑨ 구배 자동계산'!M13))</f>
        <v/>
      </c>
      <c r="H20" s="44" t="str">
        <f>IF('⑨ 구배 자동계산'!$B$4&lt;&gt;"43_포천","",IF('⑨ 구배 자동계산'!N13="","",'⑨ 구배 자동계산'!N13))</f>
        <v/>
      </c>
      <c r="I20" s="32" t="str">
        <f>IF('⑨ 구배 자동계산'!$B$4&lt;&gt;"43_포천","",IF('⑨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자동계산'!$B$4&lt;&gt;"43_포천","",IF('⑨ 구배 자동계산'!H14="","",'⑨ 구배 자동계산'!H14))</f>
        <v/>
      </c>
      <c r="C21" s="32" t="str">
        <f>IF('⑨ 구배 자동계산'!$B$4&lt;&gt;"43_포천","",IF('⑨ 구배 자동계산'!I14="","",'⑨ 구배 자동계산'!I14))</f>
        <v/>
      </c>
      <c r="D21" s="44" t="str">
        <f>IF('⑨ 구배 자동계산'!$B$4&lt;&gt;"43_포천","",IF('⑨ 구배 자동계산'!J14="","",'⑨ 구배 자동계산'!J14))</f>
        <v/>
      </c>
      <c r="E21" s="32" t="str">
        <f>IF('⑨ 구배 자동계산'!$B$4&lt;&gt;"43_포천","",IF('⑨ 구배 자동계산'!K14="","",'⑨ 구배 자동계산'!K14))</f>
        <v/>
      </c>
      <c r="F21" s="44" t="str">
        <f>IF('⑨ 구배 자동계산'!$B$4&lt;&gt;"43_포천","",IF('⑨ 구배 자동계산'!L14="","",'⑨ 구배 자동계산'!L14))</f>
        <v/>
      </c>
      <c r="G21" s="32" t="str">
        <f>IF('⑨ 구배 자동계산'!$B$4&lt;&gt;"43_포천","",IF('⑨ 구배 자동계산'!M14="","",'⑨ 구배 자동계산'!M14))</f>
        <v/>
      </c>
      <c r="H21" s="44" t="str">
        <f>IF('⑨ 구배 자동계산'!$B$4&lt;&gt;"43_포천","",IF('⑨ 구배 자동계산'!N14="","",'⑨ 구배 자동계산'!N14))</f>
        <v/>
      </c>
      <c r="I21" s="32" t="str">
        <f>IF('⑨ 구배 자동계산'!$B$4&lt;&gt;"43_포천","",IF('⑨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자동계산'!$B$4&lt;&gt;"43_포천","",IF('⑨ 구배 자동계산'!H15="","",'⑨ 구배 자동계산'!H15))</f>
        <v/>
      </c>
      <c r="C22" s="32" t="str">
        <f>IF('⑨ 구배 자동계산'!$B$4&lt;&gt;"43_포천","",IF('⑨ 구배 자동계산'!I15="","",'⑨ 구배 자동계산'!I15))</f>
        <v/>
      </c>
      <c r="D22" s="44" t="str">
        <f>IF('⑨ 구배 자동계산'!$B$4&lt;&gt;"43_포천","",IF('⑨ 구배 자동계산'!J15="","",'⑨ 구배 자동계산'!J15))</f>
        <v/>
      </c>
      <c r="E22" s="32" t="str">
        <f>IF('⑨ 구배 자동계산'!$B$4&lt;&gt;"43_포천","",IF('⑨ 구배 자동계산'!K15="","",'⑨ 구배 자동계산'!K15))</f>
        <v/>
      </c>
      <c r="F22" s="44" t="str">
        <f>IF('⑨ 구배 자동계산'!$B$4&lt;&gt;"43_포천","",IF('⑨ 구배 자동계산'!L15="","",'⑨ 구배 자동계산'!L15))</f>
        <v/>
      </c>
      <c r="G22" s="32" t="str">
        <f>IF('⑨ 구배 자동계산'!$B$4&lt;&gt;"43_포천","",IF('⑨ 구배 자동계산'!M15="","",'⑨ 구배 자동계산'!M15))</f>
        <v/>
      </c>
      <c r="H22" s="44" t="str">
        <f>IF('⑨ 구배 자동계산'!$B$4&lt;&gt;"43_포천","",IF('⑨ 구배 자동계산'!N15="","",'⑨ 구배 자동계산'!N15))</f>
        <v/>
      </c>
      <c r="I22" s="32" t="str">
        <f>IF('⑨ 구배 자동계산'!$B$4&lt;&gt;"43_포천","",IF('⑨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자동계산'!$B$4&lt;&gt;"43_포천","",IF('⑨ 구배 자동계산'!H16="","",'⑨ 구배 자동계산'!H16))</f>
        <v/>
      </c>
      <c r="C23" s="32" t="str">
        <f>IF('⑨ 구배 자동계산'!$B$4&lt;&gt;"43_포천","",IF('⑨ 구배 자동계산'!I16="","",'⑨ 구배 자동계산'!I16))</f>
        <v/>
      </c>
      <c r="D23" s="44" t="str">
        <f>IF('⑨ 구배 자동계산'!$B$4&lt;&gt;"43_포천","",IF('⑨ 구배 자동계산'!J16="","",'⑨ 구배 자동계산'!J16))</f>
        <v/>
      </c>
      <c r="E23" s="32" t="str">
        <f>IF('⑨ 구배 자동계산'!$B$4&lt;&gt;"43_포천","",IF('⑨ 구배 자동계산'!K16="","",'⑨ 구배 자동계산'!K16))</f>
        <v/>
      </c>
      <c r="F23" s="44" t="str">
        <f>IF('⑨ 구배 자동계산'!$B$4&lt;&gt;"43_포천","",IF('⑨ 구배 자동계산'!L16="","",'⑨ 구배 자동계산'!L16))</f>
        <v/>
      </c>
      <c r="G23" s="32" t="str">
        <f>IF('⑨ 구배 자동계산'!$B$4&lt;&gt;"43_포천","",IF('⑨ 구배 자동계산'!M16="","",'⑨ 구배 자동계산'!M16))</f>
        <v/>
      </c>
      <c r="H23" s="44" t="str">
        <f>IF('⑨ 구배 자동계산'!$B$4&lt;&gt;"43_포천","",IF('⑨ 구배 자동계산'!N16="","",'⑨ 구배 자동계산'!N16))</f>
        <v/>
      </c>
      <c r="I23" s="32" t="str">
        <f>IF('⑨ 구배 자동계산'!$B$4&lt;&gt;"43_포천","",IF('⑨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자동계산'!$B$4&lt;&gt;"43_포천","",IF('⑨ 구배 자동계산'!H17="","",'⑨ 구배 자동계산'!H17))</f>
        <v/>
      </c>
      <c r="C24" s="32" t="str">
        <f>IF('⑨ 구배 자동계산'!$B$4&lt;&gt;"43_포천","",IF('⑨ 구배 자동계산'!I17="","",'⑨ 구배 자동계산'!I17))</f>
        <v/>
      </c>
      <c r="D24" s="44" t="str">
        <f>IF('⑨ 구배 자동계산'!$B$4&lt;&gt;"43_포천","",IF('⑨ 구배 자동계산'!J17="","",'⑨ 구배 자동계산'!J17))</f>
        <v/>
      </c>
      <c r="E24" s="32" t="str">
        <f>IF('⑨ 구배 자동계산'!$B$4&lt;&gt;"43_포천","",IF('⑨ 구배 자동계산'!K17="","",'⑨ 구배 자동계산'!K17))</f>
        <v/>
      </c>
      <c r="F24" s="44" t="str">
        <f>IF('⑨ 구배 자동계산'!$B$4&lt;&gt;"43_포천","",IF('⑨ 구배 자동계산'!L17="","",'⑨ 구배 자동계산'!L17))</f>
        <v/>
      </c>
      <c r="G24" s="32" t="str">
        <f>IF('⑨ 구배 자동계산'!$B$4&lt;&gt;"43_포천","",IF('⑨ 구배 자동계산'!M17="","",'⑨ 구배 자동계산'!M17))</f>
        <v/>
      </c>
      <c r="H24" s="44" t="str">
        <f>IF('⑨ 구배 자동계산'!$B$4&lt;&gt;"43_포천","",IF('⑨ 구배 자동계산'!N17="","",'⑨ 구배 자동계산'!N17))</f>
        <v/>
      </c>
      <c r="I24" s="32" t="str">
        <f>IF('⑨ 구배 자동계산'!$B$4&lt;&gt;"43_포천","",IF('⑨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자동계산'!$B$4&lt;&gt;"43_포천","",IF('⑨ 구배 자동계산'!H18="","",'⑨ 구배 자동계산'!H18))</f>
        <v/>
      </c>
      <c r="C25" s="32" t="str">
        <f>IF('⑨ 구배 자동계산'!$B$4&lt;&gt;"43_포천","",IF('⑨ 구배 자동계산'!I18="","",'⑨ 구배 자동계산'!I18))</f>
        <v/>
      </c>
      <c r="D25" s="44" t="str">
        <f>IF('⑨ 구배 자동계산'!$B$4&lt;&gt;"43_포천","",IF('⑨ 구배 자동계산'!J18="","",'⑨ 구배 자동계산'!J18))</f>
        <v/>
      </c>
      <c r="E25" s="32" t="str">
        <f>IF('⑨ 구배 자동계산'!$B$4&lt;&gt;"43_포천","",IF('⑨ 구배 자동계산'!K18="","",'⑨ 구배 자동계산'!K18))</f>
        <v/>
      </c>
      <c r="F25" s="44" t="str">
        <f>IF('⑨ 구배 자동계산'!$B$4&lt;&gt;"43_포천","",IF('⑨ 구배 자동계산'!L18="","",'⑨ 구배 자동계산'!L18))</f>
        <v/>
      </c>
      <c r="G25" s="32" t="str">
        <f>IF('⑨ 구배 자동계산'!$B$4&lt;&gt;"43_포천","",IF('⑨ 구배 자동계산'!M18="","",'⑨ 구배 자동계산'!M18))</f>
        <v/>
      </c>
      <c r="H25" s="44" t="str">
        <f>IF('⑨ 구배 자동계산'!$B$4&lt;&gt;"43_포천","",IF('⑨ 구배 자동계산'!N18="","",'⑨ 구배 자동계산'!N18))</f>
        <v/>
      </c>
      <c r="I25" s="32" t="str">
        <f>IF('⑨ 구배 자동계산'!$B$4&lt;&gt;"43_포천","",IF('⑨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자동계산'!$B$4&lt;&gt;"43_포천","",IF('⑨ 구배 자동계산'!H19="","",'⑨ 구배 자동계산'!H19))</f>
        <v/>
      </c>
      <c r="C26" s="32" t="str">
        <f>IF('⑨ 구배 자동계산'!$B$4&lt;&gt;"43_포천","",IF('⑨ 구배 자동계산'!I19="","",'⑨ 구배 자동계산'!I19))</f>
        <v/>
      </c>
      <c r="D26" s="44" t="str">
        <f>IF('⑨ 구배 자동계산'!$B$4&lt;&gt;"43_포천","",IF('⑨ 구배 자동계산'!J19="","",'⑨ 구배 자동계산'!J19))</f>
        <v/>
      </c>
      <c r="E26" s="32" t="str">
        <f>IF('⑨ 구배 자동계산'!$B$4&lt;&gt;"43_포천","",IF('⑨ 구배 자동계산'!K19="","",'⑨ 구배 자동계산'!K19))</f>
        <v/>
      </c>
      <c r="F26" s="44" t="str">
        <f>IF('⑨ 구배 자동계산'!$B$4&lt;&gt;"43_포천","",IF('⑨ 구배 자동계산'!L19="","",'⑨ 구배 자동계산'!L19))</f>
        <v/>
      </c>
      <c r="G26" s="32" t="str">
        <f>IF('⑨ 구배 자동계산'!$B$4&lt;&gt;"43_포천","",IF('⑨ 구배 자동계산'!M19="","",'⑨ 구배 자동계산'!M19))</f>
        <v/>
      </c>
      <c r="H26" s="44" t="str">
        <f>IF('⑨ 구배 자동계산'!$B$4&lt;&gt;"43_포천","",IF('⑨ 구배 자동계산'!N19="","",'⑨ 구배 자동계산'!N19))</f>
        <v/>
      </c>
      <c r="I26" s="32" t="str">
        <f>IF('⑨ 구배 자동계산'!$B$4&lt;&gt;"43_포천","",IF('⑨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자동계산'!$B$4&lt;&gt;"43_포천","",IF('⑨ 구배 자동계산'!H20="","",'⑨ 구배 자동계산'!H20))</f>
        <v/>
      </c>
      <c r="C27" s="41" t="str">
        <f>IF('⑨ 구배 자동계산'!$B$4&lt;&gt;"43_포천","",IF('⑨ 구배 자동계산'!I20="","",'⑨ 구배 자동계산'!I20))</f>
        <v/>
      </c>
      <c r="D27" s="45" t="str">
        <f>IF('⑨ 구배 자동계산'!$B$4&lt;&gt;"43_포천","",IF('⑨ 구배 자동계산'!J20="","",'⑨ 구배 자동계산'!J20))</f>
        <v/>
      </c>
      <c r="E27" s="41" t="str">
        <f>IF('⑨ 구배 자동계산'!$B$4&lt;&gt;"43_포천","",IF('⑨ 구배 자동계산'!K20="","",'⑨ 구배 자동계산'!K20))</f>
        <v/>
      </c>
      <c r="F27" s="45" t="str">
        <f>IF('⑨ 구배 자동계산'!$B$4&lt;&gt;"43_포천","",IF('⑨ 구배 자동계산'!L20="","",'⑨ 구배 자동계산'!L20))</f>
        <v/>
      </c>
      <c r="G27" s="41" t="str">
        <f>IF('⑨ 구배 자동계산'!$B$4&lt;&gt;"43_포천","",IF('⑨ 구배 자동계산'!M20="","",'⑨ 구배 자동계산'!M20))</f>
        <v/>
      </c>
      <c r="H27" s="45" t="str">
        <f>IF('⑨ 구배 자동계산'!$B$4&lt;&gt;"43_포천","",IF('⑨ 구배 자동계산'!N20="","",'⑨ 구배 자동계산'!N20))</f>
        <v/>
      </c>
      <c r="I27" s="41" t="str">
        <f>IF('⑨ 구배 자동계산'!$B$4&lt;&gt;"43_포천","",IF('⑨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자동계산'!$B$4&lt;&gt;"43_포천","",IF('⑨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자동계산'!$B$4&lt;&gt;"43_포천","",IF('⑨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자동계산'!$B$4&lt;&gt;"43_포천","",IF('⑨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자동계산'!$B$4&lt;&gt;"43_포천","",IF('⑨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자동계산'!$B$4&lt;&gt;"43_포천","",IF('⑨ 구배 자동계산'!I23="","",'⑨ 구배 자동계산'!I23))</f>
        <v/>
      </c>
      <c r="D42" s="8"/>
      <c r="E42" s="8"/>
      <c r="F42" s="8"/>
      <c r="G42" s="92" t="str">
        <f>IF('⑨ 구배 자동계산'!$B$4&lt;&gt;"43_포천","",IF('⑨ 구배 자동계산'!$J23="","",'⑨ 구배 자동계산'!$J23&amp;"  ·  "&amp;'⑨ 구배 자동계산'!$L23))</f>
        <v/>
      </c>
      <c r="H42" s="93"/>
      <c r="I42" s="93"/>
    </row>
    <row r="43" spans="1:35" ht="19.95" customHeight="1" x14ac:dyDescent="0.4">
      <c r="A43" s="8">
        <v>3</v>
      </c>
      <c r="B43" s="33">
        <v>140</v>
      </c>
      <c r="C43" s="32" t="str">
        <f>IF('⑨ 구배 자동계산'!$B$4&lt;&gt;"43_포천","",IF('⑨ 구배 자동계산'!I24="","",'⑨ 구배 자동계산'!I24))</f>
        <v/>
      </c>
      <c r="D43" s="34">
        <f>IF(COUNT(B43,B42)&lt;2,"",(B42-B43)/100)</f>
        <v>0.45</v>
      </c>
      <c r="E43" s="35" t="str">
        <f>IF(COUNT(C43,C42)&lt;2,"",C43-C42)</f>
        <v/>
      </c>
      <c r="F43" s="36" t="str">
        <f>IF(OR(D43="",E43="",D43=0),"",E43/D43)</f>
        <v/>
      </c>
      <c r="G43" s="92" t="str">
        <f>IF('⑨ 구배 자동계산'!$B$4&lt;&gt;"43_포천","",IF('⑨ 구배 자동계산'!$J24="","",'⑨ 구배 자동계산'!$J24&amp;"  ·  "&amp;'⑨ 구배 자동계산'!$L24))</f>
        <v/>
      </c>
      <c r="H43" s="93"/>
      <c r="I43" s="93"/>
      <c r="AH43" t="s">
        <v>234</v>
      </c>
    </row>
    <row r="44" spans="1:35" ht="19.95" customHeight="1" x14ac:dyDescent="0.4">
      <c r="A44" s="8">
        <v>2</v>
      </c>
      <c r="B44" s="33">
        <v>95</v>
      </c>
      <c r="C44" s="32" t="str">
        <f>IF('⑨ 구배 자동계산'!$B$4&lt;&gt;"43_포천","",IF('⑨ 구배 자동계산'!I25="","",'⑨ 구배 자동계산'!I25))</f>
        <v/>
      </c>
      <c r="D44" s="34">
        <f>IF(COUNT(B44,B43)&lt;2,"",(B43-B44)/100)</f>
        <v>0.45</v>
      </c>
      <c r="E44" s="35" t="str">
        <f>IF(COUNT(C44,C43)&lt;2,"",C44-C43)</f>
        <v/>
      </c>
      <c r="F44" s="36" t="str">
        <f>IF(OR(D44="",E44="",D44=0),"",E44/D44)</f>
        <v/>
      </c>
      <c r="G44" s="92" t="str">
        <f>IF('⑨ 구배 자동계산'!$B$4&lt;&gt;"43_포천","",IF('⑨ 구배 자동계산'!$J25="","",'⑨ 구배 자동계산'!$J25&amp;"  ·  "&amp;'⑨ 구배 자동계산'!$L25))</f>
        <v/>
      </c>
      <c r="H44" s="93"/>
      <c r="I44" s="93"/>
    </row>
    <row r="45" spans="1:35" ht="19.95" customHeight="1" x14ac:dyDescent="0.4">
      <c r="A45" s="8">
        <v>1</v>
      </c>
      <c r="B45" s="33">
        <v>50</v>
      </c>
      <c r="C45" s="32" t="str">
        <f>IF('⑨ 구배 자동계산'!$B$4&lt;&gt;"43_포천","",IF('⑨ 구배 자동계산'!I26="","",'⑨ 구배 자동계산'!I26))</f>
        <v/>
      </c>
      <c r="D45" s="34">
        <f>IF(COUNT(B45,B44)&lt;2,"",(B44-B45)/100)</f>
        <v>0.45</v>
      </c>
      <c r="E45" s="35" t="str">
        <f>IF(COUNT(C45,C44)&lt;2,"",C45-C44)</f>
        <v/>
      </c>
      <c r="F45" s="36" t="str">
        <f>IF(OR(D45="",E45="",D45=0),"",E45/D45)</f>
        <v/>
      </c>
      <c r="G45" s="92" t="str">
        <f>IF('⑨ 구배 자동계산'!$B$4&lt;&gt;"43_포천","",IF('⑨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IF(COUNT(B50,E50)&lt;2,"",ROUND(SQRT(((127.134628-E50)*111320*COS(RADIANS(37.990903)))^2+((37.990903-B50)*110574)^2),1))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S43-P0a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39" priority="1">
      <formula>AND(ISNUMBER(C31),C31&gt;50)</formula>
    </cfRule>
  </conditionalFormatting>
  <conditionalFormatting sqref="D7">
    <cfRule type="expression" dxfId="38" priority="3" stopIfTrue="1">
      <formula>AND($D$7&lt;&gt;"",VALUE(LEFT($D$7,1))&lt;5)</formula>
    </cfRule>
    <cfRule type="expression" dxfId="37" priority="4" stopIfTrue="1">
      <formula>AND($D$7&lt;&gt;"",VALUE(LEFT($D$7,1))&gt;=5)</formula>
    </cfRule>
  </conditionalFormatting>
  <conditionalFormatting sqref="E7">
    <cfRule type="expression" dxfId="36" priority="5" stopIfTrue="1">
      <formula>AND($E$7&lt;&gt;"",VALUE(LEFT($E$7,1))&lt;5)</formula>
    </cfRule>
    <cfRule type="expression" dxfId="3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20AF980B-7422-4E28-850E-D50D823630AE}">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AE3AF853-A3ED-4388-9E72-1DDAC434B0FD}">
      <formula1>DATE(2026,1,1)</formula1>
      <formula2>DATE(2027,12,31)</formula2>
    </dataValidation>
    <dataValidation type="list" allowBlank="1" sqref="C7" xr:uid="{69A91124-F55D-4826-AD35-FE667A255529}">
      <formula1>"맑음,구름 조금,흐림,비,눈,바람 강함"</formula1>
    </dataValidation>
    <dataValidation type="list" allowBlank="1" sqref="H50" xr:uid="{808FF495-CA49-4F05-B452-18E414E9575C}">
      <formula1>"RTK-GNSS,네트워크RTK,정적GNSS,휴대GNSS"</formula1>
    </dataValidation>
    <dataValidation type="list" allowBlank="1" sqref="B109" xr:uid="{88A292A0-04D6-46C3-9A92-78C049C9E1B8}">
      <formula1>"동일,조정"</formula1>
    </dataValidation>
    <dataValidation type="list" allowBlank="1" showInputMessage="1" showErrorMessage="1" sqref="F56:F57" xr:uid="{1F30FDEE-FC0F-4FBE-815A-D88992801F9C}">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&amp;RS43 포천</oddHeader>
    <oddFooter>&amp;C&amp;9 &amp;P / &amp;N</oddFooter>
  </headerFooter>
  <rowBreaks count="3" manualBreakCount="3">
    <brk id="38" max="16383" man="1"/>
    <brk id="58" max="16383" man="1"/>
    <brk id="106" max="16383" man="1"/>
  </row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76F25-E644-454E-9DBF-200A73FCE4AE}">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521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522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523</v>
      </c>
      <c r="B3" s="68"/>
      <c r="C3" s="68"/>
      <c r="D3" s="68"/>
      <c r="E3" s="68"/>
      <c r="F3" s="8" t="s">
        <v>154</v>
      </c>
      <c r="G3" s="6"/>
      <c r="H3" s="8" t="s">
        <v>155</v>
      </c>
      <c r="I3" s="9" t="s">
        <v>524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자동계산'!$B$4="44_성산","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자동계산'!$B$4&lt;&gt;"44_성산","",IF('⑨ 구배 자동계산'!H9="","",'⑨ 구배 자동계산'!H9))</f>
        <v/>
      </c>
      <c r="C16" s="30" t="str">
        <f>IF('⑨ 구배 자동계산'!$B$4&lt;&gt;"44_성산","",IF('⑨ 구배 자동계산'!I9="","",'⑨ 구배 자동계산'!I9))</f>
        <v/>
      </c>
      <c r="D16" s="43" t="str">
        <f>IF('⑨ 구배 자동계산'!$B$4&lt;&gt;"44_성산","",IF('⑨ 구배 자동계산'!J9="","",'⑨ 구배 자동계산'!J9))</f>
        <v/>
      </c>
      <c r="E16" s="30" t="str">
        <f>IF('⑨ 구배 자동계산'!$B$4&lt;&gt;"44_성산","",IF('⑨ 구배 자동계산'!K9="","",'⑨ 구배 자동계산'!K9))</f>
        <v/>
      </c>
      <c r="F16" s="43" t="str">
        <f>IF('⑨ 구배 자동계산'!$B$4&lt;&gt;"44_성산","",IF('⑨ 구배 자동계산'!L9="","",'⑨ 구배 자동계산'!L9))</f>
        <v/>
      </c>
      <c r="G16" s="30" t="str">
        <f>IF('⑨ 구배 자동계산'!$B$4&lt;&gt;"44_성산","",IF('⑨ 구배 자동계산'!M9="","",'⑨ 구배 자동계산'!M9))</f>
        <v/>
      </c>
      <c r="H16" s="43" t="str">
        <f>IF('⑨ 구배 자동계산'!$B$4&lt;&gt;"44_성산","",IF('⑨ 구배 자동계산'!N9="","",'⑨ 구배 자동계산'!N9))</f>
        <v/>
      </c>
      <c r="I16" s="30" t="str">
        <f>IF('⑨ 구배 자동계산'!$B$4&lt;&gt;"44_성산","",IF('⑨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자동계산'!$B$4&lt;&gt;"44_성산","",IF('⑨ 구배 자동계산'!H10="","",'⑨ 구배 자동계산'!H10))</f>
        <v/>
      </c>
      <c r="C17" s="32" t="str">
        <f>IF('⑨ 구배 자동계산'!$B$4&lt;&gt;"44_성산","",IF('⑨ 구배 자동계산'!I10="","",'⑨ 구배 자동계산'!I10))</f>
        <v/>
      </c>
      <c r="D17" s="44" t="str">
        <f>IF('⑨ 구배 자동계산'!$B$4&lt;&gt;"44_성산","",IF('⑨ 구배 자동계산'!J10="","",'⑨ 구배 자동계산'!J10))</f>
        <v/>
      </c>
      <c r="E17" s="32" t="str">
        <f>IF('⑨ 구배 자동계산'!$B$4&lt;&gt;"44_성산","",IF('⑨ 구배 자동계산'!K10="","",'⑨ 구배 자동계산'!K10))</f>
        <v/>
      </c>
      <c r="F17" s="44" t="str">
        <f>IF('⑨ 구배 자동계산'!$B$4&lt;&gt;"44_성산","",IF('⑨ 구배 자동계산'!L10="","",'⑨ 구배 자동계산'!L10))</f>
        <v/>
      </c>
      <c r="G17" s="32" t="str">
        <f>IF('⑨ 구배 자동계산'!$B$4&lt;&gt;"44_성산","",IF('⑨ 구배 자동계산'!M10="","",'⑨ 구배 자동계산'!M10))</f>
        <v/>
      </c>
      <c r="H17" s="44" t="str">
        <f>IF('⑨ 구배 자동계산'!$B$4&lt;&gt;"44_성산","",IF('⑨ 구배 자동계산'!N10="","",'⑨ 구배 자동계산'!N10))</f>
        <v/>
      </c>
      <c r="I17" s="32" t="str">
        <f>IF('⑨ 구배 자동계산'!$B$4&lt;&gt;"44_성산","",IF('⑨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자동계산'!$B$4&lt;&gt;"44_성산","",IF('⑨ 구배 자동계산'!H11="","",'⑨ 구배 자동계산'!H11))</f>
        <v/>
      </c>
      <c r="C18" s="32" t="str">
        <f>IF('⑨ 구배 자동계산'!$B$4&lt;&gt;"44_성산","",IF('⑨ 구배 자동계산'!I11="","",'⑨ 구배 자동계산'!I11))</f>
        <v/>
      </c>
      <c r="D18" s="44" t="str">
        <f>IF('⑨ 구배 자동계산'!$B$4&lt;&gt;"44_성산","",IF('⑨ 구배 자동계산'!J11="","",'⑨ 구배 자동계산'!J11))</f>
        <v/>
      </c>
      <c r="E18" s="32" t="str">
        <f>IF('⑨ 구배 자동계산'!$B$4&lt;&gt;"44_성산","",IF('⑨ 구배 자동계산'!K11="","",'⑨ 구배 자동계산'!K11))</f>
        <v/>
      </c>
      <c r="F18" s="44" t="str">
        <f>IF('⑨ 구배 자동계산'!$B$4&lt;&gt;"44_성산","",IF('⑨ 구배 자동계산'!L11="","",'⑨ 구배 자동계산'!L11))</f>
        <v/>
      </c>
      <c r="G18" s="32" t="str">
        <f>IF('⑨ 구배 자동계산'!$B$4&lt;&gt;"44_성산","",IF('⑨ 구배 자동계산'!M11="","",'⑨ 구배 자동계산'!M11))</f>
        <v/>
      </c>
      <c r="H18" s="44" t="str">
        <f>IF('⑨ 구배 자동계산'!$B$4&lt;&gt;"44_성산","",IF('⑨ 구배 자동계산'!N11="","",'⑨ 구배 자동계산'!N11))</f>
        <v/>
      </c>
      <c r="I18" s="32" t="str">
        <f>IF('⑨ 구배 자동계산'!$B$4&lt;&gt;"44_성산","",IF('⑨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자동계산'!$B$4&lt;&gt;"44_성산","",IF('⑨ 구배 자동계산'!H12="","",'⑨ 구배 자동계산'!H12))</f>
        <v/>
      </c>
      <c r="C19" s="32" t="str">
        <f>IF('⑨ 구배 자동계산'!$B$4&lt;&gt;"44_성산","",IF('⑨ 구배 자동계산'!I12="","",'⑨ 구배 자동계산'!I12))</f>
        <v/>
      </c>
      <c r="D19" s="44" t="str">
        <f>IF('⑨ 구배 자동계산'!$B$4&lt;&gt;"44_성산","",IF('⑨ 구배 자동계산'!J12="","",'⑨ 구배 자동계산'!J12))</f>
        <v/>
      </c>
      <c r="E19" s="32" t="str">
        <f>IF('⑨ 구배 자동계산'!$B$4&lt;&gt;"44_성산","",IF('⑨ 구배 자동계산'!K12="","",'⑨ 구배 자동계산'!K12))</f>
        <v/>
      </c>
      <c r="F19" s="44" t="str">
        <f>IF('⑨ 구배 자동계산'!$B$4&lt;&gt;"44_성산","",IF('⑨ 구배 자동계산'!L12="","",'⑨ 구배 자동계산'!L12))</f>
        <v/>
      </c>
      <c r="G19" s="32" t="str">
        <f>IF('⑨ 구배 자동계산'!$B$4&lt;&gt;"44_성산","",IF('⑨ 구배 자동계산'!M12="","",'⑨ 구배 자동계산'!M12))</f>
        <v/>
      </c>
      <c r="H19" s="44" t="str">
        <f>IF('⑨ 구배 자동계산'!$B$4&lt;&gt;"44_성산","",IF('⑨ 구배 자동계산'!N12="","",'⑨ 구배 자동계산'!N12))</f>
        <v/>
      </c>
      <c r="I19" s="32" t="str">
        <f>IF('⑨ 구배 자동계산'!$B$4&lt;&gt;"44_성산","",IF('⑨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자동계산'!$B$4&lt;&gt;"44_성산","",IF('⑨ 구배 자동계산'!H13="","",'⑨ 구배 자동계산'!H13))</f>
        <v/>
      </c>
      <c r="C20" s="32" t="str">
        <f>IF('⑨ 구배 자동계산'!$B$4&lt;&gt;"44_성산","",IF('⑨ 구배 자동계산'!I13="","",'⑨ 구배 자동계산'!I13))</f>
        <v/>
      </c>
      <c r="D20" s="44" t="str">
        <f>IF('⑨ 구배 자동계산'!$B$4&lt;&gt;"44_성산","",IF('⑨ 구배 자동계산'!J13="","",'⑨ 구배 자동계산'!J13))</f>
        <v/>
      </c>
      <c r="E20" s="32" t="str">
        <f>IF('⑨ 구배 자동계산'!$B$4&lt;&gt;"44_성산","",IF('⑨ 구배 자동계산'!K13="","",'⑨ 구배 자동계산'!K13))</f>
        <v/>
      </c>
      <c r="F20" s="44" t="str">
        <f>IF('⑨ 구배 자동계산'!$B$4&lt;&gt;"44_성산","",IF('⑨ 구배 자동계산'!L13="","",'⑨ 구배 자동계산'!L13))</f>
        <v/>
      </c>
      <c r="G20" s="32" t="str">
        <f>IF('⑨ 구배 자동계산'!$B$4&lt;&gt;"44_성산","",IF('⑨ 구배 자동계산'!M13="","",'⑨ 구배 자동계산'!M13))</f>
        <v/>
      </c>
      <c r="H20" s="44" t="str">
        <f>IF('⑨ 구배 자동계산'!$B$4&lt;&gt;"44_성산","",IF('⑨ 구배 자동계산'!N13="","",'⑨ 구배 자동계산'!N13))</f>
        <v/>
      </c>
      <c r="I20" s="32" t="str">
        <f>IF('⑨ 구배 자동계산'!$B$4&lt;&gt;"44_성산","",IF('⑨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자동계산'!$B$4&lt;&gt;"44_성산","",IF('⑨ 구배 자동계산'!H14="","",'⑨ 구배 자동계산'!H14))</f>
        <v/>
      </c>
      <c r="C21" s="32" t="str">
        <f>IF('⑨ 구배 자동계산'!$B$4&lt;&gt;"44_성산","",IF('⑨ 구배 자동계산'!I14="","",'⑨ 구배 자동계산'!I14))</f>
        <v/>
      </c>
      <c r="D21" s="44" t="str">
        <f>IF('⑨ 구배 자동계산'!$B$4&lt;&gt;"44_성산","",IF('⑨ 구배 자동계산'!J14="","",'⑨ 구배 자동계산'!J14))</f>
        <v/>
      </c>
      <c r="E21" s="32" t="str">
        <f>IF('⑨ 구배 자동계산'!$B$4&lt;&gt;"44_성산","",IF('⑨ 구배 자동계산'!K14="","",'⑨ 구배 자동계산'!K14))</f>
        <v/>
      </c>
      <c r="F21" s="44" t="str">
        <f>IF('⑨ 구배 자동계산'!$B$4&lt;&gt;"44_성산","",IF('⑨ 구배 자동계산'!L14="","",'⑨ 구배 자동계산'!L14))</f>
        <v/>
      </c>
      <c r="G21" s="32" t="str">
        <f>IF('⑨ 구배 자동계산'!$B$4&lt;&gt;"44_성산","",IF('⑨ 구배 자동계산'!M14="","",'⑨ 구배 자동계산'!M14))</f>
        <v/>
      </c>
      <c r="H21" s="44" t="str">
        <f>IF('⑨ 구배 자동계산'!$B$4&lt;&gt;"44_성산","",IF('⑨ 구배 자동계산'!N14="","",'⑨ 구배 자동계산'!N14))</f>
        <v/>
      </c>
      <c r="I21" s="32" t="str">
        <f>IF('⑨ 구배 자동계산'!$B$4&lt;&gt;"44_성산","",IF('⑨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자동계산'!$B$4&lt;&gt;"44_성산","",IF('⑨ 구배 자동계산'!H15="","",'⑨ 구배 자동계산'!H15))</f>
        <v/>
      </c>
      <c r="C22" s="32" t="str">
        <f>IF('⑨ 구배 자동계산'!$B$4&lt;&gt;"44_성산","",IF('⑨ 구배 자동계산'!I15="","",'⑨ 구배 자동계산'!I15))</f>
        <v/>
      </c>
      <c r="D22" s="44" t="str">
        <f>IF('⑨ 구배 자동계산'!$B$4&lt;&gt;"44_성산","",IF('⑨ 구배 자동계산'!J15="","",'⑨ 구배 자동계산'!J15))</f>
        <v/>
      </c>
      <c r="E22" s="32" t="str">
        <f>IF('⑨ 구배 자동계산'!$B$4&lt;&gt;"44_성산","",IF('⑨ 구배 자동계산'!K15="","",'⑨ 구배 자동계산'!K15))</f>
        <v/>
      </c>
      <c r="F22" s="44" t="str">
        <f>IF('⑨ 구배 자동계산'!$B$4&lt;&gt;"44_성산","",IF('⑨ 구배 자동계산'!L15="","",'⑨ 구배 자동계산'!L15))</f>
        <v/>
      </c>
      <c r="G22" s="32" t="str">
        <f>IF('⑨ 구배 자동계산'!$B$4&lt;&gt;"44_성산","",IF('⑨ 구배 자동계산'!M15="","",'⑨ 구배 자동계산'!M15))</f>
        <v/>
      </c>
      <c r="H22" s="44" t="str">
        <f>IF('⑨ 구배 자동계산'!$B$4&lt;&gt;"44_성산","",IF('⑨ 구배 자동계산'!N15="","",'⑨ 구배 자동계산'!N15))</f>
        <v/>
      </c>
      <c r="I22" s="32" t="str">
        <f>IF('⑨ 구배 자동계산'!$B$4&lt;&gt;"44_성산","",IF('⑨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자동계산'!$B$4&lt;&gt;"44_성산","",IF('⑨ 구배 자동계산'!H16="","",'⑨ 구배 자동계산'!H16))</f>
        <v/>
      </c>
      <c r="C23" s="32" t="str">
        <f>IF('⑨ 구배 자동계산'!$B$4&lt;&gt;"44_성산","",IF('⑨ 구배 자동계산'!I16="","",'⑨ 구배 자동계산'!I16))</f>
        <v/>
      </c>
      <c r="D23" s="44" t="str">
        <f>IF('⑨ 구배 자동계산'!$B$4&lt;&gt;"44_성산","",IF('⑨ 구배 자동계산'!J16="","",'⑨ 구배 자동계산'!J16))</f>
        <v/>
      </c>
      <c r="E23" s="32" t="str">
        <f>IF('⑨ 구배 자동계산'!$B$4&lt;&gt;"44_성산","",IF('⑨ 구배 자동계산'!K16="","",'⑨ 구배 자동계산'!K16))</f>
        <v/>
      </c>
      <c r="F23" s="44" t="str">
        <f>IF('⑨ 구배 자동계산'!$B$4&lt;&gt;"44_성산","",IF('⑨ 구배 자동계산'!L16="","",'⑨ 구배 자동계산'!L16))</f>
        <v/>
      </c>
      <c r="G23" s="32" t="str">
        <f>IF('⑨ 구배 자동계산'!$B$4&lt;&gt;"44_성산","",IF('⑨ 구배 자동계산'!M16="","",'⑨ 구배 자동계산'!M16))</f>
        <v/>
      </c>
      <c r="H23" s="44" t="str">
        <f>IF('⑨ 구배 자동계산'!$B$4&lt;&gt;"44_성산","",IF('⑨ 구배 자동계산'!N16="","",'⑨ 구배 자동계산'!N16))</f>
        <v/>
      </c>
      <c r="I23" s="32" t="str">
        <f>IF('⑨ 구배 자동계산'!$B$4&lt;&gt;"44_성산","",IF('⑨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자동계산'!$B$4&lt;&gt;"44_성산","",IF('⑨ 구배 자동계산'!H17="","",'⑨ 구배 자동계산'!H17))</f>
        <v/>
      </c>
      <c r="C24" s="32" t="str">
        <f>IF('⑨ 구배 자동계산'!$B$4&lt;&gt;"44_성산","",IF('⑨ 구배 자동계산'!I17="","",'⑨ 구배 자동계산'!I17))</f>
        <v/>
      </c>
      <c r="D24" s="44" t="str">
        <f>IF('⑨ 구배 자동계산'!$B$4&lt;&gt;"44_성산","",IF('⑨ 구배 자동계산'!J17="","",'⑨ 구배 자동계산'!J17))</f>
        <v/>
      </c>
      <c r="E24" s="32" t="str">
        <f>IF('⑨ 구배 자동계산'!$B$4&lt;&gt;"44_성산","",IF('⑨ 구배 자동계산'!K17="","",'⑨ 구배 자동계산'!K17))</f>
        <v/>
      </c>
      <c r="F24" s="44" t="str">
        <f>IF('⑨ 구배 자동계산'!$B$4&lt;&gt;"44_성산","",IF('⑨ 구배 자동계산'!L17="","",'⑨ 구배 자동계산'!L17))</f>
        <v/>
      </c>
      <c r="G24" s="32" t="str">
        <f>IF('⑨ 구배 자동계산'!$B$4&lt;&gt;"44_성산","",IF('⑨ 구배 자동계산'!M17="","",'⑨ 구배 자동계산'!M17))</f>
        <v/>
      </c>
      <c r="H24" s="44" t="str">
        <f>IF('⑨ 구배 자동계산'!$B$4&lt;&gt;"44_성산","",IF('⑨ 구배 자동계산'!N17="","",'⑨ 구배 자동계산'!N17))</f>
        <v/>
      </c>
      <c r="I24" s="32" t="str">
        <f>IF('⑨ 구배 자동계산'!$B$4&lt;&gt;"44_성산","",IF('⑨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자동계산'!$B$4&lt;&gt;"44_성산","",IF('⑨ 구배 자동계산'!H18="","",'⑨ 구배 자동계산'!H18))</f>
        <v/>
      </c>
      <c r="C25" s="32" t="str">
        <f>IF('⑨ 구배 자동계산'!$B$4&lt;&gt;"44_성산","",IF('⑨ 구배 자동계산'!I18="","",'⑨ 구배 자동계산'!I18))</f>
        <v/>
      </c>
      <c r="D25" s="44" t="str">
        <f>IF('⑨ 구배 자동계산'!$B$4&lt;&gt;"44_성산","",IF('⑨ 구배 자동계산'!J18="","",'⑨ 구배 자동계산'!J18))</f>
        <v/>
      </c>
      <c r="E25" s="32" t="str">
        <f>IF('⑨ 구배 자동계산'!$B$4&lt;&gt;"44_성산","",IF('⑨ 구배 자동계산'!K18="","",'⑨ 구배 자동계산'!K18))</f>
        <v/>
      </c>
      <c r="F25" s="44" t="str">
        <f>IF('⑨ 구배 자동계산'!$B$4&lt;&gt;"44_성산","",IF('⑨ 구배 자동계산'!L18="","",'⑨ 구배 자동계산'!L18))</f>
        <v/>
      </c>
      <c r="G25" s="32" t="str">
        <f>IF('⑨ 구배 자동계산'!$B$4&lt;&gt;"44_성산","",IF('⑨ 구배 자동계산'!M18="","",'⑨ 구배 자동계산'!M18))</f>
        <v/>
      </c>
      <c r="H25" s="44" t="str">
        <f>IF('⑨ 구배 자동계산'!$B$4&lt;&gt;"44_성산","",IF('⑨ 구배 자동계산'!N18="","",'⑨ 구배 자동계산'!N18))</f>
        <v/>
      </c>
      <c r="I25" s="32" t="str">
        <f>IF('⑨ 구배 자동계산'!$B$4&lt;&gt;"44_성산","",IF('⑨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자동계산'!$B$4&lt;&gt;"44_성산","",IF('⑨ 구배 자동계산'!H19="","",'⑨ 구배 자동계산'!H19))</f>
        <v/>
      </c>
      <c r="C26" s="32" t="str">
        <f>IF('⑨ 구배 자동계산'!$B$4&lt;&gt;"44_성산","",IF('⑨ 구배 자동계산'!I19="","",'⑨ 구배 자동계산'!I19))</f>
        <v/>
      </c>
      <c r="D26" s="44" t="str">
        <f>IF('⑨ 구배 자동계산'!$B$4&lt;&gt;"44_성산","",IF('⑨ 구배 자동계산'!J19="","",'⑨ 구배 자동계산'!J19))</f>
        <v/>
      </c>
      <c r="E26" s="32" t="str">
        <f>IF('⑨ 구배 자동계산'!$B$4&lt;&gt;"44_성산","",IF('⑨ 구배 자동계산'!K19="","",'⑨ 구배 자동계산'!K19))</f>
        <v/>
      </c>
      <c r="F26" s="44" t="str">
        <f>IF('⑨ 구배 자동계산'!$B$4&lt;&gt;"44_성산","",IF('⑨ 구배 자동계산'!L19="","",'⑨ 구배 자동계산'!L19))</f>
        <v/>
      </c>
      <c r="G26" s="32" t="str">
        <f>IF('⑨ 구배 자동계산'!$B$4&lt;&gt;"44_성산","",IF('⑨ 구배 자동계산'!M19="","",'⑨ 구배 자동계산'!M19))</f>
        <v/>
      </c>
      <c r="H26" s="44" t="str">
        <f>IF('⑨ 구배 자동계산'!$B$4&lt;&gt;"44_성산","",IF('⑨ 구배 자동계산'!N19="","",'⑨ 구배 자동계산'!N19))</f>
        <v/>
      </c>
      <c r="I26" s="32" t="str">
        <f>IF('⑨ 구배 자동계산'!$B$4&lt;&gt;"44_성산","",IF('⑨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자동계산'!$B$4&lt;&gt;"44_성산","",IF('⑨ 구배 자동계산'!H20="","",'⑨ 구배 자동계산'!H20))</f>
        <v/>
      </c>
      <c r="C27" s="41" t="str">
        <f>IF('⑨ 구배 자동계산'!$B$4&lt;&gt;"44_성산","",IF('⑨ 구배 자동계산'!I20="","",'⑨ 구배 자동계산'!I20))</f>
        <v/>
      </c>
      <c r="D27" s="45" t="str">
        <f>IF('⑨ 구배 자동계산'!$B$4&lt;&gt;"44_성산","",IF('⑨ 구배 자동계산'!J20="","",'⑨ 구배 자동계산'!J20))</f>
        <v/>
      </c>
      <c r="E27" s="41" t="str">
        <f>IF('⑨ 구배 자동계산'!$B$4&lt;&gt;"44_성산","",IF('⑨ 구배 자동계산'!K20="","",'⑨ 구배 자동계산'!K20))</f>
        <v/>
      </c>
      <c r="F27" s="45" t="str">
        <f>IF('⑨ 구배 자동계산'!$B$4&lt;&gt;"44_성산","",IF('⑨ 구배 자동계산'!L20="","",'⑨ 구배 자동계산'!L20))</f>
        <v/>
      </c>
      <c r="G27" s="41" t="str">
        <f>IF('⑨ 구배 자동계산'!$B$4&lt;&gt;"44_성산","",IF('⑨ 구배 자동계산'!M20="","",'⑨ 구배 자동계산'!M20))</f>
        <v/>
      </c>
      <c r="H27" s="45" t="str">
        <f>IF('⑨ 구배 자동계산'!$B$4&lt;&gt;"44_성산","",IF('⑨ 구배 자동계산'!N20="","",'⑨ 구배 자동계산'!N20))</f>
        <v/>
      </c>
      <c r="I27" s="41" t="str">
        <f>IF('⑨ 구배 자동계산'!$B$4&lt;&gt;"44_성산","",IF('⑨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자동계산'!$B$4&lt;&gt;"44_성산","",IF('⑨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자동계산'!$B$4&lt;&gt;"44_성산","",IF('⑨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자동계산'!$B$4&lt;&gt;"44_성산","",IF('⑨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자동계산'!$B$4&lt;&gt;"44_성산","",IF('⑨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자동계산'!$B$4&lt;&gt;"44_성산","",IF('⑨ 구배 자동계산'!I23="","",'⑨ 구배 자동계산'!I23))</f>
        <v/>
      </c>
      <c r="D42" s="8"/>
      <c r="E42" s="8"/>
      <c r="F42" s="8"/>
      <c r="G42" s="92" t="str">
        <f>IF('⑨ 구배 자동계산'!$B$4&lt;&gt;"44_성산","",IF('⑨ 구배 자동계산'!$J23="","",'⑨ 구배 자동계산'!$J23&amp;"  ·  "&amp;'⑨ 구배 자동계산'!$L23))</f>
        <v/>
      </c>
      <c r="H42" s="93"/>
      <c r="I42" s="93"/>
    </row>
    <row r="43" spans="1:35" ht="19.95" customHeight="1" x14ac:dyDescent="0.4">
      <c r="A43" s="8">
        <v>3</v>
      </c>
      <c r="B43" s="33">
        <v>140</v>
      </c>
      <c r="C43" s="32" t="str">
        <f>IF('⑨ 구배 자동계산'!$B$4&lt;&gt;"44_성산","",IF('⑨ 구배 자동계산'!I24="","",'⑨ 구배 자동계산'!I24))</f>
        <v/>
      </c>
      <c r="D43" s="34">
        <f>IF(COUNT(B43,B42)&lt;2,"",(B42-B43)/100)</f>
        <v>0.45</v>
      </c>
      <c r="E43" s="35" t="str">
        <f>IF(COUNT(C43,C42)&lt;2,"",C43-C42)</f>
        <v/>
      </c>
      <c r="F43" s="36" t="str">
        <f>IF(OR(D43="",E43="",D43=0),"",E43/D43)</f>
        <v/>
      </c>
      <c r="G43" s="92" t="str">
        <f>IF('⑨ 구배 자동계산'!$B$4&lt;&gt;"44_성산","",IF('⑨ 구배 자동계산'!$J24="","",'⑨ 구배 자동계산'!$J24&amp;"  ·  "&amp;'⑨ 구배 자동계산'!$L24))</f>
        <v/>
      </c>
      <c r="H43" s="93"/>
      <c r="I43" s="93"/>
      <c r="AH43" t="s">
        <v>234</v>
      </c>
    </row>
    <row r="44" spans="1:35" ht="19.95" customHeight="1" x14ac:dyDescent="0.4">
      <c r="A44" s="8">
        <v>2</v>
      </c>
      <c r="B44" s="33">
        <v>95</v>
      </c>
      <c r="C44" s="32" t="str">
        <f>IF('⑨ 구배 자동계산'!$B$4&lt;&gt;"44_성산","",IF('⑨ 구배 자동계산'!I25="","",'⑨ 구배 자동계산'!I25))</f>
        <v/>
      </c>
      <c r="D44" s="34">
        <f>IF(COUNT(B44,B43)&lt;2,"",(B43-B44)/100)</f>
        <v>0.45</v>
      </c>
      <c r="E44" s="35" t="str">
        <f>IF(COUNT(C44,C43)&lt;2,"",C44-C43)</f>
        <v/>
      </c>
      <c r="F44" s="36" t="str">
        <f>IF(OR(D44="",E44="",D44=0),"",E44/D44)</f>
        <v/>
      </c>
      <c r="G44" s="92" t="str">
        <f>IF('⑨ 구배 자동계산'!$B$4&lt;&gt;"44_성산","",IF('⑨ 구배 자동계산'!$J25="","",'⑨ 구배 자동계산'!$J25&amp;"  ·  "&amp;'⑨ 구배 자동계산'!$L25))</f>
        <v/>
      </c>
      <c r="H44" s="93"/>
      <c r="I44" s="93"/>
    </row>
    <row r="45" spans="1:35" ht="19.95" customHeight="1" x14ac:dyDescent="0.4">
      <c r="A45" s="8">
        <v>1</v>
      </c>
      <c r="B45" s="33">
        <v>50</v>
      </c>
      <c r="C45" s="32" t="str">
        <f>IF('⑨ 구배 자동계산'!$B$4&lt;&gt;"44_성산","",IF('⑨ 구배 자동계산'!I26="","",'⑨ 구배 자동계산'!I26))</f>
        <v/>
      </c>
      <c r="D45" s="34">
        <f>IF(COUNT(B45,B44)&lt;2,"",(B44-B45)/100)</f>
        <v>0.45</v>
      </c>
      <c r="E45" s="35" t="str">
        <f>IF(COUNT(C45,C44)&lt;2,"",C45-C44)</f>
        <v/>
      </c>
      <c r="F45" s="36" t="str">
        <f>IF(OR(D45="",E45="",D45=0),"",E45/D45)</f>
        <v/>
      </c>
      <c r="G45" s="92" t="str">
        <f>IF('⑨ 구배 자동계산'!$B$4&lt;&gt;"44_성산","",IF('⑨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IF(COUNT(B50,E50)&lt;2,"",ROUND(SQRT(((126.894162-E50)*111320*COS(RADIANS(33.52448)))^2+((33.52448-B50)*110574)^2),1))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S44-P0a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34" priority="1">
      <formula>AND(ISNUMBER(C31),C31&gt;50)</formula>
    </cfRule>
  </conditionalFormatting>
  <conditionalFormatting sqref="D7">
    <cfRule type="expression" dxfId="33" priority="3" stopIfTrue="1">
      <formula>AND($D$7&lt;&gt;"",VALUE(LEFT($D$7,1))&lt;5)</formula>
    </cfRule>
    <cfRule type="expression" dxfId="32" priority="4" stopIfTrue="1">
      <formula>AND($D$7&lt;&gt;"",VALUE(LEFT($D$7,1))&gt;=5)</formula>
    </cfRule>
  </conditionalFormatting>
  <conditionalFormatting sqref="E7">
    <cfRule type="expression" dxfId="31" priority="5" stopIfTrue="1">
      <formula>AND($E$7&lt;&gt;"",VALUE(LEFT($E$7,1))&lt;5)</formula>
    </cfRule>
    <cfRule type="expression" dxfId="3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52D56465-53B6-46DA-905A-401EFB0B2F7B}">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EE313ED2-6738-4771-AAAC-37FCBA00E34D}">
      <formula1>DATE(2026,1,1)</formula1>
      <formula2>DATE(2027,12,31)</formula2>
    </dataValidation>
    <dataValidation type="list" allowBlank="1" sqref="C7" xr:uid="{164D99AA-EEFB-43A0-B2FA-1D72DE1E8AB2}">
      <formula1>"맑음,구름 조금,흐림,비,눈,바람 강함"</formula1>
    </dataValidation>
    <dataValidation type="list" allowBlank="1" sqref="H50" xr:uid="{C89A4A58-E89B-4E01-B921-B0D4454F00B7}">
      <formula1>"RTK-GNSS,네트워크RTK,정적GNSS,휴대GNSS"</formula1>
    </dataValidation>
    <dataValidation type="list" allowBlank="1" sqref="B109" xr:uid="{0D02EBF3-40CD-417F-9F7B-18DD7FB4941B}">
      <formula1>"동일,조정"</formula1>
    </dataValidation>
    <dataValidation type="list" allowBlank="1" showInputMessage="1" showErrorMessage="1" sqref="F56:F57" xr:uid="{16FF74CB-2D55-4B26-85A5-6ED3A57122E3}">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&amp;RS44 성산</oddHeader>
    <oddFooter>&amp;C&amp;9 &amp;P / &amp;N</oddFooter>
  </headerFooter>
  <rowBreaks count="3" manualBreakCount="3">
    <brk id="38" max="16383" man="1"/>
    <brk id="58" max="16383" man="1"/>
    <brk id="106" max="16383" man="1"/>
  </rowBreak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89C25-E7B2-43D3-A889-DF69DC8871D2}">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525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526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527</v>
      </c>
      <c r="B3" s="68"/>
      <c r="C3" s="68"/>
      <c r="D3" s="68"/>
      <c r="E3" s="68"/>
      <c r="F3" s="8" t="s">
        <v>154</v>
      </c>
      <c r="G3" s="6"/>
      <c r="H3" s="8" t="s">
        <v>155</v>
      </c>
      <c r="I3" s="9" t="s">
        <v>528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자동계산'!$B$4="45_여주","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자동계산'!$B$4&lt;&gt;"45_여주","",IF('⑨ 구배 자동계산'!H9="","",'⑨ 구배 자동계산'!H9))</f>
        <v/>
      </c>
      <c r="C16" s="30" t="str">
        <f>IF('⑨ 구배 자동계산'!$B$4&lt;&gt;"45_여주","",IF('⑨ 구배 자동계산'!I9="","",'⑨ 구배 자동계산'!I9))</f>
        <v/>
      </c>
      <c r="D16" s="43" t="str">
        <f>IF('⑨ 구배 자동계산'!$B$4&lt;&gt;"45_여주","",IF('⑨ 구배 자동계산'!J9="","",'⑨ 구배 자동계산'!J9))</f>
        <v/>
      </c>
      <c r="E16" s="30" t="str">
        <f>IF('⑨ 구배 자동계산'!$B$4&lt;&gt;"45_여주","",IF('⑨ 구배 자동계산'!K9="","",'⑨ 구배 자동계산'!K9))</f>
        <v/>
      </c>
      <c r="F16" s="43" t="str">
        <f>IF('⑨ 구배 자동계산'!$B$4&lt;&gt;"45_여주","",IF('⑨ 구배 자동계산'!L9="","",'⑨ 구배 자동계산'!L9))</f>
        <v/>
      </c>
      <c r="G16" s="30" t="str">
        <f>IF('⑨ 구배 자동계산'!$B$4&lt;&gt;"45_여주","",IF('⑨ 구배 자동계산'!M9="","",'⑨ 구배 자동계산'!M9))</f>
        <v/>
      </c>
      <c r="H16" s="43" t="str">
        <f>IF('⑨ 구배 자동계산'!$B$4&lt;&gt;"45_여주","",IF('⑨ 구배 자동계산'!N9="","",'⑨ 구배 자동계산'!N9))</f>
        <v/>
      </c>
      <c r="I16" s="30" t="str">
        <f>IF('⑨ 구배 자동계산'!$B$4&lt;&gt;"45_여주","",IF('⑨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자동계산'!$B$4&lt;&gt;"45_여주","",IF('⑨ 구배 자동계산'!H10="","",'⑨ 구배 자동계산'!H10))</f>
        <v/>
      </c>
      <c r="C17" s="32" t="str">
        <f>IF('⑨ 구배 자동계산'!$B$4&lt;&gt;"45_여주","",IF('⑨ 구배 자동계산'!I10="","",'⑨ 구배 자동계산'!I10))</f>
        <v/>
      </c>
      <c r="D17" s="44" t="str">
        <f>IF('⑨ 구배 자동계산'!$B$4&lt;&gt;"45_여주","",IF('⑨ 구배 자동계산'!J10="","",'⑨ 구배 자동계산'!J10))</f>
        <v/>
      </c>
      <c r="E17" s="32" t="str">
        <f>IF('⑨ 구배 자동계산'!$B$4&lt;&gt;"45_여주","",IF('⑨ 구배 자동계산'!K10="","",'⑨ 구배 자동계산'!K10))</f>
        <v/>
      </c>
      <c r="F17" s="44" t="str">
        <f>IF('⑨ 구배 자동계산'!$B$4&lt;&gt;"45_여주","",IF('⑨ 구배 자동계산'!L10="","",'⑨ 구배 자동계산'!L10))</f>
        <v/>
      </c>
      <c r="G17" s="32" t="str">
        <f>IF('⑨ 구배 자동계산'!$B$4&lt;&gt;"45_여주","",IF('⑨ 구배 자동계산'!M10="","",'⑨ 구배 자동계산'!M10))</f>
        <v/>
      </c>
      <c r="H17" s="44" t="str">
        <f>IF('⑨ 구배 자동계산'!$B$4&lt;&gt;"45_여주","",IF('⑨ 구배 자동계산'!N10="","",'⑨ 구배 자동계산'!N10))</f>
        <v/>
      </c>
      <c r="I17" s="32" t="str">
        <f>IF('⑨ 구배 자동계산'!$B$4&lt;&gt;"45_여주","",IF('⑨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자동계산'!$B$4&lt;&gt;"45_여주","",IF('⑨ 구배 자동계산'!H11="","",'⑨ 구배 자동계산'!H11))</f>
        <v/>
      </c>
      <c r="C18" s="32" t="str">
        <f>IF('⑨ 구배 자동계산'!$B$4&lt;&gt;"45_여주","",IF('⑨ 구배 자동계산'!I11="","",'⑨ 구배 자동계산'!I11))</f>
        <v/>
      </c>
      <c r="D18" s="44" t="str">
        <f>IF('⑨ 구배 자동계산'!$B$4&lt;&gt;"45_여주","",IF('⑨ 구배 자동계산'!J11="","",'⑨ 구배 자동계산'!J11))</f>
        <v/>
      </c>
      <c r="E18" s="32" t="str">
        <f>IF('⑨ 구배 자동계산'!$B$4&lt;&gt;"45_여주","",IF('⑨ 구배 자동계산'!K11="","",'⑨ 구배 자동계산'!K11))</f>
        <v/>
      </c>
      <c r="F18" s="44" t="str">
        <f>IF('⑨ 구배 자동계산'!$B$4&lt;&gt;"45_여주","",IF('⑨ 구배 자동계산'!L11="","",'⑨ 구배 자동계산'!L11))</f>
        <v/>
      </c>
      <c r="G18" s="32" t="str">
        <f>IF('⑨ 구배 자동계산'!$B$4&lt;&gt;"45_여주","",IF('⑨ 구배 자동계산'!M11="","",'⑨ 구배 자동계산'!M11))</f>
        <v/>
      </c>
      <c r="H18" s="44" t="str">
        <f>IF('⑨ 구배 자동계산'!$B$4&lt;&gt;"45_여주","",IF('⑨ 구배 자동계산'!N11="","",'⑨ 구배 자동계산'!N11))</f>
        <v/>
      </c>
      <c r="I18" s="32" t="str">
        <f>IF('⑨ 구배 자동계산'!$B$4&lt;&gt;"45_여주","",IF('⑨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자동계산'!$B$4&lt;&gt;"45_여주","",IF('⑨ 구배 자동계산'!H12="","",'⑨ 구배 자동계산'!H12))</f>
        <v/>
      </c>
      <c r="C19" s="32" t="str">
        <f>IF('⑨ 구배 자동계산'!$B$4&lt;&gt;"45_여주","",IF('⑨ 구배 자동계산'!I12="","",'⑨ 구배 자동계산'!I12))</f>
        <v/>
      </c>
      <c r="D19" s="44" t="str">
        <f>IF('⑨ 구배 자동계산'!$B$4&lt;&gt;"45_여주","",IF('⑨ 구배 자동계산'!J12="","",'⑨ 구배 자동계산'!J12))</f>
        <v/>
      </c>
      <c r="E19" s="32" t="str">
        <f>IF('⑨ 구배 자동계산'!$B$4&lt;&gt;"45_여주","",IF('⑨ 구배 자동계산'!K12="","",'⑨ 구배 자동계산'!K12))</f>
        <v/>
      </c>
      <c r="F19" s="44" t="str">
        <f>IF('⑨ 구배 자동계산'!$B$4&lt;&gt;"45_여주","",IF('⑨ 구배 자동계산'!L12="","",'⑨ 구배 자동계산'!L12))</f>
        <v/>
      </c>
      <c r="G19" s="32" t="str">
        <f>IF('⑨ 구배 자동계산'!$B$4&lt;&gt;"45_여주","",IF('⑨ 구배 자동계산'!M12="","",'⑨ 구배 자동계산'!M12))</f>
        <v/>
      </c>
      <c r="H19" s="44" t="str">
        <f>IF('⑨ 구배 자동계산'!$B$4&lt;&gt;"45_여주","",IF('⑨ 구배 자동계산'!N12="","",'⑨ 구배 자동계산'!N12))</f>
        <v/>
      </c>
      <c r="I19" s="32" t="str">
        <f>IF('⑨ 구배 자동계산'!$B$4&lt;&gt;"45_여주","",IF('⑨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자동계산'!$B$4&lt;&gt;"45_여주","",IF('⑨ 구배 자동계산'!H13="","",'⑨ 구배 자동계산'!H13))</f>
        <v/>
      </c>
      <c r="C20" s="32" t="str">
        <f>IF('⑨ 구배 자동계산'!$B$4&lt;&gt;"45_여주","",IF('⑨ 구배 자동계산'!I13="","",'⑨ 구배 자동계산'!I13))</f>
        <v/>
      </c>
      <c r="D20" s="44" t="str">
        <f>IF('⑨ 구배 자동계산'!$B$4&lt;&gt;"45_여주","",IF('⑨ 구배 자동계산'!J13="","",'⑨ 구배 자동계산'!J13))</f>
        <v/>
      </c>
      <c r="E20" s="32" t="str">
        <f>IF('⑨ 구배 자동계산'!$B$4&lt;&gt;"45_여주","",IF('⑨ 구배 자동계산'!K13="","",'⑨ 구배 자동계산'!K13))</f>
        <v/>
      </c>
      <c r="F20" s="44" t="str">
        <f>IF('⑨ 구배 자동계산'!$B$4&lt;&gt;"45_여주","",IF('⑨ 구배 자동계산'!L13="","",'⑨ 구배 자동계산'!L13))</f>
        <v/>
      </c>
      <c r="G20" s="32" t="str">
        <f>IF('⑨ 구배 자동계산'!$B$4&lt;&gt;"45_여주","",IF('⑨ 구배 자동계산'!M13="","",'⑨ 구배 자동계산'!M13))</f>
        <v/>
      </c>
      <c r="H20" s="44" t="str">
        <f>IF('⑨ 구배 자동계산'!$B$4&lt;&gt;"45_여주","",IF('⑨ 구배 자동계산'!N13="","",'⑨ 구배 자동계산'!N13))</f>
        <v/>
      </c>
      <c r="I20" s="32" t="str">
        <f>IF('⑨ 구배 자동계산'!$B$4&lt;&gt;"45_여주","",IF('⑨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자동계산'!$B$4&lt;&gt;"45_여주","",IF('⑨ 구배 자동계산'!H14="","",'⑨ 구배 자동계산'!H14))</f>
        <v/>
      </c>
      <c r="C21" s="32" t="str">
        <f>IF('⑨ 구배 자동계산'!$B$4&lt;&gt;"45_여주","",IF('⑨ 구배 자동계산'!I14="","",'⑨ 구배 자동계산'!I14))</f>
        <v/>
      </c>
      <c r="D21" s="44" t="str">
        <f>IF('⑨ 구배 자동계산'!$B$4&lt;&gt;"45_여주","",IF('⑨ 구배 자동계산'!J14="","",'⑨ 구배 자동계산'!J14))</f>
        <v/>
      </c>
      <c r="E21" s="32" t="str">
        <f>IF('⑨ 구배 자동계산'!$B$4&lt;&gt;"45_여주","",IF('⑨ 구배 자동계산'!K14="","",'⑨ 구배 자동계산'!K14))</f>
        <v/>
      </c>
      <c r="F21" s="44" t="str">
        <f>IF('⑨ 구배 자동계산'!$B$4&lt;&gt;"45_여주","",IF('⑨ 구배 자동계산'!L14="","",'⑨ 구배 자동계산'!L14))</f>
        <v/>
      </c>
      <c r="G21" s="32" t="str">
        <f>IF('⑨ 구배 자동계산'!$B$4&lt;&gt;"45_여주","",IF('⑨ 구배 자동계산'!M14="","",'⑨ 구배 자동계산'!M14))</f>
        <v/>
      </c>
      <c r="H21" s="44" t="str">
        <f>IF('⑨ 구배 자동계산'!$B$4&lt;&gt;"45_여주","",IF('⑨ 구배 자동계산'!N14="","",'⑨ 구배 자동계산'!N14))</f>
        <v/>
      </c>
      <c r="I21" s="32" t="str">
        <f>IF('⑨ 구배 자동계산'!$B$4&lt;&gt;"45_여주","",IF('⑨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자동계산'!$B$4&lt;&gt;"45_여주","",IF('⑨ 구배 자동계산'!H15="","",'⑨ 구배 자동계산'!H15))</f>
        <v/>
      </c>
      <c r="C22" s="32" t="str">
        <f>IF('⑨ 구배 자동계산'!$B$4&lt;&gt;"45_여주","",IF('⑨ 구배 자동계산'!I15="","",'⑨ 구배 자동계산'!I15))</f>
        <v/>
      </c>
      <c r="D22" s="44" t="str">
        <f>IF('⑨ 구배 자동계산'!$B$4&lt;&gt;"45_여주","",IF('⑨ 구배 자동계산'!J15="","",'⑨ 구배 자동계산'!J15))</f>
        <v/>
      </c>
      <c r="E22" s="32" t="str">
        <f>IF('⑨ 구배 자동계산'!$B$4&lt;&gt;"45_여주","",IF('⑨ 구배 자동계산'!K15="","",'⑨ 구배 자동계산'!K15))</f>
        <v/>
      </c>
      <c r="F22" s="44" t="str">
        <f>IF('⑨ 구배 자동계산'!$B$4&lt;&gt;"45_여주","",IF('⑨ 구배 자동계산'!L15="","",'⑨ 구배 자동계산'!L15))</f>
        <v/>
      </c>
      <c r="G22" s="32" t="str">
        <f>IF('⑨ 구배 자동계산'!$B$4&lt;&gt;"45_여주","",IF('⑨ 구배 자동계산'!M15="","",'⑨ 구배 자동계산'!M15))</f>
        <v/>
      </c>
      <c r="H22" s="44" t="str">
        <f>IF('⑨ 구배 자동계산'!$B$4&lt;&gt;"45_여주","",IF('⑨ 구배 자동계산'!N15="","",'⑨ 구배 자동계산'!N15))</f>
        <v/>
      </c>
      <c r="I22" s="32" t="str">
        <f>IF('⑨ 구배 자동계산'!$B$4&lt;&gt;"45_여주","",IF('⑨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자동계산'!$B$4&lt;&gt;"45_여주","",IF('⑨ 구배 자동계산'!H16="","",'⑨ 구배 자동계산'!H16))</f>
        <v/>
      </c>
      <c r="C23" s="32" t="str">
        <f>IF('⑨ 구배 자동계산'!$B$4&lt;&gt;"45_여주","",IF('⑨ 구배 자동계산'!I16="","",'⑨ 구배 자동계산'!I16))</f>
        <v/>
      </c>
      <c r="D23" s="44" t="str">
        <f>IF('⑨ 구배 자동계산'!$B$4&lt;&gt;"45_여주","",IF('⑨ 구배 자동계산'!J16="","",'⑨ 구배 자동계산'!J16))</f>
        <v/>
      </c>
      <c r="E23" s="32" t="str">
        <f>IF('⑨ 구배 자동계산'!$B$4&lt;&gt;"45_여주","",IF('⑨ 구배 자동계산'!K16="","",'⑨ 구배 자동계산'!K16))</f>
        <v/>
      </c>
      <c r="F23" s="44" t="str">
        <f>IF('⑨ 구배 자동계산'!$B$4&lt;&gt;"45_여주","",IF('⑨ 구배 자동계산'!L16="","",'⑨ 구배 자동계산'!L16))</f>
        <v/>
      </c>
      <c r="G23" s="32" t="str">
        <f>IF('⑨ 구배 자동계산'!$B$4&lt;&gt;"45_여주","",IF('⑨ 구배 자동계산'!M16="","",'⑨ 구배 자동계산'!M16))</f>
        <v/>
      </c>
      <c r="H23" s="44" t="str">
        <f>IF('⑨ 구배 자동계산'!$B$4&lt;&gt;"45_여주","",IF('⑨ 구배 자동계산'!N16="","",'⑨ 구배 자동계산'!N16))</f>
        <v/>
      </c>
      <c r="I23" s="32" t="str">
        <f>IF('⑨ 구배 자동계산'!$B$4&lt;&gt;"45_여주","",IF('⑨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자동계산'!$B$4&lt;&gt;"45_여주","",IF('⑨ 구배 자동계산'!H17="","",'⑨ 구배 자동계산'!H17))</f>
        <v/>
      </c>
      <c r="C24" s="32" t="str">
        <f>IF('⑨ 구배 자동계산'!$B$4&lt;&gt;"45_여주","",IF('⑨ 구배 자동계산'!I17="","",'⑨ 구배 자동계산'!I17))</f>
        <v/>
      </c>
      <c r="D24" s="44" t="str">
        <f>IF('⑨ 구배 자동계산'!$B$4&lt;&gt;"45_여주","",IF('⑨ 구배 자동계산'!J17="","",'⑨ 구배 자동계산'!J17))</f>
        <v/>
      </c>
      <c r="E24" s="32" t="str">
        <f>IF('⑨ 구배 자동계산'!$B$4&lt;&gt;"45_여주","",IF('⑨ 구배 자동계산'!K17="","",'⑨ 구배 자동계산'!K17))</f>
        <v/>
      </c>
      <c r="F24" s="44" t="str">
        <f>IF('⑨ 구배 자동계산'!$B$4&lt;&gt;"45_여주","",IF('⑨ 구배 자동계산'!L17="","",'⑨ 구배 자동계산'!L17))</f>
        <v/>
      </c>
      <c r="G24" s="32" t="str">
        <f>IF('⑨ 구배 자동계산'!$B$4&lt;&gt;"45_여주","",IF('⑨ 구배 자동계산'!M17="","",'⑨ 구배 자동계산'!M17))</f>
        <v/>
      </c>
      <c r="H24" s="44" t="str">
        <f>IF('⑨ 구배 자동계산'!$B$4&lt;&gt;"45_여주","",IF('⑨ 구배 자동계산'!N17="","",'⑨ 구배 자동계산'!N17))</f>
        <v/>
      </c>
      <c r="I24" s="32" t="str">
        <f>IF('⑨ 구배 자동계산'!$B$4&lt;&gt;"45_여주","",IF('⑨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자동계산'!$B$4&lt;&gt;"45_여주","",IF('⑨ 구배 자동계산'!H18="","",'⑨ 구배 자동계산'!H18))</f>
        <v/>
      </c>
      <c r="C25" s="32" t="str">
        <f>IF('⑨ 구배 자동계산'!$B$4&lt;&gt;"45_여주","",IF('⑨ 구배 자동계산'!I18="","",'⑨ 구배 자동계산'!I18))</f>
        <v/>
      </c>
      <c r="D25" s="44" t="str">
        <f>IF('⑨ 구배 자동계산'!$B$4&lt;&gt;"45_여주","",IF('⑨ 구배 자동계산'!J18="","",'⑨ 구배 자동계산'!J18))</f>
        <v/>
      </c>
      <c r="E25" s="32" t="str">
        <f>IF('⑨ 구배 자동계산'!$B$4&lt;&gt;"45_여주","",IF('⑨ 구배 자동계산'!K18="","",'⑨ 구배 자동계산'!K18))</f>
        <v/>
      </c>
      <c r="F25" s="44" t="str">
        <f>IF('⑨ 구배 자동계산'!$B$4&lt;&gt;"45_여주","",IF('⑨ 구배 자동계산'!L18="","",'⑨ 구배 자동계산'!L18))</f>
        <v/>
      </c>
      <c r="G25" s="32" t="str">
        <f>IF('⑨ 구배 자동계산'!$B$4&lt;&gt;"45_여주","",IF('⑨ 구배 자동계산'!M18="","",'⑨ 구배 자동계산'!M18))</f>
        <v/>
      </c>
      <c r="H25" s="44" t="str">
        <f>IF('⑨ 구배 자동계산'!$B$4&lt;&gt;"45_여주","",IF('⑨ 구배 자동계산'!N18="","",'⑨ 구배 자동계산'!N18))</f>
        <v/>
      </c>
      <c r="I25" s="32" t="str">
        <f>IF('⑨ 구배 자동계산'!$B$4&lt;&gt;"45_여주","",IF('⑨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자동계산'!$B$4&lt;&gt;"45_여주","",IF('⑨ 구배 자동계산'!H19="","",'⑨ 구배 자동계산'!H19))</f>
        <v/>
      </c>
      <c r="C26" s="32" t="str">
        <f>IF('⑨ 구배 자동계산'!$B$4&lt;&gt;"45_여주","",IF('⑨ 구배 자동계산'!I19="","",'⑨ 구배 자동계산'!I19))</f>
        <v/>
      </c>
      <c r="D26" s="44" t="str">
        <f>IF('⑨ 구배 자동계산'!$B$4&lt;&gt;"45_여주","",IF('⑨ 구배 자동계산'!J19="","",'⑨ 구배 자동계산'!J19))</f>
        <v/>
      </c>
      <c r="E26" s="32" t="str">
        <f>IF('⑨ 구배 자동계산'!$B$4&lt;&gt;"45_여주","",IF('⑨ 구배 자동계산'!K19="","",'⑨ 구배 자동계산'!K19))</f>
        <v/>
      </c>
      <c r="F26" s="44" t="str">
        <f>IF('⑨ 구배 자동계산'!$B$4&lt;&gt;"45_여주","",IF('⑨ 구배 자동계산'!L19="","",'⑨ 구배 자동계산'!L19))</f>
        <v/>
      </c>
      <c r="G26" s="32" t="str">
        <f>IF('⑨ 구배 자동계산'!$B$4&lt;&gt;"45_여주","",IF('⑨ 구배 자동계산'!M19="","",'⑨ 구배 자동계산'!M19))</f>
        <v/>
      </c>
      <c r="H26" s="44" t="str">
        <f>IF('⑨ 구배 자동계산'!$B$4&lt;&gt;"45_여주","",IF('⑨ 구배 자동계산'!N19="","",'⑨ 구배 자동계산'!N19))</f>
        <v/>
      </c>
      <c r="I26" s="32" t="str">
        <f>IF('⑨ 구배 자동계산'!$B$4&lt;&gt;"45_여주","",IF('⑨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자동계산'!$B$4&lt;&gt;"45_여주","",IF('⑨ 구배 자동계산'!H20="","",'⑨ 구배 자동계산'!H20))</f>
        <v/>
      </c>
      <c r="C27" s="41" t="str">
        <f>IF('⑨ 구배 자동계산'!$B$4&lt;&gt;"45_여주","",IF('⑨ 구배 자동계산'!I20="","",'⑨ 구배 자동계산'!I20))</f>
        <v/>
      </c>
      <c r="D27" s="45" t="str">
        <f>IF('⑨ 구배 자동계산'!$B$4&lt;&gt;"45_여주","",IF('⑨ 구배 자동계산'!J20="","",'⑨ 구배 자동계산'!J20))</f>
        <v/>
      </c>
      <c r="E27" s="41" t="str">
        <f>IF('⑨ 구배 자동계산'!$B$4&lt;&gt;"45_여주","",IF('⑨ 구배 자동계산'!K20="","",'⑨ 구배 자동계산'!K20))</f>
        <v/>
      </c>
      <c r="F27" s="45" t="str">
        <f>IF('⑨ 구배 자동계산'!$B$4&lt;&gt;"45_여주","",IF('⑨ 구배 자동계산'!L20="","",'⑨ 구배 자동계산'!L20))</f>
        <v/>
      </c>
      <c r="G27" s="41" t="str">
        <f>IF('⑨ 구배 자동계산'!$B$4&lt;&gt;"45_여주","",IF('⑨ 구배 자동계산'!M20="","",'⑨ 구배 자동계산'!M20))</f>
        <v/>
      </c>
      <c r="H27" s="45" t="str">
        <f>IF('⑨ 구배 자동계산'!$B$4&lt;&gt;"45_여주","",IF('⑨ 구배 자동계산'!N20="","",'⑨ 구배 자동계산'!N20))</f>
        <v/>
      </c>
      <c r="I27" s="41" t="str">
        <f>IF('⑨ 구배 자동계산'!$B$4&lt;&gt;"45_여주","",IF('⑨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자동계산'!$B$4&lt;&gt;"45_여주","",IF('⑨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자동계산'!$B$4&lt;&gt;"45_여주","",IF('⑨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자동계산'!$B$4&lt;&gt;"45_여주","",IF('⑨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자동계산'!$B$4&lt;&gt;"45_여주","",IF('⑨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자동계산'!$B$4&lt;&gt;"45_여주","",IF('⑨ 구배 자동계산'!I23="","",'⑨ 구배 자동계산'!I23))</f>
        <v/>
      </c>
      <c r="D42" s="8"/>
      <c r="E42" s="8"/>
      <c r="F42" s="8"/>
      <c r="G42" s="92" t="str">
        <f>IF('⑨ 구배 자동계산'!$B$4&lt;&gt;"45_여주","",IF('⑨ 구배 자동계산'!$J23="","",'⑨ 구배 자동계산'!$J23&amp;"  ·  "&amp;'⑨ 구배 자동계산'!$L23))</f>
        <v/>
      </c>
      <c r="H42" s="93"/>
      <c r="I42" s="93"/>
    </row>
    <row r="43" spans="1:35" ht="19.95" customHeight="1" x14ac:dyDescent="0.4">
      <c r="A43" s="8">
        <v>3</v>
      </c>
      <c r="B43" s="33">
        <v>140</v>
      </c>
      <c r="C43" s="32" t="str">
        <f>IF('⑨ 구배 자동계산'!$B$4&lt;&gt;"45_여주","",IF('⑨ 구배 자동계산'!I24="","",'⑨ 구배 자동계산'!I24))</f>
        <v/>
      </c>
      <c r="D43" s="34">
        <f>IF(COUNT(B43,B42)&lt;2,"",(B42-B43)/100)</f>
        <v>0.45</v>
      </c>
      <c r="E43" s="35" t="str">
        <f>IF(COUNT(C43,C42)&lt;2,"",C43-C42)</f>
        <v/>
      </c>
      <c r="F43" s="36" t="str">
        <f>IF(OR(D43="",E43="",D43=0),"",E43/D43)</f>
        <v/>
      </c>
      <c r="G43" s="92" t="str">
        <f>IF('⑨ 구배 자동계산'!$B$4&lt;&gt;"45_여주","",IF('⑨ 구배 자동계산'!$J24="","",'⑨ 구배 자동계산'!$J24&amp;"  ·  "&amp;'⑨ 구배 자동계산'!$L24))</f>
        <v/>
      </c>
      <c r="H43" s="93"/>
      <c r="I43" s="93"/>
      <c r="AH43" t="s">
        <v>234</v>
      </c>
    </row>
    <row r="44" spans="1:35" ht="19.95" customHeight="1" x14ac:dyDescent="0.4">
      <c r="A44" s="8">
        <v>2</v>
      </c>
      <c r="B44" s="33">
        <v>95</v>
      </c>
      <c r="C44" s="32" t="str">
        <f>IF('⑨ 구배 자동계산'!$B$4&lt;&gt;"45_여주","",IF('⑨ 구배 자동계산'!I25="","",'⑨ 구배 자동계산'!I25))</f>
        <v/>
      </c>
      <c r="D44" s="34">
        <f>IF(COUNT(B44,B43)&lt;2,"",(B43-B44)/100)</f>
        <v>0.45</v>
      </c>
      <c r="E44" s="35" t="str">
        <f>IF(COUNT(C44,C43)&lt;2,"",C44-C43)</f>
        <v/>
      </c>
      <c r="F44" s="36" t="str">
        <f>IF(OR(D44="",E44="",D44=0),"",E44/D44)</f>
        <v/>
      </c>
      <c r="G44" s="92" t="str">
        <f>IF('⑨ 구배 자동계산'!$B$4&lt;&gt;"45_여주","",IF('⑨ 구배 자동계산'!$J25="","",'⑨ 구배 자동계산'!$J25&amp;"  ·  "&amp;'⑨ 구배 자동계산'!$L25))</f>
        <v/>
      </c>
      <c r="H44" s="93"/>
      <c r="I44" s="93"/>
    </row>
    <row r="45" spans="1:35" ht="19.95" customHeight="1" x14ac:dyDescent="0.4">
      <c r="A45" s="8">
        <v>1</v>
      </c>
      <c r="B45" s="33">
        <v>50</v>
      </c>
      <c r="C45" s="32" t="str">
        <f>IF('⑨ 구배 자동계산'!$B$4&lt;&gt;"45_여주","",IF('⑨ 구배 자동계산'!I26="","",'⑨ 구배 자동계산'!I26))</f>
        <v/>
      </c>
      <c r="D45" s="34">
        <f>IF(COUNT(B45,B44)&lt;2,"",(B44-B45)/100)</f>
        <v>0.45</v>
      </c>
      <c r="E45" s="35" t="str">
        <f>IF(COUNT(C45,C44)&lt;2,"",C45-C44)</f>
        <v/>
      </c>
      <c r="F45" s="36" t="str">
        <f>IF(OR(D45="",E45="",D45=0),"",E45/D45)</f>
        <v/>
      </c>
      <c r="G45" s="92" t="str">
        <f>IF('⑨ 구배 자동계산'!$B$4&lt;&gt;"45_여주","",IF('⑨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IF(COUNT(B50,E50)&lt;2,"",ROUND(SQRT(((127.573322-E50)*111320*COS(RADIANS(37.445381)))^2+((37.445381-B50)*110574)^2),1))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S45-P0a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9" priority="1">
      <formula>AND(ISNUMBER(C31),C31&gt;50)</formula>
    </cfRule>
  </conditionalFormatting>
  <conditionalFormatting sqref="D7">
    <cfRule type="expression" dxfId="28" priority="3" stopIfTrue="1">
      <formula>AND($D$7&lt;&gt;"",VALUE(LEFT($D$7,1))&lt;5)</formula>
    </cfRule>
    <cfRule type="expression" dxfId="27" priority="4" stopIfTrue="1">
      <formula>AND($D$7&lt;&gt;"",VALUE(LEFT($D$7,1))&gt;=5)</formula>
    </cfRule>
  </conditionalFormatting>
  <conditionalFormatting sqref="E7">
    <cfRule type="expression" dxfId="26" priority="5" stopIfTrue="1">
      <formula>AND($E$7&lt;&gt;"",VALUE(LEFT($E$7,1))&lt;5)</formula>
    </cfRule>
    <cfRule type="expression" dxfId="2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9460B0C5-D9AC-4144-A045-C590E755CD6E}">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7AB42654-F82B-48E5-9916-C4F64B69B5D1}">
      <formula1>DATE(2026,1,1)</formula1>
      <formula2>DATE(2027,12,31)</formula2>
    </dataValidation>
    <dataValidation type="list" allowBlank="1" sqref="C7" xr:uid="{E328B51C-7886-4EA7-90AB-0604E7984662}">
      <formula1>"맑음,구름 조금,흐림,비,눈,바람 강함"</formula1>
    </dataValidation>
    <dataValidation type="list" allowBlank="1" sqref="H50" xr:uid="{5B952239-12D3-4DC1-8F5F-C25ECA52F77F}">
      <formula1>"RTK-GNSS,네트워크RTK,정적GNSS,휴대GNSS"</formula1>
    </dataValidation>
    <dataValidation type="list" allowBlank="1" sqref="B109" xr:uid="{31D28B6F-A175-4D6D-9769-2CC8B1101341}">
      <formula1>"동일,조정"</formula1>
    </dataValidation>
    <dataValidation type="list" allowBlank="1" showInputMessage="1" showErrorMessage="1" sqref="F56:F57" xr:uid="{30BAB8B5-611B-41D3-9118-17EFDBBCE9B6}">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&amp;RS45 여주</oddHeader>
    <oddFooter>&amp;C&amp;9 &amp;P / &amp;N</oddFooter>
  </headerFooter>
  <rowBreaks count="3" manualBreakCount="3">
    <brk id="38" max="16383" man="1"/>
    <brk id="58" max="16383" man="1"/>
    <brk id="106" max="16383"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3A4D7-566D-4858-99FA-6F58B3D64351}">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529</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530</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531</v>
      </c>
      <c r="B3" s="68"/>
      <c r="C3" s="68"/>
      <c r="D3" s="68"/>
      <c r="E3" s="68"/>
      <c r="F3" s="8" t="s">
        <v>154</v>
      </c>
      <c r="G3" s="6"/>
      <c r="H3" s="8" t="s">
        <v>155</v>
      </c>
      <c r="I3" s="9" t="s">
        <v>532</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자동계산'!$B$4="46_화천","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자동계산'!$B$4&lt;&gt;"46_화천","",IF('⑨ 구배 자동계산'!H9="","",'⑨ 구배 자동계산'!H9))</f>
        <v/>
      </c>
      <c r="C16" s="30" t="str">
        <f>IF('⑨ 구배 자동계산'!$B$4&lt;&gt;"46_화천","",IF('⑨ 구배 자동계산'!I9="","",'⑨ 구배 자동계산'!I9))</f>
        <v/>
      </c>
      <c r="D16" s="43" t="str">
        <f>IF('⑨ 구배 자동계산'!$B$4&lt;&gt;"46_화천","",IF('⑨ 구배 자동계산'!J9="","",'⑨ 구배 자동계산'!J9))</f>
        <v/>
      </c>
      <c r="E16" s="30" t="str">
        <f>IF('⑨ 구배 자동계산'!$B$4&lt;&gt;"46_화천","",IF('⑨ 구배 자동계산'!K9="","",'⑨ 구배 자동계산'!K9))</f>
        <v/>
      </c>
      <c r="F16" s="43" t="str">
        <f>IF('⑨ 구배 자동계산'!$B$4&lt;&gt;"46_화천","",IF('⑨ 구배 자동계산'!L9="","",'⑨ 구배 자동계산'!L9))</f>
        <v/>
      </c>
      <c r="G16" s="30" t="str">
        <f>IF('⑨ 구배 자동계산'!$B$4&lt;&gt;"46_화천","",IF('⑨ 구배 자동계산'!M9="","",'⑨ 구배 자동계산'!M9))</f>
        <v/>
      </c>
      <c r="H16" s="43" t="str">
        <f>IF('⑨ 구배 자동계산'!$B$4&lt;&gt;"46_화천","",IF('⑨ 구배 자동계산'!N9="","",'⑨ 구배 자동계산'!N9))</f>
        <v/>
      </c>
      <c r="I16" s="30" t="str">
        <f>IF('⑨ 구배 자동계산'!$B$4&lt;&gt;"46_화천","",IF('⑨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자동계산'!$B$4&lt;&gt;"46_화천","",IF('⑨ 구배 자동계산'!H10="","",'⑨ 구배 자동계산'!H10))</f>
        <v/>
      </c>
      <c r="C17" s="32" t="str">
        <f>IF('⑨ 구배 자동계산'!$B$4&lt;&gt;"46_화천","",IF('⑨ 구배 자동계산'!I10="","",'⑨ 구배 자동계산'!I10))</f>
        <v/>
      </c>
      <c r="D17" s="44" t="str">
        <f>IF('⑨ 구배 자동계산'!$B$4&lt;&gt;"46_화천","",IF('⑨ 구배 자동계산'!J10="","",'⑨ 구배 자동계산'!J10))</f>
        <v/>
      </c>
      <c r="E17" s="32" t="str">
        <f>IF('⑨ 구배 자동계산'!$B$4&lt;&gt;"46_화천","",IF('⑨ 구배 자동계산'!K10="","",'⑨ 구배 자동계산'!K10))</f>
        <v/>
      </c>
      <c r="F17" s="44" t="str">
        <f>IF('⑨ 구배 자동계산'!$B$4&lt;&gt;"46_화천","",IF('⑨ 구배 자동계산'!L10="","",'⑨ 구배 자동계산'!L10))</f>
        <v/>
      </c>
      <c r="G17" s="32" t="str">
        <f>IF('⑨ 구배 자동계산'!$B$4&lt;&gt;"46_화천","",IF('⑨ 구배 자동계산'!M10="","",'⑨ 구배 자동계산'!M10))</f>
        <v/>
      </c>
      <c r="H17" s="44" t="str">
        <f>IF('⑨ 구배 자동계산'!$B$4&lt;&gt;"46_화천","",IF('⑨ 구배 자동계산'!N10="","",'⑨ 구배 자동계산'!N10))</f>
        <v/>
      </c>
      <c r="I17" s="32" t="str">
        <f>IF('⑨ 구배 자동계산'!$B$4&lt;&gt;"46_화천","",IF('⑨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자동계산'!$B$4&lt;&gt;"46_화천","",IF('⑨ 구배 자동계산'!H11="","",'⑨ 구배 자동계산'!H11))</f>
        <v/>
      </c>
      <c r="C18" s="32" t="str">
        <f>IF('⑨ 구배 자동계산'!$B$4&lt;&gt;"46_화천","",IF('⑨ 구배 자동계산'!I11="","",'⑨ 구배 자동계산'!I11))</f>
        <v/>
      </c>
      <c r="D18" s="44" t="str">
        <f>IF('⑨ 구배 자동계산'!$B$4&lt;&gt;"46_화천","",IF('⑨ 구배 자동계산'!J11="","",'⑨ 구배 자동계산'!J11))</f>
        <v/>
      </c>
      <c r="E18" s="32" t="str">
        <f>IF('⑨ 구배 자동계산'!$B$4&lt;&gt;"46_화천","",IF('⑨ 구배 자동계산'!K11="","",'⑨ 구배 자동계산'!K11))</f>
        <v/>
      </c>
      <c r="F18" s="44" t="str">
        <f>IF('⑨ 구배 자동계산'!$B$4&lt;&gt;"46_화천","",IF('⑨ 구배 자동계산'!L11="","",'⑨ 구배 자동계산'!L11))</f>
        <v/>
      </c>
      <c r="G18" s="32" t="str">
        <f>IF('⑨ 구배 자동계산'!$B$4&lt;&gt;"46_화천","",IF('⑨ 구배 자동계산'!M11="","",'⑨ 구배 자동계산'!M11))</f>
        <v/>
      </c>
      <c r="H18" s="44" t="str">
        <f>IF('⑨ 구배 자동계산'!$B$4&lt;&gt;"46_화천","",IF('⑨ 구배 자동계산'!N11="","",'⑨ 구배 자동계산'!N11))</f>
        <v/>
      </c>
      <c r="I18" s="32" t="str">
        <f>IF('⑨ 구배 자동계산'!$B$4&lt;&gt;"46_화천","",IF('⑨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자동계산'!$B$4&lt;&gt;"46_화천","",IF('⑨ 구배 자동계산'!H12="","",'⑨ 구배 자동계산'!H12))</f>
        <v/>
      </c>
      <c r="C19" s="32" t="str">
        <f>IF('⑨ 구배 자동계산'!$B$4&lt;&gt;"46_화천","",IF('⑨ 구배 자동계산'!I12="","",'⑨ 구배 자동계산'!I12))</f>
        <v/>
      </c>
      <c r="D19" s="44" t="str">
        <f>IF('⑨ 구배 자동계산'!$B$4&lt;&gt;"46_화천","",IF('⑨ 구배 자동계산'!J12="","",'⑨ 구배 자동계산'!J12))</f>
        <v/>
      </c>
      <c r="E19" s="32" t="str">
        <f>IF('⑨ 구배 자동계산'!$B$4&lt;&gt;"46_화천","",IF('⑨ 구배 자동계산'!K12="","",'⑨ 구배 자동계산'!K12))</f>
        <v/>
      </c>
      <c r="F19" s="44" t="str">
        <f>IF('⑨ 구배 자동계산'!$B$4&lt;&gt;"46_화천","",IF('⑨ 구배 자동계산'!L12="","",'⑨ 구배 자동계산'!L12))</f>
        <v/>
      </c>
      <c r="G19" s="32" t="str">
        <f>IF('⑨ 구배 자동계산'!$B$4&lt;&gt;"46_화천","",IF('⑨ 구배 자동계산'!M12="","",'⑨ 구배 자동계산'!M12))</f>
        <v/>
      </c>
      <c r="H19" s="44" t="str">
        <f>IF('⑨ 구배 자동계산'!$B$4&lt;&gt;"46_화천","",IF('⑨ 구배 자동계산'!N12="","",'⑨ 구배 자동계산'!N12))</f>
        <v/>
      </c>
      <c r="I19" s="32" t="str">
        <f>IF('⑨ 구배 자동계산'!$B$4&lt;&gt;"46_화천","",IF('⑨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자동계산'!$B$4&lt;&gt;"46_화천","",IF('⑨ 구배 자동계산'!H13="","",'⑨ 구배 자동계산'!H13))</f>
        <v/>
      </c>
      <c r="C20" s="32" t="str">
        <f>IF('⑨ 구배 자동계산'!$B$4&lt;&gt;"46_화천","",IF('⑨ 구배 자동계산'!I13="","",'⑨ 구배 자동계산'!I13))</f>
        <v/>
      </c>
      <c r="D20" s="44" t="str">
        <f>IF('⑨ 구배 자동계산'!$B$4&lt;&gt;"46_화천","",IF('⑨ 구배 자동계산'!J13="","",'⑨ 구배 자동계산'!J13))</f>
        <v/>
      </c>
      <c r="E20" s="32" t="str">
        <f>IF('⑨ 구배 자동계산'!$B$4&lt;&gt;"46_화천","",IF('⑨ 구배 자동계산'!K13="","",'⑨ 구배 자동계산'!K13))</f>
        <v/>
      </c>
      <c r="F20" s="44" t="str">
        <f>IF('⑨ 구배 자동계산'!$B$4&lt;&gt;"46_화천","",IF('⑨ 구배 자동계산'!L13="","",'⑨ 구배 자동계산'!L13))</f>
        <v/>
      </c>
      <c r="G20" s="32" t="str">
        <f>IF('⑨ 구배 자동계산'!$B$4&lt;&gt;"46_화천","",IF('⑨ 구배 자동계산'!M13="","",'⑨ 구배 자동계산'!M13))</f>
        <v/>
      </c>
      <c r="H20" s="44" t="str">
        <f>IF('⑨ 구배 자동계산'!$B$4&lt;&gt;"46_화천","",IF('⑨ 구배 자동계산'!N13="","",'⑨ 구배 자동계산'!N13))</f>
        <v/>
      </c>
      <c r="I20" s="32" t="str">
        <f>IF('⑨ 구배 자동계산'!$B$4&lt;&gt;"46_화천","",IF('⑨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자동계산'!$B$4&lt;&gt;"46_화천","",IF('⑨ 구배 자동계산'!H14="","",'⑨ 구배 자동계산'!H14))</f>
        <v/>
      </c>
      <c r="C21" s="32" t="str">
        <f>IF('⑨ 구배 자동계산'!$B$4&lt;&gt;"46_화천","",IF('⑨ 구배 자동계산'!I14="","",'⑨ 구배 자동계산'!I14))</f>
        <v/>
      </c>
      <c r="D21" s="44" t="str">
        <f>IF('⑨ 구배 자동계산'!$B$4&lt;&gt;"46_화천","",IF('⑨ 구배 자동계산'!J14="","",'⑨ 구배 자동계산'!J14))</f>
        <v/>
      </c>
      <c r="E21" s="32" t="str">
        <f>IF('⑨ 구배 자동계산'!$B$4&lt;&gt;"46_화천","",IF('⑨ 구배 자동계산'!K14="","",'⑨ 구배 자동계산'!K14))</f>
        <v/>
      </c>
      <c r="F21" s="44" t="str">
        <f>IF('⑨ 구배 자동계산'!$B$4&lt;&gt;"46_화천","",IF('⑨ 구배 자동계산'!L14="","",'⑨ 구배 자동계산'!L14))</f>
        <v/>
      </c>
      <c r="G21" s="32" t="str">
        <f>IF('⑨ 구배 자동계산'!$B$4&lt;&gt;"46_화천","",IF('⑨ 구배 자동계산'!M14="","",'⑨ 구배 자동계산'!M14))</f>
        <v/>
      </c>
      <c r="H21" s="44" t="str">
        <f>IF('⑨ 구배 자동계산'!$B$4&lt;&gt;"46_화천","",IF('⑨ 구배 자동계산'!N14="","",'⑨ 구배 자동계산'!N14))</f>
        <v/>
      </c>
      <c r="I21" s="32" t="str">
        <f>IF('⑨ 구배 자동계산'!$B$4&lt;&gt;"46_화천","",IF('⑨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자동계산'!$B$4&lt;&gt;"46_화천","",IF('⑨ 구배 자동계산'!H15="","",'⑨ 구배 자동계산'!H15))</f>
        <v/>
      </c>
      <c r="C22" s="32" t="str">
        <f>IF('⑨ 구배 자동계산'!$B$4&lt;&gt;"46_화천","",IF('⑨ 구배 자동계산'!I15="","",'⑨ 구배 자동계산'!I15))</f>
        <v/>
      </c>
      <c r="D22" s="44" t="str">
        <f>IF('⑨ 구배 자동계산'!$B$4&lt;&gt;"46_화천","",IF('⑨ 구배 자동계산'!J15="","",'⑨ 구배 자동계산'!J15))</f>
        <v/>
      </c>
      <c r="E22" s="32" t="str">
        <f>IF('⑨ 구배 자동계산'!$B$4&lt;&gt;"46_화천","",IF('⑨ 구배 자동계산'!K15="","",'⑨ 구배 자동계산'!K15))</f>
        <v/>
      </c>
      <c r="F22" s="44" t="str">
        <f>IF('⑨ 구배 자동계산'!$B$4&lt;&gt;"46_화천","",IF('⑨ 구배 자동계산'!L15="","",'⑨ 구배 자동계산'!L15))</f>
        <v/>
      </c>
      <c r="G22" s="32" t="str">
        <f>IF('⑨ 구배 자동계산'!$B$4&lt;&gt;"46_화천","",IF('⑨ 구배 자동계산'!M15="","",'⑨ 구배 자동계산'!M15))</f>
        <v/>
      </c>
      <c r="H22" s="44" t="str">
        <f>IF('⑨ 구배 자동계산'!$B$4&lt;&gt;"46_화천","",IF('⑨ 구배 자동계산'!N15="","",'⑨ 구배 자동계산'!N15))</f>
        <v/>
      </c>
      <c r="I22" s="32" t="str">
        <f>IF('⑨ 구배 자동계산'!$B$4&lt;&gt;"46_화천","",IF('⑨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자동계산'!$B$4&lt;&gt;"46_화천","",IF('⑨ 구배 자동계산'!H16="","",'⑨ 구배 자동계산'!H16))</f>
        <v/>
      </c>
      <c r="C23" s="32" t="str">
        <f>IF('⑨ 구배 자동계산'!$B$4&lt;&gt;"46_화천","",IF('⑨ 구배 자동계산'!I16="","",'⑨ 구배 자동계산'!I16))</f>
        <v/>
      </c>
      <c r="D23" s="44" t="str">
        <f>IF('⑨ 구배 자동계산'!$B$4&lt;&gt;"46_화천","",IF('⑨ 구배 자동계산'!J16="","",'⑨ 구배 자동계산'!J16))</f>
        <v/>
      </c>
      <c r="E23" s="32" t="str">
        <f>IF('⑨ 구배 자동계산'!$B$4&lt;&gt;"46_화천","",IF('⑨ 구배 자동계산'!K16="","",'⑨ 구배 자동계산'!K16))</f>
        <v/>
      </c>
      <c r="F23" s="44" t="str">
        <f>IF('⑨ 구배 자동계산'!$B$4&lt;&gt;"46_화천","",IF('⑨ 구배 자동계산'!L16="","",'⑨ 구배 자동계산'!L16))</f>
        <v/>
      </c>
      <c r="G23" s="32" t="str">
        <f>IF('⑨ 구배 자동계산'!$B$4&lt;&gt;"46_화천","",IF('⑨ 구배 자동계산'!M16="","",'⑨ 구배 자동계산'!M16))</f>
        <v/>
      </c>
      <c r="H23" s="44" t="str">
        <f>IF('⑨ 구배 자동계산'!$B$4&lt;&gt;"46_화천","",IF('⑨ 구배 자동계산'!N16="","",'⑨ 구배 자동계산'!N16))</f>
        <v/>
      </c>
      <c r="I23" s="32" t="str">
        <f>IF('⑨ 구배 자동계산'!$B$4&lt;&gt;"46_화천","",IF('⑨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자동계산'!$B$4&lt;&gt;"46_화천","",IF('⑨ 구배 자동계산'!H17="","",'⑨ 구배 자동계산'!H17))</f>
        <v/>
      </c>
      <c r="C24" s="32" t="str">
        <f>IF('⑨ 구배 자동계산'!$B$4&lt;&gt;"46_화천","",IF('⑨ 구배 자동계산'!I17="","",'⑨ 구배 자동계산'!I17))</f>
        <v/>
      </c>
      <c r="D24" s="44" t="str">
        <f>IF('⑨ 구배 자동계산'!$B$4&lt;&gt;"46_화천","",IF('⑨ 구배 자동계산'!J17="","",'⑨ 구배 자동계산'!J17))</f>
        <v/>
      </c>
      <c r="E24" s="32" t="str">
        <f>IF('⑨ 구배 자동계산'!$B$4&lt;&gt;"46_화천","",IF('⑨ 구배 자동계산'!K17="","",'⑨ 구배 자동계산'!K17))</f>
        <v/>
      </c>
      <c r="F24" s="44" t="str">
        <f>IF('⑨ 구배 자동계산'!$B$4&lt;&gt;"46_화천","",IF('⑨ 구배 자동계산'!L17="","",'⑨ 구배 자동계산'!L17))</f>
        <v/>
      </c>
      <c r="G24" s="32" t="str">
        <f>IF('⑨ 구배 자동계산'!$B$4&lt;&gt;"46_화천","",IF('⑨ 구배 자동계산'!M17="","",'⑨ 구배 자동계산'!M17))</f>
        <v/>
      </c>
      <c r="H24" s="44" t="str">
        <f>IF('⑨ 구배 자동계산'!$B$4&lt;&gt;"46_화천","",IF('⑨ 구배 자동계산'!N17="","",'⑨ 구배 자동계산'!N17))</f>
        <v/>
      </c>
      <c r="I24" s="32" t="str">
        <f>IF('⑨ 구배 자동계산'!$B$4&lt;&gt;"46_화천","",IF('⑨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자동계산'!$B$4&lt;&gt;"46_화천","",IF('⑨ 구배 자동계산'!H18="","",'⑨ 구배 자동계산'!H18))</f>
        <v/>
      </c>
      <c r="C25" s="32" t="str">
        <f>IF('⑨ 구배 자동계산'!$B$4&lt;&gt;"46_화천","",IF('⑨ 구배 자동계산'!I18="","",'⑨ 구배 자동계산'!I18))</f>
        <v/>
      </c>
      <c r="D25" s="44" t="str">
        <f>IF('⑨ 구배 자동계산'!$B$4&lt;&gt;"46_화천","",IF('⑨ 구배 자동계산'!J18="","",'⑨ 구배 자동계산'!J18))</f>
        <v/>
      </c>
      <c r="E25" s="32" t="str">
        <f>IF('⑨ 구배 자동계산'!$B$4&lt;&gt;"46_화천","",IF('⑨ 구배 자동계산'!K18="","",'⑨ 구배 자동계산'!K18))</f>
        <v/>
      </c>
      <c r="F25" s="44" t="str">
        <f>IF('⑨ 구배 자동계산'!$B$4&lt;&gt;"46_화천","",IF('⑨ 구배 자동계산'!L18="","",'⑨ 구배 자동계산'!L18))</f>
        <v/>
      </c>
      <c r="G25" s="32" t="str">
        <f>IF('⑨ 구배 자동계산'!$B$4&lt;&gt;"46_화천","",IF('⑨ 구배 자동계산'!M18="","",'⑨ 구배 자동계산'!M18))</f>
        <v/>
      </c>
      <c r="H25" s="44" t="str">
        <f>IF('⑨ 구배 자동계산'!$B$4&lt;&gt;"46_화천","",IF('⑨ 구배 자동계산'!N18="","",'⑨ 구배 자동계산'!N18))</f>
        <v/>
      </c>
      <c r="I25" s="32" t="str">
        <f>IF('⑨ 구배 자동계산'!$B$4&lt;&gt;"46_화천","",IF('⑨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자동계산'!$B$4&lt;&gt;"46_화천","",IF('⑨ 구배 자동계산'!H19="","",'⑨ 구배 자동계산'!H19))</f>
        <v/>
      </c>
      <c r="C26" s="32" t="str">
        <f>IF('⑨ 구배 자동계산'!$B$4&lt;&gt;"46_화천","",IF('⑨ 구배 자동계산'!I19="","",'⑨ 구배 자동계산'!I19))</f>
        <v/>
      </c>
      <c r="D26" s="44" t="str">
        <f>IF('⑨ 구배 자동계산'!$B$4&lt;&gt;"46_화천","",IF('⑨ 구배 자동계산'!J19="","",'⑨ 구배 자동계산'!J19))</f>
        <v/>
      </c>
      <c r="E26" s="32" t="str">
        <f>IF('⑨ 구배 자동계산'!$B$4&lt;&gt;"46_화천","",IF('⑨ 구배 자동계산'!K19="","",'⑨ 구배 자동계산'!K19))</f>
        <v/>
      </c>
      <c r="F26" s="44" t="str">
        <f>IF('⑨ 구배 자동계산'!$B$4&lt;&gt;"46_화천","",IF('⑨ 구배 자동계산'!L19="","",'⑨ 구배 자동계산'!L19))</f>
        <v/>
      </c>
      <c r="G26" s="32" t="str">
        <f>IF('⑨ 구배 자동계산'!$B$4&lt;&gt;"46_화천","",IF('⑨ 구배 자동계산'!M19="","",'⑨ 구배 자동계산'!M19))</f>
        <v/>
      </c>
      <c r="H26" s="44" t="str">
        <f>IF('⑨ 구배 자동계산'!$B$4&lt;&gt;"46_화천","",IF('⑨ 구배 자동계산'!N19="","",'⑨ 구배 자동계산'!N19))</f>
        <v/>
      </c>
      <c r="I26" s="32" t="str">
        <f>IF('⑨ 구배 자동계산'!$B$4&lt;&gt;"46_화천","",IF('⑨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자동계산'!$B$4&lt;&gt;"46_화천","",IF('⑨ 구배 자동계산'!H20="","",'⑨ 구배 자동계산'!H20))</f>
        <v/>
      </c>
      <c r="C27" s="41" t="str">
        <f>IF('⑨ 구배 자동계산'!$B$4&lt;&gt;"46_화천","",IF('⑨ 구배 자동계산'!I20="","",'⑨ 구배 자동계산'!I20))</f>
        <v/>
      </c>
      <c r="D27" s="45" t="str">
        <f>IF('⑨ 구배 자동계산'!$B$4&lt;&gt;"46_화천","",IF('⑨ 구배 자동계산'!J20="","",'⑨ 구배 자동계산'!J20))</f>
        <v/>
      </c>
      <c r="E27" s="41" t="str">
        <f>IF('⑨ 구배 자동계산'!$B$4&lt;&gt;"46_화천","",IF('⑨ 구배 자동계산'!K20="","",'⑨ 구배 자동계산'!K20))</f>
        <v/>
      </c>
      <c r="F27" s="45" t="str">
        <f>IF('⑨ 구배 자동계산'!$B$4&lt;&gt;"46_화천","",IF('⑨ 구배 자동계산'!L20="","",'⑨ 구배 자동계산'!L20))</f>
        <v/>
      </c>
      <c r="G27" s="41" t="str">
        <f>IF('⑨ 구배 자동계산'!$B$4&lt;&gt;"46_화천","",IF('⑨ 구배 자동계산'!M20="","",'⑨ 구배 자동계산'!M20))</f>
        <v/>
      </c>
      <c r="H27" s="45" t="str">
        <f>IF('⑨ 구배 자동계산'!$B$4&lt;&gt;"46_화천","",IF('⑨ 구배 자동계산'!N20="","",'⑨ 구배 자동계산'!N20))</f>
        <v/>
      </c>
      <c r="I27" s="41" t="str">
        <f>IF('⑨ 구배 자동계산'!$B$4&lt;&gt;"46_화천","",IF('⑨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자동계산'!$B$4&lt;&gt;"46_화천","",IF('⑨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자동계산'!$B$4&lt;&gt;"46_화천","",IF('⑨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자동계산'!$B$4&lt;&gt;"46_화천","",IF('⑨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자동계산'!$B$4&lt;&gt;"46_화천","",IF('⑨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자동계산'!$B$4&lt;&gt;"46_화천","",IF('⑨ 구배 자동계산'!I23="","",'⑨ 구배 자동계산'!I23))</f>
        <v/>
      </c>
      <c r="D42" s="8"/>
      <c r="E42" s="8"/>
      <c r="F42" s="8"/>
      <c r="G42" s="92" t="str">
        <f>IF('⑨ 구배 자동계산'!$B$4&lt;&gt;"46_화천","",IF('⑨ 구배 자동계산'!$J23="","",'⑨ 구배 자동계산'!$J23&amp;"  ·  "&amp;'⑨ 구배 자동계산'!$L23))</f>
        <v/>
      </c>
      <c r="H42" s="93"/>
      <c r="I42" s="93"/>
    </row>
    <row r="43" spans="1:35" ht="19.95" customHeight="1" x14ac:dyDescent="0.4">
      <c r="A43" s="8">
        <v>3</v>
      </c>
      <c r="B43" s="33">
        <v>140</v>
      </c>
      <c r="C43" s="32" t="str">
        <f>IF('⑨ 구배 자동계산'!$B$4&lt;&gt;"46_화천","",IF('⑨ 구배 자동계산'!I24="","",'⑨ 구배 자동계산'!I24))</f>
        <v/>
      </c>
      <c r="D43" s="34">
        <f>IF(COUNT(B43,B42)&lt;2,"",(B42-B43)/100)</f>
        <v>0.45</v>
      </c>
      <c r="E43" s="35" t="str">
        <f>IF(COUNT(C43,C42)&lt;2,"",C43-C42)</f>
        <v/>
      </c>
      <c r="F43" s="36" t="str">
        <f>IF(OR(D43="",E43="",D43=0),"",E43/D43)</f>
        <v/>
      </c>
      <c r="G43" s="92" t="str">
        <f>IF('⑨ 구배 자동계산'!$B$4&lt;&gt;"46_화천","",IF('⑨ 구배 자동계산'!$J24="","",'⑨ 구배 자동계산'!$J24&amp;"  ·  "&amp;'⑨ 구배 자동계산'!$L24))</f>
        <v/>
      </c>
      <c r="H43" s="93"/>
      <c r="I43" s="93"/>
      <c r="AH43" t="s">
        <v>234</v>
      </c>
    </row>
    <row r="44" spans="1:35" ht="19.95" customHeight="1" x14ac:dyDescent="0.4">
      <c r="A44" s="8">
        <v>2</v>
      </c>
      <c r="B44" s="33">
        <v>95</v>
      </c>
      <c r="C44" s="32" t="str">
        <f>IF('⑨ 구배 자동계산'!$B$4&lt;&gt;"46_화천","",IF('⑨ 구배 자동계산'!I25="","",'⑨ 구배 자동계산'!I25))</f>
        <v/>
      </c>
      <c r="D44" s="34">
        <f>IF(COUNT(B44,B43)&lt;2,"",(B43-B44)/100)</f>
        <v>0.45</v>
      </c>
      <c r="E44" s="35" t="str">
        <f>IF(COUNT(C44,C43)&lt;2,"",C44-C43)</f>
        <v/>
      </c>
      <c r="F44" s="36" t="str">
        <f>IF(OR(D44="",E44="",D44=0),"",E44/D44)</f>
        <v/>
      </c>
      <c r="G44" s="92" t="str">
        <f>IF('⑨ 구배 자동계산'!$B$4&lt;&gt;"46_화천","",IF('⑨ 구배 자동계산'!$J25="","",'⑨ 구배 자동계산'!$J25&amp;"  ·  "&amp;'⑨ 구배 자동계산'!$L25))</f>
        <v/>
      </c>
      <c r="H44" s="93"/>
      <c r="I44" s="93"/>
    </row>
    <row r="45" spans="1:35" ht="19.95" customHeight="1" x14ac:dyDescent="0.4">
      <c r="A45" s="8">
        <v>1</v>
      </c>
      <c r="B45" s="33">
        <v>50</v>
      </c>
      <c r="C45" s="32" t="str">
        <f>IF('⑨ 구배 자동계산'!$B$4&lt;&gt;"46_화천","",IF('⑨ 구배 자동계산'!I26="","",'⑨ 구배 자동계산'!I26))</f>
        <v/>
      </c>
      <c r="D45" s="34">
        <f>IF(COUNT(B45,B44)&lt;2,"",(B44-B45)/100)</f>
        <v>0.45</v>
      </c>
      <c r="E45" s="35" t="str">
        <f>IF(COUNT(C45,C44)&lt;2,"",C45-C44)</f>
        <v/>
      </c>
      <c r="F45" s="36" t="str">
        <f>IF(OR(D45="",E45="",D45=0),"",E45/D45)</f>
        <v/>
      </c>
      <c r="G45" s="92" t="str">
        <f>IF('⑨ 구배 자동계산'!$B$4&lt;&gt;"46_화천","",IF('⑨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IF(COUNT(B50,E50)&lt;2,"",ROUND(SQRT(((127.686722-E50)*111320*COS(RADIANS(38.115667)))^2+((38.115667-B50)*110574)^2),1))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S46-P0a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24" priority="1">
      <formula>AND(ISNUMBER(C31),C31&gt;50)</formula>
    </cfRule>
  </conditionalFormatting>
  <conditionalFormatting sqref="D7">
    <cfRule type="expression" dxfId="23" priority="3" stopIfTrue="1">
      <formula>AND($D$7&lt;&gt;"",VALUE(LEFT($D$7,1))&lt;5)</formula>
    </cfRule>
    <cfRule type="expression" dxfId="22" priority="4" stopIfTrue="1">
      <formula>AND($D$7&lt;&gt;"",VALUE(LEFT($D$7,1))&gt;=5)</formula>
    </cfRule>
  </conditionalFormatting>
  <conditionalFormatting sqref="E7">
    <cfRule type="expression" dxfId="21" priority="5" stopIfTrue="1">
      <formula>AND($E$7&lt;&gt;"",VALUE(LEFT($E$7,1))&lt;5)</formula>
    </cfRule>
    <cfRule type="expression" dxfId="2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C9A91016-2E51-475E-A4F0-02EEC53F4DC4}">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CF3BBDB7-0353-4C8B-B5F4-873DA30EE78E}">
      <formula1>DATE(2026,1,1)</formula1>
      <formula2>DATE(2027,12,31)</formula2>
    </dataValidation>
    <dataValidation type="list" allowBlank="1" sqref="C7" xr:uid="{B75D0AC7-E6AE-40DA-A420-976A49985520}">
      <formula1>"맑음,구름 조금,흐림,비,눈,바람 강함"</formula1>
    </dataValidation>
    <dataValidation type="list" allowBlank="1" sqref="H50" xr:uid="{3630064F-3C87-48D6-B9C8-CD21246763DF}">
      <formula1>"RTK-GNSS,네트워크RTK,정적GNSS,휴대GNSS"</formula1>
    </dataValidation>
    <dataValidation type="list" allowBlank="1" sqref="B109" xr:uid="{305B3368-C68B-4C06-BCEF-6BC210E43637}">
      <formula1>"동일,조정"</formula1>
    </dataValidation>
    <dataValidation type="list" allowBlank="1" showInputMessage="1" showErrorMessage="1" sqref="F56:F57" xr:uid="{D859D40B-FB3A-41F0-B185-ABF73858433D}">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&amp;RS46 화천</oddHeader>
    <oddFooter>&amp;C&amp;9 &amp;P / &amp;N</oddFooter>
  </headerFooter>
  <rowBreaks count="3" manualBreakCount="3">
    <brk id="38" max="16383" man="1"/>
    <brk id="58" max="16383" man="1"/>
    <brk id="106" max="16383"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9A6E0-746A-497D-9999-68208E4311C0}">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533</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534</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535</v>
      </c>
      <c r="B3" s="68"/>
      <c r="C3" s="68"/>
      <c r="D3" s="68"/>
      <c r="E3" s="68"/>
      <c r="F3" s="8" t="s">
        <v>154</v>
      </c>
      <c r="G3" s="6"/>
      <c r="H3" s="8" t="s">
        <v>155</v>
      </c>
      <c r="I3" s="9" t="s">
        <v>536</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자동계산'!$B$4="47_봉평","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자동계산'!$B$4&lt;&gt;"47_봉평","",IF('⑨ 구배 자동계산'!H9="","",'⑨ 구배 자동계산'!H9))</f>
        <v/>
      </c>
      <c r="C16" s="30" t="str">
        <f>IF('⑨ 구배 자동계산'!$B$4&lt;&gt;"47_봉평","",IF('⑨ 구배 자동계산'!I9="","",'⑨ 구배 자동계산'!I9))</f>
        <v/>
      </c>
      <c r="D16" s="43" t="str">
        <f>IF('⑨ 구배 자동계산'!$B$4&lt;&gt;"47_봉평","",IF('⑨ 구배 자동계산'!J9="","",'⑨ 구배 자동계산'!J9))</f>
        <v/>
      </c>
      <c r="E16" s="30" t="str">
        <f>IF('⑨ 구배 자동계산'!$B$4&lt;&gt;"47_봉평","",IF('⑨ 구배 자동계산'!K9="","",'⑨ 구배 자동계산'!K9))</f>
        <v/>
      </c>
      <c r="F16" s="43" t="str">
        <f>IF('⑨ 구배 자동계산'!$B$4&lt;&gt;"47_봉평","",IF('⑨ 구배 자동계산'!L9="","",'⑨ 구배 자동계산'!L9))</f>
        <v/>
      </c>
      <c r="G16" s="30" t="str">
        <f>IF('⑨ 구배 자동계산'!$B$4&lt;&gt;"47_봉평","",IF('⑨ 구배 자동계산'!M9="","",'⑨ 구배 자동계산'!M9))</f>
        <v/>
      </c>
      <c r="H16" s="43" t="str">
        <f>IF('⑨ 구배 자동계산'!$B$4&lt;&gt;"47_봉평","",IF('⑨ 구배 자동계산'!N9="","",'⑨ 구배 자동계산'!N9))</f>
        <v/>
      </c>
      <c r="I16" s="30" t="str">
        <f>IF('⑨ 구배 자동계산'!$B$4&lt;&gt;"47_봉평","",IF('⑨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자동계산'!$B$4&lt;&gt;"47_봉평","",IF('⑨ 구배 자동계산'!H10="","",'⑨ 구배 자동계산'!H10))</f>
        <v/>
      </c>
      <c r="C17" s="32" t="str">
        <f>IF('⑨ 구배 자동계산'!$B$4&lt;&gt;"47_봉평","",IF('⑨ 구배 자동계산'!I10="","",'⑨ 구배 자동계산'!I10))</f>
        <v/>
      </c>
      <c r="D17" s="44" t="str">
        <f>IF('⑨ 구배 자동계산'!$B$4&lt;&gt;"47_봉평","",IF('⑨ 구배 자동계산'!J10="","",'⑨ 구배 자동계산'!J10))</f>
        <v/>
      </c>
      <c r="E17" s="32" t="str">
        <f>IF('⑨ 구배 자동계산'!$B$4&lt;&gt;"47_봉평","",IF('⑨ 구배 자동계산'!K10="","",'⑨ 구배 자동계산'!K10))</f>
        <v/>
      </c>
      <c r="F17" s="44" t="str">
        <f>IF('⑨ 구배 자동계산'!$B$4&lt;&gt;"47_봉평","",IF('⑨ 구배 자동계산'!L10="","",'⑨ 구배 자동계산'!L10))</f>
        <v/>
      </c>
      <c r="G17" s="32" t="str">
        <f>IF('⑨ 구배 자동계산'!$B$4&lt;&gt;"47_봉평","",IF('⑨ 구배 자동계산'!M10="","",'⑨ 구배 자동계산'!M10))</f>
        <v/>
      </c>
      <c r="H17" s="44" t="str">
        <f>IF('⑨ 구배 자동계산'!$B$4&lt;&gt;"47_봉평","",IF('⑨ 구배 자동계산'!N10="","",'⑨ 구배 자동계산'!N10))</f>
        <v/>
      </c>
      <c r="I17" s="32" t="str">
        <f>IF('⑨ 구배 자동계산'!$B$4&lt;&gt;"47_봉평","",IF('⑨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자동계산'!$B$4&lt;&gt;"47_봉평","",IF('⑨ 구배 자동계산'!H11="","",'⑨ 구배 자동계산'!H11))</f>
        <v/>
      </c>
      <c r="C18" s="32" t="str">
        <f>IF('⑨ 구배 자동계산'!$B$4&lt;&gt;"47_봉평","",IF('⑨ 구배 자동계산'!I11="","",'⑨ 구배 자동계산'!I11))</f>
        <v/>
      </c>
      <c r="D18" s="44" t="str">
        <f>IF('⑨ 구배 자동계산'!$B$4&lt;&gt;"47_봉평","",IF('⑨ 구배 자동계산'!J11="","",'⑨ 구배 자동계산'!J11))</f>
        <v/>
      </c>
      <c r="E18" s="32" t="str">
        <f>IF('⑨ 구배 자동계산'!$B$4&lt;&gt;"47_봉평","",IF('⑨ 구배 자동계산'!K11="","",'⑨ 구배 자동계산'!K11))</f>
        <v/>
      </c>
      <c r="F18" s="44" t="str">
        <f>IF('⑨ 구배 자동계산'!$B$4&lt;&gt;"47_봉평","",IF('⑨ 구배 자동계산'!L11="","",'⑨ 구배 자동계산'!L11))</f>
        <v/>
      </c>
      <c r="G18" s="32" t="str">
        <f>IF('⑨ 구배 자동계산'!$B$4&lt;&gt;"47_봉평","",IF('⑨ 구배 자동계산'!M11="","",'⑨ 구배 자동계산'!M11))</f>
        <v/>
      </c>
      <c r="H18" s="44" t="str">
        <f>IF('⑨ 구배 자동계산'!$B$4&lt;&gt;"47_봉평","",IF('⑨ 구배 자동계산'!N11="","",'⑨ 구배 자동계산'!N11))</f>
        <v/>
      </c>
      <c r="I18" s="32" t="str">
        <f>IF('⑨ 구배 자동계산'!$B$4&lt;&gt;"47_봉평","",IF('⑨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자동계산'!$B$4&lt;&gt;"47_봉평","",IF('⑨ 구배 자동계산'!H12="","",'⑨ 구배 자동계산'!H12))</f>
        <v/>
      </c>
      <c r="C19" s="32" t="str">
        <f>IF('⑨ 구배 자동계산'!$B$4&lt;&gt;"47_봉평","",IF('⑨ 구배 자동계산'!I12="","",'⑨ 구배 자동계산'!I12))</f>
        <v/>
      </c>
      <c r="D19" s="44" t="str">
        <f>IF('⑨ 구배 자동계산'!$B$4&lt;&gt;"47_봉평","",IF('⑨ 구배 자동계산'!J12="","",'⑨ 구배 자동계산'!J12))</f>
        <v/>
      </c>
      <c r="E19" s="32" t="str">
        <f>IF('⑨ 구배 자동계산'!$B$4&lt;&gt;"47_봉평","",IF('⑨ 구배 자동계산'!K12="","",'⑨ 구배 자동계산'!K12))</f>
        <v/>
      </c>
      <c r="F19" s="44" t="str">
        <f>IF('⑨ 구배 자동계산'!$B$4&lt;&gt;"47_봉평","",IF('⑨ 구배 자동계산'!L12="","",'⑨ 구배 자동계산'!L12))</f>
        <v/>
      </c>
      <c r="G19" s="32" t="str">
        <f>IF('⑨ 구배 자동계산'!$B$4&lt;&gt;"47_봉평","",IF('⑨ 구배 자동계산'!M12="","",'⑨ 구배 자동계산'!M12))</f>
        <v/>
      </c>
      <c r="H19" s="44" t="str">
        <f>IF('⑨ 구배 자동계산'!$B$4&lt;&gt;"47_봉평","",IF('⑨ 구배 자동계산'!N12="","",'⑨ 구배 자동계산'!N12))</f>
        <v/>
      </c>
      <c r="I19" s="32" t="str">
        <f>IF('⑨ 구배 자동계산'!$B$4&lt;&gt;"47_봉평","",IF('⑨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자동계산'!$B$4&lt;&gt;"47_봉평","",IF('⑨ 구배 자동계산'!H13="","",'⑨ 구배 자동계산'!H13))</f>
        <v/>
      </c>
      <c r="C20" s="32" t="str">
        <f>IF('⑨ 구배 자동계산'!$B$4&lt;&gt;"47_봉평","",IF('⑨ 구배 자동계산'!I13="","",'⑨ 구배 자동계산'!I13))</f>
        <v/>
      </c>
      <c r="D20" s="44" t="str">
        <f>IF('⑨ 구배 자동계산'!$B$4&lt;&gt;"47_봉평","",IF('⑨ 구배 자동계산'!J13="","",'⑨ 구배 자동계산'!J13))</f>
        <v/>
      </c>
      <c r="E20" s="32" t="str">
        <f>IF('⑨ 구배 자동계산'!$B$4&lt;&gt;"47_봉평","",IF('⑨ 구배 자동계산'!K13="","",'⑨ 구배 자동계산'!K13))</f>
        <v/>
      </c>
      <c r="F20" s="44" t="str">
        <f>IF('⑨ 구배 자동계산'!$B$4&lt;&gt;"47_봉평","",IF('⑨ 구배 자동계산'!L13="","",'⑨ 구배 자동계산'!L13))</f>
        <v/>
      </c>
      <c r="G20" s="32" t="str">
        <f>IF('⑨ 구배 자동계산'!$B$4&lt;&gt;"47_봉평","",IF('⑨ 구배 자동계산'!M13="","",'⑨ 구배 자동계산'!M13))</f>
        <v/>
      </c>
      <c r="H20" s="44" t="str">
        <f>IF('⑨ 구배 자동계산'!$B$4&lt;&gt;"47_봉평","",IF('⑨ 구배 자동계산'!N13="","",'⑨ 구배 자동계산'!N13))</f>
        <v/>
      </c>
      <c r="I20" s="32" t="str">
        <f>IF('⑨ 구배 자동계산'!$B$4&lt;&gt;"47_봉평","",IF('⑨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자동계산'!$B$4&lt;&gt;"47_봉평","",IF('⑨ 구배 자동계산'!H14="","",'⑨ 구배 자동계산'!H14))</f>
        <v/>
      </c>
      <c r="C21" s="32" t="str">
        <f>IF('⑨ 구배 자동계산'!$B$4&lt;&gt;"47_봉평","",IF('⑨ 구배 자동계산'!I14="","",'⑨ 구배 자동계산'!I14))</f>
        <v/>
      </c>
      <c r="D21" s="44" t="str">
        <f>IF('⑨ 구배 자동계산'!$B$4&lt;&gt;"47_봉평","",IF('⑨ 구배 자동계산'!J14="","",'⑨ 구배 자동계산'!J14))</f>
        <v/>
      </c>
      <c r="E21" s="32" t="str">
        <f>IF('⑨ 구배 자동계산'!$B$4&lt;&gt;"47_봉평","",IF('⑨ 구배 자동계산'!K14="","",'⑨ 구배 자동계산'!K14))</f>
        <v/>
      </c>
      <c r="F21" s="44" t="str">
        <f>IF('⑨ 구배 자동계산'!$B$4&lt;&gt;"47_봉평","",IF('⑨ 구배 자동계산'!L14="","",'⑨ 구배 자동계산'!L14))</f>
        <v/>
      </c>
      <c r="G21" s="32" t="str">
        <f>IF('⑨ 구배 자동계산'!$B$4&lt;&gt;"47_봉평","",IF('⑨ 구배 자동계산'!M14="","",'⑨ 구배 자동계산'!M14))</f>
        <v/>
      </c>
      <c r="H21" s="44" t="str">
        <f>IF('⑨ 구배 자동계산'!$B$4&lt;&gt;"47_봉평","",IF('⑨ 구배 자동계산'!N14="","",'⑨ 구배 자동계산'!N14))</f>
        <v/>
      </c>
      <c r="I21" s="32" t="str">
        <f>IF('⑨ 구배 자동계산'!$B$4&lt;&gt;"47_봉평","",IF('⑨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자동계산'!$B$4&lt;&gt;"47_봉평","",IF('⑨ 구배 자동계산'!H15="","",'⑨ 구배 자동계산'!H15))</f>
        <v/>
      </c>
      <c r="C22" s="32" t="str">
        <f>IF('⑨ 구배 자동계산'!$B$4&lt;&gt;"47_봉평","",IF('⑨ 구배 자동계산'!I15="","",'⑨ 구배 자동계산'!I15))</f>
        <v/>
      </c>
      <c r="D22" s="44" t="str">
        <f>IF('⑨ 구배 자동계산'!$B$4&lt;&gt;"47_봉평","",IF('⑨ 구배 자동계산'!J15="","",'⑨ 구배 자동계산'!J15))</f>
        <v/>
      </c>
      <c r="E22" s="32" t="str">
        <f>IF('⑨ 구배 자동계산'!$B$4&lt;&gt;"47_봉평","",IF('⑨ 구배 자동계산'!K15="","",'⑨ 구배 자동계산'!K15))</f>
        <v/>
      </c>
      <c r="F22" s="44" t="str">
        <f>IF('⑨ 구배 자동계산'!$B$4&lt;&gt;"47_봉평","",IF('⑨ 구배 자동계산'!L15="","",'⑨ 구배 자동계산'!L15))</f>
        <v/>
      </c>
      <c r="G22" s="32" t="str">
        <f>IF('⑨ 구배 자동계산'!$B$4&lt;&gt;"47_봉평","",IF('⑨ 구배 자동계산'!M15="","",'⑨ 구배 자동계산'!M15))</f>
        <v/>
      </c>
      <c r="H22" s="44" t="str">
        <f>IF('⑨ 구배 자동계산'!$B$4&lt;&gt;"47_봉평","",IF('⑨ 구배 자동계산'!N15="","",'⑨ 구배 자동계산'!N15))</f>
        <v/>
      </c>
      <c r="I22" s="32" t="str">
        <f>IF('⑨ 구배 자동계산'!$B$4&lt;&gt;"47_봉평","",IF('⑨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자동계산'!$B$4&lt;&gt;"47_봉평","",IF('⑨ 구배 자동계산'!H16="","",'⑨ 구배 자동계산'!H16))</f>
        <v/>
      </c>
      <c r="C23" s="32" t="str">
        <f>IF('⑨ 구배 자동계산'!$B$4&lt;&gt;"47_봉평","",IF('⑨ 구배 자동계산'!I16="","",'⑨ 구배 자동계산'!I16))</f>
        <v/>
      </c>
      <c r="D23" s="44" t="str">
        <f>IF('⑨ 구배 자동계산'!$B$4&lt;&gt;"47_봉평","",IF('⑨ 구배 자동계산'!J16="","",'⑨ 구배 자동계산'!J16))</f>
        <v/>
      </c>
      <c r="E23" s="32" t="str">
        <f>IF('⑨ 구배 자동계산'!$B$4&lt;&gt;"47_봉평","",IF('⑨ 구배 자동계산'!K16="","",'⑨ 구배 자동계산'!K16))</f>
        <v/>
      </c>
      <c r="F23" s="44" t="str">
        <f>IF('⑨ 구배 자동계산'!$B$4&lt;&gt;"47_봉평","",IF('⑨ 구배 자동계산'!L16="","",'⑨ 구배 자동계산'!L16))</f>
        <v/>
      </c>
      <c r="G23" s="32" t="str">
        <f>IF('⑨ 구배 자동계산'!$B$4&lt;&gt;"47_봉평","",IF('⑨ 구배 자동계산'!M16="","",'⑨ 구배 자동계산'!M16))</f>
        <v/>
      </c>
      <c r="H23" s="44" t="str">
        <f>IF('⑨ 구배 자동계산'!$B$4&lt;&gt;"47_봉평","",IF('⑨ 구배 자동계산'!N16="","",'⑨ 구배 자동계산'!N16))</f>
        <v/>
      </c>
      <c r="I23" s="32" t="str">
        <f>IF('⑨ 구배 자동계산'!$B$4&lt;&gt;"47_봉평","",IF('⑨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자동계산'!$B$4&lt;&gt;"47_봉평","",IF('⑨ 구배 자동계산'!H17="","",'⑨ 구배 자동계산'!H17))</f>
        <v/>
      </c>
      <c r="C24" s="32" t="str">
        <f>IF('⑨ 구배 자동계산'!$B$4&lt;&gt;"47_봉평","",IF('⑨ 구배 자동계산'!I17="","",'⑨ 구배 자동계산'!I17))</f>
        <v/>
      </c>
      <c r="D24" s="44" t="str">
        <f>IF('⑨ 구배 자동계산'!$B$4&lt;&gt;"47_봉평","",IF('⑨ 구배 자동계산'!J17="","",'⑨ 구배 자동계산'!J17))</f>
        <v/>
      </c>
      <c r="E24" s="32" t="str">
        <f>IF('⑨ 구배 자동계산'!$B$4&lt;&gt;"47_봉평","",IF('⑨ 구배 자동계산'!K17="","",'⑨ 구배 자동계산'!K17))</f>
        <v/>
      </c>
      <c r="F24" s="44" t="str">
        <f>IF('⑨ 구배 자동계산'!$B$4&lt;&gt;"47_봉평","",IF('⑨ 구배 자동계산'!L17="","",'⑨ 구배 자동계산'!L17))</f>
        <v/>
      </c>
      <c r="G24" s="32" t="str">
        <f>IF('⑨ 구배 자동계산'!$B$4&lt;&gt;"47_봉평","",IF('⑨ 구배 자동계산'!M17="","",'⑨ 구배 자동계산'!M17))</f>
        <v/>
      </c>
      <c r="H24" s="44" t="str">
        <f>IF('⑨ 구배 자동계산'!$B$4&lt;&gt;"47_봉평","",IF('⑨ 구배 자동계산'!N17="","",'⑨ 구배 자동계산'!N17))</f>
        <v/>
      </c>
      <c r="I24" s="32" t="str">
        <f>IF('⑨ 구배 자동계산'!$B$4&lt;&gt;"47_봉평","",IF('⑨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자동계산'!$B$4&lt;&gt;"47_봉평","",IF('⑨ 구배 자동계산'!H18="","",'⑨ 구배 자동계산'!H18))</f>
        <v/>
      </c>
      <c r="C25" s="32" t="str">
        <f>IF('⑨ 구배 자동계산'!$B$4&lt;&gt;"47_봉평","",IF('⑨ 구배 자동계산'!I18="","",'⑨ 구배 자동계산'!I18))</f>
        <v/>
      </c>
      <c r="D25" s="44" t="str">
        <f>IF('⑨ 구배 자동계산'!$B$4&lt;&gt;"47_봉평","",IF('⑨ 구배 자동계산'!J18="","",'⑨ 구배 자동계산'!J18))</f>
        <v/>
      </c>
      <c r="E25" s="32" t="str">
        <f>IF('⑨ 구배 자동계산'!$B$4&lt;&gt;"47_봉평","",IF('⑨ 구배 자동계산'!K18="","",'⑨ 구배 자동계산'!K18))</f>
        <v/>
      </c>
      <c r="F25" s="44" t="str">
        <f>IF('⑨ 구배 자동계산'!$B$4&lt;&gt;"47_봉평","",IF('⑨ 구배 자동계산'!L18="","",'⑨ 구배 자동계산'!L18))</f>
        <v/>
      </c>
      <c r="G25" s="32" t="str">
        <f>IF('⑨ 구배 자동계산'!$B$4&lt;&gt;"47_봉평","",IF('⑨ 구배 자동계산'!M18="","",'⑨ 구배 자동계산'!M18))</f>
        <v/>
      </c>
      <c r="H25" s="44" t="str">
        <f>IF('⑨ 구배 자동계산'!$B$4&lt;&gt;"47_봉평","",IF('⑨ 구배 자동계산'!N18="","",'⑨ 구배 자동계산'!N18))</f>
        <v/>
      </c>
      <c r="I25" s="32" t="str">
        <f>IF('⑨ 구배 자동계산'!$B$4&lt;&gt;"47_봉평","",IF('⑨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자동계산'!$B$4&lt;&gt;"47_봉평","",IF('⑨ 구배 자동계산'!H19="","",'⑨ 구배 자동계산'!H19))</f>
        <v/>
      </c>
      <c r="C26" s="32" t="str">
        <f>IF('⑨ 구배 자동계산'!$B$4&lt;&gt;"47_봉평","",IF('⑨ 구배 자동계산'!I19="","",'⑨ 구배 자동계산'!I19))</f>
        <v/>
      </c>
      <c r="D26" s="44" t="str">
        <f>IF('⑨ 구배 자동계산'!$B$4&lt;&gt;"47_봉평","",IF('⑨ 구배 자동계산'!J19="","",'⑨ 구배 자동계산'!J19))</f>
        <v/>
      </c>
      <c r="E26" s="32" t="str">
        <f>IF('⑨ 구배 자동계산'!$B$4&lt;&gt;"47_봉평","",IF('⑨ 구배 자동계산'!K19="","",'⑨ 구배 자동계산'!K19))</f>
        <v/>
      </c>
      <c r="F26" s="44" t="str">
        <f>IF('⑨ 구배 자동계산'!$B$4&lt;&gt;"47_봉평","",IF('⑨ 구배 자동계산'!L19="","",'⑨ 구배 자동계산'!L19))</f>
        <v/>
      </c>
      <c r="G26" s="32" t="str">
        <f>IF('⑨ 구배 자동계산'!$B$4&lt;&gt;"47_봉평","",IF('⑨ 구배 자동계산'!M19="","",'⑨ 구배 자동계산'!M19))</f>
        <v/>
      </c>
      <c r="H26" s="44" t="str">
        <f>IF('⑨ 구배 자동계산'!$B$4&lt;&gt;"47_봉평","",IF('⑨ 구배 자동계산'!N19="","",'⑨ 구배 자동계산'!N19))</f>
        <v/>
      </c>
      <c r="I26" s="32" t="str">
        <f>IF('⑨ 구배 자동계산'!$B$4&lt;&gt;"47_봉평","",IF('⑨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자동계산'!$B$4&lt;&gt;"47_봉평","",IF('⑨ 구배 자동계산'!H20="","",'⑨ 구배 자동계산'!H20))</f>
        <v/>
      </c>
      <c r="C27" s="41" t="str">
        <f>IF('⑨ 구배 자동계산'!$B$4&lt;&gt;"47_봉평","",IF('⑨ 구배 자동계산'!I20="","",'⑨ 구배 자동계산'!I20))</f>
        <v/>
      </c>
      <c r="D27" s="45" t="str">
        <f>IF('⑨ 구배 자동계산'!$B$4&lt;&gt;"47_봉평","",IF('⑨ 구배 자동계산'!J20="","",'⑨ 구배 자동계산'!J20))</f>
        <v/>
      </c>
      <c r="E27" s="41" t="str">
        <f>IF('⑨ 구배 자동계산'!$B$4&lt;&gt;"47_봉평","",IF('⑨ 구배 자동계산'!K20="","",'⑨ 구배 자동계산'!K20))</f>
        <v/>
      </c>
      <c r="F27" s="45" t="str">
        <f>IF('⑨ 구배 자동계산'!$B$4&lt;&gt;"47_봉평","",IF('⑨ 구배 자동계산'!L20="","",'⑨ 구배 자동계산'!L20))</f>
        <v/>
      </c>
      <c r="G27" s="41" t="str">
        <f>IF('⑨ 구배 자동계산'!$B$4&lt;&gt;"47_봉평","",IF('⑨ 구배 자동계산'!M20="","",'⑨ 구배 자동계산'!M20))</f>
        <v/>
      </c>
      <c r="H27" s="45" t="str">
        <f>IF('⑨ 구배 자동계산'!$B$4&lt;&gt;"47_봉평","",IF('⑨ 구배 자동계산'!N20="","",'⑨ 구배 자동계산'!N20))</f>
        <v/>
      </c>
      <c r="I27" s="41" t="str">
        <f>IF('⑨ 구배 자동계산'!$B$4&lt;&gt;"47_봉평","",IF('⑨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자동계산'!$B$4&lt;&gt;"47_봉평","",IF('⑨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자동계산'!$B$4&lt;&gt;"47_봉평","",IF('⑨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자동계산'!$B$4&lt;&gt;"47_봉평","",IF('⑨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자동계산'!$B$4&lt;&gt;"47_봉평","",IF('⑨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자동계산'!$B$4&lt;&gt;"47_봉평","",IF('⑨ 구배 자동계산'!I23="","",'⑨ 구배 자동계산'!I23))</f>
        <v/>
      </c>
      <c r="D42" s="8"/>
      <c r="E42" s="8"/>
      <c r="F42" s="8"/>
      <c r="G42" s="92" t="str">
        <f>IF('⑨ 구배 자동계산'!$B$4&lt;&gt;"47_봉평","",IF('⑨ 구배 자동계산'!$J23="","",'⑨ 구배 자동계산'!$J23&amp;"  ·  "&amp;'⑨ 구배 자동계산'!$L23))</f>
        <v/>
      </c>
      <c r="H42" s="93"/>
      <c r="I42" s="93"/>
    </row>
    <row r="43" spans="1:35" ht="19.95" customHeight="1" x14ac:dyDescent="0.4">
      <c r="A43" s="8">
        <v>3</v>
      </c>
      <c r="B43" s="33">
        <v>140</v>
      </c>
      <c r="C43" s="32" t="str">
        <f>IF('⑨ 구배 자동계산'!$B$4&lt;&gt;"47_봉평","",IF('⑨ 구배 자동계산'!I24="","",'⑨ 구배 자동계산'!I24))</f>
        <v/>
      </c>
      <c r="D43" s="34">
        <f>IF(COUNT(B43,B42)&lt;2,"",(B42-B43)/100)</f>
        <v>0.45</v>
      </c>
      <c r="E43" s="35" t="str">
        <f>IF(COUNT(C43,C42)&lt;2,"",C43-C42)</f>
        <v/>
      </c>
      <c r="F43" s="36" t="str">
        <f>IF(OR(D43="",E43="",D43=0),"",E43/D43)</f>
        <v/>
      </c>
      <c r="G43" s="92" t="str">
        <f>IF('⑨ 구배 자동계산'!$B$4&lt;&gt;"47_봉평","",IF('⑨ 구배 자동계산'!$J24="","",'⑨ 구배 자동계산'!$J24&amp;"  ·  "&amp;'⑨ 구배 자동계산'!$L24))</f>
        <v/>
      </c>
      <c r="H43" s="93"/>
      <c r="I43" s="93"/>
      <c r="AH43" t="s">
        <v>234</v>
      </c>
    </row>
    <row r="44" spans="1:35" ht="19.95" customHeight="1" x14ac:dyDescent="0.4">
      <c r="A44" s="8">
        <v>2</v>
      </c>
      <c r="B44" s="33">
        <v>95</v>
      </c>
      <c r="C44" s="32" t="str">
        <f>IF('⑨ 구배 자동계산'!$B$4&lt;&gt;"47_봉평","",IF('⑨ 구배 자동계산'!I25="","",'⑨ 구배 자동계산'!I25))</f>
        <v/>
      </c>
      <c r="D44" s="34">
        <f>IF(COUNT(B44,B43)&lt;2,"",(B43-B44)/100)</f>
        <v>0.45</v>
      </c>
      <c r="E44" s="35" t="str">
        <f>IF(COUNT(C44,C43)&lt;2,"",C44-C43)</f>
        <v/>
      </c>
      <c r="F44" s="36" t="str">
        <f>IF(OR(D44="",E44="",D44=0),"",E44/D44)</f>
        <v/>
      </c>
      <c r="G44" s="92" t="str">
        <f>IF('⑨ 구배 자동계산'!$B$4&lt;&gt;"47_봉평","",IF('⑨ 구배 자동계산'!$J25="","",'⑨ 구배 자동계산'!$J25&amp;"  ·  "&amp;'⑨ 구배 자동계산'!$L25))</f>
        <v/>
      </c>
      <c r="H44" s="93"/>
      <c r="I44" s="93"/>
    </row>
    <row r="45" spans="1:35" ht="19.95" customHeight="1" x14ac:dyDescent="0.4">
      <c r="A45" s="8">
        <v>1</v>
      </c>
      <c r="B45" s="33">
        <v>50</v>
      </c>
      <c r="C45" s="32" t="str">
        <f>IF('⑨ 구배 자동계산'!$B$4&lt;&gt;"47_봉평","",IF('⑨ 구배 자동계산'!I26="","",'⑨ 구배 자동계산'!I26))</f>
        <v/>
      </c>
      <c r="D45" s="34">
        <f>IF(COUNT(B45,B44)&lt;2,"",(B44-B45)/100)</f>
        <v>0.45</v>
      </c>
      <c r="E45" s="35" t="str">
        <f>IF(COUNT(C45,C44)&lt;2,"",C45-C44)</f>
        <v/>
      </c>
      <c r="F45" s="36" t="str">
        <f>IF(OR(D45="",E45="",D45=0),"",E45/D45)</f>
        <v/>
      </c>
      <c r="G45" s="92" t="str">
        <f>IF('⑨ 구배 자동계산'!$B$4&lt;&gt;"47_봉평","",IF('⑨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IF(COUNT(B50,E50)&lt;2,"",ROUND(SQRT(((128.395802-E50)*111320*COS(RADIANS(37.612372)))^2+((37.612372-B50)*110574)^2),1))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S47-P0a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9" priority="1">
      <formula>AND(ISNUMBER(C31),C31&gt;50)</formula>
    </cfRule>
  </conditionalFormatting>
  <conditionalFormatting sqref="D7">
    <cfRule type="expression" dxfId="18" priority="3" stopIfTrue="1">
      <formula>AND($D$7&lt;&gt;"",VALUE(LEFT($D$7,1))&lt;5)</formula>
    </cfRule>
    <cfRule type="expression" dxfId="17" priority="4" stopIfTrue="1">
      <formula>AND($D$7&lt;&gt;"",VALUE(LEFT($D$7,1))&gt;=5)</formula>
    </cfRule>
  </conditionalFormatting>
  <conditionalFormatting sqref="E7">
    <cfRule type="expression" dxfId="16" priority="5" stopIfTrue="1">
      <formula>AND($E$7&lt;&gt;"",VALUE(LEFT($E$7,1))&lt;5)</formula>
    </cfRule>
    <cfRule type="expression" dxfId="1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709F0288-2C41-4E84-8D0D-0B623ED9623B}">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ACC778E8-9301-4280-88AC-A084E124F3E6}">
      <formula1>DATE(2026,1,1)</formula1>
      <formula2>DATE(2027,12,31)</formula2>
    </dataValidation>
    <dataValidation type="list" allowBlank="1" sqref="C7" xr:uid="{7D6437EB-1E42-4822-811C-C33529ECB373}">
      <formula1>"맑음,구름 조금,흐림,비,눈,바람 강함"</formula1>
    </dataValidation>
    <dataValidation type="list" allowBlank="1" sqref="H50" xr:uid="{B03D140A-41B3-4347-A099-28D218E2F814}">
      <formula1>"RTK-GNSS,네트워크RTK,정적GNSS,휴대GNSS"</formula1>
    </dataValidation>
    <dataValidation type="list" allowBlank="1" sqref="B109" xr:uid="{50F0A650-168A-471E-8224-D249E5640458}">
      <formula1>"동일,조정"</formula1>
    </dataValidation>
    <dataValidation type="list" allowBlank="1" showInputMessage="1" showErrorMessage="1" sqref="F56:F57" xr:uid="{EF6E177D-A5E0-44D7-B3D3-CE70C2EC122D}">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&amp;RS47 봉평</oddHeader>
    <oddFooter>&amp;C&amp;9 &amp;P / &amp;N</oddFooter>
  </headerFooter>
  <rowBreaks count="3" manualBreakCount="3">
    <brk id="38" max="16383" man="1"/>
    <brk id="58" max="16383" man="1"/>
    <brk id="106"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52DD-D732-4630-8A7B-BFA0AC74CCB9}">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537</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538</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539</v>
      </c>
      <c r="B3" s="68"/>
      <c r="C3" s="68"/>
      <c r="D3" s="68"/>
      <c r="E3" s="68"/>
      <c r="F3" s="8" t="s">
        <v>154</v>
      </c>
      <c r="G3" s="6"/>
      <c r="H3" s="8" t="s">
        <v>155</v>
      </c>
      <c r="I3" s="9" t="s">
        <v>540</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자동계산'!$B$4="48_삼척","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자동계산'!$B$4&lt;&gt;"48_삼척","",IF('⑨ 구배 자동계산'!H9="","",'⑨ 구배 자동계산'!H9))</f>
        <v/>
      </c>
      <c r="C16" s="30" t="str">
        <f>IF('⑨ 구배 자동계산'!$B$4&lt;&gt;"48_삼척","",IF('⑨ 구배 자동계산'!I9="","",'⑨ 구배 자동계산'!I9))</f>
        <v/>
      </c>
      <c r="D16" s="43" t="str">
        <f>IF('⑨ 구배 자동계산'!$B$4&lt;&gt;"48_삼척","",IF('⑨ 구배 자동계산'!J9="","",'⑨ 구배 자동계산'!J9))</f>
        <v/>
      </c>
      <c r="E16" s="30" t="str">
        <f>IF('⑨ 구배 자동계산'!$B$4&lt;&gt;"48_삼척","",IF('⑨ 구배 자동계산'!K9="","",'⑨ 구배 자동계산'!K9))</f>
        <v/>
      </c>
      <c r="F16" s="43" t="str">
        <f>IF('⑨ 구배 자동계산'!$B$4&lt;&gt;"48_삼척","",IF('⑨ 구배 자동계산'!L9="","",'⑨ 구배 자동계산'!L9))</f>
        <v/>
      </c>
      <c r="G16" s="30" t="str">
        <f>IF('⑨ 구배 자동계산'!$B$4&lt;&gt;"48_삼척","",IF('⑨ 구배 자동계산'!M9="","",'⑨ 구배 자동계산'!M9))</f>
        <v/>
      </c>
      <c r="H16" s="43" t="str">
        <f>IF('⑨ 구배 자동계산'!$B$4&lt;&gt;"48_삼척","",IF('⑨ 구배 자동계산'!N9="","",'⑨ 구배 자동계산'!N9))</f>
        <v/>
      </c>
      <c r="I16" s="30" t="str">
        <f>IF('⑨ 구배 자동계산'!$B$4&lt;&gt;"48_삼척","",IF('⑨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자동계산'!$B$4&lt;&gt;"48_삼척","",IF('⑨ 구배 자동계산'!H10="","",'⑨ 구배 자동계산'!H10))</f>
        <v/>
      </c>
      <c r="C17" s="32" t="str">
        <f>IF('⑨ 구배 자동계산'!$B$4&lt;&gt;"48_삼척","",IF('⑨ 구배 자동계산'!I10="","",'⑨ 구배 자동계산'!I10))</f>
        <v/>
      </c>
      <c r="D17" s="44" t="str">
        <f>IF('⑨ 구배 자동계산'!$B$4&lt;&gt;"48_삼척","",IF('⑨ 구배 자동계산'!J10="","",'⑨ 구배 자동계산'!J10))</f>
        <v/>
      </c>
      <c r="E17" s="32" t="str">
        <f>IF('⑨ 구배 자동계산'!$B$4&lt;&gt;"48_삼척","",IF('⑨ 구배 자동계산'!K10="","",'⑨ 구배 자동계산'!K10))</f>
        <v/>
      </c>
      <c r="F17" s="44" t="str">
        <f>IF('⑨ 구배 자동계산'!$B$4&lt;&gt;"48_삼척","",IF('⑨ 구배 자동계산'!L10="","",'⑨ 구배 자동계산'!L10))</f>
        <v/>
      </c>
      <c r="G17" s="32" t="str">
        <f>IF('⑨ 구배 자동계산'!$B$4&lt;&gt;"48_삼척","",IF('⑨ 구배 자동계산'!M10="","",'⑨ 구배 자동계산'!M10))</f>
        <v/>
      </c>
      <c r="H17" s="44" t="str">
        <f>IF('⑨ 구배 자동계산'!$B$4&lt;&gt;"48_삼척","",IF('⑨ 구배 자동계산'!N10="","",'⑨ 구배 자동계산'!N10))</f>
        <v/>
      </c>
      <c r="I17" s="32" t="str">
        <f>IF('⑨ 구배 자동계산'!$B$4&lt;&gt;"48_삼척","",IF('⑨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자동계산'!$B$4&lt;&gt;"48_삼척","",IF('⑨ 구배 자동계산'!H11="","",'⑨ 구배 자동계산'!H11))</f>
        <v/>
      </c>
      <c r="C18" s="32" t="str">
        <f>IF('⑨ 구배 자동계산'!$B$4&lt;&gt;"48_삼척","",IF('⑨ 구배 자동계산'!I11="","",'⑨ 구배 자동계산'!I11))</f>
        <v/>
      </c>
      <c r="D18" s="44" t="str">
        <f>IF('⑨ 구배 자동계산'!$B$4&lt;&gt;"48_삼척","",IF('⑨ 구배 자동계산'!J11="","",'⑨ 구배 자동계산'!J11))</f>
        <v/>
      </c>
      <c r="E18" s="32" t="str">
        <f>IF('⑨ 구배 자동계산'!$B$4&lt;&gt;"48_삼척","",IF('⑨ 구배 자동계산'!K11="","",'⑨ 구배 자동계산'!K11))</f>
        <v/>
      </c>
      <c r="F18" s="44" t="str">
        <f>IF('⑨ 구배 자동계산'!$B$4&lt;&gt;"48_삼척","",IF('⑨ 구배 자동계산'!L11="","",'⑨ 구배 자동계산'!L11))</f>
        <v/>
      </c>
      <c r="G18" s="32" t="str">
        <f>IF('⑨ 구배 자동계산'!$B$4&lt;&gt;"48_삼척","",IF('⑨ 구배 자동계산'!M11="","",'⑨ 구배 자동계산'!M11))</f>
        <v/>
      </c>
      <c r="H18" s="44" t="str">
        <f>IF('⑨ 구배 자동계산'!$B$4&lt;&gt;"48_삼척","",IF('⑨ 구배 자동계산'!N11="","",'⑨ 구배 자동계산'!N11))</f>
        <v/>
      </c>
      <c r="I18" s="32" t="str">
        <f>IF('⑨ 구배 자동계산'!$B$4&lt;&gt;"48_삼척","",IF('⑨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자동계산'!$B$4&lt;&gt;"48_삼척","",IF('⑨ 구배 자동계산'!H12="","",'⑨ 구배 자동계산'!H12))</f>
        <v/>
      </c>
      <c r="C19" s="32" t="str">
        <f>IF('⑨ 구배 자동계산'!$B$4&lt;&gt;"48_삼척","",IF('⑨ 구배 자동계산'!I12="","",'⑨ 구배 자동계산'!I12))</f>
        <v/>
      </c>
      <c r="D19" s="44" t="str">
        <f>IF('⑨ 구배 자동계산'!$B$4&lt;&gt;"48_삼척","",IF('⑨ 구배 자동계산'!J12="","",'⑨ 구배 자동계산'!J12))</f>
        <v/>
      </c>
      <c r="E19" s="32" t="str">
        <f>IF('⑨ 구배 자동계산'!$B$4&lt;&gt;"48_삼척","",IF('⑨ 구배 자동계산'!K12="","",'⑨ 구배 자동계산'!K12))</f>
        <v/>
      </c>
      <c r="F19" s="44" t="str">
        <f>IF('⑨ 구배 자동계산'!$B$4&lt;&gt;"48_삼척","",IF('⑨ 구배 자동계산'!L12="","",'⑨ 구배 자동계산'!L12))</f>
        <v/>
      </c>
      <c r="G19" s="32" t="str">
        <f>IF('⑨ 구배 자동계산'!$B$4&lt;&gt;"48_삼척","",IF('⑨ 구배 자동계산'!M12="","",'⑨ 구배 자동계산'!M12))</f>
        <v/>
      </c>
      <c r="H19" s="44" t="str">
        <f>IF('⑨ 구배 자동계산'!$B$4&lt;&gt;"48_삼척","",IF('⑨ 구배 자동계산'!N12="","",'⑨ 구배 자동계산'!N12))</f>
        <v/>
      </c>
      <c r="I19" s="32" t="str">
        <f>IF('⑨ 구배 자동계산'!$B$4&lt;&gt;"48_삼척","",IF('⑨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자동계산'!$B$4&lt;&gt;"48_삼척","",IF('⑨ 구배 자동계산'!H13="","",'⑨ 구배 자동계산'!H13))</f>
        <v/>
      </c>
      <c r="C20" s="32" t="str">
        <f>IF('⑨ 구배 자동계산'!$B$4&lt;&gt;"48_삼척","",IF('⑨ 구배 자동계산'!I13="","",'⑨ 구배 자동계산'!I13))</f>
        <v/>
      </c>
      <c r="D20" s="44" t="str">
        <f>IF('⑨ 구배 자동계산'!$B$4&lt;&gt;"48_삼척","",IF('⑨ 구배 자동계산'!J13="","",'⑨ 구배 자동계산'!J13))</f>
        <v/>
      </c>
      <c r="E20" s="32" t="str">
        <f>IF('⑨ 구배 자동계산'!$B$4&lt;&gt;"48_삼척","",IF('⑨ 구배 자동계산'!K13="","",'⑨ 구배 자동계산'!K13))</f>
        <v/>
      </c>
      <c r="F20" s="44" t="str">
        <f>IF('⑨ 구배 자동계산'!$B$4&lt;&gt;"48_삼척","",IF('⑨ 구배 자동계산'!L13="","",'⑨ 구배 자동계산'!L13))</f>
        <v/>
      </c>
      <c r="G20" s="32" t="str">
        <f>IF('⑨ 구배 자동계산'!$B$4&lt;&gt;"48_삼척","",IF('⑨ 구배 자동계산'!M13="","",'⑨ 구배 자동계산'!M13))</f>
        <v/>
      </c>
      <c r="H20" s="44" t="str">
        <f>IF('⑨ 구배 자동계산'!$B$4&lt;&gt;"48_삼척","",IF('⑨ 구배 자동계산'!N13="","",'⑨ 구배 자동계산'!N13))</f>
        <v/>
      </c>
      <c r="I20" s="32" t="str">
        <f>IF('⑨ 구배 자동계산'!$B$4&lt;&gt;"48_삼척","",IF('⑨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자동계산'!$B$4&lt;&gt;"48_삼척","",IF('⑨ 구배 자동계산'!H14="","",'⑨ 구배 자동계산'!H14))</f>
        <v/>
      </c>
      <c r="C21" s="32" t="str">
        <f>IF('⑨ 구배 자동계산'!$B$4&lt;&gt;"48_삼척","",IF('⑨ 구배 자동계산'!I14="","",'⑨ 구배 자동계산'!I14))</f>
        <v/>
      </c>
      <c r="D21" s="44" t="str">
        <f>IF('⑨ 구배 자동계산'!$B$4&lt;&gt;"48_삼척","",IF('⑨ 구배 자동계산'!J14="","",'⑨ 구배 자동계산'!J14))</f>
        <v/>
      </c>
      <c r="E21" s="32" t="str">
        <f>IF('⑨ 구배 자동계산'!$B$4&lt;&gt;"48_삼척","",IF('⑨ 구배 자동계산'!K14="","",'⑨ 구배 자동계산'!K14))</f>
        <v/>
      </c>
      <c r="F21" s="44" t="str">
        <f>IF('⑨ 구배 자동계산'!$B$4&lt;&gt;"48_삼척","",IF('⑨ 구배 자동계산'!L14="","",'⑨ 구배 자동계산'!L14))</f>
        <v/>
      </c>
      <c r="G21" s="32" t="str">
        <f>IF('⑨ 구배 자동계산'!$B$4&lt;&gt;"48_삼척","",IF('⑨ 구배 자동계산'!M14="","",'⑨ 구배 자동계산'!M14))</f>
        <v/>
      </c>
      <c r="H21" s="44" t="str">
        <f>IF('⑨ 구배 자동계산'!$B$4&lt;&gt;"48_삼척","",IF('⑨ 구배 자동계산'!N14="","",'⑨ 구배 자동계산'!N14))</f>
        <v/>
      </c>
      <c r="I21" s="32" t="str">
        <f>IF('⑨ 구배 자동계산'!$B$4&lt;&gt;"48_삼척","",IF('⑨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자동계산'!$B$4&lt;&gt;"48_삼척","",IF('⑨ 구배 자동계산'!H15="","",'⑨ 구배 자동계산'!H15))</f>
        <v/>
      </c>
      <c r="C22" s="32" t="str">
        <f>IF('⑨ 구배 자동계산'!$B$4&lt;&gt;"48_삼척","",IF('⑨ 구배 자동계산'!I15="","",'⑨ 구배 자동계산'!I15))</f>
        <v/>
      </c>
      <c r="D22" s="44" t="str">
        <f>IF('⑨ 구배 자동계산'!$B$4&lt;&gt;"48_삼척","",IF('⑨ 구배 자동계산'!J15="","",'⑨ 구배 자동계산'!J15))</f>
        <v/>
      </c>
      <c r="E22" s="32" t="str">
        <f>IF('⑨ 구배 자동계산'!$B$4&lt;&gt;"48_삼척","",IF('⑨ 구배 자동계산'!K15="","",'⑨ 구배 자동계산'!K15))</f>
        <v/>
      </c>
      <c r="F22" s="44" t="str">
        <f>IF('⑨ 구배 자동계산'!$B$4&lt;&gt;"48_삼척","",IF('⑨ 구배 자동계산'!L15="","",'⑨ 구배 자동계산'!L15))</f>
        <v/>
      </c>
      <c r="G22" s="32" t="str">
        <f>IF('⑨ 구배 자동계산'!$B$4&lt;&gt;"48_삼척","",IF('⑨ 구배 자동계산'!M15="","",'⑨ 구배 자동계산'!M15))</f>
        <v/>
      </c>
      <c r="H22" s="44" t="str">
        <f>IF('⑨ 구배 자동계산'!$B$4&lt;&gt;"48_삼척","",IF('⑨ 구배 자동계산'!N15="","",'⑨ 구배 자동계산'!N15))</f>
        <v/>
      </c>
      <c r="I22" s="32" t="str">
        <f>IF('⑨ 구배 자동계산'!$B$4&lt;&gt;"48_삼척","",IF('⑨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자동계산'!$B$4&lt;&gt;"48_삼척","",IF('⑨ 구배 자동계산'!H16="","",'⑨ 구배 자동계산'!H16))</f>
        <v/>
      </c>
      <c r="C23" s="32" t="str">
        <f>IF('⑨ 구배 자동계산'!$B$4&lt;&gt;"48_삼척","",IF('⑨ 구배 자동계산'!I16="","",'⑨ 구배 자동계산'!I16))</f>
        <v/>
      </c>
      <c r="D23" s="44" t="str">
        <f>IF('⑨ 구배 자동계산'!$B$4&lt;&gt;"48_삼척","",IF('⑨ 구배 자동계산'!J16="","",'⑨ 구배 자동계산'!J16))</f>
        <v/>
      </c>
      <c r="E23" s="32" t="str">
        <f>IF('⑨ 구배 자동계산'!$B$4&lt;&gt;"48_삼척","",IF('⑨ 구배 자동계산'!K16="","",'⑨ 구배 자동계산'!K16))</f>
        <v/>
      </c>
      <c r="F23" s="44" t="str">
        <f>IF('⑨ 구배 자동계산'!$B$4&lt;&gt;"48_삼척","",IF('⑨ 구배 자동계산'!L16="","",'⑨ 구배 자동계산'!L16))</f>
        <v/>
      </c>
      <c r="G23" s="32" t="str">
        <f>IF('⑨ 구배 자동계산'!$B$4&lt;&gt;"48_삼척","",IF('⑨ 구배 자동계산'!M16="","",'⑨ 구배 자동계산'!M16))</f>
        <v/>
      </c>
      <c r="H23" s="44" t="str">
        <f>IF('⑨ 구배 자동계산'!$B$4&lt;&gt;"48_삼척","",IF('⑨ 구배 자동계산'!N16="","",'⑨ 구배 자동계산'!N16))</f>
        <v/>
      </c>
      <c r="I23" s="32" t="str">
        <f>IF('⑨ 구배 자동계산'!$B$4&lt;&gt;"48_삼척","",IF('⑨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자동계산'!$B$4&lt;&gt;"48_삼척","",IF('⑨ 구배 자동계산'!H17="","",'⑨ 구배 자동계산'!H17))</f>
        <v/>
      </c>
      <c r="C24" s="32" t="str">
        <f>IF('⑨ 구배 자동계산'!$B$4&lt;&gt;"48_삼척","",IF('⑨ 구배 자동계산'!I17="","",'⑨ 구배 자동계산'!I17))</f>
        <v/>
      </c>
      <c r="D24" s="44" t="str">
        <f>IF('⑨ 구배 자동계산'!$B$4&lt;&gt;"48_삼척","",IF('⑨ 구배 자동계산'!J17="","",'⑨ 구배 자동계산'!J17))</f>
        <v/>
      </c>
      <c r="E24" s="32" t="str">
        <f>IF('⑨ 구배 자동계산'!$B$4&lt;&gt;"48_삼척","",IF('⑨ 구배 자동계산'!K17="","",'⑨ 구배 자동계산'!K17))</f>
        <v/>
      </c>
      <c r="F24" s="44" t="str">
        <f>IF('⑨ 구배 자동계산'!$B$4&lt;&gt;"48_삼척","",IF('⑨ 구배 자동계산'!L17="","",'⑨ 구배 자동계산'!L17))</f>
        <v/>
      </c>
      <c r="G24" s="32" t="str">
        <f>IF('⑨ 구배 자동계산'!$B$4&lt;&gt;"48_삼척","",IF('⑨ 구배 자동계산'!M17="","",'⑨ 구배 자동계산'!M17))</f>
        <v/>
      </c>
      <c r="H24" s="44" t="str">
        <f>IF('⑨ 구배 자동계산'!$B$4&lt;&gt;"48_삼척","",IF('⑨ 구배 자동계산'!N17="","",'⑨ 구배 자동계산'!N17))</f>
        <v/>
      </c>
      <c r="I24" s="32" t="str">
        <f>IF('⑨ 구배 자동계산'!$B$4&lt;&gt;"48_삼척","",IF('⑨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자동계산'!$B$4&lt;&gt;"48_삼척","",IF('⑨ 구배 자동계산'!H18="","",'⑨ 구배 자동계산'!H18))</f>
        <v/>
      </c>
      <c r="C25" s="32" t="str">
        <f>IF('⑨ 구배 자동계산'!$B$4&lt;&gt;"48_삼척","",IF('⑨ 구배 자동계산'!I18="","",'⑨ 구배 자동계산'!I18))</f>
        <v/>
      </c>
      <c r="D25" s="44" t="str">
        <f>IF('⑨ 구배 자동계산'!$B$4&lt;&gt;"48_삼척","",IF('⑨ 구배 자동계산'!J18="","",'⑨ 구배 자동계산'!J18))</f>
        <v/>
      </c>
      <c r="E25" s="32" t="str">
        <f>IF('⑨ 구배 자동계산'!$B$4&lt;&gt;"48_삼척","",IF('⑨ 구배 자동계산'!K18="","",'⑨ 구배 자동계산'!K18))</f>
        <v/>
      </c>
      <c r="F25" s="44" t="str">
        <f>IF('⑨ 구배 자동계산'!$B$4&lt;&gt;"48_삼척","",IF('⑨ 구배 자동계산'!L18="","",'⑨ 구배 자동계산'!L18))</f>
        <v/>
      </c>
      <c r="G25" s="32" t="str">
        <f>IF('⑨ 구배 자동계산'!$B$4&lt;&gt;"48_삼척","",IF('⑨ 구배 자동계산'!M18="","",'⑨ 구배 자동계산'!M18))</f>
        <v/>
      </c>
      <c r="H25" s="44" t="str">
        <f>IF('⑨ 구배 자동계산'!$B$4&lt;&gt;"48_삼척","",IF('⑨ 구배 자동계산'!N18="","",'⑨ 구배 자동계산'!N18))</f>
        <v/>
      </c>
      <c r="I25" s="32" t="str">
        <f>IF('⑨ 구배 자동계산'!$B$4&lt;&gt;"48_삼척","",IF('⑨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자동계산'!$B$4&lt;&gt;"48_삼척","",IF('⑨ 구배 자동계산'!H19="","",'⑨ 구배 자동계산'!H19))</f>
        <v/>
      </c>
      <c r="C26" s="32" t="str">
        <f>IF('⑨ 구배 자동계산'!$B$4&lt;&gt;"48_삼척","",IF('⑨ 구배 자동계산'!I19="","",'⑨ 구배 자동계산'!I19))</f>
        <v/>
      </c>
      <c r="D26" s="44" t="str">
        <f>IF('⑨ 구배 자동계산'!$B$4&lt;&gt;"48_삼척","",IF('⑨ 구배 자동계산'!J19="","",'⑨ 구배 자동계산'!J19))</f>
        <v/>
      </c>
      <c r="E26" s="32" t="str">
        <f>IF('⑨ 구배 자동계산'!$B$4&lt;&gt;"48_삼척","",IF('⑨ 구배 자동계산'!K19="","",'⑨ 구배 자동계산'!K19))</f>
        <v/>
      </c>
      <c r="F26" s="44" t="str">
        <f>IF('⑨ 구배 자동계산'!$B$4&lt;&gt;"48_삼척","",IF('⑨ 구배 자동계산'!L19="","",'⑨ 구배 자동계산'!L19))</f>
        <v/>
      </c>
      <c r="G26" s="32" t="str">
        <f>IF('⑨ 구배 자동계산'!$B$4&lt;&gt;"48_삼척","",IF('⑨ 구배 자동계산'!M19="","",'⑨ 구배 자동계산'!M19))</f>
        <v/>
      </c>
      <c r="H26" s="44" t="str">
        <f>IF('⑨ 구배 자동계산'!$B$4&lt;&gt;"48_삼척","",IF('⑨ 구배 자동계산'!N19="","",'⑨ 구배 자동계산'!N19))</f>
        <v/>
      </c>
      <c r="I26" s="32" t="str">
        <f>IF('⑨ 구배 자동계산'!$B$4&lt;&gt;"48_삼척","",IF('⑨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자동계산'!$B$4&lt;&gt;"48_삼척","",IF('⑨ 구배 자동계산'!H20="","",'⑨ 구배 자동계산'!H20))</f>
        <v/>
      </c>
      <c r="C27" s="41" t="str">
        <f>IF('⑨ 구배 자동계산'!$B$4&lt;&gt;"48_삼척","",IF('⑨ 구배 자동계산'!I20="","",'⑨ 구배 자동계산'!I20))</f>
        <v/>
      </c>
      <c r="D27" s="45" t="str">
        <f>IF('⑨ 구배 자동계산'!$B$4&lt;&gt;"48_삼척","",IF('⑨ 구배 자동계산'!J20="","",'⑨ 구배 자동계산'!J20))</f>
        <v/>
      </c>
      <c r="E27" s="41" t="str">
        <f>IF('⑨ 구배 자동계산'!$B$4&lt;&gt;"48_삼척","",IF('⑨ 구배 자동계산'!K20="","",'⑨ 구배 자동계산'!K20))</f>
        <v/>
      </c>
      <c r="F27" s="45" t="str">
        <f>IF('⑨ 구배 자동계산'!$B$4&lt;&gt;"48_삼척","",IF('⑨ 구배 자동계산'!L20="","",'⑨ 구배 자동계산'!L20))</f>
        <v/>
      </c>
      <c r="G27" s="41" t="str">
        <f>IF('⑨ 구배 자동계산'!$B$4&lt;&gt;"48_삼척","",IF('⑨ 구배 자동계산'!M20="","",'⑨ 구배 자동계산'!M20))</f>
        <v/>
      </c>
      <c r="H27" s="45" t="str">
        <f>IF('⑨ 구배 자동계산'!$B$4&lt;&gt;"48_삼척","",IF('⑨ 구배 자동계산'!N20="","",'⑨ 구배 자동계산'!N20))</f>
        <v/>
      </c>
      <c r="I27" s="41" t="str">
        <f>IF('⑨ 구배 자동계산'!$B$4&lt;&gt;"48_삼척","",IF('⑨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자동계산'!$B$4&lt;&gt;"48_삼척","",IF('⑨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자동계산'!$B$4&lt;&gt;"48_삼척","",IF('⑨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자동계산'!$B$4&lt;&gt;"48_삼척","",IF('⑨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자동계산'!$B$4&lt;&gt;"48_삼척","",IF('⑨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자동계산'!$B$4&lt;&gt;"48_삼척","",IF('⑨ 구배 자동계산'!I23="","",'⑨ 구배 자동계산'!I23))</f>
        <v/>
      </c>
      <c r="D42" s="8"/>
      <c r="E42" s="8"/>
      <c r="F42" s="8"/>
      <c r="G42" s="92" t="str">
        <f>IF('⑨ 구배 자동계산'!$B$4&lt;&gt;"48_삼척","",IF('⑨ 구배 자동계산'!$J23="","",'⑨ 구배 자동계산'!$J23&amp;"  ·  "&amp;'⑨ 구배 자동계산'!$L23))</f>
        <v/>
      </c>
      <c r="H42" s="93"/>
      <c r="I42" s="93"/>
    </row>
    <row r="43" spans="1:35" ht="19.95" customHeight="1" x14ac:dyDescent="0.4">
      <c r="A43" s="8">
        <v>3</v>
      </c>
      <c r="B43" s="33">
        <v>140</v>
      </c>
      <c r="C43" s="32" t="str">
        <f>IF('⑨ 구배 자동계산'!$B$4&lt;&gt;"48_삼척","",IF('⑨ 구배 자동계산'!I24="","",'⑨ 구배 자동계산'!I24))</f>
        <v/>
      </c>
      <c r="D43" s="34">
        <f>IF(COUNT(B43,B42)&lt;2,"",(B42-B43)/100)</f>
        <v>0.45</v>
      </c>
      <c r="E43" s="35" t="str">
        <f>IF(COUNT(C43,C42)&lt;2,"",C43-C42)</f>
        <v/>
      </c>
      <c r="F43" s="36" t="str">
        <f>IF(OR(D43="",E43="",D43=0),"",E43/D43)</f>
        <v/>
      </c>
      <c r="G43" s="92" t="str">
        <f>IF('⑨ 구배 자동계산'!$B$4&lt;&gt;"48_삼척","",IF('⑨ 구배 자동계산'!$J24="","",'⑨ 구배 자동계산'!$J24&amp;"  ·  "&amp;'⑨ 구배 자동계산'!$L24))</f>
        <v/>
      </c>
      <c r="H43" s="93"/>
      <c r="I43" s="93"/>
      <c r="AH43" t="s">
        <v>234</v>
      </c>
    </row>
    <row r="44" spans="1:35" ht="19.95" customHeight="1" x14ac:dyDescent="0.4">
      <c r="A44" s="8">
        <v>2</v>
      </c>
      <c r="B44" s="33">
        <v>95</v>
      </c>
      <c r="C44" s="32" t="str">
        <f>IF('⑨ 구배 자동계산'!$B$4&lt;&gt;"48_삼척","",IF('⑨ 구배 자동계산'!I25="","",'⑨ 구배 자동계산'!I25))</f>
        <v/>
      </c>
      <c r="D44" s="34">
        <f>IF(COUNT(B44,B43)&lt;2,"",(B43-B44)/100)</f>
        <v>0.45</v>
      </c>
      <c r="E44" s="35" t="str">
        <f>IF(COUNT(C44,C43)&lt;2,"",C44-C43)</f>
        <v/>
      </c>
      <c r="F44" s="36" t="str">
        <f>IF(OR(D44="",E44="",D44=0),"",E44/D44)</f>
        <v/>
      </c>
      <c r="G44" s="92" t="str">
        <f>IF('⑨ 구배 자동계산'!$B$4&lt;&gt;"48_삼척","",IF('⑨ 구배 자동계산'!$J25="","",'⑨ 구배 자동계산'!$J25&amp;"  ·  "&amp;'⑨ 구배 자동계산'!$L25))</f>
        <v/>
      </c>
      <c r="H44" s="93"/>
      <c r="I44" s="93"/>
    </row>
    <row r="45" spans="1:35" ht="19.95" customHeight="1" x14ac:dyDescent="0.4">
      <c r="A45" s="8">
        <v>1</v>
      </c>
      <c r="B45" s="33">
        <v>50</v>
      </c>
      <c r="C45" s="32" t="str">
        <f>IF('⑨ 구배 자동계산'!$B$4&lt;&gt;"48_삼척","",IF('⑨ 구배 자동계산'!I26="","",'⑨ 구배 자동계산'!I26))</f>
        <v/>
      </c>
      <c r="D45" s="34">
        <f>IF(COUNT(B45,B44)&lt;2,"",(B44-B45)/100)</f>
        <v>0.45</v>
      </c>
      <c r="E45" s="35" t="str">
        <f>IF(COUNT(C45,C44)&lt;2,"",C45-C44)</f>
        <v/>
      </c>
      <c r="F45" s="36" t="str">
        <f>IF(OR(D45="",E45="",D45=0),"",E45/D45)</f>
        <v/>
      </c>
      <c r="G45" s="92" t="str">
        <f>IF('⑨ 구배 자동계산'!$B$4&lt;&gt;"48_삼척","",IF('⑨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IF(COUNT(B50,E50)&lt;2,"",ROUND(SQRT(((129.203226-E50)*111320*COS(RADIANS(37.384717)))^2+((37.384717-B50)*110574)^2),1))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S48-P0a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14" priority="1">
      <formula>AND(ISNUMBER(C31),C31&gt;50)</formula>
    </cfRule>
  </conditionalFormatting>
  <conditionalFormatting sqref="D7">
    <cfRule type="expression" dxfId="13" priority="3" stopIfTrue="1">
      <formula>AND($D$7&lt;&gt;"",VALUE(LEFT($D$7,1))&lt;5)</formula>
    </cfRule>
    <cfRule type="expression" dxfId="12" priority="4" stopIfTrue="1">
      <formula>AND($D$7&lt;&gt;"",VALUE(LEFT($D$7,1))&gt;=5)</formula>
    </cfRule>
  </conditionalFormatting>
  <conditionalFormatting sqref="E7">
    <cfRule type="expression" dxfId="11" priority="5" stopIfTrue="1">
      <formula>AND($E$7&lt;&gt;"",VALUE(LEFT($E$7,1))&lt;5)</formula>
    </cfRule>
    <cfRule type="expression" dxfId="1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6471ACDA-2DC1-4648-9AB0-A1F1BEA1CF42}">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434DEEFE-CDEE-4B53-89A3-582B6695B5A6}">
      <formula1>DATE(2026,1,1)</formula1>
      <formula2>DATE(2027,12,31)</formula2>
    </dataValidation>
    <dataValidation type="list" allowBlank="1" sqref="C7" xr:uid="{16D2B934-B213-4001-AEE6-E56A05990086}">
      <formula1>"맑음,구름 조금,흐림,비,눈,바람 강함"</formula1>
    </dataValidation>
    <dataValidation type="list" allowBlank="1" sqref="H50" xr:uid="{676AA936-A0DC-4358-AA2B-CB2A68C8AF2D}">
      <formula1>"RTK-GNSS,네트워크RTK,정적GNSS,휴대GNSS"</formula1>
    </dataValidation>
    <dataValidation type="list" allowBlank="1" sqref="B109" xr:uid="{515055B4-7B3A-4567-A3FC-2A0389235F54}">
      <formula1>"동일,조정"</formula1>
    </dataValidation>
    <dataValidation type="list" allowBlank="1" showInputMessage="1" showErrorMessage="1" sqref="F56:F57" xr:uid="{404E9224-26C8-4E7F-9F20-71F6E7F51009}">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&amp;RS48 삼척</oddHeader>
    <oddFooter>&amp;C&amp;9 &amp;P / &amp;N</oddFooter>
  </headerFooter>
  <rowBreaks count="3" manualBreakCount="3">
    <brk id="38" max="16383" man="1"/>
    <brk id="58" max="16383" man="1"/>
    <brk id="106" max="16383" man="1"/>
  </rowBreak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F91C4-86A8-48E3-9643-30862E822FD8}">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541</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542</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543</v>
      </c>
      <c r="B3" s="68"/>
      <c r="C3" s="68"/>
      <c r="D3" s="68"/>
      <c r="E3" s="68"/>
      <c r="F3" s="8" t="s">
        <v>154</v>
      </c>
      <c r="G3" s="6"/>
      <c r="H3" s="8" t="s">
        <v>155</v>
      </c>
      <c r="I3" s="9" t="s">
        <v>544</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자동계산'!$B$4="49_제천","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자동계산'!$B$4&lt;&gt;"49_제천","",IF('⑨ 구배 자동계산'!H9="","",'⑨ 구배 자동계산'!H9))</f>
        <v/>
      </c>
      <c r="C16" s="30" t="str">
        <f>IF('⑨ 구배 자동계산'!$B$4&lt;&gt;"49_제천","",IF('⑨ 구배 자동계산'!I9="","",'⑨ 구배 자동계산'!I9))</f>
        <v/>
      </c>
      <c r="D16" s="43" t="str">
        <f>IF('⑨ 구배 자동계산'!$B$4&lt;&gt;"49_제천","",IF('⑨ 구배 자동계산'!J9="","",'⑨ 구배 자동계산'!J9))</f>
        <v/>
      </c>
      <c r="E16" s="30" t="str">
        <f>IF('⑨ 구배 자동계산'!$B$4&lt;&gt;"49_제천","",IF('⑨ 구배 자동계산'!K9="","",'⑨ 구배 자동계산'!K9))</f>
        <v/>
      </c>
      <c r="F16" s="43" t="str">
        <f>IF('⑨ 구배 자동계산'!$B$4&lt;&gt;"49_제천","",IF('⑨ 구배 자동계산'!L9="","",'⑨ 구배 자동계산'!L9))</f>
        <v/>
      </c>
      <c r="G16" s="30" t="str">
        <f>IF('⑨ 구배 자동계산'!$B$4&lt;&gt;"49_제천","",IF('⑨ 구배 자동계산'!M9="","",'⑨ 구배 자동계산'!M9))</f>
        <v/>
      </c>
      <c r="H16" s="43" t="str">
        <f>IF('⑨ 구배 자동계산'!$B$4&lt;&gt;"49_제천","",IF('⑨ 구배 자동계산'!N9="","",'⑨ 구배 자동계산'!N9))</f>
        <v/>
      </c>
      <c r="I16" s="30" t="str">
        <f>IF('⑨ 구배 자동계산'!$B$4&lt;&gt;"49_제천","",IF('⑨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자동계산'!$B$4&lt;&gt;"49_제천","",IF('⑨ 구배 자동계산'!H10="","",'⑨ 구배 자동계산'!H10))</f>
        <v/>
      </c>
      <c r="C17" s="32" t="str">
        <f>IF('⑨ 구배 자동계산'!$B$4&lt;&gt;"49_제천","",IF('⑨ 구배 자동계산'!I10="","",'⑨ 구배 자동계산'!I10))</f>
        <v/>
      </c>
      <c r="D17" s="44" t="str">
        <f>IF('⑨ 구배 자동계산'!$B$4&lt;&gt;"49_제천","",IF('⑨ 구배 자동계산'!J10="","",'⑨ 구배 자동계산'!J10))</f>
        <v/>
      </c>
      <c r="E17" s="32" t="str">
        <f>IF('⑨ 구배 자동계산'!$B$4&lt;&gt;"49_제천","",IF('⑨ 구배 자동계산'!K10="","",'⑨ 구배 자동계산'!K10))</f>
        <v/>
      </c>
      <c r="F17" s="44" t="str">
        <f>IF('⑨ 구배 자동계산'!$B$4&lt;&gt;"49_제천","",IF('⑨ 구배 자동계산'!L10="","",'⑨ 구배 자동계산'!L10))</f>
        <v/>
      </c>
      <c r="G17" s="32" t="str">
        <f>IF('⑨ 구배 자동계산'!$B$4&lt;&gt;"49_제천","",IF('⑨ 구배 자동계산'!M10="","",'⑨ 구배 자동계산'!M10))</f>
        <v/>
      </c>
      <c r="H17" s="44" t="str">
        <f>IF('⑨ 구배 자동계산'!$B$4&lt;&gt;"49_제천","",IF('⑨ 구배 자동계산'!N10="","",'⑨ 구배 자동계산'!N10))</f>
        <v/>
      </c>
      <c r="I17" s="32" t="str">
        <f>IF('⑨ 구배 자동계산'!$B$4&lt;&gt;"49_제천","",IF('⑨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자동계산'!$B$4&lt;&gt;"49_제천","",IF('⑨ 구배 자동계산'!H11="","",'⑨ 구배 자동계산'!H11))</f>
        <v/>
      </c>
      <c r="C18" s="32" t="str">
        <f>IF('⑨ 구배 자동계산'!$B$4&lt;&gt;"49_제천","",IF('⑨ 구배 자동계산'!I11="","",'⑨ 구배 자동계산'!I11))</f>
        <v/>
      </c>
      <c r="D18" s="44" t="str">
        <f>IF('⑨ 구배 자동계산'!$B$4&lt;&gt;"49_제천","",IF('⑨ 구배 자동계산'!J11="","",'⑨ 구배 자동계산'!J11))</f>
        <v/>
      </c>
      <c r="E18" s="32" t="str">
        <f>IF('⑨ 구배 자동계산'!$B$4&lt;&gt;"49_제천","",IF('⑨ 구배 자동계산'!K11="","",'⑨ 구배 자동계산'!K11))</f>
        <v/>
      </c>
      <c r="F18" s="44" t="str">
        <f>IF('⑨ 구배 자동계산'!$B$4&lt;&gt;"49_제천","",IF('⑨ 구배 자동계산'!L11="","",'⑨ 구배 자동계산'!L11))</f>
        <v/>
      </c>
      <c r="G18" s="32" t="str">
        <f>IF('⑨ 구배 자동계산'!$B$4&lt;&gt;"49_제천","",IF('⑨ 구배 자동계산'!M11="","",'⑨ 구배 자동계산'!M11))</f>
        <v/>
      </c>
      <c r="H18" s="44" t="str">
        <f>IF('⑨ 구배 자동계산'!$B$4&lt;&gt;"49_제천","",IF('⑨ 구배 자동계산'!N11="","",'⑨ 구배 자동계산'!N11))</f>
        <v/>
      </c>
      <c r="I18" s="32" t="str">
        <f>IF('⑨ 구배 자동계산'!$B$4&lt;&gt;"49_제천","",IF('⑨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자동계산'!$B$4&lt;&gt;"49_제천","",IF('⑨ 구배 자동계산'!H12="","",'⑨ 구배 자동계산'!H12))</f>
        <v/>
      </c>
      <c r="C19" s="32" t="str">
        <f>IF('⑨ 구배 자동계산'!$B$4&lt;&gt;"49_제천","",IF('⑨ 구배 자동계산'!I12="","",'⑨ 구배 자동계산'!I12))</f>
        <v/>
      </c>
      <c r="D19" s="44" t="str">
        <f>IF('⑨ 구배 자동계산'!$B$4&lt;&gt;"49_제천","",IF('⑨ 구배 자동계산'!J12="","",'⑨ 구배 자동계산'!J12))</f>
        <v/>
      </c>
      <c r="E19" s="32" t="str">
        <f>IF('⑨ 구배 자동계산'!$B$4&lt;&gt;"49_제천","",IF('⑨ 구배 자동계산'!K12="","",'⑨ 구배 자동계산'!K12))</f>
        <v/>
      </c>
      <c r="F19" s="44" t="str">
        <f>IF('⑨ 구배 자동계산'!$B$4&lt;&gt;"49_제천","",IF('⑨ 구배 자동계산'!L12="","",'⑨ 구배 자동계산'!L12))</f>
        <v/>
      </c>
      <c r="G19" s="32" t="str">
        <f>IF('⑨ 구배 자동계산'!$B$4&lt;&gt;"49_제천","",IF('⑨ 구배 자동계산'!M12="","",'⑨ 구배 자동계산'!M12))</f>
        <v/>
      </c>
      <c r="H19" s="44" t="str">
        <f>IF('⑨ 구배 자동계산'!$B$4&lt;&gt;"49_제천","",IF('⑨ 구배 자동계산'!N12="","",'⑨ 구배 자동계산'!N12))</f>
        <v/>
      </c>
      <c r="I19" s="32" t="str">
        <f>IF('⑨ 구배 자동계산'!$B$4&lt;&gt;"49_제천","",IF('⑨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자동계산'!$B$4&lt;&gt;"49_제천","",IF('⑨ 구배 자동계산'!H13="","",'⑨ 구배 자동계산'!H13))</f>
        <v/>
      </c>
      <c r="C20" s="32" t="str">
        <f>IF('⑨ 구배 자동계산'!$B$4&lt;&gt;"49_제천","",IF('⑨ 구배 자동계산'!I13="","",'⑨ 구배 자동계산'!I13))</f>
        <v/>
      </c>
      <c r="D20" s="44" t="str">
        <f>IF('⑨ 구배 자동계산'!$B$4&lt;&gt;"49_제천","",IF('⑨ 구배 자동계산'!J13="","",'⑨ 구배 자동계산'!J13))</f>
        <v/>
      </c>
      <c r="E20" s="32" t="str">
        <f>IF('⑨ 구배 자동계산'!$B$4&lt;&gt;"49_제천","",IF('⑨ 구배 자동계산'!K13="","",'⑨ 구배 자동계산'!K13))</f>
        <v/>
      </c>
      <c r="F20" s="44" t="str">
        <f>IF('⑨ 구배 자동계산'!$B$4&lt;&gt;"49_제천","",IF('⑨ 구배 자동계산'!L13="","",'⑨ 구배 자동계산'!L13))</f>
        <v/>
      </c>
      <c r="G20" s="32" t="str">
        <f>IF('⑨ 구배 자동계산'!$B$4&lt;&gt;"49_제천","",IF('⑨ 구배 자동계산'!M13="","",'⑨ 구배 자동계산'!M13))</f>
        <v/>
      </c>
      <c r="H20" s="44" t="str">
        <f>IF('⑨ 구배 자동계산'!$B$4&lt;&gt;"49_제천","",IF('⑨ 구배 자동계산'!N13="","",'⑨ 구배 자동계산'!N13))</f>
        <v/>
      </c>
      <c r="I20" s="32" t="str">
        <f>IF('⑨ 구배 자동계산'!$B$4&lt;&gt;"49_제천","",IF('⑨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자동계산'!$B$4&lt;&gt;"49_제천","",IF('⑨ 구배 자동계산'!H14="","",'⑨ 구배 자동계산'!H14))</f>
        <v/>
      </c>
      <c r="C21" s="32" t="str">
        <f>IF('⑨ 구배 자동계산'!$B$4&lt;&gt;"49_제천","",IF('⑨ 구배 자동계산'!I14="","",'⑨ 구배 자동계산'!I14))</f>
        <v/>
      </c>
      <c r="D21" s="44" t="str">
        <f>IF('⑨ 구배 자동계산'!$B$4&lt;&gt;"49_제천","",IF('⑨ 구배 자동계산'!J14="","",'⑨ 구배 자동계산'!J14))</f>
        <v/>
      </c>
      <c r="E21" s="32" t="str">
        <f>IF('⑨ 구배 자동계산'!$B$4&lt;&gt;"49_제천","",IF('⑨ 구배 자동계산'!K14="","",'⑨ 구배 자동계산'!K14))</f>
        <v/>
      </c>
      <c r="F21" s="44" t="str">
        <f>IF('⑨ 구배 자동계산'!$B$4&lt;&gt;"49_제천","",IF('⑨ 구배 자동계산'!L14="","",'⑨ 구배 자동계산'!L14))</f>
        <v/>
      </c>
      <c r="G21" s="32" t="str">
        <f>IF('⑨ 구배 자동계산'!$B$4&lt;&gt;"49_제천","",IF('⑨ 구배 자동계산'!M14="","",'⑨ 구배 자동계산'!M14))</f>
        <v/>
      </c>
      <c r="H21" s="44" t="str">
        <f>IF('⑨ 구배 자동계산'!$B$4&lt;&gt;"49_제천","",IF('⑨ 구배 자동계산'!N14="","",'⑨ 구배 자동계산'!N14))</f>
        <v/>
      </c>
      <c r="I21" s="32" t="str">
        <f>IF('⑨ 구배 자동계산'!$B$4&lt;&gt;"49_제천","",IF('⑨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자동계산'!$B$4&lt;&gt;"49_제천","",IF('⑨ 구배 자동계산'!H15="","",'⑨ 구배 자동계산'!H15))</f>
        <v/>
      </c>
      <c r="C22" s="32" t="str">
        <f>IF('⑨ 구배 자동계산'!$B$4&lt;&gt;"49_제천","",IF('⑨ 구배 자동계산'!I15="","",'⑨ 구배 자동계산'!I15))</f>
        <v/>
      </c>
      <c r="D22" s="44" t="str">
        <f>IF('⑨ 구배 자동계산'!$B$4&lt;&gt;"49_제천","",IF('⑨ 구배 자동계산'!J15="","",'⑨ 구배 자동계산'!J15))</f>
        <v/>
      </c>
      <c r="E22" s="32" t="str">
        <f>IF('⑨ 구배 자동계산'!$B$4&lt;&gt;"49_제천","",IF('⑨ 구배 자동계산'!K15="","",'⑨ 구배 자동계산'!K15))</f>
        <v/>
      </c>
      <c r="F22" s="44" t="str">
        <f>IF('⑨ 구배 자동계산'!$B$4&lt;&gt;"49_제천","",IF('⑨ 구배 자동계산'!L15="","",'⑨ 구배 자동계산'!L15))</f>
        <v/>
      </c>
      <c r="G22" s="32" t="str">
        <f>IF('⑨ 구배 자동계산'!$B$4&lt;&gt;"49_제천","",IF('⑨ 구배 자동계산'!M15="","",'⑨ 구배 자동계산'!M15))</f>
        <v/>
      </c>
      <c r="H22" s="44" t="str">
        <f>IF('⑨ 구배 자동계산'!$B$4&lt;&gt;"49_제천","",IF('⑨ 구배 자동계산'!N15="","",'⑨ 구배 자동계산'!N15))</f>
        <v/>
      </c>
      <c r="I22" s="32" t="str">
        <f>IF('⑨ 구배 자동계산'!$B$4&lt;&gt;"49_제천","",IF('⑨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자동계산'!$B$4&lt;&gt;"49_제천","",IF('⑨ 구배 자동계산'!H16="","",'⑨ 구배 자동계산'!H16))</f>
        <v/>
      </c>
      <c r="C23" s="32" t="str">
        <f>IF('⑨ 구배 자동계산'!$B$4&lt;&gt;"49_제천","",IF('⑨ 구배 자동계산'!I16="","",'⑨ 구배 자동계산'!I16))</f>
        <v/>
      </c>
      <c r="D23" s="44" t="str">
        <f>IF('⑨ 구배 자동계산'!$B$4&lt;&gt;"49_제천","",IF('⑨ 구배 자동계산'!J16="","",'⑨ 구배 자동계산'!J16))</f>
        <v/>
      </c>
      <c r="E23" s="32" t="str">
        <f>IF('⑨ 구배 자동계산'!$B$4&lt;&gt;"49_제천","",IF('⑨ 구배 자동계산'!K16="","",'⑨ 구배 자동계산'!K16))</f>
        <v/>
      </c>
      <c r="F23" s="44" t="str">
        <f>IF('⑨ 구배 자동계산'!$B$4&lt;&gt;"49_제천","",IF('⑨ 구배 자동계산'!L16="","",'⑨ 구배 자동계산'!L16))</f>
        <v/>
      </c>
      <c r="G23" s="32" t="str">
        <f>IF('⑨ 구배 자동계산'!$B$4&lt;&gt;"49_제천","",IF('⑨ 구배 자동계산'!M16="","",'⑨ 구배 자동계산'!M16))</f>
        <v/>
      </c>
      <c r="H23" s="44" t="str">
        <f>IF('⑨ 구배 자동계산'!$B$4&lt;&gt;"49_제천","",IF('⑨ 구배 자동계산'!N16="","",'⑨ 구배 자동계산'!N16))</f>
        <v/>
      </c>
      <c r="I23" s="32" t="str">
        <f>IF('⑨ 구배 자동계산'!$B$4&lt;&gt;"49_제천","",IF('⑨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자동계산'!$B$4&lt;&gt;"49_제천","",IF('⑨ 구배 자동계산'!H17="","",'⑨ 구배 자동계산'!H17))</f>
        <v/>
      </c>
      <c r="C24" s="32" t="str">
        <f>IF('⑨ 구배 자동계산'!$B$4&lt;&gt;"49_제천","",IF('⑨ 구배 자동계산'!I17="","",'⑨ 구배 자동계산'!I17))</f>
        <v/>
      </c>
      <c r="D24" s="44" t="str">
        <f>IF('⑨ 구배 자동계산'!$B$4&lt;&gt;"49_제천","",IF('⑨ 구배 자동계산'!J17="","",'⑨ 구배 자동계산'!J17))</f>
        <v/>
      </c>
      <c r="E24" s="32" t="str">
        <f>IF('⑨ 구배 자동계산'!$B$4&lt;&gt;"49_제천","",IF('⑨ 구배 자동계산'!K17="","",'⑨ 구배 자동계산'!K17))</f>
        <v/>
      </c>
      <c r="F24" s="44" t="str">
        <f>IF('⑨ 구배 자동계산'!$B$4&lt;&gt;"49_제천","",IF('⑨ 구배 자동계산'!L17="","",'⑨ 구배 자동계산'!L17))</f>
        <v/>
      </c>
      <c r="G24" s="32" t="str">
        <f>IF('⑨ 구배 자동계산'!$B$4&lt;&gt;"49_제천","",IF('⑨ 구배 자동계산'!M17="","",'⑨ 구배 자동계산'!M17))</f>
        <v/>
      </c>
      <c r="H24" s="44" t="str">
        <f>IF('⑨ 구배 자동계산'!$B$4&lt;&gt;"49_제천","",IF('⑨ 구배 자동계산'!N17="","",'⑨ 구배 자동계산'!N17))</f>
        <v/>
      </c>
      <c r="I24" s="32" t="str">
        <f>IF('⑨ 구배 자동계산'!$B$4&lt;&gt;"49_제천","",IF('⑨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자동계산'!$B$4&lt;&gt;"49_제천","",IF('⑨ 구배 자동계산'!H18="","",'⑨ 구배 자동계산'!H18))</f>
        <v/>
      </c>
      <c r="C25" s="32" t="str">
        <f>IF('⑨ 구배 자동계산'!$B$4&lt;&gt;"49_제천","",IF('⑨ 구배 자동계산'!I18="","",'⑨ 구배 자동계산'!I18))</f>
        <v/>
      </c>
      <c r="D25" s="44" t="str">
        <f>IF('⑨ 구배 자동계산'!$B$4&lt;&gt;"49_제천","",IF('⑨ 구배 자동계산'!J18="","",'⑨ 구배 자동계산'!J18))</f>
        <v/>
      </c>
      <c r="E25" s="32" t="str">
        <f>IF('⑨ 구배 자동계산'!$B$4&lt;&gt;"49_제천","",IF('⑨ 구배 자동계산'!K18="","",'⑨ 구배 자동계산'!K18))</f>
        <v/>
      </c>
      <c r="F25" s="44" t="str">
        <f>IF('⑨ 구배 자동계산'!$B$4&lt;&gt;"49_제천","",IF('⑨ 구배 자동계산'!L18="","",'⑨ 구배 자동계산'!L18))</f>
        <v/>
      </c>
      <c r="G25" s="32" t="str">
        <f>IF('⑨ 구배 자동계산'!$B$4&lt;&gt;"49_제천","",IF('⑨ 구배 자동계산'!M18="","",'⑨ 구배 자동계산'!M18))</f>
        <v/>
      </c>
      <c r="H25" s="44" t="str">
        <f>IF('⑨ 구배 자동계산'!$B$4&lt;&gt;"49_제천","",IF('⑨ 구배 자동계산'!N18="","",'⑨ 구배 자동계산'!N18))</f>
        <v/>
      </c>
      <c r="I25" s="32" t="str">
        <f>IF('⑨ 구배 자동계산'!$B$4&lt;&gt;"49_제천","",IF('⑨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자동계산'!$B$4&lt;&gt;"49_제천","",IF('⑨ 구배 자동계산'!H19="","",'⑨ 구배 자동계산'!H19))</f>
        <v/>
      </c>
      <c r="C26" s="32" t="str">
        <f>IF('⑨ 구배 자동계산'!$B$4&lt;&gt;"49_제천","",IF('⑨ 구배 자동계산'!I19="","",'⑨ 구배 자동계산'!I19))</f>
        <v/>
      </c>
      <c r="D26" s="44" t="str">
        <f>IF('⑨ 구배 자동계산'!$B$4&lt;&gt;"49_제천","",IF('⑨ 구배 자동계산'!J19="","",'⑨ 구배 자동계산'!J19))</f>
        <v/>
      </c>
      <c r="E26" s="32" t="str">
        <f>IF('⑨ 구배 자동계산'!$B$4&lt;&gt;"49_제천","",IF('⑨ 구배 자동계산'!K19="","",'⑨ 구배 자동계산'!K19))</f>
        <v/>
      </c>
      <c r="F26" s="44" t="str">
        <f>IF('⑨ 구배 자동계산'!$B$4&lt;&gt;"49_제천","",IF('⑨ 구배 자동계산'!L19="","",'⑨ 구배 자동계산'!L19))</f>
        <v/>
      </c>
      <c r="G26" s="32" t="str">
        <f>IF('⑨ 구배 자동계산'!$B$4&lt;&gt;"49_제천","",IF('⑨ 구배 자동계산'!M19="","",'⑨ 구배 자동계산'!M19))</f>
        <v/>
      </c>
      <c r="H26" s="44" t="str">
        <f>IF('⑨ 구배 자동계산'!$B$4&lt;&gt;"49_제천","",IF('⑨ 구배 자동계산'!N19="","",'⑨ 구배 자동계산'!N19))</f>
        <v/>
      </c>
      <c r="I26" s="32" t="str">
        <f>IF('⑨ 구배 자동계산'!$B$4&lt;&gt;"49_제천","",IF('⑨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자동계산'!$B$4&lt;&gt;"49_제천","",IF('⑨ 구배 자동계산'!H20="","",'⑨ 구배 자동계산'!H20))</f>
        <v/>
      </c>
      <c r="C27" s="41" t="str">
        <f>IF('⑨ 구배 자동계산'!$B$4&lt;&gt;"49_제천","",IF('⑨ 구배 자동계산'!I20="","",'⑨ 구배 자동계산'!I20))</f>
        <v/>
      </c>
      <c r="D27" s="45" t="str">
        <f>IF('⑨ 구배 자동계산'!$B$4&lt;&gt;"49_제천","",IF('⑨ 구배 자동계산'!J20="","",'⑨ 구배 자동계산'!J20))</f>
        <v/>
      </c>
      <c r="E27" s="41" t="str">
        <f>IF('⑨ 구배 자동계산'!$B$4&lt;&gt;"49_제천","",IF('⑨ 구배 자동계산'!K20="","",'⑨ 구배 자동계산'!K20))</f>
        <v/>
      </c>
      <c r="F27" s="45" t="str">
        <f>IF('⑨ 구배 자동계산'!$B$4&lt;&gt;"49_제천","",IF('⑨ 구배 자동계산'!L20="","",'⑨ 구배 자동계산'!L20))</f>
        <v/>
      </c>
      <c r="G27" s="41" t="str">
        <f>IF('⑨ 구배 자동계산'!$B$4&lt;&gt;"49_제천","",IF('⑨ 구배 자동계산'!M20="","",'⑨ 구배 자동계산'!M20))</f>
        <v/>
      </c>
      <c r="H27" s="45" t="str">
        <f>IF('⑨ 구배 자동계산'!$B$4&lt;&gt;"49_제천","",IF('⑨ 구배 자동계산'!N20="","",'⑨ 구배 자동계산'!N20))</f>
        <v/>
      </c>
      <c r="I27" s="41" t="str">
        <f>IF('⑨ 구배 자동계산'!$B$4&lt;&gt;"49_제천","",IF('⑨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자동계산'!$B$4&lt;&gt;"49_제천","",IF('⑨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자동계산'!$B$4&lt;&gt;"49_제천","",IF('⑨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자동계산'!$B$4&lt;&gt;"49_제천","",IF('⑨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자동계산'!$B$4&lt;&gt;"49_제천","",IF('⑨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자동계산'!$B$4&lt;&gt;"49_제천","",IF('⑨ 구배 자동계산'!I23="","",'⑨ 구배 자동계산'!I23))</f>
        <v/>
      </c>
      <c r="D42" s="8"/>
      <c r="E42" s="8"/>
      <c r="F42" s="8"/>
      <c r="G42" s="92" t="str">
        <f>IF('⑨ 구배 자동계산'!$B$4&lt;&gt;"49_제천","",IF('⑨ 구배 자동계산'!$J23="","",'⑨ 구배 자동계산'!$J23&amp;"  ·  "&amp;'⑨ 구배 자동계산'!$L23))</f>
        <v/>
      </c>
      <c r="H42" s="93"/>
      <c r="I42" s="93"/>
    </row>
    <row r="43" spans="1:35" ht="19.95" customHeight="1" x14ac:dyDescent="0.4">
      <c r="A43" s="8">
        <v>3</v>
      </c>
      <c r="B43" s="33">
        <v>140</v>
      </c>
      <c r="C43" s="32" t="str">
        <f>IF('⑨ 구배 자동계산'!$B$4&lt;&gt;"49_제천","",IF('⑨ 구배 자동계산'!I24="","",'⑨ 구배 자동계산'!I24))</f>
        <v/>
      </c>
      <c r="D43" s="34">
        <f>IF(COUNT(B43,B42)&lt;2,"",(B42-B43)/100)</f>
        <v>0.45</v>
      </c>
      <c r="E43" s="35" t="str">
        <f>IF(COUNT(C43,C42)&lt;2,"",C43-C42)</f>
        <v/>
      </c>
      <c r="F43" s="36" t="str">
        <f>IF(OR(D43="",E43="",D43=0),"",E43/D43)</f>
        <v/>
      </c>
      <c r="G43" s="92" t="str">
        <f>IF('⑨ 구배 자동계산'!$B$4&lt;&gt;"49_제천","",IF('⑨ 구배 자동계산'!$J24="","",'⑨ 구배 자동계산'!$J24&amp;"  ·  "&amp;'⑨ 구배 자동계산'!$L24))</f>
        <v/>
      </c>
      <c r="H43" s="93"/>
      <c r="I43" s="93"/>
      <c r="AH43" t="s">
        <v>234</v>
      </c>
    </row>
    <row r="44" spans="1:35" ht="19.95" customHeight="1" x14ac:dyDescent="0.4">
      <c r="A44" s="8">
        <v>2</v>
      </c>
      <c r="B44" s="33">
        <v>95</v>
      </c>
      <c r="C44" s="32" t="str">
        <f>IF('⑨ 구배 자동계산'!$B$4&lt;&gt;"49_제천","",IF('⑨ 구배 자동계산'!I25="","",'⑨ 구배 자동계산'!I25))</f>
        <v/>
      </c>
      <c r="D44" s="34">
        <f>IF(COUNT(B44,B43)&lt;2,"",(B43-B44)/100)</f>
        <v>0.45</v>
      </c>
      <c r="E44" s="35" t="str">
        <f>IF(COUNT(C44,C43)&lt;2,"",C44-C43)</f>
        <v/>
      </c>
      <c r="F44" s="36" t="str">
        <f>IF(OR(D44="",E44="",D44=0),"",E44/D44)</f>
        <v/>
      </c>
      <c r="G44" s="92" t="str">
        <f>IF('⑨ 구배 자동계산'!$B$4&lt;&gt;"49_제천","",IF('⑨ 구배 자동계산'!$J25="","",'⑨ 구배 자동계산'!$J25&amp;"  ·  "&amp;'⑨ 구배 자동계산'!$L25))</f>
        <v/>
      </c>
      <c r="H44" s="93"/>
      <c r="I44" s="93"/>
    </row>
    <row r="45" spans="1:35" ht="19.95" customHeight="1" x14ac:dyDescent="0.4">
      <c r="A45" s="8">
        <v>1</v>
      </c>
      <c r="B45" s="33">
        <v>50</v>
      </c>
      <c r="C45" s="32" t="str">
        <f>IF('⑨ 구배 자동계산'!$B$4&lt;&gt;"49_제천","",IF('⑨ 구배 자동계산'!I26="","",'⑨ 구배 자동계산'!I26))</f>
        <v/>
      </c>
      <c r="D45" s="34">
        <f>IF(COUNT(B45,B44)&lt;2,"",(B44-B45)/100)</f>
        <v>0.45</v>
      </c>
      <c r="E45" s="35" t="str">
        <f>IF(COUNT(C45,C44)&lt;2,"",C45-C44)</f>
        <v/>
      </c>
      <c r="F45" s="36" t="str">
        <f>IF(OR(D45="",E45="",D45=0),"",E45/D45)</f>
        <v/>
      </c>
      <c r="G45" s="92" t="str">
        <f>IF('⑨ 구배 자동계산'!$B$4&lt;&gt;"49_제천","",IF('⑨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IF(COUNT(B50,E50)&lt;2,"",ROUND(SQRT(((128.211444-E50)*111320*COS(RADIANS(37.074639)))^2+((37.074639-B50)*110574)^2),1))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S49-P0a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9" priority="1">
      <formula>AND(ISNUMBER(C31),C31&gt;50)</formula>
    </cfRule>
  </conditionalFormatting>
  <conditionalFormatting sqref="D7">
    <cfRule type="expression" dxfId="8" priority="3" stopIfTrue="1">
      <formula>AND($D$7&lt;&gt;"",VALUE(LEFT($D$7,1))&lt;5)</formula>
    </cfRule>
    <cfRule type="expression" dxfId="7" priority="4" stopIfTrue="1">
      <formula>AND($D$7&lt;&gt;"",VALUE(LEFT($D$7,1))&gt;=5)</formula>
    </cfRule>
  </conditionalFormatting>
  <conditionalFormatting sqref="E7">
    <cfRule type="expression" dxfId="6" priority="5" stopIfTrue="1">
      <formula>AND($E$7&lt;&gt;"",VALUE(LEFT($E$7,1))&lt;5)</formula>
    </cfRule>
    <cfRule type="expression" dxfId="5"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EDFC62EF-8E1B-41B8-B450-147A45235C51}">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464F1F8F-B819-4EF5-948F-848CEE360E92}">
      <formula1>DATE(2026,1,1)</formula1>
      <formula2>DATE(2027,12,31)</formula2>
    </dataValidation>
    <dataValidation type="list" allowBlank="1" sqref="C7" xr:uid="{2264B4E0-2FFC-4647-8C6C-FA3716593C7C}">
      <formula1>"맑음,구름 조금,흐림,비,눈,바람 강함"</formula1>
    </dataValidation>
    <dataValidation type="list" allowBlank="1" sqref="H50" xr:uid="{9D3A96BB-B957-4892-AD2D-D1112CDFEE6C}">
      <formula1>"RTK-GNSS,네트워크RTK,정적GNSS,휴대GNSS"</formula1>
    </dataValidation>
    <dataValidation type="list" allowBlank="1" sqref="B109" xr:uid="{6A5F1C17-5CED-4594-B053-8892C2C790B2}">
      <formula1>"동일,조정"</formula1>
    </dataValidation>
    <dataValidation type="list" allowBlank="1" showInputMessage="1" showErrorMessage="1" sqref="F56:F57" xr:uid="{01C79CA4-0DA2-4F80-BF36-7B70984CEB4D}">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&amp;RS49 제천</oddHeader>
    <oddFooter>&amp;C&amp;9 &amp;P / &amp;N</oddFooter>
  </headerFooter>
  <rowBreaks count="3" manualBreakCount="3">
    <brk id="38" max="16383" man="1"/>
    <brk id="58" max="16383" man="1"/>
    <brk id="106"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FF19-0181-4AAC-8F4D-12CE540EA690}">
  <dimension ref="A1:AN117"/>
  <sheetViews>
    <sheetView workbookViewId="0">
      <selection activeCell="C30" sqref="C30:I34"/>
    </sheetView>
  </sheetViews>
  <sheetFormatPr defaultRowHeight="17.399999999999999" x14ac:dyDescent="0.4"/>
  <cols>
    <col min="1" max="1" width="11" customWidth="1"/>
    <col min="2" max="2" width="10" customWidth="1"/>
    <col min="3" max="3" width="13" customWidth="1"/>
    <col min="4" max="4" width="10" customWidth="1"/>
    <col min="5" max="5" width="13" customWidth="1"/>
    <col min="6" max="6" width="10" customWidth="1"/>
    <col min="7" max="7" width="13" customWidth="1"/>
    <col min="8" max="8" width="10" customWidth="1"/>
    <col min="9" max="9" width="13" customWidth="1"/>
    <col min="11" max="11" width="5" hidden="1" customWidth="1"/>
    <col min="12" max="31" width="13" hidden="1" customWidth="1"/>
    <col min="33" max="40" width="13" hidden="1" customWidth="1"/>
  </cols>
  <sheetData>
    <row r="1" spans="1:40" ht="28.05" customHeight="1" x14ac:dyDescent="0.4">
      <c r="A1" s="85" t="s">
        <v>545</v>
      </c>
      <c r="B1" s="68"/>
      <c r="C1" s="68"/>
      <c r="D1" s="68"/>
      <c r="E1" s="68"/>
      <c r="F1" s="68"/>
      <c r="G1" s="68"/>
      <c r="H1" s="68"/>
      <c r="I1" s="68"/>
      <c r="AG1" t="str">
        <f>IF($A$7="","none",TEXT($A$7,"yyyymmdd"))</f>
        <v>none</v>
      </c>
      <c r="AH1" t="s">
        <v>220</v>
      </c>
      <c r="AI1" t="s">
        <v>240</v>
      </c>
      <c r="AJ1" t="s">
        <v>340</v>
      </c>
      <c r="AK1">
        <f>IFERROR(DATE(VALUE(MID($AH$2,10,4)),MATCH(MID($AH$2,15,3),{"Jan","Feb","Mar","Apr","May","Jun","Jul","Aug","Sep","Oct","Nov","Dec"},0),VALUE(MID($AH$2,19,2))),"")</f>
        <v>46283</v>
      </c>
      <c r="AL1" t="str">
        <f>IFERROR(MID($AJ$1,SEARCH("""Kp"":[",$AJ$1)+6,SEARCH("]",$AJ$1,SEARCH("""Kp"":[",$AJ$1))-SEARCH("""Kp"":[",$AJ$1)-6),"")</f>
        <v>0.667,1.333,1.667,2.333,1.667,1.333,1.667,1.333</v>
      </c>
      <c r="AM1" t="str">
        <f>IF(OR(NOT($AL$3),$AL$1=""),"",IFERROR(VALUE(TRIM(MID(SUBSTITUTE($AL$1,",",REPT(" ",99)),1,99))),""))</f>
        <v/>
      </c>
      <c r="AN1" t="str">
        <f>IF(AM1="","",SUBSTITUTE(TRIM(MID(SUBSTITUTE($AL$2,",",REPT(" ",99)),1,99)),"""",""))</f>
        <v/>
      </c>
    </row>
    <row r="2" spans="1:40" ht="16.05" customHeight="1" x14ac:dyDescent="0.4">
      <c r="A2" s="86" t="s">
        <v>546</v>
      </c>
      <c r="B2" s="68"/>
      <c r="C2" s="68"/>
      <c r="D2" s="68"/>
      <c r="E2" s="68"/>
      <c r="F2" s="68"/>
      <c r="G2" s="68"/>
      <c r="H2" s="68"/>
      <c r="I2" s="68"/>
      <c r="AG2" t="str">
        <f>IF($A$7="","2026-09-01",TEXT($A$7,"yyyy-mm-dd"))</f>
        <v>2026-09-01</v>
      </c>
      <c r="AH2" t="s">
        <v>577</v>
      </c>
      <c r="AI2" t="s">
        <v>241</v>
      </c>
      <c r="AJ2" t="s">
        <v>239</v>
      </c>
      <c r="AK2" t="str">
        <f>IF(OR($A$7="",AK1=""),"",INT($A$7)-AK1)</f>
        <v/>
      </c>
      <c r="AL2" t="str">
        <f>IFERROR(MID($AJ$1,SEARCH("""status"":[",$AJ$1)+10,SEARCH("]",$AJ$1,SEARCH("""status"":[",$AJ$1))-SEARCH("""status"":[",$AJ$1)-10),"")</f>
        <v>"pre","pre","pre","pre","pre","pre","pre","pre"</v>
      </c>
      <c r="AM2" t="str">
        <f>IF(OR(NOT($AL$3),$AL$1=""),"",IFERROR(VALUE(TRIM(MID(SUBSTITUTE($AL$1,",",REPT(" ",99)),100,99))),""))</f>
        <v/>
      </c>
      <c r="AN2" t="str">
        <f>IF(AM2="","",SUBSTITUTE(TRIM(MID(SUBSTITUTE($AL$2,",",REPT(" ",99)),100,99)),"""",""))</f>
        <v/>
      </c>
    </row>
    <row r="3" spans="1:40" x14ac:dyDescent="0.4">
      <c r="A3" s="84" t="s">
        <v>547</v>
      </c>
      <c r="B3" s="68"/>
      <c r="C3" s="68"/>
      <c r="D3" s="68"/>
      <c r="E3" s="68"/>
      <c r="F3" s="8" t="s">
        <v>154</v>
      </c>
      <c r="G3" s="6"/>
      <c r="H3" s="8" t="s">
        <v>155</v>
      </c>
      <c r="I3" s="9" t="s">
        <v>548</v>
      </c>
      <c r="AH3" t="s">
        <v>221</v>
      </c>
      <c r="AI3" t="s">
        <v>242</v>
      </c>
      <c r="AK3" t="str">
        <f>IF(OR(AK2="",N(AK2)&lt;0,N(AK2)&gt;2),"",IFERROR(VALUE(MID(INDEX($AH$1:$AH$71,MATCH("00-03UT*",$AH$1:$AH$71,0)),15+13*AK2,4)),""))</f>
        <v/>
      </c>
      <c r="AL3" t="b">
        <f>AND($A$7&lt;&gt;"",ISNUMBER(SEARCH(TEXT($A$7,"yyyy-mm-dd")&amp;"T00",$AJ$1)))</f>
        <v>0</v>
      </c>
      <c r="AM3" t="str">
        <f>IF(OR(NOT($AL$3),$AL$1=""),"",IFERROR(VALUE(TRIM(MID(SUBSTITUTE($AL$1,",",REPT(" ",99)),199,99))),""))</f>
        <v/>
      </c>
      <c r="AN3" t="str">
        <f>IF(AM3="","",SUBSTITUTE(TRIM(MID(SUBSTITUTE($AL$2,",",REPT(" ",99)),199,99)),"""",""))</f>
        <v/>
      </c>
    </row>
    <row r="4" spans="1:40" x14ac:dyDescent="0.4">
      <c r="AH4" t="s">
        <v>222</v>
      </c>
      <c r="AI4" t="s">
        <v>243</v>
      </c>
      <c r="AK4" t="str">
        <f>IF(OR(AK2="",N(AK2)&lt;0,N(AK2)&gt;2),"",IFERROR(VALUE(MID(INDEX($AH$1:$AH$71,MATCH("03-06UT*",$AH$1:$AH$71,0)),15+13*AK2,4)),""))</f>
        <v/>
      </c>
      <c r="AL4">
        <f>COUNT(AM1:AM8)</f>
        <v>0</v>
      </c>
      <c r="AM4" t="str">
        <f>IF(OR(NOT($AL$3),$AL$1=""),"",IFERROR(VALUE(TRIM(MID(SUBSTITUTE($AL$1,",",REPT(" ",99)),298,99))),""))</f>
        <v/>
      </c>
      <c r="AN4" t="str">
        <f>IF(AM4="","",SUBSTITUTE(TRIM(MID(SUBSTITUTE($AL$2,",",REPT(" ",99)),298,99)),"""",""))</f>
        <v/>
      </c>
    </row>
    <row r="5" spans="1:40" ht="19.95" customHeight="1" x14ac:dyDescent="0.4">
      <c r="A5" s="87" t="s">
        <v>276</v>
      </c>
      <c r="B5" s="68"/>
      <c r="C5" s="68"/>
      <c r="D5" s="68"/>
      <c r="E5" s="68"/>
      <c r="F5" s="68"/>
      <c r="G5" s="68"/>
      <c r="H5" s="68"/>
      <c r="I5" s="68"/>
      <c r="AH5" t="s">
        <v>223</v>
      </c>
      <c r="AI5" t="s">
        <v>244</v>
      </c>
      <c r="AK5" t="str">
        <f>IF(OR(AK2="",N(AK2)&lt;0,N(AK2)&gt;2),"",IFERROR(VALUE(MID(INDEX($AH$1:$AH$71,MATCH("06-09UT*",$AH$1:$AH$71,0)),15+13*AK2,4)),""))</f>
        <v/>
      </c>
      <c r="AL5">
        <f>COUNTIF(AN1:AN8,"def")</f>
        <v>0</v>
      </c>
      <c r="AM5" t="str">
        <f>IF(OR(NOT($AL$3),$AL$1=""),"",IFERROR(VALUE(TRIM(MID(SUBSTITUTE($AL$1,",",REPT(" ",99)),397,99))),""))</f>
        <v/>
      </c>
      <c r="AN5" t="str">
        <f>IF(AM5="","",SUBSTITUTE(TRIM(MID(SUBSTITUTE($AL$2,",",REPT(" ",99)),397,99)),"""",""))</f>
        <v/>
      </c>
    </row>
    <row r="6" spans="1:40" ht="46.05" customHeight="1" x14ac:dyDescent="0.4">
      <c r="A6" s="8" t="s">
        <v>10</v>
      </c>
      <c r="B6" s="8" t="s">
        <v>11</v>
      </c>
      <c r="C6" s="8" t="s">
        <v>157</v>
      </c>
      <c r="D6" s="8" t="s">
        <v>549</v>
      </c>
      <c r="E6" s="88" t="s">
        <v>550</v>
      </c>
      <c r="F6" s="89"/>
      <c r="G6" s="89"/>
      <c r="H6" s="88" t="s">
        <v>158</v>
      </c>
      <c r="I6" s="89"/>
      <c r="AI6" t="s">
        <v>222</v>
      </c>
      <c r="AK6" t="str">
        <f>IF(OR(AK2="",N(AK2)&lt;0,N(AK2)&gt;2),"",IFERROR(VALUE(MID(INDEX($AH$1:$AH$71,MATCH("09-12UT*",$AH$1:$AH$71,0)),15+13*AK2,4)),""))</f>
        <v/>
      </c>
      <c r="AL6" t="str">
        <f>IF(AL4=0,"",MAX(AM1:AM8))</f>
        <v/>
      </c>
      <c r="AM6" t="str">
        <f>IF(OR(NOT($AL$3),$AL$1=""),"",IFERROR(VALUE(TRIM(MID(SUBSTITUTE($AL$1,",",REPT(" ",99)),496,99))),""))</f>
        <v/>
      </c>
      <c r="AN6" t="str">
        <f>IF(AM6="","",SUBSTITUTE(TRIM(MID(SUBSTITUTE($AL$2,",",REPT(" ",99)),496,99)),"""",""))</f>
        <v/>
      </c>
    </row>
    <row r="7" spans="1:40" ht="36" customHeight="1" x14ac:dyDescent="0.4">
      <c r="A7" s="5"/>
      <c r="B7" s="6"/>
      <c r="C7" s="6"/>
      <c r="D7" s="39" t="str">
        <f>IF($A$7="","",IF(ISNUMBER(AK11),(INT((ROUND((AK11)*3,0))/3)+IF(MOD(ROUND((AK11)*3,0),3)=2,1,0))&amp;CHOOSE(MOD(ROUND((AK11)*3,0),3)+1,"o","+","−"),IF(ISNUMBER(AK13),(INT((ROUND((AK13)*3,0))/3)+IF(MOD(ROUND((AK13)*3,0),3)=2,1,0))&amp;CHOOSE(MOD(ROUND((AK13)*3,0),3)+1,"o","+","-"),"예보범위 밖")))</f>
        <v/>
      </c>
      <c r="E7" s="90" t="str">
        <f>IF($A$7="","",IF(AL4=0,"미수신",(INT((ROUND((AL6)*3,0))/3)+IF(MOD(ROUND((AL6)*3,0),3)=2,1,0))&amp;CHOOSE(MOD(ROUND((AL6)*3,0),3)+1,"o","+","−")))</f>
        <v/>
      </c>
      <c r="F7" s="91"/>
      <c r="G7" s="91"/>
      <c r="H7" s="92"/>
      <c r="I7" s="93"/>
      <c r="AH7" t="s">
        <v>342</v>
      </c>
      <c r="AI7" t="s">
        <v>245</v>
      </c>
      <c r="AK7" t="str">
        <f>IF(OR(AK2="",N(AK2)&lt;0,N(AK2)&gt;2),"",IFERROR(VALUE(MID(INDEX($AH$1:$AH$71,MATCH("12-15UT*",$AH$1:$AH$71,0)),15+13*AK2,4)),""))</f>
        <v/>
      </c>
      <c r="AM7" t="str">
        <f>IF(OR(NOT($AL$3),$AL$1=""),"",IFERROR(VALUE(TRIM(MID(SUBSTITUTE($AL$1,",",REPT(" ",99)),595,99))),""))</f>
        <v/>
      </c>
      <c r="AN7" t="str">
        <f>IF(AM7="","",SUBSTITUTE(TRIM(MID(SUBSTITUTE($AL$2,",",REPT(" ",99)),595,99)),"""",""))</f>
        <v/>
      </c>
    </row>
    <row r="8" spans="1:40" ht="28.05" customHeight="1" x14ac:dyDescent="0.4">
      <c r="A8" s="8" t="s">
        <v>277</v>
      </c>
      <c r="B8" s="94" t="str">
        <f>(IF($A$7="","관측일자를 넣으면 그 순간의 NOAA 예보로 채워지고, 관측일자를 바꾸기 전까지 그대로 남습니다",IF(ISNUMBER(AK11),"NOAA 3일 예보 ("&amp;MID($AH$2,10,20)&amp;" 발행) · "&amp;TEXT($A$7,"m/d")&amp;" UTC 하루 최대",IF(ISNUMBER(AK13),"NOAA 27일 예보 ("&amp;MID($AI$2,10,20)&amp;" 발행) · "&amp;TEXT($A$7,"m/d")&amp;" UTC 하루 최대","예보 범위 밖이거나 받지 못했습니다 — 인터넷 연결 후 관측일자를 지웠다가 다시 넣어 보세요"))&amp;" · 관측일자를 넣을 때 받은 값(이후 고정)"))&amp;" · Kp 표기: 4−·4o·4+ · 파랑=탐사 가능, 빨강=5− 이상 탐사 불가"</f>
        <v>관측일자를 넣으면 그 순간의 NOAA 예보로 채워지고, 관측일자를 바꾸기 전까지 그대로 남습니다 · Kp 표기: 4−·4o·4+ · 파랑=탐사 가능, 빨강=5− 이상 탐사 불가</v>
      </c>
      <c r="C8" s="95"/>
      <c r="D8" s="95"/>
      <c r="E8" s="95"/>
      <c r="F8" s="95"/>
      <c r="G8" s="95"/>
      <c r="H8" s="95"/>
      <c r="I8" s="95"/>
      <c r="AH8" t="s">
        <v>224</v>
      </c>
      <c r="AI8" t="s">
        <v>246</v>
      </c>
      <c r="AK8" t="str">
        <f>IF(OR(AK2="",N(AK2)&lt;0,N(AK2)&gt;2),"",IFERROR(VALUE(MID(INDEX($AH$1:$AH$71,MATCH("15-18UT*",$AH$1:$AH$71,0)),15+13*AK2,4)),""))</f>
        <v/>
      </c>
      <c r="AM8" t="str">
        <f>IF(OR(NOT($AL$3),$AL$1=""),"",IFERROR(VALUE(TRIM(MID(SUBSTITUTE($AL$1,",",REPT(" ",99)),694,99))),""))</f>
        <v/>
      </c>
      <c r="AN8" t="str">
        <f>IF(AM8="","",SUBSTITUTE(TRIM(MID(SUBSTITUTE($AL$2,",",REPT(" ",99)),694,99)),"""",""))</f>
        <v/>
      </c>
    </row>
    <row r="9" spans="1:40" ht="28.05" customHeight="1" x14ac:dyDescent="0.4">
      <c r="A9" s="8" t="s">
        <v>278</v>
      </c>
      <c r="B9" s="94" t="str">
        <f>(IF($A$7="","관측일이 지난 뒤 「데이터 &gt; 모두 새로 고침」을 하면 GFZ 관측 Kp 가 들어옵니다",IF(AL4=0,"아직 없음 — 관측일이 지난 뒤 「데이터 &gt; 모두 새로 고침」","GFZ 관측 Kp · "&amp;TEXT($A$7,"m/d")&amp;" UTC 하루 최대 · "&amp;IF(AL5=AL4,"확정","잠정 ("&amp;AL5&amp;"/"&amp;AL4&amp;" 확정 — 한 달쯤 뒤 새로 고침하면 확정값)"))))&amp;" · Kp 표기: 4−·4o·4+ · 파랑=탐사 가능, 빨강=5− 이상 탐사 불가"</f>
        <v>관측일이 지난 뒤 「데이터 &gt; 모두 새로 고침」을 하면 GFZ 관측 Kp 가 들어옵니다 · Kp 표기: 4−·4o·4+ · 파랑=탐사 가능, 빨강=5− 이상 탐사 불가</v>
      </c>
      <c r="C9" s="95"/>
      <c r="D9" s="95"/>
      <c r="E9" s="95"/>
      <c r="F9" s="95"/>
      <c r="G9" s="95"/>
      <c r="H9" s="95"/>
      <c r="I9" s="95"/>
      <c r="AH9" t="s">
        <v>578</v>
      </c>
      <c r="AI9" t="s">
        <v>222</v>
      </c>
      <c r="AK9" t="str">
        <f>IF(OR(AK2="",N(AK2)&lt;0,N(AK2)&gt;2),"",IFERROR(VALUE(MID(INDEX($AH$1:$AH$71,MATCH("18-21UT*",$AH$1:$AH$71,0)),15+13*AK2,4)),""))</f>
        <v/>
      </c>
    </row>
    <row r="10" spans="1:40" ht="43.5" customHeight="1" x14ac:dyDescent="0.4">
      <c r="A10" s="96" t="s">
        <v>279</v>
      </c>
      <c r="B10" s="68"/>
      <c r="C10" s="68"/>
      <c r="D10" s="68"/>
      <c r="E10" s="68"/>
      <c r="F10" s="68"/>
      <c r="G10" s="68"/>
      <c r="H10" s="68"/>
      <c r="I10" s="68"/>
      <c r="AH10" t="s">
        <v>224</v>
      </c>
      <c r="AI10" t="s">
        <v>247</v>
      </c>
      <c r="AK10" t="str">
        <f>IF(OR(AK2="",N(AK2)&lt;0,N(AK2)&gt;2),"",IFERROR(VALUE(MID(INDEX($AH$1:$AH$71,MATCH("21-00UT*",$AH$1:$AH$71,0)),15+13*AK2,4)),""))</f>
        <v/>
      </c>
    </row>
    <row r="11" spans="1:40" x14ac:dyDescent="0.4">
      <c r="AI11" t="s">
        <v>248</v>
      </c>
      <c r="AK11" t="str">
        <f>IF(COUNT(AK3:AK10)=0,"",MAX(AK3:AK10))</f>
        <v/>
      </c>
    </row>
    <row r="12" spans="1:40" ht="19.95" customHeight="1" x14ac:dyDescent="0.4">
      <c r="A12" s="87" t="s">
        <v>280</v>
      </c>
      <c r="B12" s="68"/>
      <c r="C12" s="68"/>
      <c r="D12" s="68"/>
      <c r="E12" s="68"/>
      <c r="F12" s="68"/>
      <c r="G12" s="68"/>
      <c r="H12" s="68"/>
      <c r="I12" s="68"/>
      <c r="AH12" t="s">
        <v>579</v>
      </c>
      <c r="AI12" t="s">
        <v>249</v>
      </c>
      <c r="AK12" t="str">
        <f>IF($A$7="","",YEAR($A$7)&amp;" "&amp;INDEX({"Jan","Feb","Mar","Apr","May","Jun","Jul","Aug","Sep","Oct","Nov","Dec"},MONTH($A$7))&amp;" "&amp;TEXT(DAY($A$7),"00"))</f>
        <v/>
      </c>
    </row>
    <row r="13" spans="1:40" ht="64.05" customHeight="1" x14ac:dyDescent="0.4">
      <c r="A13" s="96" t="s">
        <v>1994</v>
      </c>
      <c r="B13" s="68"/>
      <c r="C13" s="68"/>
      <c r="D13" s="68"/>
      <c r="E13" s="68"/>
      <c r="F13" s="68"/>
      <c r="G13" s="68"/>
      <c r="H13" s="68"/>
      <c r="I13" s="68"/>
      <c r="AI13" t="s">
        <v>250</v>
      </c>
      <c r="AK13" t="str">
        <f>IF(AK12="","",IFERROR(VALUE(MID(INDEX($AI$1:$AI$61,MATCH(AK12&amp;"*",$AI$1:$AI$61,0)),42,2)),""))</f>
        <v/>
      </c>
    </row>
    <row r="14" spans="1:40" ht="16.95" customHeight="1" x14ac:dyDescent="0.4">
      <c r="A14" s="73" t="str">
        <f>"① 방향별 관측자료"&amp;IF('⑨ 구배 자동계산'!$B$4="50_함양","    ←  ⑨ 시트에서 자동 입력 중 · 원문은 ⑩ 보관에 남습니다","")</f>
        <v>① 방향별 관측자료</v>
      </c>
      <c r="B14" s="68"/>
      <c r="C14" s="68"/>
      <c r="D14" s="68"/>
      <c r="E14" s="68"/>
      <c r="F14" s="68"/>
      <c r="G14" s="68"/>
      <c r="H14" s="68"/>
      <c r="I14" s="68"/>
      <c r="AH14" t="s">
        <v>580</v>
      </c>
      <c r="AI14" t="s">
        <v>251</v>
      </c>
    </row>
    <row r="15" spans="1:40" ht="30" customHeight="1" x14ac:dyDescent="0.4">
      <c r="A15" s="8" t="s">
        <v>281</v>
      </c>
      <c r="B15" s="8" t="s">
        <v>162</v>
      </c>
      <c r="C15" s="8" t="s">
        <v>282</v>
      </c>
      <c r="D15" s="8" t="s">
        <v>163</v>
      </c>
      <c r="E15" s="8" t="s">
        <v>283</v>
      </c>
      <c r="F15" s="8" t="s">
        <v>176</v>
      </c>
      <c r="G15" s="8" t="s">
        <v>284</v>
      </c>
      <c r="H15" s="8" t="s">
        <v>177</v>
      </c>
      <c r="I15" s="8" t="s">
        <v>285</v>
      </c>
      <c r="AH15" t="s">
        <v>581</v>
      </c>
      <c r="AI15" t="s">
        <v>252</v>
      </c>
    </row>
    <row r="16" spans="1:40" ht="19.95" customHeight="1" x14ac:dyDescent="0.4">
      <c r="A16" s="10" t="s">
        <v>164</v>
      </c>
      <c r="B16" s="43" t="str">
        <f>IF('⑨ 구배 자동계산'!$B$4&lt;&gt;"50_함양","",IF('⑨ 구배 자동계산'!H9="","",'⑨ 구배 자동계산'!H9))</f>
        <v/>
      </c>
      <c r="C16" s="30" t="str">
        <f>IF('⑨ 구배 자동계산'!$B$4&lt;&gt;"50_함양","",IF('⑨ 구배 자동계산'!I9="","",'⑨ 구배 자동계산'!I9))</f>
        <v/>
      </c>
      <c r="D16" s="43" t="str">
        <f>IF('⑨ 구배 자동계산'!$B$4&lt;&gt;"50_함양","",IF('⑨ 구배 자동계산'!J9="","",'⑨ 구배 자동계산'!J9))</f>
        <v/>
      </c>
      <c r="E16" s="30" t="str">
        <f>IF('⑨ 구배 자동계산'!$B$4&lt;&gt;"50_함양","",IF('⑨ 구배 자동계산'!K9="","",'⑨ 구배 자동계산'!K9))</f>
        <v/>
      </c>
      <c r="F16" s="43" t="str">
        <f>IF('⑨ 구배 자동계산'!$B$4&lt;&gt;"50_함양","",IF('⑨ 구배 자동계산'!L9="","",'⑨ 구배 자동계산'!L9))</f>
        <v/>
      </c>
      <c r="G16" s="30" t="str">
        <f>IF('⑨ 구배 자동계산'!$B$4&lt;&gt;"50_함양","",IF('⑨ 구배 자동계산'!M9="","",'⑨ 구배 자동계산'!M9))</f>
        <v/>
      </c>
      <c r="H16" s="43" t="str">
        <f>IF('⑨ 구배 자동계산'!$B$4&lt;&gt;"50_함양","",IF('⑨ 구배 자동계산'!N9="","",'⑨ 구배 자동계산'!N9))</f>
        <v/>
      </c>
      <c r="I16" s="30" t="str">
        <f>IF('⑨ 구배 자동계산'!$B$4&lt;&gt;"50_함양","",IF('⑨ 구배 자동계산'!O9="","",'⑨ 구배 자동계산'!O9))</f>
        <v/>
      </c>
      <c r="K16" s="31">
        <v>0</v>
      </c>
      <c r="L16" s="31" t="str">
        <f>IF(ISNUMBER(C16),0,"")</f>
        <v/>
      </c>
      <c r="M16" s="31" t="str">
        <f>IF(ISNUMBER(C16),C16,"")</f>
        <v/>
      </c>
      <c r="N16" s="31"/>
      <c r="O16" s="31"/>
      <c r="P16" s="31"/>
      <c r="Q16" s="31" t="str">
        <f>IF(ISNUMBER(E16),0,"")</f>
        <v/>
      </c>
      <c r="R16" s="31" t="str">
        <f>IF(ISNUMBER(E16),E16,"")</f>
        <v/>
      </c>
      <c r="S16" s="31"/>
      <c r="T16" s="31"/>
      <c r="U16" s="31"/>
      <c r="V16" s="31" t="str">
        <f>IF(ISNUMBER(G16),0,"")</f>
        <v/>
      </c>
      <c r="W16" s="31" t="str">
        <f>IF(ISNUMBER(G16),G16,"")</f>
        <v/>
      </c>
      <c r="X16" s="31"/>
      <c r="Y16" s="31"/>
      <c r="Z16" s="31"/>
      <c r="AA16" s="31" t="str">
        <f>IF(ISNUMBER(I16),0,"")</f>
        <v/>
      </c>
      <c r="AB16" s="31" t="str">
        <f>IF(ISNUMBER(I16),I16,"")</f>
        <v/>
      </c>
      <c r="AC16" s="31"/>
      <c r="AD16" s="31"/>
      <c r="AE16" s="31"/>
      <c r="AH16" t="s">
        <v>582</v>
      </c>
      <c r="AI16" t="s">
        <v>253</v>
      </c>
    </row>
    <row r="17" spans="1:35" ht="19.95" customHeight="1" x14ac:dyDescent="0.4">
      <c r="A17" s="8" t="s">
        <v>165</v>
      </c>
      <c r="B17" s="44" t="str">
        <f>IF('⑨ 구배 자동계산'!$B$4&lt;&gt;"50_함양","",IF('⑨ 구배 자동계산'!H10="","",'⑨ 구배 자동계산'!H10))</f>
        <v/>
      </c>
      <c r="C17" s="32" t="str">
        <f>IF('⑨ 구배 자동계산'!$B$4&lt;&gt;"50_함양","",IF('⑨ 구배 자동계산'!I10="","",'⑨ 구배 자동계산'!I10))</f>
        <v/>
      </c>
      <c r="D17" s="44" t="str">
        <f>IF('⑨ 구배 자동계산'!$B$4&lt;&gt;"50_함양","",IF('⑨ 구배 자동계산'!J10="","",'⑨ 구배 자동계산'!J10))</f>
        <v/>
      </c>
      <c r="E17" s="32" t="str">
        <f>IF('⑨ 구배 자동계산'!$B$4&lt;&gt;"50_함양","",IF('⑨ 구배 자동계산'!K10="","",'⑨ 구배 자동계산'!K10))</f>
        <v/>
      </c>
      <c r="F17" s="44" t="str">
        <f>IF('⑨ 구배 자동계산'!$B$4&lt;&gt;"50_함양","",IF('⑨ 구배 자동계산'!L10="","",'⑨ 구배 자동계산'!L10))</f>
        <v/>
      </c>
      <c r="G17" s="32" t="str">
        <f>IF('⑨ 구배 자동계산'!$B$4&lt;&gt;"50_함양","",IF('⑨ 구배 자동계산'!M10="","",'⑨ 구배 자동계산'!M10))</f>
        <v/>
      </c>
      <c r="H17" s="44" t="str">
        <f>IF('⑨ 구배 자동계산'!$B$4&lt;&gt;"50_함양","",IF('⑨ 구배 자동계산'!N10="","",'⑨ 구배 자동계산'!N10))</f>
        <v/>
      </c>
      <c r="I17" s="32" t="str">
        <f>IF('⑨ 구배 자동계산'!$B$4&lt;&gt;"50_함양","",IF('⑨ 구배 자동계산'!O10="","",'⑨ 구배 자동계산'!O10))</f>
        <v/>
      </c>
      <c r="K17" s="31">
        <v>1</v>
      </c>
      <c r="L17" s="31" t="str">
        <f t="shared" ref="L17:L26" si="0">IF(ISNUMBER(C17),K17,L16)</f>
        <v/>
      </c>
      <c r="M17" s="31" t="str">
        <f t="shared" ref="M17:M26" si="1">IF(ISNUMBER(C17),C17,M16)</f>
        <v/>
      </c>
      <c r="N17" s="31" t="str">
        <f t="shared" ref="N17:N26" si="2">IF(AND(ISNUMBER(C17),ISNUMBER(L16)),(C17-M16)/(K17-L16),"")</f>
        <v/>
      </c>
      <c r="O17" s="31" t="str">
        <f t="shared" ref="O17:O26" si="3">IF(ISNUMBER(N17),ABS(N17),"")</f>
        <v/>
      </c>
      <c r="P17" s="31" t="str">
        <f t="shared" ref="P17:P26" si="4">IF(ISNUMBER(N17),IF(L16=0,"P0",L16)&amp;"~"&amp;K17&amp;" m","")</f>
        <v/>
      </c>
      <c r="Q17" s="31" t="str">
        <f t="shared" ref="Q17:Q26" si="5">IF(ISNUMBER(E17),K17,Q16)</f>
        <v/>
      </c>
      <c r="R17" s="31" t="str">
        <f t="shared" ref="R17:R26" si="6">IF(ISNUMBER(E17),E17,R16)</f>
        <v/>
      </c>
      <c r="S17" s="31" t="str">
        <f t="shared" ref="S17:S26" si="7">IF(AND(ISNUMBER(E17),ISNUMBER(Q16)),(E17-R16)/(K17-Q16),"")</f>
        <v/>
      </c>
      <c r="T17" s="31" t="str">
        <f t="shared" ref="T17:T26" si="8">IF(ISNUMBER(S17),ABS(S17),"")</f>
        <v/>
      </c>
      <c r="U17" s="31" t="str">
        <f t="shared" ref="U17:U26" si="9">IF(ISNUMBER(S17),IF(Q16=0,"P0",Q16)&amp;"~"&amp;K17&amp;" m","")</f>
        <v/>
      </c>
      <c r="V17" s="31" t="str">
        <f t="shared" ref="V17:V26" si="10">IF(ISNUMBER(G17),K17,V16)</f>
        <v/>
      </c>
      <c r="W17" s="31" t="str">
        <f t="shared" ref="W17:W26" si="11">IF(ISNUMBER(G17),G17,W16)</f>
        <v/>
      </c>
      <c r="X17" s="31" t="str">
        <f t="shared" ref="X17:X26" si="12">IF(AND(ISNUMBER(G17),ISNUMBER(V16)),(G17-W16)/(K17-V16),"")</f>
        <v/>
      </c>
      <c r="Y17" s="31" t="str">
        <f t="shared" ref="Y17:Y26" si="13">IF(ISNUMBER(X17),ABS(X17),"")</f>
        <v/>
      </c>
      <c r="Z17" s="31" t="str">
        <f t="shared" ref="Z17:Z26" si="14">IF(ISNUMBER(X17),IF(V16=0,"P0",V16)&amp;"~"&amp;K17&amp;" m","")</f>
        <v/>
      </c>
      <c r="AA17" s="31" t="str">
        <f t="shared" ref="AA17:AA26" si="15">IF(ISNUMBER(I17),K17,AA16)</f>
        <v/>
      </c>
      <c r="AB17" s="31" t="str">
        <f t="shared" ref="AB17:AB26" si="16">IF(ISNUMBER(I17),I17,AB16)</f>
        <v/>
      </c>
      <c r="AC17" s="31" t="str">
        <f t="shared" ref="AC17:AC26" si="17">IF(AND(ISNUMBER(I17),ISNUMBER(AA16)),(I17-AB16)/(K17-AA16),"")</f>
        <v/>
      </c>
      <c r="AD17" s="31" t="str">
        <f t="shared" ref="AD17:AD26" si="18">IF(ISNUMBER(AC17),ABS(AC17),"")</f>
        <v/>
      </c>
      <c r="AE17" s="31" t="str">
        <f t="shared" ref="AE17:AE26" si="19">IF(ISNUMBER(AC17),IF(AA16=0,"P0",AA16)&amp;"~"&amp;K17&amp;" m","")</f>
        <v/>
      </c>
      <c r="AH17" t="s">
        <v>583</v>
      </c>
      <c r="AI17" t="s">
        <v>254</v>
      </c>
    </row>
    <row r="18" spans="1:35" ht="19.95" customHeight="1" x14ac:dyDescent="0.4">
      <c r="A18" s="8" t="s">
        <v>166</v>
      </c>
      <c r="B18" s="44" t="str">
        <f>IF('⑨ 구배 자동계산'!$B$4&lt;&gt;"50_함양","",IF('⑨ 구배 자동계산'!H11="","",'⑨ 구배 자동계산'!H11))</f>
        <v/>
      </c>
      <c r="C18" s="32" t="str">
        <f>IF('⑨ 구배 자동계산'!$B$4&lt;&gt;"50_함양","",IF('⑨ 구배 자동계산'!I11="","",'⑨ 구배 자동계산'!I11))</f>
        <v/>
      </c>
      <c r="D18" s="44" t="str">
        <f>IF('⑨ 구배 자동계산'!$B$4&lt;&gt;"50_함양","",IF('⑨ 구배 자동계산'!J11="","",'⑨ 구배 자동계산'!J11))</f>
        <v/>
      </c>
      <c r="E18" s="32" t="str">
        <f>IF('⑨ 구배 자동계산'!$B$4&lt;&gt;"50_함양","",IF('⑨ 구배 자동계산'!K11="","",'⑨ 구배 자동계산'!K11))</f>
        <v/>
      </c>
      <c r="F18" s="44" t="str">
        <f>IF('⑨ 구배 자동계산'!$B$4&lt;&gt;"50_함양","",IF('⑨ 구배 자동계산'!L11="","",'⑨ 구배 자동계산'!L11))</f>
        <v/>
      </c>
      <c r="G18" s="32" t="str">
        <f>IF('⑨ 구배 자동계산'!$B$4&lt;&gt;"50_함양","",IF('⑨ 구배 자동계산'!M11="","",'⑨ 구배 자동계산'!M11))</f>
        <v/>
      </c>
      <c r="H18" s="44" t="str">
        <f>IF('⑨ 구배 자동계산'!$B$4&lt;&gt;"50_함양","",IF('⑨ 구배 자동계산'!N11="","",'⑨ 구배 자동계산'!N11))</f>
        <v/>
      </c>
      <c r="I18" s="32" t="str">
        <f>IF('⑨ 구배 자동계산'!$B$4&lt;&gt;"50_함양","",IF('⑨ 구배 자동계산'!O11="","",'⑨ 구배 자동계산'!O11))</f>
        <v/>
      </c>
      <c r="K18" s="31">
        <v>2</v>
      </c>
      <c r="L18" s="31" t="str">
        <f t="shared" si="0"/>
        <v/>
      </c>
      <c r="M18" s="31" t="str">
        <f t="shared" si="1"/>
        <v/>
      </c>
      <c r="N18" s="31" t="str">
        <f t="shared" si="2"/>
        <v/>
      </c>
      <c r="O18" s="31" t="str">
        <f t="shared" si="3"/>
        <v/>
      </c>
      <c r="P18" s="31" t="str">
        <f t="shared" si="4"/>
        <v/>
      </c>
      <c r="Q18" s="31" t="str">
        <f t="shared" si="5"/>
        <v/>
      </c>
      <c r="R18" s="31" t="str">
        <f t="shared" si="6"/>
        <v/>
      </c>
      <c r="S18" s="31" t="str">
        <f t="shared" si="7"/>
        <v/>
      </c>
      <c r="T18" s="31" t="str">
        <f t="shared" si="8"/>
        <v/>
      </c>
      <c r="U18" s="31" t="str">
        <f t="shared" si="9"/>
        <v/>
      </c>
      <c r="V18" s="31" t="str">
        <f t="shared" si="10"/>
        <v/>
      </c>
      <c r="W18" s="31" t="str">
        <f t="shared" si="11"/>
        <v/>
      </c>
      <c r="X18" s="31" t="str">
        <f t="shared" si="12"/>
        <v/>
      </c>
      <c r="Y18" s="31" t="str">
        <f t="shared" si="13"/>
        <v/>
      </c>
      <c r="Z18" s="31" t="str">
        <f t="shared" si="14"/>
        <v/>
      </c>
      <c r="AA18" s="31" t="str">
        <f t="shared" si="15"/>
        <v/>
      </c>
      <c r="AB18" s="31" t="str">
        <f t="shared" si="16"/>
        <v/>
      </c>
      <c r="AC18" s="31" t="str">
        <f t="shared" si="17"/>
        <v/>
      </c>
      <c r="AD18" s="31" t="str">
        <f t="shared" si="18"/>
        <v/>
      </c>
      <c r="AE18" s="31" t="str">
        <f t="shared" si="19"/>
        <v/>
      </c>
      <c r="AH18" t="s">
        <v>584</v>
      </c>
      <c r="AI18" t="s">
        <v>255</v>
      </c>
    </row>
    <row r="19" spans="1:35" ht="19.95" customHeight="1" x14ac:dyDescent="0.4">
      <c r="A19" s="8" t="s">
        <v>167</v>
      </c>
      <c r="B19" s="44" t="str">
        <f>IF('⑨ 구배 자동계산'!$B$4&lt;&gt;"50_함양","",IF('⑨ 구배 자동계산'!H12="","",'⑨ 구배 자동계산'!H12))</f>
        <v/>
      </c>
      <c r="C19" s="32" t="str">
        <f>IF('⑨ 구배 자동계산'!$B$4&lt;&gt;"50_함양","",IF('⑨ 구배 자동계산'!I12="","",'⑨ 구배 자동계산'!I12))</f>
        <v/>
      </c>
      <c r="D19" s="44" t="str">
        <f>IF('⑨ 구배 자동계산'!$B$4&lt;&gt;"50_함양","",IF('⑨ 구배 자동계산'!J12="","",'⑨ 구배 자동계산'!J12))</f>
        <v/>
      </c>
      <c r="E19" s="32" t="str">
        <f>IF('⑨ 구배 자동계산'!$B$4&lt;&gt;"50_함양","",IF('⑨ 구배 자동계산'!K12="","",'⑨ 구배 자동계산'!K12))</f>
        <v/>
      </c>
      <c r="F19" s="44" t="str">
        <f>IF('⑨ 구배 자동계산'!$B$4&lt;&gt;"50_함양","",IF('⑨ 구배 자동계산'!L12="","",'⑨ 구배 자동계산'!L12))</f>
        <v/>
      </c>
      <c r="G19" s="32" t="str">
        <f>IF('⑨ 구배 자동계산'!$B$4&lt;&gt;"50_함양","",IF('⑨ 구배 자동계산'!M12="","",'⑨ 구배 자동계산'!M12))</f>
        <v/>
      </c>
      <c r="H19" s="44" t="str">
        <f>IF('⑨ 구배 자동계산'!$B$4&lt;&gt;"50_함양","",IF('⑨ 구배 자동계산'!N12="","",'⑨ 구배 자동계산'!N12))</f>
        <v/>
      </c>
      <c r="I19" s="32" t="str">
        <f>IF('⑨ 구배 자동계산'!$B$4&lt;&gt;"50_함양","",IF('⑨ 구배 자동계산'!O12="","",'⑨ 구배 자동계산'!O12))</f>
        <v/>
      </c>
      <c r="K19" s="31">
        <v>3</v>
      </c>
      <c r="L19" s="31" t="str">
        <f t="shared" si="0"/>
        <v/>
      </c>
      <c r="M19" s="31" t="str">
        <f t="shared" si="1"/>
        <v/>
      </c>
      <c r="N19" s="31" t="str">
        <f t="shared" si="2"/>
        <v/>
      </c>
      <c r="O19" s="31" t="str">
        <f t="shared" si="3"/>
        <v/>
      </c>
      <c r="P19" s="31" t="str">
        <f t="shared" si="4"/>
        <v/>
      </c>
      <c r="Q19" s="31" t="str">
        <f t="shared" si="5"/>
        <v/>
      </c>
      <c r="R19" s="31" t="str">
        <f t="shared" si="6"/>
        <v/>
      </c>
      <c r="S19" s="31" t="str">
        <f t="shared" si="7"/>
        <v/>
      </c>
      <c r="T19" s="31" t="str">
        <f t="shared" si="8"/>
        <v/>
      </c>
      <c r="U19" s="31" t="str">
        <f t="shared" si="9"/>
        <v/>
      </c>
      <c r="V19" s="31" t="str">
        <f t="shared" si="10"/>
        <v/>
      </c>
      <c r="W19" s="31" t="str">
        <f t="shared" si="11"/>
        <v/>
      </c>
      <c r="X19" s="31" t="str">
        <f t="shared" si="12"/>
        <v/>
      </c>
      <c r="Y19" s="31" t="str">
        <f t="shared" si="13"/>
        <v/>
      </c>
      <c r="Z19" s="31" t="str">
        <f t="shared" si="14"/>
        <v/>
      </c>
      <c r="AA19" s="31" t="str">
        <f t="shared" si="15"/>
        <v/>
      </c>
      <c r="AB19" s="31" t="str">
        <f t="shared" si="16"/>
        <v/>
      </c>
      <c r="AC19" s="31" t="str">
        <f t="shared" si="17"/>
        <v/>
      </c>
      <c r="AD19" s="31" t="str">
        <f t="shared" si="18"/>
        <v/>
      </c>
      <c r="AE19" s="31" t="str">
        <f t="shared" si="19"/>
        <v/>
      </c>
      <c r="AH19" t="s">
        <v>585</v>
      </c>
      <c r="AI19" t="s">
        <v>256</v>
      </c>
    </row>
    <row r="20" spans="1:35" ht="19.95" customHeight="1" x14ac:dyDescent="0.4">
      <c r="A20" s="8" t="s">
        <v>168</v>
      </c>
      <c r="B20" s="44" t="str">
        <f>IF('⑨ 구배 자동계산'!$B$4&lt;&gt;"50_함양","",IF('⑨ 구배 자동계산'!H13="","",'⑨ 구배 자동계산'!H13))</f>
        <v/>
      </c>
      <c r="C20" s="32" t="str">
        <f>IF('⑨ 구배 자동계산'!$B$4&lt;&gt;"50_함양","",IF('⑨ 구배 자동계산'!I13="","",'⑨ 구배 자동계산'!I13))</f>
        <v/>
      </c>
      <c r="D20" s="44" t="str">
        <f>IF('⑨ 구배 자동계산'!$B$4&lt;&gt;"50_함양","",IF('⑨ 구배 자동계산'!J13="","",'⑨ 구배 자동계산'!J13))</f>
        <v/>
      </c>
      <c r="E20" s="32" t="str">
        <f>IF('⑨ 구배 자동계산'!$B$4&lt;&gt;"50_함양","",IF('⑨ 구배 자동계산'!K13="","",'⑨ 구배 자동계산'!K13))</f>
        <v/>
      </c>
      <c r="F20" s="44" t="str">
        <f>IF('⑨ 구배 자동계산'!$B$4&lt;&gt;"50_함양","",IF('⑨ 구배 자동계산'!L13="","",'⑨ 구배 자동계산'!L13))</f>
        <v/>
      </c>
      <c r="G20" s="32" t="str">
        <f>IF('⑨ 구배 자동계산'!$B$4&lt;&gt;"50_함양","",IF('⑨ 구배 자동계산'!M13="","",'⑨ 구배 자동계산'!M13))</f>
        <v/>
      </c>
      <c r="H20" s="44" t="str">
        <f>IF('⑨ 구배 자동계산'!$B$4&lt;&gt;"50_함양","",IF('⑨ 구배 자동계산'!N13="","",'⑨ 구배 자동계산'!N13))</f>
        <v/>
      </c>
      <c r="I20" s="32" t="str">
        <f>IF('⑨ 구배 자동계산'!$B$4&lt;&gt;"50_함양","",IF('⑨ 구배 자동계산'!O13="","",'⑨ 구배 자동계산'!O13))</f>
        <v/>
      </c>
      <c r="K20" s="31">
        <v>4</v>
      </c>
      <c r="L20" s="31" t="str">
        <f t="shared" si="0"/>
        <v/>
      </c>
      <c r="M20" s="31" t="str">
        <f t="shared" si="1"/>
        <v/>
      </c>
      <c r="N20" s="31" t="str">
        <f t="shared" si="2"/>
        <v/>
      </c>
      <c r="O20" s="31" t="str">
        <f t="shared" si="3"/>
        <v/>
      </c>
      <c r="P20" s="31" t="str">
        <f t="shared" si="4"/>
        <v/>
      </c>
      <c r="Q20" s="31" t="str">
        <f t="shared" si="5"/>
        <v/>
      </c>
      <c r="R20" s="31" t="str">
        <f t="shared" si="6"/>
        <v/>
      </c>
      <c r="S20" s="31" t="str">
        <f t="shared" si="7"/>
        <v/>
      </c>
      <c r="T20" s="31" t="str">
        <f t="shared" si="8"/>
        <v/>
      </c>
      <c r="U20" s="31" t="str">
        <f t="shared" si="9"/>
        <v/>
      </c>
      <c r="V20" s="31" t="str">
        <f t="shared" si="10"/>
        <v/>
      </c>
      <c r="W20" s="31" t="str">
        <f t="shared" si="11"/>
        <v/>
      </c>
      <c r="X20" s="31" t="str">
        <f t="shared" si="12"/>
        <v/>
      </c>
      <c r="Y20" s="31" t="str">
        <f t="shared" si="13"/>
        <v/>
      </c>
      <c r="Z20" s="31" t="str">
        <f t="shared" si="14"/>
        <v/>
      </c>
      <c r="AA20" s="31" t="str">
        <f t="shared" si="15"/>
        <v/>
      </c>
      <c r="AB20" s="31" t="str">
        <f t="shared" si="16"/>
        <v/>
      </c>
      <c r="AC20" s="31" t="str">
        <f t="shared" si="17"/>
        <v/>
      </c>
      <c r="AD20" s="31" t="str">
        <f t="shared" si="18"/>
        <v/>
      </c>
      <c r="AE20" s="31" t="str">
        <f t="shared" si="19"/>
        <v/>
      </c>
      <c r="AH20" t="s">
        <v>586</v>
      </c>
      <c r="AI20" t="s">
        <v>257</v>
      </c>
    </row>
    <row r="21" spans="1:35" ht="19.95" customHeight="1" x14ac:dyDescent="0.4">
      <c r="A21" s="8" t="s">
        <v>169</v>
      </c>
      <c r="B21" s="44" t="str">
        <f>IF('⑨ 구배 자동계산'!$B$4&lt;&gt;"50_함양","",IF('⑨ 구배 자동계산'!H14="","",'⑨ 구배 자동계산'!H14))</f>
        <v/>
      </c>
      <c r="C21" s="32" t="str">
        <f>IF('⑨ 구배 자동계산'!$B$4&lt;&gt;"50_함양","",IF('⑨ 구배 자동계산'!I14="","",'⑨ 구배 자동계산'!I14))</f>
        <v/>
      </c>
      <c r="D21" s="44" t="str">
        <f>IF('⑨ 구배 자동계산'!$B$4&lt;&gt;"50_함양","",IF('⑨ 구배 자동계산'!J14="","",'⑨ 구배 자동계산'!J14))</f>
        <v/>
      </c>
      <c r="E21" s="32" t="str">
        <f>IF('⑨ 구배 자동계산'!$B$4&lt;&gt;"50_함양","",IF('⑨ 구배 자동계산'!K14="","",'⑨ 구배 자동계산'!K14))</f>
        <v/>
      </c>
      <c r="F21" s="44" t="str">
        <f>IF('⑨ 구배 자동계산'!$B$4&lt;&gt;"50_함양","",IF('⑨ 구배 자동계산'!L14="","",'⑨ 구배 자동계산'!L14))</f>
        <v/>
      </c>
      <c r="G21" s="32" t="str">
        <f>IF('⑨ 구배 자동계산'!$B$4&lt;&gt;"50_함양","",IF('⑨ 구배 자동계산'!M14="","",'⑨ 구배 자동계산'!M14))</f>
        <v/>
      </c>
      <c r="H21" s="44" t="str">
        <f>IF('⑨ 구배 자동계산'!$B$4&lt;&gt;"50_함양","",IF('⑨ 구배 자동계산'!N14="","",'⑨ 구배 자동계산'!N14))</f>
        <v/>
      </c>
      <c r="I21" s="32" t="str">
        <f>IF('⑨ 구배 자동계산'!$B$4&lt;&gt;"50_함양","",IF('⑨ 구배 자동계산'!O14="","",'⑨ 구배 자동계산'!O14))</f>
        <v/>
      </c>
      <c r="K21" s="31">
        <v>5</v>
      </c>
      <c r="L21" s="31" t="str">
        <f t="shared" si="0"/>
        <v/>
      </c>
      <c r="M21" s="31" t="str">
        <f t="shared" si="1"/>
        <v/>
      </c>
      <c r="N21" s="31" t="str">
        <f t="shared" si="2"/>
        <v/>
      </c>
      <c r="O21" s="31" t="str">
        <f t="shared" si="3"/>
        <v/>
      </c>
      <c r="P21" s="31" t="str">
        <f t="shared" si="4"/>
        <v/>
      </c>
      <c r="Q21" s="31" t="str">
        <f t="shared" si="5"/>
        <v/>
      </c>
      <c r="R21" s="31" t="str">
        <f t="shared" si="6"/>
        <v/>
      </c>
      <c r="S21" s="31" t="str">
        <f t="shared" si="7"/>
        <v/>
      </c>
      <c r="T21" s="31" t="str">
        <f t="shared" si="8"/>
        <v/>
      </c>
      <c r="U21" s="31" t="str">
        <f t="shared" si="9"/>
        <v/>
      </c>
      <c r="V21" s="31" t="str">
        <f t="shared" si="10"/>
        <v/>
      </c>
      <c r="W21" s="31" t="str">
        <f t="shared" si="11"/>
        <v/>
      </c>
      <c r="X21" s="31" t="str">
        <f t="shared" si="12"/>
        <v/>
      </c>
      <c r="Y21" s="31" t="str">
        <f t="shared" si="13"/>
        <v/>
      </c>
      <c r="Z21" s="31" t="str">
        <f t="shared" si="14"/>
        <v/>
      </c>
      <c r="AA21" s="31" t="str">
        <f t="shared" si="15"/>
        <v/>
      </c>
      <c r="AB21" s="31" t="str">
        <f t="shared" si="16"/>
        <v/>
      </c>
      <c r="AC21" s="31" t="str">
        <f t="shared" si="17"/>
        <v/>
      </c>
      <c r="AD21" s="31" t="str">
        <f t="shared" si="18"/>
        <v/>
      </c>
      <c r="AE21" s="31" t="str">
        <f t="shared" si="19"/>
        <v/>
      </c>
      <c r="AH21" t="s">
        <v>587</v>
      </c>
      <c r="AI21" t="s">
        <v>258</v>
      </c>
    </row>
    <row r="22" spans="1:35" ht="19.95" customHeight="1" x14ac:dyDescent="0.4">
      <c r="A22" s="8" t="s">
        <v>170</v>
      </c>
      <c r="B22" s="44" t="str">
        <f>IF('⑨ 구배 자동계산'!$B$4&lt;&gt;"50_함양","",IF('⑨ 구배 자동계산'!H15="","",'⑨ 구배 자동계산'!H15))</f>
        <v/>
      </c>
      <c r="C22" s="32" t="str">
        <f>IF('⑨ 구배 자동계산'!$B$4&lt;&gt;"50_함양","",IF('⑨ 구배 자동계산'!I15="","",'⑨ 구배 자동계산'!I15))</f>
        <v/>
      </c>
      <c r="D22" s="44" t="str">
        <f>IF('⑨ 구배 자동계산'!$B$4&lt;&gt;"50_함양","",IF('⑨ 구배 자동계산'!J15="","",'⑨ 구배 자동계산'!J15))</f>
        <v/>
      </c>
      <c r="E22" s="32" t="str">
        <f>IF('⑨ 구배 자동계산'!$B$4&lt;&gt;"50_함양","",IF('⑨ 구배 자동계산'!K15="","",'⑨ 구배 자동계산'!K15))</f>
        <v/>
      </c>
      <c r="F22" s="44" t="str">
        <f>IF('⑨ 구배 자동계산'!$B$4&lt;&gt;"50_함양","",IF('⑨ 구배 자동계산'!L15="","",'⑨ 구배 자동계산'!L15))</f>
        <v/>
      </c>
      <c r="G22" s="32" t="str">
        <f>IF('⑨ 구배 자동계산'!$B$4&lt;&gt;"50_함양","",IF('⑨ 구배 자동계산'!M15="","",'⑨ 구배 자동계산'!M15))</f>
        <v/>
      </c>
      <c r="H22" s="44" t="str">
        <f>IF('⑨ 구배 자동계산'!$B$4&lt;&gt;"50_함양","",IF('⑨ 구배 자동계산'!N15="","",'⑨ 구배 자동계산'!N15))</f>
        <v/>
      </c>
      <c r="I22" s="32" t="str">
        <f>IF('⑨ 구배 자동계산'!$B$4&lt;&gt;"50_함양","",IF('⑨ 구배 자동계산'!O15="","",'⑨ 구배 자동계산'!O15))</f>
        <v/>
      </c>
      <c r="K22" s="31">
        <v>6</v>
      </c>
      <c r="L22" s="31" t="str">
        <f t="shared" si="0"/>
        <v/>
      </c>
      <c r="M22" s="31" t="str">
        <f t="shared" si="1"/>
        <v/>
      </c>
      <c r="N22" s="31" t="str">
        <f t="shared" si="2"/>
        <v/>
      </c>
      <c r="O22" s="31" t="str">
        <f t="shared" si="3"/>
        <v/>
      </c>
      <c r="P22" s="31" t="str">
        <f t="shared" si="4"/>
        <v/>
      </c>
      <c r="Q22" s="31" t="str">
        <f t="shared" si="5"/>
        <v/>
      </c>
      <c r="R22" s="31" t="str">
        <f t="shared" si="6"/>
        <v/>
      </c>
      <c r="S22" s="31" t="str">
        <f t="shared" si="7"/>
        <v/>
      </c>
      <c r="T22" s="31" t="str">
        <f t="shared" si="8"/>
        <v/>
      </c>
      <c r="U22" s="31" t="str">
        <f t="shared" si="9"/>
        <v/>
      </c>
      <c r="V22" s="31" t="str">
        <f t="shared" si="10"/>
        <v/>
      </c>
      <c r="W22" s="31" t="str">
        <f t="shared" si="11"/>
        <v/>
      </c>
      <c r="X22" s="31" t="str">
        <f t="shared" si="12"/>
        <v/>
      </c>
      <c r="Y22" s="31" t="str">
        <f t="shared" si="13"/>
        <v/>
      </c>
      <c r="Z22" s="31" t="str">
        <f t="shared" si="14"/>
        <v/>
      </c>
      <c r="AA22" s="31" t="str">
        <f t="shared" si="15"/>
        <v/>
      </c>
      <c r="AB22" s="31" t="str">
        <f t="shared" si="16"/>
        <v/>
      </c>
      <c r="AC22" s="31" t="str">
        <f t="shared" si="17"/>
        <v/>
      </c>
      <c r="AD22" s="31" t="str">
        <f t="shared" si="18"/>
        <v/>
      </c>
      <c r="AE22" s="31" t="str">
        <f t="shared" si="19"/>
        <v/>
      </c>
      <c r="AH22" t="s">
        <v>588</v>
      </c>
      <c r="AI22" t="s">
        <v>259</v>
      </c>
    </row>
    <row r="23" spans="1:35" ht="19.95" customHeight="1" x14ac:dyDescent="0.4">
      <c r="A23" s="8" t="s">
        <v>171</v>
      </c>
      <c r="B23" s="44" t="str">
        <f>IF('⑨ 구배 자동계산'!$B$4&lt;&gt;"50_함양","",IF('⑨ 구배 자동계산'!H16="","",'⑨ 구배 자동계산'!H16))</f>
        <v/>
      </c>
      <c r="C23" s="32" t="str">
        <f>IF('⑨ 구배 자동계산'!$B$4&lt;&gt;"50_함양","",IF('⑨ 구배 자동계산'!I16="","",'⑨ 구배 자동계산'!I16))</f>
        <v/>
      </c>
      <c r="D23" s="44" t="str">
        <f>IF('⑨ 구배 자동계산'!$B$4&lt;&gt;"50_함양","",IF('⑨ 구배 자동계산'!J16="","",'⑨ 구배 자동계산'!J16))</f>
        <v/>
      </c>
      <c r="E23" s="32" t="str">
        <f>IF('⑨ 구배 자동계산'!$B$4&lt;&gt;"50_함양","",IF('⑨ 구배 자동계산'!K16="","",'⑨ 구배 자동계산'!K16))</f>
        <v/>
      </c>
      <c r="F23" s="44" t="str">
        <f>IF('⑨ 구배 자동계산'!$B$4&lt;&gt;"50_함양","",IF('⑨ 구배 자동계산'!L16="","",'⑨ 구배 자동계산'!L16))</f>
        <v/>
      </c>
      <c r="G23" s="32" t="str">
        <f>IF('⑨ 구배 자동계산'!$B$4&lt;&gt;"50_함양","",IF('⑨ 구배 자동계산'!M16="","",'⑨ 구배 자동계산'!M16))</f>
        <v/>
      </c>
      <c r="H23" s="44" t="str">
        <f>IF('⑨ 구배 자동계산'!$B$4&lt;&gt;"50_함양","",IF('⑨ 구배 자동계산'!N16="","",'⑨ 구배 자동계산'!N16))</f>
        <v/>
      </c>
      <c r="I23" s="32" t="str">
        <f>IF('⑨ 구배 자동계산'!$B$4&lt;&gt;"50_함양","",IF('⑨ 구배 자동계산'!O16="","",'⑨ 구배 자동계산'!O16))</f>
        <v/>
      </c>
      <c r="K23" s="31">
        <v>7</v>
      </c>
      <c r="L23" s="31" t="str">
        <f t="shared" si="0"/>
        <v/>
      </c>
      <c r="M23" s="31" t="str">
        <f t="shared" si="1"/>
        <v/>
      </c>
      <c r="N23" s="31" t="str">
        <f t="shared" si="2"/>
        <v/>
      </c>
      <c r="O23" s="31" t="str">
        <f t="shared" si="3"/>
        <v/>
      </c>
      <c r="P23" s="31" t="str">
        <f t="shared" si="4"/>
        <v/>
      </c>
      <c r="Q23" s="31" t="str">
        <f t="shared" si="5"/>
        <v/>
      </c>
      <c r="R23" s="31" t="str">
        <f t="shared" si="6"/>
        <v/>
      </c>
      <c r="S23" s="31" t="str">
        <f t="shared" si="7"/>
        <v/>
      </c>
      <c r="T23" s="31" t="str">
        <f t="shared" si="8"/>
        <v/>
      </c>
      <c r="U23" s="31" t="str">
        <f t="shared" si="9"/>
        <v/>
      </c>
      <c r="V23" s="31" t="str">
        <f t="shared" si="10"/>
        <v/>
      </c>
      <c r="W23" s="31" t="str">
        <f t="shared" si="11"/>
        <v/>
      </c>
      <c r="X23" s="31" t="str">
        <f t="shared" si="12"/>
        <v/>
      </c>
      <c r="Y23" s="31" t="str">
        <f t="shared" si="13"/>
        <v/>
      </c>
      <c r="Z23" s="31" t="str">
        <f t="shared" si="14"/>
        <v/>
      </c>
      <c r="AA23" s="31" t="str">
        <f t="shared" si="15"/>
        <v/>
      </c>
      <c r="AB23" s="31" t="str">
        <f t="shared" si="16"/>
        <v/>
      </c>
      <c r="AC23" s="31" t="str">
        <f t="shared" si="17"/>
        <v/>
      </c>
      <c r="AD23" s="31" t="str">
        <f t="shared" si="18"/>
        <v/>
      </c>
      <c r="AE23" s="31" t="str">
        <f t="shared" si="19"/>
        <v/>
      </c>
      <c r="AI23" t="s">
        <v>260</v>
      </c>
    </row>
    <row r="24" spans="1:35" ht="19.95" customHeight="1" x14ac:dyDescent="0.4">
      <c r="A24" s="8" t="s">
        <v>172</v>
      </c>
      <c r="B24" s="44" t="str">
        <f>IF('⑨ 구배 자동계산'!$B$4&lt;&gt;"50_함양","",IF('⑨ 구배 자동계산'!H17="","",'⑨ 구배 자동계산'!H17))</f>
        <v/>
      </c>
      <c r="C24" s="32" t="str">
        <f>IF('⑨ 구배 자동계산'!$B$4&lt;&gt;"50_함양","",IF('⑨ 구배 자동계산'!I17="","",'⑨ 구배 자동계산'!I17))</f>
        <v/>
      </c>
      <c r="D24" s="44" t="str">
        <f>IF('⑨ 구배 자동계산'!$B$4&lt;&gt;"50_함양","",IF('⑨ 구배 자동계산'!J17="","",'⑨ 구배 자동계산'!J17))</f>
        <v/>
      </c>
      <c r="E24" s="32" t="str">
        <f>IF('⑨ 구배 자동계산'!$B$4&lt;&gt;"50_함양","",IF('⑨ 구배 자동계산'!K17="","",'⑨ 구배 자동계산'!K17))</f>
        <v/>
      </c>
      <c r="F24" s="44" t="str">
        <f>IF('⑨ 구배 자동계산'!$B$4&lt;&gt;"50_함양","",IF('⑨ 구배 자동계산'!L17="","",'⑨ 구배 자동계산'!L17))</f>
        <v/>
      </c>
      <c r="G24" s="32" t="str">
        <f>IF('⑨ 구배 자동계산'!$B$4&lt;&gt;"50_함양","",IF('⑨ 구배 자동계산'!M17="","",'⑨ 구배 자동계산'!M17))</f>
        <v/>
      </c>
      <c r="H24" s="44" t="str">
        <f>IF('⑨ 구배 자동계산'!$B$4&lt;&gt;"50_함양","",IF('⑨ 구배 자동계산'!N17="","",'⑨ 구배 자동계산'!N17))</f>
        <v/>
      </c>
      <c r="I24" s="32" t="str">
        <f>IF('⑨ 구배 자동계산'!$B$4&lt;&gt;"50_함양","",IF('⑨ 구배 자동계산'!O17="","",'⑨ 구배 자동계산'!O17))</f>
        <v/>
      </c>
      <c r="K24" s="31">
        <v>8</v>
      </c>
      <c r="L24" s="31" t="str">
        <f t="shared" si="0"/>
        <v/>
      </c>
      <c r="M24" s="31" t="str">
        <f t="shared" si="1"/>
        <v/>
      </c>
      <c r="N24" s="31" t="str">
        <f t="shared" si="2"/>
        <v/>
      </c>
      <c r="O24" s="31" t="str">
        <f t="shared" si="3"/>
        <v/>
      </c>
      <c r="P24" s="31" t="str">
        <f t="shared" si="4"/>
        <v/>
      </c>
      <c r="Q24" s="31" t="str">
        <f t="shared" si="5"/>
        <v/>
      </c>
      <c r="R24" s="31" t="str">
        <f t="shared" si="6"/>
        <v/>
      </c>
      <c r="S24" s="31" t="str">
        <f t="shared" si="7"/>
        <v/>
      </c>
      <c r="T24" s="31" t="str">
        <f t="shared" si="8"/>
        <v/>
      </c>
      <c r="U24" s="31" t="str">
        <f t="shared" si="9"/>
        <v/>
      </c>
      <c r="V24" s="31" t="str">
        <f t="shared" si="10"/>
        <v/>
      </c>
      <c r="W24" s="31" t="str">
        <f t="shared" si="11"/>
        <v/>
      </c>
      <c r="X24" s="31" t="str">
        <f t="shared" si="12"/>
        <v/>
      </c>
      <c r="Y24" s="31" t="str">
        <f t="shared" si="13"/>
        <v/>
      </c>
      <c r="Z24" s="31" t="str">
        <f t="shared" si="14"/>
        <v/>
      </c>
      <c r="AA24" s="31" t="str">
        <f t="shared" si="15"/>
        <v/>
      </c>
      <c r="AB24" s="31" t="str">
        <f t="shared" si="16"/>
        <v/>
      </c>
      <c r="AC24" s="31" t="str">
        <f t="shared" si="17"/>
        <v/>
      </c>
      <c r="AD24" s="31" t="str">
        <f t="shared" si="18"/>
        <v/>
      </c>
      <c r="AE24" s="31" t="str">
        <f t="shared" si="19"/>
        <v/>
      </c>
      <c r="AH24" t="s">
        <v>589</v>
      </c>
      <c r="AI24" t="s">
        <v>261</v>
      </c>
    </row>
    <row r="25" spans="1:35" ht="19.95" customHeight="1" x14ac:dyDescent="0.4">
      <c r="A25" s="8" t="s">
        <v>173</v>
      </c>
      <c r="B25" s="44" t="str">
        <f>IF('⑨ 구배 자동계산'!$B$4&lt;&gt;"50_함양","",IF('⑨ 구배 자동계산'!H18="","",'⑨ 구배 자동계산'!H18))</f>
        <v/>
      </c>
      <c r="C25" s="32" t="str">
        <f>IF('⑨ 구배 자동계산'!$B$4&lt;&gt;"50_함양","",IF('⑨ 구배 자동계산'!I18="","",'⑨ 구배 자동계산'!I18))</f>
        <v/>
      </c>
      <c r="D25" s="44" t="str">
        <f>IF('⑨ 구배 자동계산'!$B$4&lt;&gt;"50_함양","",IF('⑨ 구배 자동계산'!J18="","",'⑨ 구배 자동계산'!J18))</f>
        <v/>
      </c>
      <c r="E25" s="32" t="str">
        <f>IF('⑨ 구배 자동계산'!$B$4&lt;&gt;"50_함양","",IF('⑨ 구배 자동계산'!K18="","",'⑨ 구배 자동계산'!K18))</f>
        <v/>
      </c>
      <c r="F25" s="44" t="str">
        <f>IF('⑨ 구배 자동계산'!$B$4&lt;&gt;"50_함양","",IF('⑨ 구배 자동계산'!L18="","",'⑨ 구배 자동계산'!L18))</f>
        <v/>
      </c>
      <c r="G25" s="32" t="str">
        <f>IF('⑨ 구배 자동계산'!$B$4&lt;&gt;"50_함양","",IF('⑨ 구배 자동계산'!M18="","",'⑨ 구배 자동계산'!M18))</f>
        <v/>
      </c>
      <c r="H25" s="44" t="str">
        <f>IF('⑨ 구배 자동계산'!$B$4&lt;&gt;"50_함양","",IF('⑨ 구배 자동계산'!N18="","",'⑨ 구배 자동계산'!N18))</f>
        <v/>
      </c>
      <c r="I25" s="32" t="str">
        <f>IF('⑨ 구배 자동계산'!$B$4&lt;&gt;"50_함양","",IF('⑨ 구배 자동계산'!O18="","",'⑨ 구배 자동계산'!O18))</f>
        <v/>
      </c>
      <c r="K25" s="31">
        <v>9</v>
      </c>
      <c r="L25" s="31" t="str">
        <f t="shared" si="0"/>
        <v/>
      </c>
      <c r="M25" s="31" t="str">
        <f t="shared" si="1"/>
        <v/>
      </c>
      <c r="N25" s="31" t="str">
        <f t="shared" si="2"/>
        <v/>
      </c>
      <c r="O25" s="31" t="str">
        <f t="shared" si="3"/>
        <v/>
      </c>
      <c r="P25" s="31" t="str">
        <f t="shared" si="4"/>
        <v/>
      </c>
      <c r="Q25" s="31" t="str">
        <f t="shared" si="5"/>
        <v/>
      </c>
      <c r="R25" s="31" t="str">
        <f t="shared" si="6"/>
        <v/>
      </c>
      <c r="S25" s="31" t="str">
        <f t="shared" si="7"/>
        <v/>
      </c>
      <c r="T25" s="31" t="str">
        <f t="shared" si="8"/>
        <v/>
      </c>
      <c r="U25" s="31" t="str">
        <f t="shared" si="9"/>
        <v/>
      </c>
      <c r="V25" s="31" t="str">
        <f t="shared" si="10"/>
        <v/>
      </c>
      <c r="W25" s="31" t="str">
        <f t="shared" si="11"/>
        <v/>
      </c>
      <c r="X25" s="31" t="str">
        <f t="shared" si="12"/>
        <v/>
      </c>
      <c r="Y25" s="31" t="str">
        <f t="shared" si="13"/>
        <v/>
      </c>
      <c r="Z25" s="31" t="str">
        <f t="shared" si="14"/>
        <v/>
      </c>
      <c r="AA25" s="31" t="str">
        <f t="shared" si="15"/>
        <v/>
      </c>
      <c r="AB25" s="31" t="str">
        <f t="shared" si="16"/>
        <v/>
      </c>
      <c r="AC25" s="31" t="str">
        <f t="shared" si="17"/>
        <v/>
      </c>
      <c r="AD25" s="31" t="str">
        <f t="shared" si="18"/>
        <v/>
      </c>
      <c r="AE25" s="31" t="str">
        <f t="shared" si="19"/>
        <v/>
      </c>
      <c r="AH25" t="s">
        <v>590</v>
      </c>
      <c r="AI25" t="s">
        <v>262</v>
      </c>
    </row>
    <row r="26" spans="1:35" ht="19.95" customHeight="1" x14ac:dyDescent="0.4">
      <c r="A26" s="8" t="s">
        <v>174</v>
      </c>
      <c r="B26" s="44" t="str">
        <f>IF('⑨ 구배 자동계산'!$B$4&lt;&gt;"50_함양","",IF('⑨ 구배 자동계산'!H19="","",'⑨ 구배 자동계산'!H19))</f>
        <v/>
      </c>
      <c r="C26" s="32" t="str">
        <f>IF('⑨ 구배 자동계산'!$B$4&lt;&gt;"50_함양","",IF('⑨ 구배 자동계산'!I19="","",'⑨ 구배 자동계산'!I19))</f>
        <v/>
      </c>
      <c r="D26" s="44" t="str">
        <f>IF('⑨ 구배 자동계산'!$B$4&lt;&gt;"50_함양","",IF('⑨ 구배 자동계산'!J19="","",'⑨ 구배 자동계산'!J19))</f>
        <v/>
      </c>
      <c r="E26" s="32" t="str">
        <f>IF('⑨ 구배 자동계산'!$B$4&lt;&gt;"50_함양","",IF('⑨ 구배 자동계산'!K19="","",'⑨ 구배 자동계산'!K19))</f>
        <v/>
      </c>
      <c r="F26" s="44" t="str">
        <f>IF('⑨ 구배 자동계산'!$B$4&lt;&gt;"50_함양","",IF('⑨ 구배 자동계산'!L19="","",'⑨ 구배 자동계산'!L19))</f>
        <v/>
      </c>
      <c r="G26" s="32" t="str">
        <f>IF('⑨ 구배 자동계산'!$B$4&lt;&gt;"50_함양","",IF('⑨ 구배 자동계산'!M19="","",'⑨ 구배 자동계산'!M19))</f>
        <v/>
      </c>
      <c r="H26" s="44" t="str">
        <f>IF('⑨ 구배 자동계산'!$B$4&lt;&gt;"50_함양","",IF('⑨ 구배 자동계산'!N19="","",'⑨ 구배 자동계산'!N19))</f>
        <v/>
      </c>
      <c r="I26" s="32" t="str">
        <f>IF('⑨ 구배 자동계산'!$B$4&lt;&gt;"50_함양","",IF('⑨ 구배 자동계산'!O19="","",'⑨ 구배 자동계산'!O19))</f>
        <v/>
      </c>
      <c r="K26" s="31">
        <v>10</v>
      </c>
      <c r="L26" s="31" t="str">
        <f t="shared" si="0"/>
        <v/>
      </c>
      <c r="M26" s="31" t="str">
        <f t="shared" si="1"/>
        <v/>
      </c>
      <c r="N26" s="31" t="str">
        <f t="shared" si="2"/>
        <v/>
      </c>
      <c r="O26" s="31" t="str">
        <f t="shared" si="3"/>
        <v/>
      </c>
      <c r="P26" s="31" t="str">
        <f t="shared" si="4"/>
        <v/>
      </c>
      <c r="Q26" s="31" t="str">
        <f t="shared" si="5"/>
        <v/>
      </c>
      <c r="R26" s="31" t="str">
        <f t="shared" si="6"/>
        <v/>
      </c>
      <c r="S26" s="31" t="str">
        <f t="shared" si="7"/>
        <v/>
      </c>
      <c r="T26" s="31" t="str">
        <f t="shared" si="8"/>
        <v/>
      </c>
      <c r="U26" s="31" t="str">
        <f t="shared" si="9"/>
        <v/>
      </c>
      <c r="V26" s="31" t="str">
        <f t="shared" si="10"/>
        <v/>
      </c>
      <c r="W26" s="31" t="str">
        <f t="shared" si="11"/>
        <v/>
      </c>
      <c r="X26" s="31" t="str">
        <f t="shared" si="12"/>
        <v/>
      </c>
      <c r="Y26" s="31" t="str">
        <f t="shared" si="13"/>
        <v/>
      </c>
      <c r="Z26" s="31" t="str">
        <f t="shared" si="14"/>
        <v/>
      </c>
      <c r="AA26" s="31" t="str">
        <f t="shared" si="15"/>
        <v/>
      </c>
      <c r="AB26" s="31" t="str">
        <f t="shared" si="16"/>
        <v/>
      </c>
      <c r="AC26" s="31" t="str">
        <f t="shared" si="17"/>
        <v/>
      </c>
      <c r="AD26" s="31" t="str">
        <f t="shared" si="18"/>
        <v/>
      </c>
      <c r="AE26" s="31" t="str">
        <f t="shared" si="19"/>
        <v/>
      </c>
      <c r="AI26" t="s">
        <v>263</v>
      </c>
    </row>
    <row r="27" spans="1:35" ht="19.95" customHeight="1" x14ac:dyDescent="0.4">
      <c r="A27" s="40" t="s">
        <v>175</v>
      </c>
      <c r="B27" s="45" t="str">
        <f>IF('⑨ 구배 자동계산'!$B$4&lt;&gt;"50_함양","",IF('⑨ 구배 자동계산'!H20="","",'⑨ 구배 자동계산'!H20))</f>
        <v/>
      </c>
      <c r="C27" s="41" t="str">
        <f>IF('⑨ 구배 자동계산'!$B$4&lt;&gt;"50_함양","",IF('⑨ 구배 자동계산'!I20="","",'⑨ 구배 자동계산'!I20))</f>
        <v/>
      </c>
      <c r="D27" s="45" t="str">
        <f>IF('⑨ 구배 자동계산'!$B$4&lt;&gt;"50_함양","",IF('⑨ 구배 자동계산'!J20="","",'⑨ 구배 자동계산'!J20))</f>
        <v/>
      </c>
      <c r="E27" s="41" t="str">
        <f>IF('⑨ 구배 자동계산'!$B$4&lt;&gt;"50_함양","",IF('⑨ 구배 자동계산'!K20="","",'⑨ 구배 자동계산'!K20))</f>
        <v/>
      </c>
      <c r="F27" s="45" t="str">
        <f>IF('⑨ 구배 자동계산'!$B$4&lt;&gt;"50_함양","",IF('⑨ 구배 자동계산'!L20="","",'⑨ 구배 자동계산'!L20))</f>
        <v/>
      </c>
      <c r="G27" s="41" t="str">
        <f>IF('⑨ 구배 자동계산'!$B$4&lt;&gt;"50_함양","",IF('⑨ 구배 자동계산'!M20="","",'⑨ 구배 자동계산'!M20))</f>
        <v/>
      </c>
      <c r="H27" s="45" t="str">
        <f>IF('⑨ 구배 자동계산'!$B$4&lt;&gt;"50_함양","",IF('⑨ 구배 자동계산'!N20="","",'⑨ 구배 자동계산'!N20))</f>
        <v/>
      </c>
      <c r="I27" s="41" t="str">
        <f>IF('⑨ 구배 자동계산'!$B$4&lt;&gt;"50_함양","",IF('⑨ 구배 자동계산'!O20="","",'⑨ 구배 자동계산'!O20))</f>
        <v/>
      </c>
      <c r="AH27" t="s">
        <v>226</v>
      </c>
      <c r="AI27" t="s">
        <v>264</v>
      </c>
    </row>
    <row r="28" spans="1:35" ht="22.95" customHeight="1" x14ac:dyDescent="0.4">
      <c r="A28" s="42" t="s">
        <v>289</v>
      </c>
      <c r="B28" s="97" t="s">
        <v>552</v>
      </c>
      <c r="C28" s="97"/>
      <c r="D28" s="97"/>
      <c r="E28" s="97"/>
      <c r="F28" s="97"/>
      <c r="G28" s="97"/>
      <c r="H28" s="97"/>
      <c r="I28" s="97"/>
      <c r="AI28" t="s">
        <v>265</v>
      </c>
    </row>
    <row r="29" spans="1:35" ht="16.95" customHeight="1" x14ac:dyDescent="0.4">
      <c r="A29" s="73" t="s">
        <v>286</v>
      </c>
      <c r="B29" s="68"/>
      <c r="C29" s="68"/>
      <c r="D29" s="68"/>
      <c r="E29" s="68"/>
      <c r="F29" s="68"/>
      <c r="G29" s="68"/>
      <c r="H29" s="68"/>
      <c r="I29" s="68"/>
      <c r="AH29" t="s">
        <v>227</v>
      </c>
      <c r="AI29" t="s">
        <v>266</v>
      </c>
    </row>
    <row r="30" spans="1:35" ht="43.95" customHeight="1" x14ac:dyDescent="0.4">
      <c r="A30" s="8" t="s">
        <v>740</v>
      </c>
      <c r="B30" s="8" t="s">
        <v>741</v>
      </c>
      <c r="C30" s="8" t="s">
        <v>1997</v>
      </c>
      <c r="D30" s="8" t="s">
        <v>1998</v>
      </c>
      <c r="E30" s="8" t="s">
        <v>742</v>
      </c>
      <c r="F30" s="8" t="s">
        <v>743</v>
      </c>
      <c r="G30" s="8" t="s">
        <v>676</v>
      </c>
      <c r="H30" s="8" t="s">
        <v>677</v>
      </c>
      <c r="I30" s="8" t="s">
        <v>289</v>
      </c>
      <c r="AH30" t="s">
        <v>228</v>
      </c>
      <c r="AI30" t="s">
        <v>267</v>
      </c>
    </row>
    <row r="31" spans="1:35" ht="19.95" customHeight="1" x14ac:dyDescent="0.4">
      <c r="A31" s="8" t="s">
        <v>290</v>
      </c>
      <c r="B31" s="9" t="str">
        <f>IF(COUNT(C17:C26)=0,"",LOOKUP(2,1/(C17:C26&lt;&gt;""),ROW(C17:C26)-16)&amp;" m")</f>
        <v/>
      </c>
      <c r="C31" s="29" t="str">
        <f>IF(COUNT(C16,C27)&lt;2,"",C27-C16)</f>
        <v/>
      </c>
      <c r="D31" s="29" t="str">
        <f>IF(COUNT(C16:C26)&lt;2,"",MAX(C16:C26)-MIN(C16:C26))</f>
        <v/>
      </c>
      <c r="E31" s="29" t="str">
        <f>IF(COUNT(O17:O26)=0,"",MAX(O17:O26))</f>
        <v/>
      </c>
      <c r="F31" s="9" t="str">
        <f>IF(E31="","",INDEX(P17:P26,MATCH(E31,O17:O26,0)))</f>
        <v/>
      </c>
      <c r="G31" s="29" t="str">
        <f>IF(OR(COUNT(C16)=0,COUNT(C17:C26)=0),"",LOOKUP(2,1/(C17:C26&lt;&gt;""),C17:C26)-C16)</f>
        <v/>
      </c>
      <c r="H31" s="29" t="str">
        <f>IF(G31="","",ROUND(ABS(G31)/LOOKUP(2,1/(C17:C26&lt;&gt;""),ROW(C17:C26)-16),2))</f>
        <v/>
      </c>
      <c r="I31" s="6" t="str">
        <f>IF('⑨ 구배 자동계산'!$B$4&lt;&gt;"50_함양","",IF('⑨ 구배 자동계산'!$M30="","",'⑨ 구배 자동계산'!$M30&amp;"  ·  "&amp;'⑨ 구배 자동계산'!$O30))</f>
        <v/>
      </c>
      <c r="AI31" t="s">
        <v>268</v>
      </c>
    </row>
    <row r="32" spans="1:35" ht="19.95" customHeight="1" x14ac:dyDescent="0.4">
      <c r="A32" s="8" t="s">
        <v>291</v>
      </c>
      <c r="B32" s="9" t="str">
        <f>IF(COUNT(E17:E26)=0,"",LOOKUP(2,1/(E17:E26&lt;&gt;""),ROW(E17:E26)-16)&amp;" m")</f>
        <v/>
      </c>
      <c r="C32" s="29" t="str">
        <f>IF(COUNT(E16,E27)&lt;2,"",E27-E16)</f>
        <v/>
      </c>
      <c r="D32" s="29" t="str">
        <f>IF(COUNT(E16:E26)&lt;2,"",MAX(E16:E26)-MIN(E16:E26))</f>
        <v/>
      </c>
      <c r="E32" s="29" t="str">
        <f>IF(COUNT(T17:T26)=0,"",MAX(T17:T26))</f>
        <v/>
      </c>
      <c r="F32" s="9" t="str">
        <f>IF(E32="","",INDEX(U17:U26,MATCH(E32,T17:T26,0)))</f>
        <v/>
      </c>
      <c r="G32" s="29" t="str">
        <f>IF(OR(COUNT(E16)=0,COUNT(E17:E26)=0),"",LOOKUP(2,1/(E17:E26&lt;&gt;""),E17:E26)-E16)</f>
        <v/>
      </c>
      <c r="H32" s="29" t="str">
        <f>IF(G32="","",ROUND(ABS(G32)/LOOKUP(2,1/(E17:E26&lt;&gt;""),ROW(E17:E26)-16),2))</f>
        <v/>
      </c>
      <c r="I32" s="6" t="str">
        <f>IF('⑨ 구배 자동계산'!$B$4&lt;&gt;"50_함양","",IF('⑨ 구배 자동계산'!$M31="","",'⑨ 구배 자동계산'!$M31&amp;"  ·  "&amp;'⑨ 구배 자동계산'!$O31))</f>
        <v/>
      </c>
      <c r="AH32" t="s">
        <v>591</v>
      </c>
      <c r="AI32" t="s">
        <v>269</v>
      </c>
    </row>
    <row r="33" spans="1:35" ht="19.95" customHeight="1" x14ac:dyDescent="0.4">
      <c r="A33" s="8" t="s">
        <v>292</v>
      </c>
      <c r="B33" s="9" t="str">
        <f>IF(COUNT(G17:G26)=0,"",LOOKUP(2,1/(G17:G26&lt;&gt;""),ROW(G17:G26)-16)&amp;" m")</f>
        <v/>
      </c>
      <c r="C33" s="29" t="str">
        <f>IF(COUNT(G16,G27)&lt;2,"",G27-G16)</f>
        <v/>
      </c>
      <c r="D33" s="29" t="str">
        <f>IF(COUNT(G16:G26)&lt;2,"",MAX(G16:G26)-MIN(G16:G26))</f>
        <v/>
      </c>
      <c r="E33" s="29" t="str">
        <f>IF(COUNT(Y17:Y26)=0,"",MAX(Y17:Y26))</f>
        <v/>
      </c>
      <c r="F33" s="9" t="str">
        <f>IF(E33="","",INDEX(Z17:Z26,MATCH(E33,Y17:Y26,0)))</f>
        <v/>
      </c>
      <c r="G33" s="29" t="str">
        <f>IF(OR(COUNT(G16)=0,COUNT(G17:G26)=0),"",LOOKUP(2,1/(G17:G26&lt;&gt;""),G17:G26)-G16)</f>
        <v/>
      </c>
      <c r="H33" s="29" t="str">
        <f>IF(G33="","",ROUND(ABS(G33)/LOOKUP(2,1/(G17:G26&lt;&gt;""),ROW(G17:G26)-16),2))</f>
        <v/>
      </c>
      <c r="I33" s="6" t="str">
        <f>IF('⑨ 구배 자동계산'!$B$4&lt;&gt;"50_함양","",IF('⑨ 구배 자동계산'!$M32="","",'⑨ 구배 자동계산'!$M32&amp;"  ·  "&amp;'⑨ 구배 자동계산'!$O32))</f>
        <v/>
      </c>
      <c r="AI33" t="s">
        <v>270</v>
      </c>
    </row>
    <row r="34" spans="1:35" ht="19.95" customHeight="1" x14ac:dyDescent="0.4">
      <c r="A34" s="8" t="s">
        <v>293</v>
      </c>
      <c r="B34" s="9" t="str">
        <f>IF(COUNT(I17:I26)=0,"",LOOKUP(2,1/(I17:I26&lt;&gt;""),ROW(I17:I26)-16)&amp;" m")</f>
        <v/>
      </c>
      <c r="C34" s="29" t="str">
        <f>IF(COUNT(I16,I27)&lt;2,"",I27-I16)</f>
        <v/>
      </c>
      <c r="D34" s="29" t="str">
        <f>IF(COUNT(I16:I26)&lt;2,"",MAX(I16:I26)-MIN(I16:I26))</f>
        <v/>
      </c>
      <c r="E34" s="29" t="str">
        <f>IF(COUNT(AD17:AD26)=0,"",MAX(AD17:AD26))</f>
        <v/>
      </c>
      <c r="F34" s="9" t="str">
        <f>IF(E34="","",INDEX(AE17:AE26,MATCH(E34,AD17:AD26,0)))</f>
        <v/>
      </c>
      <c r="G34" s="29" t="str">
        <f>IF(OR(COUNT(I16)=0,COUNT(I17:I26)=0),"",LOOKUP(2,1/(I17:I26&lt;&gt;""),I17:I26)-I16)</f>
        <v/>
      </c>
      <c r="H34" s="29" t="str">
        <f>IF(G34="","",ROUND(ABS(G34)/LOOKUP(2,1/(I17:I26&lt;&gt;""),ROW(I17:I26)-16),2))</f>
        <v/>
      </c>
      <c r="I34" s="6" t="str">
        <f>IF('⑨ 구배 자동계산'!$B$4&lt;&gt;"50_함양","",IF('⑨ 구배 자동계산'!$M33="","",'⑨ 구배 자동계산'!$M33&amp;"  ·  "&amp;'⑨ 구배 자동계산'!$O33))</f>
        <v/>
      </c>
      <c r="AH34" t="s">
        <v>592</v>
      </c>
      <c r="AI34" t="s">
        <v>271</v>
      </c>
    </row>
    <row r="35" spans="1:35" ht="17.25" customHeight="1" x14ac:dyDescent="0.4">
      <c r="A35" s="96" t="s">
        <v>294</v>
      </c>
      <c r="B35" s="68"/>
      <c r="C35" s="68"/>
      <c r="D35" s="68"/>
      <c r="E35" s="68"/>
      <c r="F35" s="68"/>
      <c r="G35" s="68"/>
      <c r="H35" s="68"/>
      <c r="I35" s="68"/>
      <c r="AH35" t="s">
        <v>229</v>
      </c>
      <c r="AI35" t="s">
        <v>272</v>
      </c>
    </row>
    <row r="36" spans="1:35" ht="17.25" customHeight="1" x14ac:dyDescent="0.4">
      <c r="A36" s="96" t="s">
        <v>295</v>
      </c>
      <c r="B36" s="68"/>
      <c r="C36" s="68"/>
      <c r="D36" s="68"/>
      <c r="E36" s="68"/>
      <c r="F36" s="68"/>
      <c r="G36" s="68"/>
      <c r="H36" s="68"/>
      <c r="I36" s="68"/>
      <c r="AI36" t="s">
        <v>273</v>
      </c>
    </row>
    <row r="37" spans="1:35" ht="52.05" customHeight="1" x14ac:dyDescent="0.4">
      <c r="A37" s="98" t="s">
        <v>1999</v>
      </c>
      <c r="B37" s="68"/>
      <c r="C37" s="68"/>
      <c r="D37" s="68"/>
      <c r="E37" s="68"/>
      <c r="F37" s="68"/>
      <c r="G37" s="68"/>
      <c r="H37" s="68"/>
      <c r="I37" s="68"/>
      <c r="AH37" t="s">
        <v>230</v>
      </c>
      <c r="AI37" t="s">
        <v>274</v>
      </c>
    </row>
    <row r="38" spans="1:35" x14ac:dyDescent="0.4">
      <c r="AH38" t="s">
        <v>231</v>
      </c>
      <c r="AI38" t="s">
        <v>275</v>
      </c>
    </row>
    <row r="39" spans="1:35" ht="19.95" customHeight="1" x14ac:dyDescent="0.4">
      <c r="A39" s="87" t="s">
        <v>296</v>
      </c>
      <c r="B39" s="68"/>
      <c r="C39" s="68"/>
      <c r="D39" s="68"/>
      <c r="E39" s="68"/>
      <c r="F39" s="68"/>
      <c r="G39" s="68"/>
      <c r="H39" s="68"/>
      <c r="I39" s="68"/>
      <c r="AH39" t="s">
        <v>232</v>
      </c>
    </row>
    <row r="40" spans="1:35" ht="30.45" customHeight="1" x14ac:dyDescent="0.4">
      <c r="A40" s="96" t="s">
        <v>297</v>
      </c>
      <c r="B40" s="68"/>
      <c r="C40" s="68"/>
      <c r="D40" s="68"/>
      <c r="E40" s="68"/>
      <c r="F40" s="68"/>
      <c r="G40" s="68"/>
      <c r="H40" s="68"/>
      <c r="I40" s="68"/>
      <c r="AI40" t="s">
        <v>239</v>
      </c>
    </row>
    <row r="41" spans="1:35" ht="30" customHeight="1" x14ac:dyDescent="0.4">
      <c r="A41" s="8" t="s">
        <v>298</v>
      </c>
      <c r="B41" s="8" t="s">
        <v>299</v>
      </c>
      <c r="C41" s="8" t="s">
        <v>300</v>
      </c>
      <c r="D41" s="8" t="s">
        <v>301</v>
      </c>
      <c r="E41" s="8" t="s">
        <v>302</v>
      </c>
      <c r="F41" s="8" t="s">
        <v>303</v>
      </c>
      <c r="G41" s="88" t="s">
        <v>304</v>
      </c>
      <c r="H41" s="89"/>
      <c r="I41" s="89"/>
      <c r="AH41" t="s">
        <v>233</v>
      </c>
    </row>
    <row r="42" spans="1:35" ht="19.95" customHeight="1" x14ac:dyDescent="0.4">
      <c r="A42" s="8">
        <v>4</v>
      </c>
      <c r="B42" s="33">
        <v>185</v>
      </c>
      <c r="C42" s="32" t="str">
        <f>IF('⑨ 구배 자동계산'!$B$4&lt;&gt;"50_함양","",IF('⑨ 구배 자동계산'!I23="","",'⑨ 구배 자동계산'!I23))</f>
        <v/>
      </c>
      <c r="D42" s="8"/>
      <c r="E42" s="8"/>
      <c r="F42" s="8"/>
      <c r="G42" s="92" t="str">
        <f>IF('⑨ 구배 자동계산'!$B$4&lt;&gt;"50_함양","",IF('⑨ 구배 자동계산'!$J23="","",'⑨ 구배 자동계산'!$J23&amp;"  ·  "&amp;'⑨ 구배 자동계산'!$L23))</f>
        <v/>
      </c>
      <c r="H42" s="93"/>
      <c r="I42" s="93"/>
    </row>
    <row r="43" spans="1:35" ht="19.95" customHeight="1" x14ac:dyDescent="0.4">
      <c r="A43" s="8">
        <v>3</v>
      </c>
      <c r="B43" s="33">
        <v>140</v>
      </c>
      <c r="C43" s="32" t="str">
        <f>IF('⑨ 구배 자동계산'!$B$4&lt;&gt;"50_함양","",IF('⑨ 구배 자동계산'!I24="","",'⑨ 구배 자동계산'!I24))</f>
        <v/>
      </c>
      <c r="D43" s="34">
        <f>IF(COUNT(B43,B42)&lt;2,"",(B42-B43)/100)</f>
        <v>0.45</v>
      </c>
      <c r="E43" s="35" t="str">
        <f>IF(COUNT(C43,C42)&lt;2,"",C43-C42)</f>
        <v/>
      </c>
      <c r="F43" s="36" t="str">
        <f>IF(OR(D43="",E43="",D43=0),"",E43/D43)</f>
        <v/>
      </c>
      <c r="G43" s="92" t="str">
        <f>IF('⑨ 구배 자동계산'!$B$4&lt;&gt;"50_함양","",IF('⑨ 구배 자동계산'!$J24="","",'⑨ 구배 자동계산'!$J24&amp;"  ·  "&amp;'⑨ 구배 자동계산'!$L24))</f>
        <v/>
      </c>
      <c r="H43" s="93"/>
      <c r="I43" s="93"/>
      <c r="AH43" t="s">
        <v>234</v>
      </c>
    </row>
    <row r="44" spans="1:35" ht="19.95" customHeight="1" x14ac:dyDescent="0.4">
      <c r="A44" s="8">
        <v>2</v>
      </c>
      <c r="B44" s="33">
        <v>95</v>
      </c>
      <c r="C44" s="32" t="str">
        <f>IF('⑨ 구배 자동계산'!$B$4&lt;&gt;"50_함양","",IF('⑨ 구배 자동계산'!I25="","",'⑨ 구배 자동계산'!I25))</f>
        <v/>
      </c>
      <c r="D44" s="34">
        <f>IF(COUNT(B44,B43)&lt;2,"",(B43-B44)/100)</f>
        <v>0.45</v>
      </c>
      <c r="E44" s="35" t="str">
        <f>IF(COUNT(C44,C43)&lt;2,"",C44-C43)</f>
        <v/>
      </c>
      <c r="F44" s="36" t="str">
        <f>IF(OR(D44="",E44="",D44=0),"",E44/D44)</f>
        <v/>
      </c>
      <c r="G44" s="92" t="str">
        <f>IF('⑨ 구배 자동계산'!$B$4&lt;&gt;"50_함양","",IF('⑨ 구배 자동계산'!$J25="","",'⑨ 구배 자동계산'!$J25&amp;"  ·  "&amp;'⑨ 구배 자동계산'!$L25))</f>
        <v/>
      </c>
      <c r="H44" s="93"/>
      <c r="I44" s="93"/>
    </row>
    <row r="45" spans="1:35" ht="19.95" customHeight="1" x14ac:dyDescent="0.4">
      <c r="A45" s="8">
        <v>1</v>
      </c>
      <c r="B45" s="33">
        <v>50</v>
      </c>
      <c r="C45" s="32" t="str">
        <f>IF('⑨ 구배 자동계산'!$B$4&lt;&gt;"50_함양","",IF('⑨ 구배 자동계산'!I26="","",'⑨ 구배 자동계산'!I26))</f>
        <v/>
      </c>
      <c r="D45" s="34">
        <f>IF(COUNT(B45,B44)&lt;2,"",(B44-B45)/100)</f>
        <v>0.45</v>
      </c>
      <c r="E45" s="35" t="str">
        <f>IF(COUNT(C45,C44)&lt;2,"",C45-C44)</f>
        <v/>
      </c>
      <c r="F45" s="36" t="str">
        <f>IF(OR(D45="",E45="",D45=0),"",E45/D45)</f>
        <v/>
      </c>
      <c r="G45" s="92" t="str">
        <f>IF('⑨ 구배 자동계산'!$B$4&lt;&gt;"50_함양","",IF('⑨ 구배 자동계산'!$J26="","",'⑨ 구배 자동계산'!$J26&amp;"  ·  "&amp;'⑨ 구배 자동계산'!$L26))</f>
        <v/>
      </c>
      <c r="H45" s="93"/>
      <c r="I45" s="93"/>
      <c r="AH45" t="s">
        <v>593</v>
      </c>
    </row>
    <row r="46" spans="1:35" x14ac:dyDescent="0.4">
      <c r="A46" s="8" t="s">
        <v>305</v>
      </c>
      <c r="B46" s="34">
        <f>IF(COUNT(B42,B45)&lt;2,"",(B42-B45)/100)</f>
        <v>1.35</v>
      </c>
      <c r="C46" s="8"/>
      <c r="D46" s="8"/>
      <c r="E46" s="35" t="str">
        <f>IF(COUNT(C42,C45)&lt;2,"",C45-C42)</f>
        <v/>
      </c>
      <c r="F46" s="36" t="str">
        <f>IF(OR(B46="",E46="",B46=0),"",E46/B46)</f>
        <v/>
      </c>
      <c r="G46" s="99" t="str">
        <f>"맨 위 ~ 맨 아래 전체 구간"</f>
        <v>맨 위 ~ 맨 아래 전체 구간</v>
      </c>
      <c r="H46" s="95"/>
      <c r="I46" s="95"/>
    </row>
    <row r="47" spans="1:35" x14ac:dyDescent="0.4">
      <c r="AH47" t="s">
        <v>594</v>
      </c>
    </row>
    <row r="48" spans="1:35" ht="19.95" customHeight="1" x14ac:dyDescent="0.4">
      <c r="A48" s="87" t="s">
        <v>306</v>
      </c>
      <c r="B48" s="68"/>
      <c r="C48" s="68"/>
      <c r="D48" s="68"/>
      <c r="E48" s="68"/>
      <c r="F48" s="68"/>
      <c r="G48" s="68"/>
      <c r="H48" s="68"/>
      <c r="I48" s="68"/>
      <c r="AH48" t="s">
        <v>235</v>
      </c>
    </row>
    <row r="49" spans="1:34" ht="17.25" customHeight="1" x14ac:dyDescent="0.4">
      <c r="A49" s="96" t="s">
        <v>159</v>
      </c>
      <c r="B49" s="68"/>
      <c r="C49" s="68"/>
      <c r="D49" s="68"/>
      <c r="E49" s="68"/>
      <c r="F49" s="68"/>
      <c r="G49" s="68"/>
      <c r="H49" s="68"/>
      <c r="I49" s="68"/>
      <c r="AH49" t="s">
        <v>236</v>
      </c>
    </row>
    <row r="50" spans="1:34" x14ac:dyDescent="0.4">
      <c r="A50" s="8" t="s">
        <v>7</v>
      </c>
      <c r="B50" s="100"/>
      <c r="C50" s="93"/>
      <c r="D50" s="8" t="s">
        <v>8</v>
      </c>
      <c r="E50" s="100"/>
      <c r="F50" s="93"/>
      <c r="G50" s="8" t="s">
        <v>160</v>
      </c>
      <c r="H50" s="92"/>
      <c r="I50" s="93"/>
    </row>
    <row r="51" spans="1:34" ht="27.6" x14ac:dyDescent="0.4">
      <c r="A51" s="8" t="s">
        <v>161</v>
      </c>
      <c r="B51" s="101" t="str">
        <f>IF(COUNT(B50,E50)&lt;2,"",ROUND(SQRT(((127.622969-E50)*111320*COS(RADIANS(35.542509)))^2+((35.542509-B50)*110574)^2),1))</f>
        <v/>
      </c>
      <c r="C51" s="95"/>
      <c r="AH51" t="s">
        <v>237</v>
      </c>
    </row>
    <row r="52" spans="1:34" x14ac:dyDescent="0.4">
      <c r="AH52" t="s">
        <v>238</v>
      </c>
    </row>
    <row r="53" spans="1:34" ht="24" customHeight="1" x14ac:dyDescent="0.4">
      <c r="A53" s="102" t="s">
        <v>553</v>
      </c>
      <c r="B53" s="102"/>
      <c r="C53" s="102"/>
      <c r="D53" s="102"/>
      <c r="E53" s="102"/>
      <c r="F53" s="102"/>
      <c r="G53" s="102"/>
      <c r="H53" s="102"/>
      <c r="I53" s="102"/>
      <c r="AH53" t="s">
        <v>239</v>
      </c>
    </row>
    <row r="54" spans="1:34" ht="6" customHeight="1" x14ac:dyDescent="0.4">
      <c r="A54" s="103"/>
      <c r="B54" s="103"/>
      <c r="C54" s="103"/>
      <c r="D54" s="103"/>
      <c r="E54" s="103"/>
      <c r="F54" s="103"/>
      <c r="G54" s="103"/>
      <c r="H54" s="103"/>
      <c r="I54" s="103"/>
    </row>
    <row r="55" spans="1:34" ht="25.05" customHeight="1" x14ac:dyDescent="0.4">
      <c r="A55" s="42" t="s">
        <v>178</v>
      </c>
      <c r="B55" s="104" t="s">
        <v>179</v>
      </c>
      <c r="C55" s="104"/>
      <c r="D55" s="104" t="s">
        <v>180</v>
      </c>
      <c r="E55" s="104"/>
      <c r="F55" s="42" t="s">
        <v>554</v>
      </c>
      <c r="G55" s="42" t="s">
        <v>555</v>
      </c>
      <c r="H55" s="104" t="s">
        <v>289</v>
      </c>
      <c r="I55" s="104"/>
    </row>
    <row r="56" spans="1:34" ht="27" customHeight="1" x14ac:dyDescent="0.4">
      <c r="A56" s="47" t="s">
        <v>181</v>
      </c>
      <c r="B56" s="106"/>
      <c r="C56" s="106"/>
      <c r="D56" s="106"/>
      <c r="E56" s="106"/>
      <c r="F56" s="49"/>
      <c r="G56" s="48"/>
      <c r="H56" s="105"/>
      <c r="I56" s="105"/>
    </row>
    <row r="57" spans="1:34" ht="27" customHeight="1" x14ac:dyDescent="0.4">
      <c r="A57" s="47" t="s">
        <v>182</v>
      </c>
      <c r="B57" s="106"/>
      <c r="C57" s="106"/>
      <c r="D57" s="106"/>
      <c r="E57" s="106"/>
      <c r="F57" s="49"/>
      <c r="G57" s="48"/>
      <c r="H57" s="105"/>
      <c r="I57" s="105"/>
    </row>
    <row r="59" spans="1:34" ht="24" customHeight="1" x14ac:dyDescent="0.4">
      <c r="A59" s="102" t="s">
        <v>307</v>
      </c>
      <c r="B59" s="102"/>
      <c r="C59" s="102"/>
      <c r="D59" s="102"/>
      <c r="E59" s="102"/>
      <c r="F59" s="102"/>
      <c r="G59" s="102"/>
      <c r="H59" s="102"/>
      <c r="I59" s="102"/>
    </row>
    <row r="60" spans="1:34" ht="31.05" customHeight="1" x14ac:dyDescent="0.4">
      <c r="A60" s="103" t="s">
        <v>556</v>
      </c>
      <c r="B60" s="103"/>
      <c r="C60" s="103"/>
      <c r="D60" s="103"/>
      <c r="E60" s="103"/>
      <c r="F60" s="103"/>
      <c r="G60" s="103"/>
      <c r="H60" s="103"/>
      <c r="I60" s="103"/>
    </row>
    <row r="61" spans="1:34" ht="22.05" customHeight="1" x14ac:dyDescent="0.4">
      <c r="A61" s="107" t="s">
        <v>308</v>
      </c>
      <c r="B61" s="107"/>
      <c r="C61" s="107"/>
      <c r="D61" s="107" t="s">
        <v>309</v>
      </c>
      <c r="E61" s="107"/>
      <c r="F61" s="107"/>
      <c r="G61" s="107" t="s">
        <v>310</v>
      </c>
      <c r="H61" s="107"/>
      <c r="I61" s="107"/>
    </row>
    <row r="62" spans="1:34" ht="16.5" customHeight="1" x14ac:dyDescent="0.4">
      <c r="A62" s="105" t="s">
        <v>311</v>
      </c>
      <c r="B62" s="105"/>
      <c r="C62" s="105"/>
      <c r="D62" s="105" t="s">
        <v>183</v>
      </c>
      <c r="E62" s="105"/>
      <c r="F62" s="105"/>
      <c r="G62" s="105" t="s">
        <v>312</v>
      </c>
      <c r="H62" s="105"/>
      <c r="I62" s="105"/>
    </row>
    <row r="63" spans="1:34" ht="16.5" customHeight="1" x14ac:dyDescent="0.4">
      <c r="A63" s="105"/>
      <c r="B63" s="105"/>
      <c r="C63" s="105"/>
      <c r="D63" s="105"/>
      <c r="E63" s="105"/>
      <c r="F63" s="105"/>
      <c r="G63" s="105"/>
      <c r="H63" s="105"/>
      <c r="I63" s="105"/>
    </row>
    <row r="64" spans="1:34" ht="16.5" customHeight="1" x14ac:dyDescent="0.4">
      <c r="A64" s="105"/>
      <c r="B64" s="105"/>
      <c r="C64" s="105"/>
      <c r="D64" s="105"/>
      <c r="E64" s="105"/>
      <c r="F64" s="105"/>
      <c r="G64" s="105"/>
      <c r="H64" s="105"/>
      <c r="I64" s="105"/>
    </row>
    <row r="65" spans="1:9" ht="16.5" customHeight="1" x14ac:dyDescent="0.4">
      <c r="A65" s="105"/>
      <c r="B65" s="105"/>
      <c r="C65" s="105"/>
      <c r="D65" s="105"/>
      <c r="E65" s="105"/>
      <c r="F65" s="105"/>
      <c r="G65" s="105"/>
      <c r="H65" s="105"/>
      <c r="I65" s="105"/>
    </row>
    <row r="66" spans="1:9" ht="16.5" customHeight="1" x14ac:dyDescent="0.4">
      <c r="A66" s="105"/>
      <c r="B66" s="105"/>
      <c r="C66" s="105"/>
      <c r="D66" s="105"/>
      <c r="E66" s="105"/>
      <c r="F66" s="105"/>
      <c r="G66" s="105"/>
      <c r="H66" s="105"/>
      <c r="I66" s="105"/>
    </row>
    <row r="67" spans="1:9" ht="16.5" customHeight="1" x14ac:dyDescent="0.4">
      <c r="A67" s="105"/>
      <c r="B67" s="105"/>
      <c r="C67" s="105"/>
      <c r="D67" s="105"/>
      <c r="E67" s="105"/>
      <c r="F67" s="105"/>
      <c r="G67" s="105"/>
      <c r="H67" s="105"/>
      <c r="I67" s="105"/>
    </row>
    <row r="68" spans="1:9" ht="16.5" customHeight="1" x14ac:dyDescent="0.4">
      <c r="A68" s="105"/>
      <c r="B68" s="105"/>
      <c r="C68" s="105"/>
      <c r="D68" s="105"/>
      <c r="E68" s="105"/>
      <c r="F68" s="105"/>
      <c r="G68" s="105"/>
      <c r="H68" s="105"/>
      <c r="I68" s="105"/>
    </row>
    <row r="69" spans="1:9" ht="16.5" customHeight="1" x14ac:dyDescent="0.4">
      <c r="A69" s="105"/>
      <c r="B69" s="105"/>
      <c r="C69" s="105"/>
      <c r="D69" s="105"/>
      <c r="E69" s="105"/>
      <c r="F69" s="105"/>
      <c r="G69" s="105"/>
      <c r="H69" s="105"/>
      <c r="I69" s="105"/>
    </row>
    <row r="70" spans="1:9" ht="16.5" customHeight="1" x14ac:dyDescent="0.4">
      <c r="A70" s="105"/>
      <c r="B70" s="105"/>
      <c r="C70" s="105"/>
      <c r="D70" s="105"/>
      <c r="E70" s="105"/>
      <c r="F70" s="105"/>
      <c r="G70" s="105"/>
      <c r="H70" s="105"/>
      <c r="I70" s="105"/>
    </row>
    <row r="71" spans="1:9" ht="16.5" customHeight="1" x14ac:dyDescent="0.4">
      <c r="A71" s="105"/>
      <c r="B71" s="105"/>
      <c r="C71" s="105"/>
      <c r="D71" s="105"/>
      <c r="E71" s="105"/>
      <c r="F71" s="105"/>
      <c r="G71" s="105"/>
      <c r="H71" s="105"/>
      <c r="I71" s="105"/>
    </row>
    <row r="72" spans="1:9" ht="16.5" customHeight="1" x14ac:dyDescent="0.4">
      <c r="A72" s="105"/>
      <c r="B72" s="105"/>
      <c r="C72" s="105"/>
      <c r="D72" s="105"/>
      <c r="E72" s="105"/>
      <c r="F72" s="105"/>
      <c r="G72" s="105"/>
      <c r="H72" s="105"/>
      <c r="I72" s="105"/>
    </row>
    <row r="73" spans="1:9" ht="16.5" customHeight="1" x14ac:dyDescent="0.4">
      <c r="A73" s="105"/>
      <c r="B73" s="105"/>
      <c r="C73" s="105"/>
      <c r="D73" s="105"/>
      <c r="E73" s="105"/>
      <c r="F73" s="105"/>
      <c r="G73" s="105"/>
      <c r="H73" s="105"/>
      <c r="I73" s="105"/>
    </row>
    <row r="74" spans="1:9" ht="16.5" customHeight="1" x14ac:dyDescent="0.4">
      <c r="A74" s="105"/>
      <c r="B74" s="105"/>
      <c r="C74" s="105"/>
      <c r="D74" s="105"/>
      <c r="E74" s="105"/>
      <c r="F74" s="105"/>
      <c r="G74" s="105"/>
      <c r="H74" s="105"/>
      <c r="I74" s="105"/>
    </row>
    <row r="75" spans="1:9" ht="25.95" customHeight="1" x14ac:dyDescent="0.4">
      <c r="A75" s="46" t="s">
        <v>184</v>
      </c>
      <c r="B75" s="108" t="s">
        <v>557</v>
      </c>
      <c r="C75" s="109"/>
      <c r="D75" s="46" t="s">
        <v>184</v>
      </c>
      <c r="E75" s="108" t="s">
        <v>558</v>
      </c>
      <c r="F75" s="109"/>
      <c r="G75" s="46" t="s">
        <v>184</v>
      </c>
      <c r="H75" s="108" t="s">
        <v>559</v>
      </c>
      <c r="I75" s="109"/>
    </row>
    <row r="76" spans="1:9" ht="22.05" customHeight="1" x14ac:dyDescent="0.4">
      <c r="A76" s="107" t="s">
        <v>313</v>
      </c>
      <c r="B76" s="107"/>
      <c r="C76" s="107"/>
      <c r="D76" s="107" t="s">
        <v>314</v>
      </c>
      <c r="E76" s="107"/>
      <c r="F76" s="107"/>
      <c r="G76" s="107" t="s">
        <v>315</v>
      </c>
      <c r="H76" s="107"/>
      <c r="I76" s="107"/>
    </row>
    <row r="77" spans="1:9" ht="16.5" customHeight="1" x14ac:dyDescent="0.4">
      <c r="A77" s="105" t="s">
        <v>560</v>
      </c>
      <c r="B77" s="105"/>
      <c r="C77" s="105"/>
      <c r="D77" s="105" t="s">
        <v>562</v>
      </c>
      <c r="E77" s="105"/>
      <c r="F77" s="105"/>
      <c r="G77" s="105" t="s">
        <v>564</v>
      </c>
      <c r="H77" s="105"/>
      <c r="I77" s="105"/>
    </row>
    <row r="78" spans="1:9" ht="16.5" customHeight="1" x14ac:dyDescent="0.4">
      <c r="A78" s="105"/>
      <c r="B78" s="105"/>
      <c r="C78" s="105"/>
      <c r="D78" s="105"/>
      <c r="E78" s="105"/>
      <c r="F78" s="105"/>
      <c r="G78" s="105"/>
      <c r="H78" s="105"/>
      <c r="I78" s="105"/>
    </row>
    <row r="79" spans="1:9" ht="16.5" customHeight="1" x14ac:dyDescent="0.4">
      <c r="A79" s="105"/>
      <c r="B79" s="105"/>
      <c r="C79" s="105"/>
      <c r="D79" s="105"/>
      <c r="E79" s="105"/>
      <c r="F79" s="105"/>
      <c r="G79" s="105"/>
      <c r="H79" s="105"/>
      <c r="I79" s="105"/>
    </row>
    <row r="80" spans="1:9" ht="16.5" customHeight="1" x14ac:dyDescent="0.4">
      <c r="A80" s="105"/>
      <c r="B80" s="105"/>
      <c r="C80" s="105"/>
      <c r="D80" s="105"/>
      <c r="E80" s="105"/>
      <c r="F80" s="105"/>
      <c r="G80" s="105"/>
      <c r="H80" s="105"/>
      <c r="I80" s="105"/>
    </row>
    <row r="81" spans="1:9" ht="16.5" customHeight="1" x14ac:dyDescent="0.4">
      <c r="A81" s="105"/>
      <c r="B81" s="105"/>
      <c r="C81" s="105"/>
      <c r="D81" s="105"/>
      <c r="E81" s="105"/>
      <c r="F81" s="105"/>
      <c r="G81" s="105"/>
      <c r="H81" s="105"/>
      <c r="I81" s="105"/>
    </row>
    <row r="82" spans="1:9" ht="16.5" customHeight="1" x14ac:dyDescent="0.4">
      <c r="A82" s="105"/>
      <c r="B82" s="105"/>
      <c r="C82" s="105"/>
      <c r="D82" s="105"/>
      <c r="E82" s="105"/>
      <c r="F82" s="105"/>
      <c r="G82" s="105"/>
      <c r="H82" s="105"/>
      <c r="I82" s="105"/>
    </row>
    <row r="83" spans="1:9" ht="16.5" customHeight="1" x14ac:dyDescent="0.4">
      <c r="A83" s="105"/>
      <c r="B83" s="105"/>
      <c r="C83" s="105"/>
      <c r="D83" s="105"/>
      <c r="E83" s="105"/>
      <c r="F83" s="105"/>
      <c r="G83" s="105"/>
      <c r="H83" s="105"/>
      <c r="I83" s="105"/>
    </row>
    <row r="84" spans="1:9" ht="16.5" customHeight="1" x14ac:dyDescent="0.4">
      <c r="A84" s="105"/>
      <c r="B84" s="105"/>
      <c r="C84" s="105"/>
      <c r="D84" s="105"/>
      <c r="E84" s="105"/>
      <c r="F84" s="105"/>
      <c r="G84" s="105"/>
      <c r="H84" s="105"/>
      <c r="I84" s="105"/>
    </row>
    <row r="85" spans="1:9" ht="16.5" customHeight="1" x14ac:dyDescent="0.4">
      <c r="A85" s="105"/>
      <c r="B85" s="105"/>
      <c r="C85" s="105"/>
      <c r="D85" s="105"/>
      <c r="E85" s="105"/>
      <c r="F85" s="105"/>
      <c r="G85" s="105"/>
      <c r="H85" s="105"/>
      <c r="I85" s="105"/>
    </row>
    <row r="86" spans="1:9" ht="16.5" customHeight="1" x14ac:dyDescent="0.4">
      <c r="A86" s="105"/>
      <c r="B86" s="105"/>
      <c r="C86" s="105"/>
      <c r="D86" s="105"/>
      <c r="E86" s="105"/>
      <c r="F86" s="105"/>
      <c r="G86" s="105"/>
      <c r="H86" s="105"/>
      <c r="I86" s="105"/>
    </row>
    <row r="87" spans="1:9" ht="16.5" customHeight="1" x14ac:dyDescent="0.4">
      <c r="A87" s="105"/>
      <c r="B87" s="105"/>
      <c r="C87" s="105"/>
      <c r="D87" s="105"/>
      <c r="E87" s="105"/>
      <c r="F87" s="105"/>
      <c r="G87" s="105"/>
      <c r="H87" s="105"/>
      <c r="I87" s="105"/>
    </row>
    <row r="88" spans="1:9" ht="16.5" customHeight="1" x14ac:dyDescent="0.4">
      <c r="A88" s="105"/>
      <c r="B88" s="105"/>
      <c r="C88" s="105"/>
      <c r="D88" s="105"/>
      <c r="E88" s="105"/>
      <c r="F88" s="105"/>
      <c r="G88" s="105"/>
      <c r="H88" s="105"/>
      <c r="I88" s="105"/>
    </row>
    <row r="89" spans="1:9" ht="16.5" customHeight="1" x14ac:dyDescent="0.4">
      <c r="A89" s="105"/>
      <c r="B89" s="105"/>
      <c r="C89" s="105"/>
      <c r="D89" s="105"/>
      <c r="E89" s="105"/>
      <c r="F89" s="105"/>
      <c r="G89" s="105"/>
      <c r="H89" s="105"/>
      <c r="I89" s="105"/>
    </row>
    <row r="90" spans="1:9" ht="25.95" customHeight="1" x14ac:dyDescent="0.4">
      <c r="A90" s="46" t="s">
        <v>184</v>
      </c>
      <c r="B90" s="108" t="s">
        <v>561</v>
      </c>
      <c r="C90" s="109"/>
      <c r="D90" s="46" t="s">
        <v>184</v>
      </c>
      <c r="E90" s="108" t="s">
        <v>563</v>
      </c>
      <c r="F90" s="109"/>
      <c r="G90" s="46" t="s">
        <v>184</v>
      </c>
      <c r="H90" s="108" t="s">
        <v>565</v>
      </c>
      <c r="I90" s="109"/>
    </row>
    <row r="91" spans="1:9" ht="22.05" customHeight="1" x14ac:dyDescent="0.4">
      <c r="A91" s="107" t="s">
        <v>316</v>
      </c>
      <c r="B91" s="107"/>
      <c r="C91" s="107"/>
      <c r="D91" s="107" t="s">
        <v>568</v>
      </c>
      <c r="E91" s="107"/>
      <c r="F91" s="107"/>
      <c r="G91" s="107" t="s">
        <v>571</v>
      </c>
      <c r="H91" s="107"/>
      <c r="I91" s="107"/>
    </row>
    <row r="92" spans="1:9" ht="16.5" customHeight="1" x14ac:dyDescent="0.4">
      <c r="A92" s="105" t="s">
        <v>566</v>
      </c>
      <c r="B92" s="105"/>
      <c r="C92" s="105"/>
      <c r="D92" s="105" t="s">
        <v>569</v>
      </c>
      <c r="E92" s="105"/>
      <c r="F92" s="105"/>
      <c r="G92" s="105" t="s">
        <v>569</v>
      </c>
      <c r="H92" s="105"/>
      <c r="I92" s="105"/>
    </row>
    <row r="93" spans="1:9" ht="16.5" customHeight="1" x14ac:dyDescent="0.4">
      <c r="A93" s="105"/>
      <c r="B93" s="105"/>
      <c r="C93" s="105"/>
      <c r="D93" s="105"/>
      <c r="E93" s="105"/>
      <c r="F93" s="105"/>
      <c r="G93" s="105"/>
      <c r="H93" s="105"/>
      <c r="I93" s="105"/>
    </row>
    <row r="94" spans="1:9" ht="16.5" customHeight="1" x14ac:dyDescent="0.4">
      <c r="A94" s="105"/>
      <c r="B94" s="105"/>
      <c r="C94" s="105"/>
      <c r="D94" s="105"/>
      <c r="E94" s="105"/>
      <c r="F94" s="105"/>
      <c r="G94" s="105"/>
      <c r="H94" s="105"/>
      <c r="I94" s="105"/>
    </row>
    <row r="95" spans="1:9" ht="16.5" customHeight="1" x14ac:dyDescent="0.4">
      <c r="A95" s="105"/>
      <c r="B95" s="105"/>
      <c r="C95" s="105"/>
      <c r="D95" s="105"/>
      <c r="E95" s="105"/>
      <c r="F95" s="105"/>
      <c r="G95" s="105"/>
      <c r="H95" s="105"/>
      <c r="I95" s="105"/>
    </row>
    <row r="96" spans="1:9" ht="16.5" customHeight="1" x14ac:dyDescent="0.4">
      <c r="A96" s="105"/>
      <c r="B96" s="105"/>
      <c r="C96" s="105"/>
      <c r="D96" s="105"/>
      <c r="E96" s="105"/>
      <c r="F96" s="105"/>
      <c r="G96" s="105"/>
      <c r="H96" s="105"/>
      <c r="I96" s="105"/>
    </row>
    <row r="97" spans="1:9" ht="16.5" customHeight="1" x14ac:dyDescent="0.4">
      <c r="A97" s="105"/>
      <c r="B97" s="105"/>
      <c r="C97" s="105"/>
      <c r="D97" s="105"/>
      <c r="E97" s="105"/>
      <c r="F97" s="105"/>
      <c r="G97" s="105"/>
      <c r="H97" s="105"/>
      <c r="I97" s="105"/>
    </row>
    <row r="98" spans="1:9" ht="16.5" customHeight="1" x14ac:dyDescent="0.4">
      <c r="A98" s="105"/>
      <c r="B98" s="105"/>
      <c r="C98" s="105"/>
      <c r="D98" s="105"/>
      <c r="E98" s="105"/>
      <c r="F98" s="105"/>
      <c r="G98" s="105"/>
      <c r="H98" s="105"/>
      <c r="I98" s="105"/>
    </row>
    <row r="99" spans="1:9" ht="16.5" customHeight="1" x14ac:dyDescent="0.4">
      <c r="A99" s="105"/>
      <c r="B99" s="105"/>
      <c r="C99" s="105"/>
      <c r="D99" s="105"/>
      <c r="E99" s="105"/>
      <c r="F99" s="105"/>
      <c r="G99" s="105"/>
      <c r="H99" s="105"/>
      <c r="I99" s="105"/>
    </row>
    <row r="100" spans="1:9" ht="16.5" customHeight="1" x14ac:dyDescent="0.4">
      <c r="A100" s="105"/>
      <c r="B100" s="105"/>
      <c r="C100" s="105"/>
      <c r="D100" s="105"/>
      <c r="E100" s="105"/>
      <c r="F100" s="105"/>
      <c r="G100" s="105"/>
      <c r="H100" s="105"/>
      <c r="I100" s="105"/>
    </row>
    <row r="101" spans="1:9" ht="16.5" customHeight="1" x14ac:dyDescent="0.4">
      <c r="A101" s="105"/>
      <c r="B101" s="105"/>
      <c r="C101" s="105"/>
      <c r="D101" s="105"/>
      <c r="E101" s="105"/>
      <c r="F101" s="105"/>
      <c r="G101" s="105"/>
      <c r="H101" s="105"/>
      <c r="I101" s="105"/>
    </row>
    <row r="102" spans="1:9" ht="16.5" customHeight="1" x14ac:dyDescent="0.4">
      <c r="A102" s="105"/>
      <c r="B102" s="105"/>
      <c r="C102" s="105"/>
      <c r="D102" s="105"/>
      <c r="E102" s="105"/>
      <c r="F102" s="105"/>
      <c r="G102" s="105"/>
      <c r="H102" s="105"/>
      <c r="I102" s="105"/>
    </row>
    <row r="103" spans="1:9" ht="16.5" customHeight="1" x14ac:dyDescent="0.4">
      <c r="A103" s="105"/>
      <c r="B103" s="105"/>
      <c r="C103" s="105"/>
      <c r="D103" s="105"/>
      <c r="E103" s="105"/>
      <c r="F103" s="105"/>
      <c r="G103" s="105"/>
      <c r="H103" s="105"/>
      <c r="I103" s="105"/>
    </row>
    <row r="104" spans="1:9" ht="16.5" customHeight="1" x14ac:dyDescent="0.4">
      <c r="A104" s="105"/>
      <c r="B104" s="105"/>
      <c r="C104" s="105"/>
      <c r="D104" s="105"/>
      <c r="E104" s="105"/>
      <c r="F104" s="105"/>
      <c r="G104" s="105"/>
      <c r="H104" s="105"/>
      <c r="I104" s="105"/>
    </row>
    <row r="105" spans="1:9" ht="25.95" customHeight="1" x14ac:dyDescent="0.4">
      <c r="A105" s="42" t="s">
        <v>184</v>
      </c>
      <c r="B105" s="111" t="s">
        <v>567</v>
      </c>
      <c r="C105" s="112"/>
      <c r="D105" s="42" t="s">
        <v>184</v>
      </c>
      <c r="E105" s="111" t="s">
        <v>570</v>
      </c>
      <c r="F105" s="112"/>
      <c r="G105" s="42" t="s">
        <v>184</v>
      </c>
      <c r="H105" s="111" t="s">
        <v>572</v>
      </c>
      <c r="I105" s="112"/>
    </row>
    <row r="107" spans="1:9" ht="19.95" customHeight="1" x14ac:dyDescent="0.4">
      <c r="A107" s="87" t="s">
        <v>317</v>
      </c>
      <c r="B107" s="68"/>
      <c r="C107" s="68"/>
      <c r="D107" s="68"/>
      <c r="E107" s="68"/>
      <c r="F107" s="68"/>
      <c r="G107" s="68"/>
      <c r="H107" s="68"/>
      <c r="I107" s="68"/>
    </row>
    <row r="108" spans="1:9" ht="30" customHeight="1" x14ac:dyDescent="0.4">
      <c r="A108" s="8" t="s">
        <v>318</v>
      </c>
      <c r="B108" s="8" t="s">
        <v>319</v>
      </c>
      <c r="C108" s="88" t="s">
        <v>320</v>
      </c>
      <c r="D108" s="89"/>
      <c r="E108" s="88" t="s">
        <v>321</v>
      </c>
      <c r="F108" s="89"/>
      <c r="G108" s="89"/>
      <c r="H108" s="8" t="s">
        <v>322</v>
      </c>
      <c r="I108" s="8" t="s">
        <v>322</v>
      </c>
    </row>
    <row r="109" spans="1:9" ht="120" customHeight="1" x14ac:dyDescent="0.4">
      <c r="A109" s="9" t="str">
        <f>$I$3</f>
        <v>S50-P0a</v>
      </c>
      <c r="B109" s="6"/>
      <c r="C109" s="110"/>
      <c r="D109" s="93"/>
      <c r="E109" s="110"/>
      <c r="F109" s="93"/>
      <c r="G109" s="93"/>
      <c r="H109" s="37" t="s">
        <v>323</v>
      </c>
      <c r="I109" s="37" t="s">
        <v>323</v>
      </c>
    </row>
    <row r="110" spans="1:9" ht="150" customHeight="1" x14ac:dyDescent="0.4">
      <c r="A110" s="8" t="s">
        <v>324</v>
      </c>
      <c r="B110" s="110"/>
      <c r="C110" s="93"/>
      <c r="D110" s="93"/>
      <c r="E110" s="93"/>
      <c r="F110" s="93"/>
      <c r="G110" s="93"/>
      <c r="H110" s="93"/>
      <c r="I110" s="93"/>
    </row>
    <row r="112" spans="1:9" x14ac:dyDescent="0.4">
      <c r="A112" s="88" t="s">
        <v>9</v>
      </c>
      <c r="B112" s="89"/>
      <c r="C112" s="89"/>
      <c r="D112" s="89"/>
      <c r="E112" s="88" t="s">
        <v>325</v>
      </c>
      <c r="F112" s="89"/>
      <c r="G112" s="89"/>
      <c r="H112" s="89"/>
      <c r="I112" s="89"/>
    </row>
    <row r="113" spans="1:9" ht="31.95" customHeight="1" x14ac:dyDescent="0.4">
      <c r="A113" s="38">
        <v>1</v>
      </c>
      <c r="B113" s="80" t="s">
        <v>573</v>
      </c>
      <c r="C113" s="76"/>
      <c r="D113" s="76"/>
      <c r="E113" s="38">
        <v>1</v>
      </c>
      <c r="F113" s="80" t="s">
        <v>326</v>
      </c>
      <c r="G113" s="76"/>
      <c r="H113" s="76"/>
      <c r="I113" s="76"/>
    </row>
    <row r="114" spans="1:9" ht="31.95" customHeight="1" x14ac:dyDescent="0.4">
      <c r="A114" s="38">
        <v>2</v>
      </c>
      <c r="B114" s="80" t="s">
        <v>574</v>
      </c>
      <c r="C114" s="76"/>
      <c r="D114" s="76"/>
      <c r="E114" s="38">
        <v>2</v>
      </c>
      <c r="F114" s="80" t="s">
        <v>327</v>
      </c>
      <c r="G114" s="76"/>
      <c r="H114" s="76"/>
      <c r="I114" s="76"/>
    </row>
    <row r="115" spans="1:9" ht="31.95" customHeight="1" x14ac:dyDescent="0.4">
      <c r="A115" s="38">
        <v>3</v>
      </c>
      <c r="B115" s="80" t="s">
        <v>575</v>
      </c>
      <c r="C115" s="76"/>
      <c r="D115" s="76"/>
      <c r="E115" s="38">
        <v>3</v>
      </c>
      <c r="F115" s="80" t="s">
        <v>328</v>
      </c>
      <c r="G115" s="76"/>
      <c r="H115" s="76"/>
      <c r="I115" s="76"/>
    </row>
    <row r="116" spans="1:9" ht="31.95" customHeight="1" x14ac:dyDescent="0.4">
      <c r="A116" s="38">
        <v>4</v>
      </c>
      <c r="B116" s="80" t="s">
        <v>576</v>
      </c>
      <c r="C116" s="76"/>
      <c r="D116" s="76"/>
      <c r="E116" s="38">
        <v>4</v>
      </c>
      <c r="F116" s="80" t="s">
        <v>329</v>
      </c>
      <c r="G116" s="76"/>
      <c r="H116" s="76"/>
      <c r="I116" s="76"/>
    </row>
    <row r="117" spans="1:9" ht="31.95" hidden="1" customHeight="1" x14ac:dyDescent="0.4">
      <c r="E117" s="38"/>
      <c r="F117" s="80"/>
      <c r="G117" s="76"/>
      <c r="H117" s="76"/>
      <c r="I117" s="76"/>
    </row>
  </sheetData>
  <mergeCells count="90">
    <mergeCell ref="A1:I1"/>
    <mergeCell ref="A2:I2"/>
    <mergeCell ref="A3:E3"/>
    <mergeCell ref="A5:I5"/>
    <mergeCell ref="E6:G6"/>
    <mergeCell ref="H6:I6"/>
    <mergeCell ref="A12:I12"/>
    <mergeCell ref="A13:I13"/>
    <mergeCell ref="A14:I14"/>
    <mergeCell ref="B28:I28"/>
    <mergeCell ref="A29:I29"/>
    <mergeCell ref="E7:G7"/>
    <mergeCell ref="H7:I7"/>
    <mergeCell ref="B8:I8"/>
    <mergeCell ref="B9:I9"/>
    <mergeCell ref="A10:I10"/>
    <mergeCell ref="G44:I44"/>
    <mergeCell ref="A35:I35"/>
    <mergeCell ref="A36:I36"/>
    <mergeCell ref="A37:I37"/>
    <mergeCell ref="A39:I39"/>
    <mergeCell ref="A40:I40"/>
    <mergeCell ref="G41:I41"/>
    <mergeCell ref="G42:I42"/>
    <mergeCell ref="G43:I43"/>
    <mergeCell ref="G45:I45"/>
    <mergeCell ref="G46:I46"/>
    <mergeCell ref="A48:I48"/>
    <mergeCell ref="A49:I49"/>
    <mergeCell ref="B50:C50"/>
    <mergeCell ref="E50:F50"/>
    <mergeCell ref="H50:I50"/>
    <mergeCell ref="B51:C51"/>
    <mergeCell ref="A53:I53"/>
    <mergeCell ref="A54:I54"/>
    <mergeCell ref="B55:C55"/>
    <mergeCell ref="D55:E55"/>
    <mergeCell ref="H55:I55"/>
    <mergeCell ref="A62:C74"/>
    <mergeCell ref="D62:F74"/>
    <mergeCell ref="G62:I74"/>
    <mergeCell ref="B56:C56"/>
    <mergeCell ref="D56:E56"/>
    <mergeCell ref="H56:I56"/>
    <mergeCell ref="B57:C57"/>
    <mergeCell ref="D57:E57"/>
    <mergeCell ref="H57:I57"/>
    <mergeCell ref="A59:I59"/>
    <mergeCell ref="A60:I60"/>
    <mergeCell ref="A61:C61"/>
    <mergeCell ref="D61:F61"/>
    <mergeCell ref="G61:I61"/>
    <mergeCell ref="B75:C75"/>
    <mergeCell ref="E75:F75"/>
    <mergeCell ref="H75:I75"/>
    <mergeCell ref="A76:C76"/>
    <mergeCell ref="D76:F76"/>
    <mergeCell ref="G76:I76"/>
    <mergeCell ref="A77:C89"/>
    <mergeCell ref="D77:F89"/>
    <mergeCell ref="G77:I89"/>
    <mergeCell ref="B90:C90"/>
    <mergeCell ref="E90:F90"/>
    <mergeCell ref="H90:I90"/>
    <mergeCell ref="A91:C91"/>
    <mergeCell ref="D91:F91"/>
    <mergeCell ref="G91:I91"/>
    <mergeCell ref="A92:C104"/>
    <mergeCell ref="D92:F104"/>
    <mergeCell ref="G92:I104"/>
    <mergeCell ref="B113:D113"/>
    <mergeCell ref="F113:I113"/>
    <mergeCell ref="B105:C105"/>
    <mergeCell ref="E105:F105"/>
    <mergeCell ref="H105:I105"/>
    <mergeCell ref="A107:I107"/>
    <mergeCell ref="C108:D108"/>
    <mergeCell ref="E108:G108"/>
    <mergeCell ref="C109:D109"/>
    <mergeCell ref="E109:G109"/>
    <mergeCell ref="B110:I110"/>
    <mergeCell ref="A112:D112"/>
    <mergeCell ref="E112:I112"/>
    <mergeCell ref="F117:I117"/>
    <mergeCell ref="B114:D114"/>
    <mergeCell ref="F114:I114"/>
    <mergeCell ref="B115:D115"/>
    <mergeCell ref="F115:I115"/>
    <mergeCell ref="B116:D116"/>
    <mergeCell ref="F116:I116"/>
  </mergeCells>
  <phoneticPr fontId="14" type="noConversion"/>
  <conditionalFormatting sqref="C31:D34">
    <cfRule type="expression" dxfId="4" priority="1">
      <formula>AND(ISNUMBER(C31),C31&gt;50)</formula>
    </cfRule>
  </conditionalFormatting>
  <conditionalFormatting sqref="D7">
    <cfRule type="expression" dxfId="3" priority="3" stopIfTrue="1">
      <formula>AND($D$7&lt;&gt;"",VALUE(LEFT($D$7,1))&lt;5)</formula>
    </cfRule>
    <cfRule type="expression" dxfId="2" priority="4" stopIfTrue="1">
      <formula>AND($D$7&lt;&gt;"",VALUE(LEFT($D$7,1))&gt;=5)</formula>
    </cfRule>
  </conditionalFormatting>
  <conditionalFormatting sqref="E7">
    <cfRule type="expression" dxfId="1" priority="5" stopIfTrue="1">
      <formula>AND($E$7&lt;&gt;"",VALUE(LEFT($E$7,1))&lt;5)</formula>
    </cfRule>
    <cfRule type="expression" dxfId="0" priority="6" stopIfTrue="1">
      <formula>AND($E$7&lt;&gt;"",VALUE(LEFT($E$7,1))&gt;=5)</formula>
    </cfRule>
  </conditionalFormatting>
  <dataValidations count="6">
    <dataValidation type="custom" allowBlank="1" showDropDown="1" showInputMessage="1" showErrorMessage="1" errorTitle="시각 형식 확인" error="0000~2359 범위의 HHMM 숫자로 입력하세요. 분은 00~59입니다." promptTitle="시각 입력(HHMM)" prompt="숫자 4자리로 입력: 1600 → 16:00, 0835 → 08:35" sqref="H16:H27 F16:F27 D16:D27 B16:B27" xr:uid="{82F763FF-97A0-439B-A350-0FFDDCECAFF6}">
      <formula1>OR(B16="",AND(ISNUMBER(B16),B16&gt;=0,B16&lt;=2359,MOD(B16,100)&lt;60))</formula1>
    </dataValidation>
    <dataValidation type="date" allowBlank="1" showInputMessage="1" showErrorMessage="1" errorTitle="날짜 양식" error="2026-09-14 처럼 연-월-일로 적어 주세요. 2026.09.14 는 날짜로 인식되지 않습니다." promptTitle="관측일자" prompt="예: 2026-09-14 (연-월-일, 시각 없이)" sqref="A7" xr:uid="{3C45C7D6-E8CA-490B-B72F-07D3134C0389}">
      <formula1>DATE(2026,1,1)</formula1>
      <formula2>DATE(2027,12,31)</formula2>
    </dataValidation>
    <dataValidation type="list" allowBlank="1" sqref="C7" xr:uid="{D384B898-521A-49E2-8D3C-2A40C20F25A5}">
      <formula1>"맑음,구름 조금,흐림,비,눈,바람 강함"</formula1>
    </dataValidation>
    <dataValidation type="list" allowBlank="1" sqref="H50" xr:uid="{A02DDE3D-F87C-4AD4-8EF4-6FCA107367CD}">
      <formula1>"RTK-GNSS,네트워크RTK,정적GNSS,휴대GNSS"</formula1>
    </dataValidation>
    <dataValidation type="list" allowBlank="1" sqref="B109" xr:uid="{3835504F-A24C-454F-99B3-B578BAAD8C16}">
      <formula1>"동일,조정"</formula1>
    </dataValidation>
    <dataValidation type="list" allowBlank="1" showInputMessage="1" showErrorMessage="1" sqref="F56:F57" xr:uid="{6EB29D33-F72F-410D-9941-2BAA38C3540D}">
      <formula1>"RTK-GNSS,네트워크RTK,정적GNSS,휴대GNSS,기존 성과 이용,보도로 측정"</formula1>
    </dataValidation>
  </dataValidations>
  <pageMargins left="0.4" right="0.4" top="0.55000000000000004" bottom="0.55000000000000004" header="0.25" footer="0.25"/>
  <pageSetup paperSize="9" scale="85" orientation="portrait" r:id="rId1"/>
  <headerFooter>
    <oddHeader>&amp;RS50 함양</oddHeader>
    <oddFooter>&amp;C&amp;9 &amp;P / &amp;N</oddFooter>
  </headerFooter>
  <rowBreaks count="3" manualBreakCount="3">
    <brk id="38" max="16383" man="1"/>
    <brk id="58" max="16383" man="1"/>
    <brk id="10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54</vt:i4>
      </vt:variant>
      <vt:variant>
        <vt:lpstr>이름 지정된 범위</vt:lpstr>
      </vt:variant>
      <vt:variant>
        <vt:i4>253</vt:i4>
      </vt:variant>
    </vt:vector>
  </HeadingPairs>
  <TitlesOfParts>
    <vt:vector size="307" baseType="lpstr">
      <vt:lpstr>⑧a Kp 예보</vt:lpstr>
      <vt:lpstr>⑩ 원문 보관</vt:lpstr>
      <vt:lpstr>⑨ 구배 자동계산</vt:lpstr>
      <vt:lpstr>총괄</vt:lpstr>
      <vt:lpstr>01_태백 신규점</vt:lpstr>
      <vt:lpstr>02_임계 신규점1</vt:lpstr>
      <vt:lpstr>03_예산 신규점2</vt:lpstr>
      <vt:lpstr>04_진안 신규점1</vt:lpstr>
      <vt:lpstr>05_무풍 신규점1</vt:lpstr>
      <vt:lpstr>06_길담 신규점</vt:lpstr>
      <vt:lpstr>07_남해 신규점1</vt:lpstr>
      <vt:lpstr>08_청일 신규점2</vt:lpstr>
      <vt:lpstr>09_어론 신규점</vt:lpstr>
      <vt:lpstr>10_예안 신규점1</vt:lpstr>
      <vt:lpstr>11_소천 신규점4</vt:lpstr>
      <vt:lpstr>12_순창 신규점</vt:lpstr>
      <vt:lpstr>13_순천 신규점</vt:lpstr>
      <vt:lpstr>14_청송 신규점1</vt:lpstr>
      <vt:lpstr>15_의성 신규점</vt:lpstr>
      <vt:lpstr>16_예천 신규점</vt:lpstr>
      <vt:lpstr>17_영양 신규점4</vt:lpstr>
      <vt:lpstr>18_통영 신규점</vt:lpstr>
      <vt:lpstr>19_오호 신규점</vt:lpstr>
      <vt:lpstr>20_보령 신규점2</vt:lpstr>
      <vt:lpstr>21_담양 신규점2</vt:lpstr>
      <vt:lpstr>22_완도 신규점</vt:lpstr>
      <vt:lpstr>23_덕산 신규점1</vt:lpstr>
      <vt:lpstr>24_회천 신규점2</vt:lpstr>
      <vt:lpstr>25_관리 신규점3</vt:lpstr>
      <vt:lpstr>26_고남 신규점2</vt:lpstr>
      <vt:lpstr>27_전의 신규점</vt:lpstr>
      <vt:lpstr>28_이원 신규점</vt:lpstr>
      <vt:lpstr>29_가야 신규점1</vt:lpstr>
      <vt:lpstr>30_창녕 신규점</vt:lpstr>
      <vt:lpstr>31_언양 신규점3</vt:lpstr>
      <vt:lpstr>32_함양 신규점</vt:lpstr>
      <vt:lpstr>33_문산 신규점</vt:lpstr>
      <vt:lpstr>34_부안 신규점</vt:lpstr>
      <vt:lpstr>35_상주</vt:lpstr>
      <vt:lpstr>36_미원</vt:lpstr>
      <vt:lpstr>37_부안</vt:lpstr>
      <vt:lpstr>38_강화</vt:lpstr>
      <vt:lpstr>39_언양</vt:lpstr>
      <vt:lpstr>40_남지</vt:lpstr>
      <vt:lpstr>41_거제</vt:lpstr>
      <vt:lpstr>42_조도</vt:lpstr>
      <vt:lpstr>43_포천</vt:lpstr>
      <vt:lpstr>44_성산</vt:lpstr>
      <vt:lpstr>45_여주</vt:lpstr>
      <vt:lpstr>46_화천</vt:lpstr>
      <vt:lpstr>47_봉평</vt:lpstr>
      <vt:lpstr>48_삼척</vt:lpstr>
      <vt:lpstr>49_제천</vt:lpstr>
      <vt:lpstr>50_함양</vt:lpstr>
      <vt:lpstr>'01_태백 신규점'!KpFix_01</vt:lpstr>
      <vt:lpstr>'02_임계 신규점1'!KpFix_01</vt:lpstr>
      <vt:lpstr>'03_예산 신규점2'!KpFix_01</vt:lpstr>
      <vt:lpstr>'04_진안 신규점1'!KpFix_01</vt:lpstr>
      <vt:lpstr>'05_무풍 신규점1'!KpFix_01</vt:lpstr>
      <vt:lpstr>'06_길담 신규점'!KpFix_01</vt:lpstr>
      <vt:lpstr>'07_남해 신규점1'!KpFix_01</vt:lpstr>
      <vt:lpstr>'08_청일 신규점2'!KpFix_01</vt:lpstr>
      <vt:lpstr>'09_어론 신규점'!KpFix_01</vt:lpstr>
      <vt:lpstr>'10_예안 신규점1'!KpFix_01</vt:lpstr>
      <vt:lpstr>'11_소천 신규점4'!KpFix_01</vt:lpstr>
      <vt:lpstr>'12_순창 신규점'!KpFix_01</vt:lpstr>
      <vt:lpstr>'13_순천 신규점'!KpFix_01</vt:lpstr>
      <vt:lpstr>'14_청송 신규점1'!KpFix_01</vt:lpstr>
      <vt:lpstr>'15_의성 신규점'!KpFix_01</vt:lpstr>
      <vt:lpstr>'16_예천 신규점'!KpFix_01</vt:lpstr>
      <vt:lpstr>'17_영양 신규점4'!KpFix_01</vt:lpstr>
      <vt:lpstr>'18_통영 신규점'!KpFix_01</vt:lpstr>
      <vt:lpstr>'19_오호 신규점'!KpFix_01</vt:lpstr>
      <vt:lpstr>'20_보령 신규점2'!KpFix_01</vt:lpstr>
      <vt:lpstr>'21_담양 신규점2'!KpFix_01</vt:lpstr>
      <vt:lpstr>'22_완도 신규점'!KpFix_01</vt:lpstr>
      <vt:lpstr>'23_덕산 신규점1'!KpFix_01</vt:lpstr>
      <vt:lpstr>'24_회천 신규점2'!KpFix_01</vt:lpstr>
      <vt:lpstr>'25_관리 신규점3'!KpFix_01</vt:lpstr>
      <vt:lpstr>'26_고남 신규점2'!KpFix_01</vt:lpstr>
      <vt:lpstr>'27_전의 신규점'!KpFix_01</vt:lpstr>
      <vt:lpstr>'28_이원 신규점'!KpFix_01</vt:lpstr>
      <vt:lpstr>'29_가야 신규점1'!KpFix_01</vt:lpstr>
      <vt:lpstr>'30_창녕 신규점'!KpFix_01</vt:lpstr>
      <vt:lpstr>'31_언양 신규점3'!KpFix_01</vt:lpstr>
      <vt:lpstr>'32_함양 신규점'!KpFix_01</vt:lpstr>
      <vt:lpstr>'33_문산 신규점'!KpFix_01</vt:lpstr>
      <vt:lpstr>'34_부안 신규점'!KpFix_01</vt:lpstr>
      <vt:lpstr>'35_상주'!KpFix_01</vt:lpstr>
      <vt:lpstr>'36_미원'!KpFix_01</vt:lpstr>
      <vt:lpstr>'37_부안'!KpFix_01</vt:lpstr>
      <vt:lpstr>'38_강화'!KpFix_01</vt:lpstr>
      <vt:lpstr>'39_언양'!KpFix_01</vt:lpstr>
      <vt:lpstr>'40_남지'!KpFix_01</vt:lpstr>
      <vt:lpstr>'41_거제'!KpFix_01</vt:lpstr>
      <vt:lpstr>'42_조도'!KpFix_01</vt:lpstr>
      <vt:lpstr>'43_포천'!KpFix_01</vt:lpstr>
      <vt:lpstr>'44_성산'!KpFix_01</vt:lpstr>
      <vt:lpstr>'45_여주'!KpFix_01</vt:lpstr>
      <vt:lpstr>'46_화천'!KpFix_01</vt:lpstr>
      <vt:lpstr>'47_봉평'!KpFix_01</vt:lpstr>
      <vt:lpstr>'48_삼척'!KpFix_01</vt:lpstr>
      <vt:lpstr>'49_제천'!KpFix_01</vt:lpstr>
      <vt:lpstr>'50_함양'!KpFix_01</vt:lpstr>
      <vt:lpstr>'01_태백 신규점'!KpPre27_01</vt:lpstr>
      <vt:lpstr>'02_임계 신규점1'!KpPre27_01</vt:lpstr>
      <vt:lpstr>'03_예산 신규점2'!KpPre27_01</vt:lpstr>
      <vt:lpstr>'04_진안 신규점1'!KpPre27_01</vt:lpstr>
      <vt:lpstr>'05_무풍 신규점1'!KpPre27_01</vt:lpstr>
      <vt:lpstr>'06_길담 신규점'!KpPre27_01</vt:lpstr>
      <vt:lpstr>'07_남해 신규점1'!KpPre27_01</vt:lpstr>
      <vt:lpstr>'08_청일 신규점2'!KpPre27_01</vt:lpstr>
      <vt:lpstr>'09_어론 신규점'!KpPre27_01</vt:lpstr>
      <vt:lpstr>'10_예안 신규점1'!KpPre27_01</vt:lpstr>
      <vt:lpstr>'11_소천 신규점4'!KpPre27_01</vt:lpstr>
      <vt:lpstr>'12_순창 신규점'!KpPre27_01</vt:lpstr>
      <vt:lpstr>'13_순천 신규점'!KpPre27_01</vt:lpstr>
      <vt:lpstr>'14_청송 신규점1'!KpPre27_01</vt:lpstr>
      <vt:lpstr>'15_의성 신규점'!KpPre27_01</vt:lpstr>
      <vt:lpstr>'16_예천 신규점'!KpPre27_01</vt:lpstr>
      <vt:lpstr>'17_영양 신규점4'!KpPre27_01</vt:lpstr>
      <vt:lpstr>'18_통영 신규점'!KpPre27_01</vt:lpstr>
      <vt:lpstr>'19_오호 신규점'!KpPre27_01</vt:lpstr>
      <vt:lpstr>'20_보령 신규점2'!KpPre27_01</vt:lpstr>
      <vt:lpstr>'21_담양 신규점2'!KpPre27_01</vt:lpstr>
      <vt:lpstr>'22_완도 신규점'!KpPre27_01</vt:lpstr>
      <vt:lpstr>'23_덕산 신규점1'!KpPre27_01</vt:lpstr>
      <vt:lpstr>'24_회천 신규점2'!KpPre27_01</vt:lpstr>
      <vt:lpstr>'25_관리 신규점3'!KpPre27_01</vt:lpstr>
      <vt:lpstr>'26_고남 신규점2'!KpPre27_01</vt:lpstr>
      <vt:lpstr>'27_전의 신규점'!KpPre27_01</vt:lpstr>
      <vt:lpstr>'28_이원 신규점'!KpPre27_01</vt:lpstr>
      <vt:lpstr>'29_가야 신규점1'!KpPre27_01</vt:lpstr>
      <vt:lpstr>'30_창녕 신규점'!KpPre27_01</vt:lpstr>
      <vt:lpstr>'31_언양 신규점3'!KpPre27_01</vt:lpstr>
      <vt:lpstr>'32_함양 신규점'!KpPre27_01</vt:lpstr>
      <vt:lpstr>'33_문산 신규점'!KpPre27_01</vt:lpstr>
      <vt:lpstr>'34_부안 신규점'!KpPre27_01</vt:lpstr>
      <vt:lpstr>'35_상주'!KpPre27_01</vt:lpstr>
      <vt:lpstr>'36_미원'!KpPre27_01</vt:lpstr>
      <vt:lpstr>'37_부안'!KpPre27_01</vt:lpstr>
      <vt:lpstr>'38_강화'!KpPre27_01</vt:lpstr>
      <vt:lpstr>'39_언양'!KpPre27_01</vt:lpstr>
      <vt:lpstr>'40_남지'!KpPre27_01</vt:lpstr>
      <vt:lpstr>'41_거제'!KpPre27_01</vt:lpstr>
      <vt:lpstr>'42_조도'!KpPre27_01</vt:lpstr>
      <vt:lpstr>'43_포천'!KpPre27_01</vt:lpstr>
      <vt:lpstr>'44_성산'!KpPre27_01</vt:lpstr>
      <vt:lpstr>'45_여주'!KpPre27_01</vt:lpstr>
      <vt:lpstr>'46_화천'!KpPre27_01</vt:lpstr>
      <vt:lpstr>'47_봉평'!KpPre27_01</vt:lpstr>
      <vt:lpstr>'48_삼척'!KpPre27_01</vt:lpstr>
      <vt:lpstr>'49_제천'!KpPre27_01</vt:lpstr>
      <vt:lpstr>'50_함양'!KpPre27_01</vt:lpstr>
      <vt:lpstr>'01_태백 신규점'!KpPre3_01</vt:lpstr>
      <vt:lpstr>'02_임계 신규점1'!KpPre3_01</vt:lpstr>
      <vt:lpstr>'03_예산 신규점2'!KpPre3_01</vt:lpstr>
      <vt:lpstr>'04_진안 신규점1'!KpPre3_01</vt:lpstr>
      <vt:lpstr>'05_무풍 신규점1'!KpPre3_01</vt:lpstr>
      <vt:lpstr>'06_길담 신규점'!KpPre3_01</vt:lpstr>
      <vt:lpstr>'07_남해 신규점1'!KpPre3_01</vt:lpstr>
      <vt:lpstr>'08_청일 신규점2'!KpPre3_01</vt:lpstr>
      <vt:lpstr>'09_어론 신규점'!KpPre3_01</vt:lpstr>
      <vt:lpstr>'10_예안 신규점1'!KpPre3_01</vt:lpstr>
      <vt:lpstr>'11_소천 신규점4'!KpPre3_01</vt:lpstr>
      <vt:lpstr>'12_순창 신규점'!KpPre3_01</vt:lpstr>
      <vt:lpstr>'13_순천 신규점'!KpPre3_01</vt:lpstr>
      <vt:lpstr>'14_청송 신규점1'!KpPre3_01</vt:lpstr>
      <vt:lpstr>'15_의성 신규점'!KpPre3_01</vt:lpstr>
      <vt:lpstr>'16_예천 신규점'!KpPre3_01</vt:lpstr>
      <vt:lpstr>'17_영양 신규점4'!KpPre3_01</vt:lpstr>
      <vt:lpstr>'18_통영 신규점'!KpPre3_01</vt:lpstr>
      <vt:lpstr>'19_오호 신규점'!KpPre3_01</vt:lpstr>
      <vt:lpstr>'20_보령 신규점2'!KpPre3_01</vt:lpstr>
      <vt:lpstr>'21_담양 신규점2'!KpPre3_01</vt:lpstr>
      <vt:lpstr>'22_완도 신규점'!KpPre3_01</vt:lpstr>
      <vt:lpstr>'23_덕산 신규점1'!KpPre3_01</vt:lpstr>
      <vt:lpstr>'24_회천 신규점2'!KpPre3_01</vt:lpstr>
      <vt:lpstr>'25_관리 신규점3'!KpPre3_01</vt:lpstr>
      <vt:lpstr>'26_고남 신규점2'!KpPre3_01</vt:lpstr>
      <vt:lpstr>'27_전의 신규점'!KpPre3_01</vt:lpstr>
      <vt:lpstr>'28_이원 신규점'!KpPre3_01</vt:lpstr>
      <vt:lpstr>'29_가야 신규점1'!KpPre3_01</vt:lpstr>
      <vt:lpstr>'30_창녕 신규점'!KpPre3_01</vt:lpstr>
      <vt:lpstr>'31_언양 신규점3'!KpPre3_01</vt:lpstr>
      <vt:lpstr>'32_함양 신규점'!KpPre3_01</vt:lpstr>
      <vt:lpstr>'33_문산 신규점'!KpPre3_01</vt:lpstr>
      <vt:lpstr>'34_부안 신규점'!KpPre3_01</vt:lpstr>
      <vt:lpstr>'35_상주'!KpPre3_01</vt:lpstr>
      <vt:lpstr>'36_미원'!KpPre3_01</vt:lpstr>
      <vt:lpstr>'37_부안'!KpPre3_01</vt:lpstr>
      <vt:lpstr>'38_강화'!KpPre3_01</vt:lpstr>
      <vt:lpstr>'39_언양'!KpPre3_01</vt:lpstr>
      <vt:lpstr>'40_남지'!KpPre3_01</vt:lpstr>
      <vt:lpstr>'41_거제'!KpPre3_01</vt:lpstr>
      <vt:lpstr>'42_조도'!KpPre3_01</vt:lpstr>
      <vt:lpstr>'43_포천'!KpPre3_01</vt:lpstr>
      <vt:lpstr>'44_성산'!KpPre3_01</vt:lpstr>
      <vt:lpstr>'45_여주'!KpPre3_01</vt:lpstr>
      <vt:lpstr>'46_화천'!KpPre3_01</vt:lpstr>
      <vt:lpstr>'47_봉평'!KpPre3_01</vt:lpstr>
      <vt:lpstr>'48_삼척'!KpPre3_01</vt:lpstr>
      <vt:lpstr>'49_제천'!KpPre3_01</vt:lpstr>
      <vt:lpstr>'50_함양'!KpPre3_01</vt:lpstr>
      <vt:lpstr>'⑧a Kp 예보'!NOAA_27day_outlook</vt:lpstr>
      <vt:lpstr>'⑧a Kp 예보'!NOAA_3day_forecast</vt:lpstr>
      <vt:lpstr>'01_태백 신규점'!Print_Area</vt:lpstr>
      <vt:lpstr>'02_임계 신규점1'!Print_Area</vt:lpstr>
      <vt:lpstr>'03_예산 신규점2'!Print_Area</vt:lpstr>
      <vt:lpstr>'04_진안 신규점1'!Print_Area</vt:lpstr>
      <vt:lpstr>'05_무풍 신규점1'!Print_Area</vt:lpstr>
      <vt:lpstr>'06_길담 신규점'!Print_Area</vt:lpstr>
      <vt:lpstr>'07_남해 신규점1'!Print_Area</vt:lpstr>
      <vt:lpstr>'08_청일 신규점2'!Print_Area</vt:lpstr>
      <vt:lpstr>'09_어론 신규점'!Print_Area</vt:lpstr>
      <vt:lpstr>'10_예안 신규점1'!Print_Area</vt:lpstr>
      <vt:lpstr>'11_소천 신규점4'!Print_Area</vt:lpstr>
      <vt:lpstr>'12_순창 신규점'!Print_Area</vt:lpstr>
      <vt:lpstr>'13_순천 신규점'!Print_Area</vt:lpstr>
      <vt:lpstr>'14_청송 신규점1'!Print_Area</vt:lpstr>
      <vt:lpstr>'15_의성 신규점'!Print_Area</vt:lpstr>
      <vt:lpstr>'16_예천 신규점'!Print_Area</vt:lpstr>
      <vt:lpstr>'17_영양 신규점4'!Print_Area</vt:lpstr>
      <vt:lpstr>'18_통영 신규점'!Print_Area</vt:lpstr>
      <vt:lpstr>'19_오호 신규점'!Print_Area</vt:lpstr>
      <vt:lpstr>'20_보령 신규점2'!Print_Area</vt:lpstr>
      <vt:lpstr>'21_담양 신규점2'!Print_Area</vt:lpstr>
      <vt:lpstr>'22_완도 신규점'!Print_Area</vt:lpstr>
      <vt:lpstr>'23_덕산 신규점1'!Print_Area</vt:lpstr>
      <vt:lpstr>'24_회천 신규점2'!Print_Area</vt:lpstr>
      <vt:lpstr>'25_관리 신규점3'!Print_Area</vt:lpstr>
      <vt:lpstr>'26_고남 신규점2'!Print_Area</vt:lpstr>
      <vt:lpstr>'27_전의 신규점'!Print_Area</vt:lpstr>
      <vt:lpstr>'28_이원 신규점'!Print_Area</vt:lpstr>
      <vt:lpstr>'29_가야 신규점1'!Print_Area</vt:lpstr>
      <vt:lpstr>'30_창녕 신규점'!Print_Area</vt:lpstr>
      <vt:lpstr>'31_언양 신규점3'!Print_Area</vt:lpstr>
      <vt:lpstr>'32_함양 신규점'!Print_Area</vt:lpstr>
      <vt:lpstr>'33_문산 신규점'!Print_Area</vt:lpstr>
      <vt:lpstr>'34_부안 신규점'!Print_Area</vt:lpstr>
      <vt:lpstr>'35_상주'!Print_Area</vt:lpstr>
      <vt:lpstr>'36_미원'!Print_Area</vt:lpstr>
      <vt:lpstr>'37_부안'!Print_Area</vt:lpstr>
      <vt:lpstr>'38_강화'!Print_Area</vt:lpstr>
      <vt:lpstr>'39_언양'!Print_Area</vt:lpstr>
      <vt:lpstr>'40_남지'!Print_Area</vt:lpstr>
      <vt:lpstr>'41_거제'!Print_Area</vt:lpstr>
      <vt:lpstr>'42_조도'!Print_Area</vt:lpstr>
      <vt:lpstr>'43_포천'!Print_Area</vt:lpstr>
      <vt:lpstr>'44_성산'!Print_Area</vt:lpstr>
      <vt:lpstr>'45_여주'!Print_Area</vt:lpstr>
      <vt:lpstr>'46_화천'!Print_Area</vt:lpstr>
      <vt:lpstr>'47_봉평'!Print_Area</vt:lpstr>
      <vt:lpstr>'48_삼척'!Print_Area</vt:lpstr>
      <vt:lpstr>'49_제천'!Print_Area</vt:lpstr>
      <vt:lpstr>'50_함양'!Print_Area</vt:lpstr>
      <vt:lpstr>'⑨ 구배 자동계산'!Print_Area</vt:lpstr>
      <vt:lpstr>'01_태백 신규점'!Print_Titles</vt:lpstr>
      <vt:lpstr>'02_임계 신규점1'!Print_Titles</vt:lpstr>
      <vt:lpstr>'03_예산 신규점2'!Print_Titles</vt:lpstr>
      <vt:lpstr>'04_진안 신규점1'!Print_Titles</vt:lpstr>
      <vt:lpstr>'05_무풍 신규점1'!Print_Titles</vt:lpstr>
      <vt:lpstr>'06_길담 신규점'!Print_Titles</vt:lpstr>
      <vt:lpstr>'07_남해 신규점1'!Print_Titles</vt:lpstr>
      <vt:lpstr>'08_청일 신규점2'!Print_Titles</vt:lpstr>
      <vt:lpstr>'09_어론 신규점'!Print_Titles</vt:lpstr>
      <vt:lpstr>'10_예안 신규점1'!Print_Titles</vt:lpstr>
      <vt:lpstr>'11_소천 신규점4'!Print_Titles</vt:lpstr>
      <vt:lpstr>'12_순창 신규점'!Print_Titles</vt:lpstr>
      <vt:lpstr>'13_순천 신규점'!Print_Titles</vt:lpstr>
      <vt:lpstr>'14_청송 신규점1'!Print_Titles</vt:lpstr>
      <vt:lpstr>'15_의성 신규점'!Print_Titles</vt:lpstr>
      <vt:lpstr>'16_예천 신규점'!Print_Titles</vt:lpstr>
      <vt:lpstr>'17_영양 신규점4'!Print_Titles</vt:lpstr>
      <vt:lpstr>'18_통영 신규점'!Print_Titles</vt:lpstr>
      <vt:lpstr>'19_오호 신규점'!Print_Titles</vt:lpstr>
      <vt:lpstr>'20_보령 신규점2'!Print_Titles</vt:lpstr>
      <vt:lpstr>'21_담양 신규점2'!Print_Titles</vt:lpstr>
      <vt:lpstr>'22_완도 신규점'!Print_Titles</vt:lpstr>
      <vt:lpstr>'23_덕산 신규점1'!Print_Titles</vt:lpstr>
      <vt:lpstr>'24_회천 신규점2'!Print_Titles</vt:lpstr>
      <vt:lpstr>'25_관리 신규점3'!Print_Titles</vt:lpstr>
      <vt:lpstr>'26_고남 신규점2'!Print_Titles</vt:lpstr>
      <vt:lpstr>'27_전의 신규점'!Print_Titles</vt:lpstr>
      <vt:lpstr>'28_이원 신규점'!Print_Titles</vt:lpstr>
      <vt:lpstr>'29_가야 신규점1'!Print_Titles</vt:lpstr>
      <vt:lpstr>'30_창녕 신규점'!Print_Titles</vt:lpstr>
      <vt:lpstr>'31_언양 신규점3'!Print_Titles</vt:lpstr>
      <vt:lpstr>'32_함양 신규점'!Print_Titles</vt:lpstr>
      <vt:lpstr>'33_문산 신규점'!Print_Titles</vt:lpstr>
      <vt:lpstr>'34_부안 신규점'!Print_Titles</vt:lpstr>
      <vt:lpstr>'35_상주'!Print_Titles</vt:lpstr>
      <vt:lpstr>'36_미원'!Print_Titles</vt:lpstr>
      <vt:lpstr>'37_부안'!Print_Titles</vt:lpstr>
      <vt:lpstr>'38_강화'!Print_Titles</vt:lpstr>
      <vt:lpstr>'39_언양'!Print_Titles</vt:lpstr>
      <vt:lpstr>'40_남지'!Print_Titles</vt:lpstr>
      <vt:lpstr>'41_거제'!Print_Titles</vt:lpstr>
      <vt:lpstr>'42_조도'!Print_Titles</vt:lpstr>
      <vt:lpstr>'43_포천'!Print_Titles</vt:lpstr>
      <vt:lpstr>'44_성산'!Print_Titles</vt:lpstr>
      <vt:lpstr>'45_여주'!Print_Titles</vt:lpstr>
      <vt:lpstr>'46_화천'!Print_Titles</vt:lpstr>
      <vt:lpstr>'47_봉평'!Print_Titles</vt:lpstr>
      <vt:lpstr>'48_삼척'!Print_Titles</vt:lpstr>
      <vt:lpstr>'49_제천'!Print_Titles</vt:lpstr>
      <vt:lpstr>'50_함양'!Print_Titles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YOONS</cp:lastModifiedBy>
  <cp:lastPrinted>2026-09-14T13:08:50Z</cp:lastPrinted>
  <dcterms:created xsi:type="dcterms:W3CDTF">2026-09-14T06:16:36Z</dcterms:created>
  <dcterms:modified xsi:type="dcterms:W3CDTF">2026-09-21T15:23:43Z</dcterms:modified>
</cp:coreProperties>
</file>