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osaf\Desktop\Septimo\Metodos\Primer parcial\T7 Aplicaciones\"/>
    </mc:Choice>
  </mc:AlternateContent>
  <xr:revisionPtr revIDLastSave="0" documentId="13_ncr:1_{E49AEF7D-85E3-435C-9439-D37A6C0A2D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rtada" sheetId="1" r:id="rId1"/>
    <sheet name="P1" sheetId="12" r:id="rId2"/>
    <sheet name="P2" sheetId="9" r:id="rId3"/>
    <sheet name="P3" sheetId="10" r:id="rId4"/>
    <sheet name="P4" sheetId="11" r:id="rId5"/>
    <sheet name="P5a" sheetId="14" r:id="rId6"/>
    <sheet name="P5b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14" l="1"/>
  <c r="I58" i="14"/>
  <c r="I57" i="14"/>
  <c r="I56" i="14"/>
  <c r="I55" i="14"/>
  <c r="E56" i="14"/>
  <c r="E57" i="14"/>
  <c r="E58" i="14"/>
  <c r="E59" i="14"/>
  <c r="E55" i="14"/>
  <c r="C60" i="14"/>
  <c r="C56" i="14"/>
  <c r="C55" i="14"/>
  <c r="D33" i="14"/>
  <c r="C31" i="14"/>
  <c r="D30" i="14"/>
  <c r="D32" i="14" s="1"/>
  <c r="E30" i="14"/>
  <c r="E31" i="14" s="1"/>
  <c r="F30" i="14"/>
  <c r="F33" i="14" s="1"/>
  <c r="G30" i="14"/>
  <c r="G33" i="14" s="1"/>
  <c r="H30" i="14"/>
  <c r="H32" i="14" s="1"/>
  <c r="I30" i="14"/>
  <c r="I31" i="14" s="1"/>
  <c r="C30" i="14"/>
  <c r="C33" i="14" s="1"/>
  <c r="J23" i="14"/>
  <c r="J24" i="14"/>
  <c r="J25" i="14"/>
  <c r="J22" i="14"/>
  <c r="E35" i="11"/>
  <c r="E36" i="11"/>
  <c r="E34" i="11"/>
  <c r="D23" i="11"/>
  <c r="E23" i="11"/>
  <c r="E24" i="11" s="1"/>
  <c r="F23" i="11"/>
  <c r="F24" i="11" s="1"/>
  <c r="G23" i="11"/>
  <c r="G24" i="11" s="1"/>
  <c r="C23" i="11"/>
  <c r="C22" i="11" s="1"/>
  <c r="C23" i="9"/>
  <c r="D23" i="9"/>
  <c r="H16" i="11"/>
  <c r="H17" i="11"/>
  <c r="K50" i="15"/>
  <c r="K52" i="15"/>
  <c r="I43" i="15"/>
  <c r="C48" i="15" s="1"/>
  <c r="K51" i="15"/>
  <c r="K48" i="15"/>
  <c r="K49" i="15"/>
  <c r="C54" i="15"/>
  <c r="E41" i="15"/>
  <c r="F41" i="15"/>
  <c r="G41" i="15"/>
  <c r="H41" i="15"/>
  <c r="H39" i="15" s="1"/>
  <c r="I41" i="15"/>
  <c r="C41" i="15"/>
  <c r="D41" i="15"/>
  <c r="E43" i="15"/>
  <c r="E44" i="15" s="1"/>
  <c r="E42" i="15"/>
  <c r="F42" i="15"/>
  <c r="G42" i="15"/>
  <c r="I42" i="15"/>
  <c r="C42" i="15"/>
  <c r="D42" i="15"/>
  <c r="E39" i="15"/>
  <c r="F39" i="15"/>
  <c r="F43" i="15" s="1"/>
  <c r="G39" i="15"/>
  <c r="G43" i="15" s="1"/>
  <c r="I39" i="15"/>
  <c r="C39" i="15"/>
  <c r="C43" i="15" s="1"/>
  <c r="C44" i="15" s="1"/>
  <c r="D39" i="15"/>
  <c r="D43" i="15" s="1"/>
  <c r="J32" i="15"/>
  <c r="J34" i="15"/>
  <c r="J31" i="15"/>
  <c r="D35" i="15"/>
  <c r="E35" i="15"/>
  <c r="F35" i="15"/>
  <c r="G35" i="15"/>
  <c r="H35" i="15"/>
  <c r="C35" i="15"/>
  <c r="D34" i="15"/>
  <c r="E34" i="15"/>
  <c r="F34" i="15"/>
  <c r="G34" i="15"/>
  <c r="H34" i="15"/>
  <c r="I34" i="15"/>
  <c r="C34" i="15"/>
  <c r="D33" i="15"/>
  <c r="E33" i="15"/>
  <c r="F33" i="15"/>
  <c r="G33" i="15"/>
  <c r="H33" i="15"/>
  <c r="I33" i="15"/>
  <c r="J33" i="15" s="1"/>
  <c r="C33" i="15"/>
  <c r="D32" i="15"/>
  <c r="E32" i="15"/>
  <c r="F32" i="15"/>
  <c r="G32" i="15"/>
  <c r="H32" i="15"/>
  <c r="I32" i="15"/>
  <c r="C32" i="15"/>
  <c r="D31" i="15"/>
  <c r="E31" i="15"/>
  <c r="F31" i="15"/>
  <c r="G31" i="15"/>
  <c r="H31" i="15"/>
  <c r="I31" i="15"/>
  <c r="C31" i="15"/>
  <c r="E36" i="15"/>
  <c r="D28" i="15"/>
  <c r="E28" i="15"/>
  <c r="H28" i="15"/>
  <c r="C28" i="15"/>
  <c r="D27" i="15"/>
  <c r="E27" i="15"/>
  <c r="F27" i="15"/>
  <c r="F28" i="15" s="1"/>
  <c r="G27" i="15"/>
  <c r="G28" i="15" s="1"/>
  <c r="H27" i="15"/>
  <c r="C27" i="15"/>
  <c r="G34" i="10"/>
  <c r="H34" i="10"/>
  <c r="I34" i="10"/>
  <c r="I35" i="10" s="1"/>
  <c r="C40" i="10" s="1"/>
  <c r="C34" i="10"/>
  <c r="D34" i="10"/>
  <c r="E34" i="10"/>
  <c r="E35" i="10" s="1"/>
  <c r="E36" i="10" s="1"/>
  <c r="F34" i="10"/>
  <c r="G35" i="10"/>
  <c r="F28" i="10"/>
  <c r="C29" i="10"/>
  <c r="H41" i="10"/>
  <c r="H42" i="10"/>
  <c r="C44" i="10"/>
  <c r="D35" i="10"/>
  <c r="D36" i="10" s="1"/>
  <c r="H35" i="10"/>
  <c r="C35" i="10"/>
  <c r="C36" i="10" s="1"/>
  <c r="G33" i="10"/>
  <c r="H33" i="10"/>
  <c r="I33" i="10"/>
  <c r="C33" i="10"/>
  <c r="D33" i="10"/>
  <c r="E33" i="10"/>
  <c r="J28" i="10"/>
  <c r="D29" i="10"/>
  <c r="E29" i="10"/>
  <c r="F29" i="10"/>
  <c r="G29" i="10"/>
  <c r="H29" i="10"/>
  <c r="C24" i="10"/>
  <c r="E27" i="10"/>
  <c r="F27" i="10"/>
  <c r="F33" i="10" s="1"/>
  <c r="G27" i="10"/>
  <c r="H27" i="10"/>
  <c r="I27" i="10"/>
  <c r="C27" i="10"/>
  <c r="D27" i="10"/>
  <c r="E28" i="10"/>
  <c r="G28" i="10"/>
  <c r="H28" i="10"/>
  <c r="I28" i="10"/>
  <c r="C28" i="10"/>
  <c r="D28" i="10"/>
  <c r="D24" i="10"/>
  <c r="J22" i="10"/>
  <c r="J21" i="10"/>
  <c r="G35" i="9"/>
  <c r="G34" i="9"/>
  <c r="C33" i="9"/>
  <c r="G33" i="9"/>
  <c r="C35" i="9"/>
  <c r="C34" i="9"/>
  <c r="E29" i="9"/>
  <c r="F29" i="9"/>
  <c r="G29" i="9"/>
  <c r="C29" i="9"/>
  <c r="C27" i="9"/>
  <c r="E27" i="9"/>
  <c r="F27" i="9"/>
  <c r="G27" i="9"/>
  <c r="D28" i="9"/>
  <c r="D29" i="9" s="1"/>
  <c r="E28" i="9"/>
  <c r="F28" i="9"/>
  <c r="G28" i="9"/>
  <c r="C28" i="9"/>
  <c r="H23" i="9"/>
  <c r="H22" i="9"/>
  <c r="D24" i="9"/>
  <c r="E24" i="9"/>
  <c r="F24" i="9"/>
  <c r="G24" i="9"/>
  <c r="C24" i="9"/>
  <c r="E23" i="9"/>
  <c r="F23" i="9"/>
  <c r="G23" i="9"/>
  <c r="D22" i="9"/>
  <c r="E22" i="9"/>
  <c r="F22" i="9"/>
  <c r="G22" i="9"/>
  <c r="C22" i="9"/>
  <c r="H18" i="9"/>
  <c r="H17" i="9"/>
  <c r="F28" i="12"/>
  <c r="E28" i="12"/>
  <c r="D28" i="12"/>
  <c r="C28" i="12"/>
  <c r="H31" i="14" l="1"/>
  <c r="F31" i="14"/>
  <c r="H33" i="14"/>
  <c r="G32" i="14"/>
  <c r="D31" i="14"/>
  <c r="J31" i="14"/>
  <c r="I34" i="14"/>
  <c r="E34" i="14"/>
  <c r="G31" i="14"/>
  <c r="C32" i="14"/>
  <c r="F32" i="14"/>
  <c r="I33" i="14"/>
  <c r="E33" i="14"/>
  <c r="E41" i="14" s="1"/>
  <c r="E39" i="14" s="1"/>
  <c r="H34" i="14"/>
  <c r="D34" i="14"/>
  <c r="J30" i="14"/>
  <c r="I32" i="14"/>
  <c r="E32" i="14"/>
  <c r="G34" i="14"/>
  <c r="C34" i="14"/>
  <c r="F34" i="14"/>
  <c r="G22" i="11"/>
  <c r="F22" i="11"/>
  <c r="C24" i="11"/>
  <c r="D24" i="11"/>
  <c r="E22" i="11"/>
  <c r="D22" i="11"/>
  <c r="D28" i="11" s="1"/>
  <c r="D29" i="11" s="1"/>
  <c r="H23" i="11"/>
  <c r="D27" i="9"/>
  <c r="H43" i="15"/>
  <c r="H44" i="15" s="1"/>
  <c r="H42" i="15"/>
  <c r="G44" i="15"/>
  <c r="D44" i="15"/>
  <c r="F44" i="15"/>
  <c r="H36" i="15"/>
  <c r="D36" i="15"/>
  <c r="G36" i="15"/>
  <c r="F36" i="15"/>
  <c r="C36" i="15"/>
  <c r="F35" i="10"/>
  <c r="F36" i="10" s="1"/>
  <c r="J27" i="10"/>
  <c r="J32" i="14" l="1"/>
  <c r="E38" i="14"/>
  <c r="C41" i="14"/>
  <c r="C42" i="14" s="1"/>
  <c r="D41" i="14"/>
  <c r="D40" i="14" s="1"/>
  <c r="D48" i="14" s="1"/>
  <c r="F41" i="14"/>
  <c r="G42" i="14"/>
  <c r="D42" i="14"/>
  <c r="D50" i="14" s="1"/>
  <c r="E49" i="14"/>
  <c r="G41" i="14"/>
  <c r="J33" i="14"/>
  <c r="I41" i="14"/>
  <c r="I42" i="14" s="1"/>
  <c r="I50" i="14" s="1"/>
  <c r="C57" i="14" s="1"/>
  <c r="F42" i="14"/>
  <c r="E40" i="14"/>
  <c r="H42" i="14"/>
  <c r="C40" i="14"/>
  <c r="E42" i="14"/>
  <c r="H41" i="14"/>
  <c r="G28" i="11"/>
  <c r="C35" i="11" s="1"/>
  <c r="F28" i="11"/>
  <c r="F29" i="11" s="1"/>
  <c r="F30" i="11"/>
  <c r="H22" i="11"/>
  <c r="G29" i="11"/>
  <c r="C34" i="11" s="1"/>
  <c r="E28" i="11"/>
  <c r="E29" i="11" s="1"/>
  <c r="G30" i="11"/>
  <c r="C36" i="11" s="1"/>
  <c r="D30" i="11"/>
  <c r="I40" i="14" l="1"/>
  <c r="H49" i="14"/>
  <c r="H40" i="14"/>
  <c r="H48" i="14" s="1"/>
  <c r="H39" i="14"/>
  <c r="H38" i="14"/>
  <c r="E48" i="14"/>
  <c r="G49" i="14"/>
  <c r="G38" i="14"/>
  <c r="G40" i="14"/>
  <c r="G48" i="14" s="1"/>
  <c r="F49" i="14"/>
  <c r="F38" i="14"/>
  <c r="F39" i="14"/>
  <c r="J41" i="14"/>
  <c r="I49" i="14"/>
  <c r="C58" i="14" s="1"/>
  <c r="I38" i="14"/>
  <c r="I39" i="14"/>
  <c r="C39" i="14"/>
  <c r="C38" i="14"/>
  <c r="H50" i="14"/>
  <c r="G50" i="14"/>
  <c r="E50" i="14"/>
  <c r="F50" i="14"/>
  <c r="G39" i="14"/>
  <c r="F40" i="14"/>
  <c r="F48" i="14" s="1"/>
  <c r="D49" i="14"/>
  <c r="D38" i="14"/>
  <c r="D39" i="14"/>
  <c r="E30" i="11"/>
  <c r="H35" i="11"/>
  <c r="H34" i="11"/>
  <c r="H36" i="11"/>
  <c r="J40" i="14" l="1"/>
  <c r="I48" i="14"/>
  <c r="J39" i="14"/>
  <c r="J38" i="14"/>
</calcChain>
</file>

<file path=xl/sharedStrings.xml><?xml version="1.0" encoding="utf-8"?>
<sst xmlns="http://schemas.openxmlformats.org/spreadsheetml/2006/main" count="380" uniqueCount="131">
  <si>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</si>
  <si>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</si>
  <si>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</si>
  <si>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</si>
  <si>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</si>
  <si>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</si>
  <si>
    <t>A: Cantidad de Modelo 1</t>
  </si>
  <si>
    <t>B: Cantidad de Modelo 2</t>
  </si>
  <si>
    <t>Maximizar Z: Ingreso</t>
  </si>
  <si>
    <t>Z = 120A + 80B</t>
  </si>
  <si>
    <t>r1: 2A + B &lt;= 6</t>
  </si>
  <si>
    <t>r2: 7A + 8B &lt;= 28</t>
  </si>
  <si>
    <t>r3,r4: A,B &gt;= 0</t>
  </si>
  <si>
    <t>Máximo en (2.22, 1.5)</t>
  </si>
  <si>
    <t>Sin embargo, no hay biombos en decimales</t>
  </si>
  <si>
    <t>Por lo tanto, 2 del Modelo 1 y 1 del Modelo 2</t>
  </si>
  <si>
    <t>A y B son enteros</t>
  </si>
  <si>
    <t>2A + B = 6</t>
  </si>
  <si>
    <t>7A + 8B = 28</t>
  </si>
  <si>
    <t>A = 0</t>
  </si>
  <si>
    <t>B = 0</t>
  </si>
  <si>
    <t>r1</t>
  </si>
  <si>
    <t>r2</t>
  </si>
  <si>
    <t>r3</t>
  </si>
  <si>
    <t>r4</t>
  </si>
  <si>
    <t>r1,r2</t>
  </si>
  <si>
    <t>r1,r3</t>
  </si>
  <si>
    <t>r1,r4</t>
  </si>
  <si>
    <t>r2,r3</t>
  </si>
  <si>
    <t>r2,r4</t>
  </si>
  <si>
    <t>r3,r4</t>
  </si>
  <si>
    <t>A</t>
  </si>
  <si>
    <t>B</t>
  </si>
  <si>
    <t>Cumple</t>
  </si>
  <si>
    <t>No cumple</t>
  </si>
  <si>
    <t>Z</t>
  </si>
  <si>
    <t>A=</t>
  </si>
  <si>
    <t>2,22</t>
  </si>
  <si>
    <t>B=</t>
  </si>
  <si>
    <t>No hay biombos en decimales, se redondea hacia abajo</t>
  </si>
  <si>
    <t>Z: Ingreso</t>
  </si>
  <si>
    <t>A: Número de auditorías</t>
  </si>
  <si>
    <t>L: Número de liquidaciones</t>
  </si>
  <si>
    <t>Z = 300A + 100L</t>
  </si>
  <si>
    <t>40A + 8L &lt;= 800</t>
  </si>
  <si>
    <t>10A + 5L &lt;= 320</t>
  </si>
  <si>
    <t>A,L &gt;= 0</t>
  </si>
  <si>
    <t>40A + 8L + h1 = 800</t>
  </si>
  <si>
    <t>10A + 5L + h2 = 320</t>
  </si>
  <si>
    <t xml:space="preserve">Z = 300A+100L + 0h1 + 0h2 </t>
  </si>
  <si>
    <t>Tienen escalas diferentes, pero s aprecia mejor en el segundo, el primero muestra el valor</t>
  </si>
  <si>
    <t>h1</t>
  </si>
  <si>
    <t>h2</t>
  </si>
  <si>
    <t>Zj</t>
  </si>
  <si>
    <t>Cociente</t>
  </si>
  <si>
    <t>h1/40</t>
  </si>
  <si>
    <t>h2 - 10A</t>
  </si>
  <si>
    <t>Zj + 300A</t>
  </si>
  <si>
    <t>h2 / 3</t>
  </si>
  <si>
    <t>A - 0.2B</t>
  </si>
  <si>
    <t>Zj + 40B</t>
  </si>
  <si>
    <t>Ya no hay negativos en Zj</t>
  </si>
  <si>
    <t>L</t>
  </si>
  <si>
    <t>Máximo es 7600 en A=12 y L=40</t>
  </si>
  <si>
    <t>Concuerda con el simplex</t>
  </si>
  <si>
    <t>Minimizar Z: Costo</t>
  </si>
  <si>
    <t>0.02T + 0.03 P &gt;= 0.36</t>
  </si>
  <si>
    <t>Z = 500P + 2000T</t>
  </si>
  <si>
    <t>0.03T + 0.06P &gt;= 0.6</t>
  </si>
  <si>
    <t>T &gt;= 0</t>
  </si>
  <si>
    <t>P &gt;= 0</t>
  </si>
  <si>
    <t>0.03T + 0.06P -h2 + A2 = 0.6</t>
  </si>
  <si>
    <t>0.02T + 0.03P -h1 + A1 = 0.36</t>
  </si>
  <si>
    <t>A1</t>
  </si>
  <si>
    <t>A2</t>
  </si>
  <si>
    <t>500P + 2000T + 0h1 + 0h2 + M*A1 + M*A2</t>
  </si>
  <si>
    <t>T</t>
  </si>
  <si>
    <t>P</t>
  </si>
  <si>
    <t>Cj</t>
  </si>
  <si>
    <t>M</t>
  </si>
  <si>
    <t>CJ - Zj</t>
  </si>
  <si>
    <t>0.05M</t>
  </si>
  <si>
    <t>0.09M</t>
  </si>
  <si>
    <t>-M</t>
  </si>
  <si>
    <t>Cj-Zj</t>
  </si>
  <si>
    <t>1750-0.005M</t>
  </si>
  <si>
    <t>8333.33-0.5M</t>
  </si>
  <si>
    <t>-8333.33+1.5M</t>
  </si>
  <si>
    <t>Cj -Zj</t>
  </si>
  <si>
    <t>M-16666.66</t>
  </si>
  <si>
    <t>Ya no hay negativos en Cj - Zj</t>
  </si>
  <si>
    <t>Minimizar Z: Combustible</t>
  </si>
  <si>
    <t>A: Combustible de A</t>
  </si>
  <si>
    <t>B: Combustible de B</t>
  </si>
  <si>
    <t>Z=900A + 700B</t>
  </si>
  <si>
    <t>A+B &gt;= 60</t>
  </si>
  <si>
    <t>A+B &lt;= 200</t>
  </si>
  <si>
    <t>A &gt;= B</t>
  </si>
  <si>
    <t>A &lt;= 120</t>
  </si>
  <si>
    <t>-A-B &lt;= -60</t>
  </si>
  <si>
    <t>-A &lt;= -B</t>
  </si>
  <si>
    <t>-A-B + h1 = -60</t>
  </si>
  <si>
    <t>A+B + h2 = 200</t>
  </si>
  <si>
    <t>A + h4 &lt;= 120</t>
  </si>
  <si>
    <t>Z=900A + 700B + 0h1 + 0h2 + 0h3 + 0h4</t>
  </si>
  <si>
    <t>h3</t>
  </si>
  <si>
    <t>h4</t>
  </si>
  <si>
    <t>A,B &gt;=0</t>
  </si>
  <si>
    <t>Coeficientes</t>
  </si>
  <si>
    <t>Cj - Zj</t>
  </si>
  <si>
    <t>Cocientes</t>
  </si>
  <si>
    <t>-A + B + h3 &lt;= 0</t>
  </si>
  <si>
    <t>A: bicicletas de paseo</t>
  </si>
  <si>
    <t>B: bicicletas de montaña</t>
  </si>
  <si>
    <t>Z = 2000A + 1500B</t>
  </si>
  <si>
    <t>A + 2B &lt;= 80</t>
  </si>
  <si>
    <t>3A + 2B &lt;= 120</t>
  </si>
  <si>
    <t>A,B &gt;= 0</t>
  </si>
  <si>
    <t>A + 2B + h1 = 80</t>
  </si>
  <si>
    <t>3A + 2B + h2 = 120</t>
  </si>
  <si>
    <t>Z = 2000A + 1500B + 0h1 + 0h2</t>
  </si>
  <si>
    <t>Máximo es 85000 en A=20 y B=30</t>
  </si>
  <si>
    <t>Máximo en (20,30)</t>
  </si>
  <si>
    <t>A: Avión A</t>
  </si>
  <si>
    <t>B: Avión B</t>
  </si>
  <si>
    <t>Z=30000A + 20000B</t>
  </si>
  <si>
    <t>Z=30000A + 20000B + 0h1 + 0h2 + 0h3 + 0h4</t>
  </si>
  <si>
    <t>A + h4 = 120</t>
  </si>
  <si>
    <t>-A + h3 + B =0</t>
  </si>
  <si>
    <t>Máximo es 5200000 en A=120 y B=80</t>
  </si>
  <si>
    <t>Máximo en (120,80)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</si>
</sst>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quotePrefix="1"/>
    <xf numFmtId="0" fontId="0" fillId="0" borderId="0" xfId="0" applyAlignment="1">
      <alignment vertical="top"/>
    </xf>
    <xf numFmtId="0" fontId="0" fillId="4" borderId="0" xfId="0" applyFill="1"/>
    <xf numFmtId="0" fontId="0" fillId="4" borderId="0" xfId="0" quotePrefix="1" applyFont="1" applyFill="1"/>
    <xf numFmtId="0" fontId="0" fillId="0" borderId="0" xfId="0" applyFill="1"/>
    <xf numFmtId="0" fontId="2" fillId="0" borderId="0" xfId="0" applyFont="1"/>
    <xf numFmtId="0" fontId="2" fillId="0" borderId="0" xfId="0" quotePrefix="1" applyFont="1"/>
    <xf numFmtId="0" fontId="2" fillId="4" borderId="0" xfId="0" applyFont="1" applyFill="1"/>
    <xf numFmtId="0" fontId="2" fillId="0" borderId="0" xfId="0" applyFont="1" applyFill="1"/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0</xdr:rowOff>
    </xdr:from>
    <xdr:to>
      <xdr:col>8</xdr:col>
      <xdr:colOff>591349</xdr:colOff>
      <xdr:row>7</xdr:row>
      <xdr:rowOff>124002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A44A69-EE31-40BA-A972-4C5848B3D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190500"/>
          <a:ext cx="5725324" cy="126700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16</xdr:col>
      <xdr:colOff>543533</xdr:colOff>
      <xdr:row>24</xdr:row>
      <xdr:rowOff>76769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CDF945-B699-4572-BF5C-B0A0C0D7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571500"/>
          <a:ext cx="4353533" cy="40772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7</xdr:col>
      <xdr:colOff>648499</xdr:colOff>
      <xdr:row>9</xdr:row>
      <xdr:rowOff>28790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CD30D4-0B34-4D2A-80BF-23EBB0723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00025"/>
          <a:ext cx="5725324" cy="1543265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752475</xdr:colOff>
      <xdr:row>1</xdr:row>
      <xdr:rowOff>0</xdr:rowOff>
    </xdr:from>
    <xdr:to>
      <xdr:col>14</xdr:col>
      <xdr:colOff>209550</xdr:colOff>
      <xdr:row>20</xdr:row>
      <xdr:rowOff>104775</xdr:rowOff>
    </xdr:to>
    <xdr:pic>
      <xdr:nvPicPr>
        <xdr:cNvPr id="3" name="Imagen 2" descr="Descripción no disponible.">
          <a:extLst>
            <a:ext uri="{FF2B5EF4-FFF2-40B4-BE49-F238E27FC236}">
              <a16:creationId xmlns:a16="http://schemas.microsoft.com/office/drawing/2014/main" id="{BEE4BB0B-052C-4FD3-920B-FBD5F54D3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90500"/>
          <a:ext cx="2505075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727363</xdr:colOff>
      <xdr:row>1</xdr:row>
      <xdr:rowOff>1</xdr:rowOff>
    </xdr:from>
    <xdr:to>
      <xdr:col>20</xdr:col>
      <xdr:colOff>544076</xdr:colOff>
      <xdr:row>22</xdr:row>
      <xdr:rowOff>12989</xdr:rowOff>
    </xdr:to>
    <xdr:pic>
      <xdr:nvPicPr>
        <xdr:cNvPr id="4" name="Imagen 3" descr="Descripción no disponible.">
          <a:extLst>
            <a:ext uri="{FF2B5EF4-FFF2-40B4-BE49-F238E27FC236}">
              <a16:creationId xmlns:a16="http://schemas.microsoft.com/office/drawing/2014/main" id="{708D6EDE-E8ED-4734-A363-ADBB36E4E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7590" y="190501"/>
          <a:ext cx="4388713" cy="4013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47625</xdr:rowOff>
    </xdr:from>
    <xdr:to>
      <xdr:col>6</xdr:col>
      <xdr:colOff>581828</xdr:colOff>
      <xdr:row>10</xdr:row>
      <xdr:rowOff>95523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AD7229-C657-4230-BF79-50CA4D581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47625"/>
          <a:ext cx="5753903" cy="1952898"/>
        </a:xfrm>
        <a:prstGeom prst="rect">
          <a:avLst/>
        </a:prstGeom>
      </xdr:spPr>
    </xdr:pic>
    <xdr:clientData/>
  </xdr:twoCellAnchor>
  <xdr:twoCellAnchor editAs="oneCell">
    <xdr:from>
      <xdr:col>10</xdr:col>
      <xdr:colOff>724436</xdr:colOff>
      <xdr:row>16</xdr:row>
      <xdr:rowOff>308557</xdr:rowOff>
    </xdr:from>
    <xdr:to>
      <xdr:col>16</xdr:col>
      <xdr:colOff>746615</xdr:colOff>
      <xdr:row>33</xdr:row>
      <xdr:rowOff>40246</xdr:rowOff>
    </xdr:to>
    <xdr:pic>
      <xdr:nvPicPr>
        <xdr:cNvPr id="3" name="Imagen 2" descr="Descripción no disponible.">
          <a:extLst>
            <a:ext uri="{FF2B5EF4-FFF2-40B4-BE49-F238E27FC236}">
              <a16:creationId xmlns:a16="http://schemas.microsoft.com/office/drawing/2014/main" id="{BA6D5EEA-5C54-43E3-9CA4-78A8CF3C7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0880" y="3313627"/>
          <a:ext cx="4610277" cy="3085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438956</xdr:colOff>
      <xdr:row>4</xdr:row>
      <xdr:rowOff>85817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40CE4168-030A-4937-8717-1B7BD51D0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772956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</xdr:row>
      <xdr:rowOff>9525</xdr:rowOff>
    </xdr:from>
    <xdr:to>
      <xdr:col>8</xdr:col>
      <xdr:colOff>391293</xdr:colOff>
      <xdr:row>6</xdr:row>
      <xdr:rowOff>57210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9A8B8AF0-75B1-4B9E-BE63-EA12FCE8D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075" y="771525"/>
          <a:ext cx="5506218" cy="428685"/>
        </a:xfrm>
        <a:prstGeom prst="rect">
          <a:avLst/>
        </a:prstGeom>
      </xdr:spPr>
    </xdr:pic>
    <xdr:clientData/>
  </xdr:twoCellAnchor>
  <xdr:twoCellAnchor editAs="oneCell">
    <xdr:from>
      <xdr:col>8</xdr:col>
      <xdr:colOff>742627</xdr:colOff>
      <xdr:row>12</xdr:row>
      <xdr:rowOff>177584</xdr:rowOff>
    </xdr:from>
    <xdr:to>
      <xdr:col>13</xdr:col>
      <xdr:colOff>322881</xdr:colOff>
      <xdr:row>33</xdr:row>
      <xdr:rowOff>4534</xdr:rowOff>
    </xdr:to>
    <xdr:pic>
      <xdr:nvPicPr>
        <xdr:cNvPr id="5" name="Imagen 4" descr="No hay descripción disponible.">
          <a:extLst>
            <a:ext uri="{FF2B5EF4-FFF2-40B4-BE49-F238E27FC236}">
              <a16:creationId xmlns:a16="http://schemas.microsoft.com/office/drawing/2014/main" id="{6BE9A0A7-8505-4C57-B6B5-07E22629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2796" y="2502330"/>
          <a:ext cx="3374110" cy="389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556433</xdr:colOff>
      <xdr:row>10</xdr:row>
      <xdr:rowOff>47871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BEBC55-F7E8-49EB-92FF-80E72D75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84150"/>
          <a:ext cx="5919008" cy="1762371"/>
        </a:xfrm>
        <a:prstGeom prst="rect">
          <a:avLst/>
        </a:prstGeom>
      </xdr:spPr>
    </xdr:pic>
    <xdr:clientData/>
  </xdr:twoCellAnchor>
  <xdr:twoCellAnchor editAs="oneCell">
    <xdr:from>
      <xdr:col>0</xdr:col>
      <xdr:colOff>744400</xdr:colOff>
      <xdr:row>64</xdr:row>
      <xdr:rowOff>12423</xdr:rowOff>
    </xdr:from>
    <xdr:to>
      <xdr:col>7</xdr:col>
      <xdr:colOff>16565</xdr:colOff>
      <xdr:row>87</xdr:row>
      <xdr:rowOff>56112</xdr:rowOff>
    </xdr:to>
    <xdr:pic>
      <xdr:nvPicPr>
        <xdr:cNvPr id="3" name="Imagen 2" descr="No hay descripción disponible.">
          <a:extLst>
            <a:ext uri="{FF2B5EF4-FFF2-40B4-BE49-F238E27FC236}">
              <a16:creationId xmlns:a16="http://schemas.microsoft.com/office/drawing/2014/main" id="{FA176D0F-88B1-4232-80DF-73B94847B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400" y="12204423"/>
          <a:ext cx="4606165" cy="4425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238933</xdr:colOff>
      <xdr:row>10</xdr:row>
      <xdr:rowOff>47871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A78441-4FF1-41F7-BF5D-F70171CDC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792008" cy="17623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</xdr:row>
      <xdr:rowOff>9525</xdr:rowOff>
    </xdr:from>
    <xdr:to>
      <xdr:col>26</xdr:col>
      <xdr:colOff>677643</xdr:colOff>
      <xdr:row>35</xdr:row>
      <xdr:rowOff>96166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2E238F49-73A4-4785-8883-444756BE4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9850" y="200025"/>
          <a:ext cx="9802593" cy="6563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"/>
  <sheetViews>
    <sheetView tabSelected="1" workbookViewId="0">
      <selection activeCell="F8" sqref="F8"/>
    </sheetView>
  </sheetViews>
  <sheetFormatPr baseColWidth="10" defaultColWidth="9.140625" defaultRowHeight="15" x14ac:dyDescent="0.25"/>
  <cols>
    <col min="2" max="2" width="32" bestFit="1" customWidth="1"/>
    <col min="4" max="4" width="29.42578125" bestFit="1" customWidth="1"/>
  </cols>
  <sheetData>
    <row r="2" spans="2:4" ht="15.75" x14ac:dyDescent="0.25">
      <c r="B2" s="1" t="s">
        <v>0</v>
      </c>
      <c r="D2" s="1" t="s">
        <v>1</v>
      </c>
    </row>
    <row r="3" spans="2:4" ht="15.75" x14ac:dyDescent="0.25">
      <c r="B3" s="1" t="s">
        <v>2</v>
      </c>
      <c r="D3" s="1" t="s">
        <v>3</v>
      </c>
    </row>
    <row r="4" spans="2:4" ht="15.75" x14ac:dyDescent="0.25">
      <c r="B4" s="1" t="s">
        <v>4</v>
      </c>
      <c r="D4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D223-83A3-46B6-B303-23908702B000}">
  <dimension ref="A9:L32"/>
  <sheetViews>
    <sheetView topLeftCell="A10" zoomScale="90" zoomScaleNormal="90" workbookViewId="0">
      <selection activeCell="L26" sqref="L26"/>
    </sheetView>
  </sheetViews>
  <sheetFormatPr baseColWidth="10" defaultRowHeight="15" x14ac:dyDescent="0.25"/>
  <cols>
    <col min="10" max="10" width="11.42578125" style="2"/>
  </cols>
  <sheetData>
    <row r="9" spans="1:7" x14ac:dyDescent="0.25">
      <c r="B9" t="s">
        <v>8</v>
      </c>
      <c r="E9" t="s">
        <v>9</v>
      </c>
      <c r="G9" t="s">
        <v>16</v>
      </c>
    </row>
    <row r="10" spans="1:7" x14ac:dyDescent="0.25">
      <c r="B10" t="s">
        <v>6</v>
      </c>
      <c r="E10" t="s">
        <v>10</v>
      </c>
    </row>
    <row r="11" spans="1:7" x14ac:dyDescent="0.25">
      <c r="B11" t="s">
        <v>7</v>
      </c>
      <c r="E11" t="s">
        <v>11</v>
      </c>
    </row>
    <row r="12" spans="1:7" x14ac:dyDescent="0.25">
      <c r="E12" t="s">
        <v>12</v>
      </c>
    </row>
    <row r="14" spans="1:7" x14ac:dyDescent="0.25">
      <c r="A14" t="s">
        <v>21</v>
      </c>
      <c r="B14" t="s">
        <v>17</v>
      </c>
    </row>
    <row r="15" spans="1:7" x14ac:dyDescent="0.25">
      <c r="A15" t="s">
        <v>22</v>
      </c>
      <c r="B15" t="s">
        <v>18</v>
      </c>
    </row>
    <row r="16" spans="1:7" x14ac:dyDescent="0.25">
      <c r="A16" t="s">
        <v>23</v>
      </c>
      <c r="B16" t="s">
        <v>19</v>
      </c>
    </row>
    <row r="17" spans="1:12" x14ac:dyDescent="0.25">
      <c r="A17" t="s">
        <v>24</v>
      </c>
      <c r="B17" t="s">
        <v>20</v>
      </c>
    </row>
    <row r="19" spans="1:12" x14ac:dyDescent="0.25">
      <c r="C19" t="s">
        <v>31</v>
      </c>
      <c r="D19" t="s">
        <v>32</v>
      </c>
      <c r="E19" t="s">
        <v>21</v>
      </c>
      <c r="F19" t="s">
        <v>22</v>
      </c>
      <c r="G19" t="s">
        <v>23</v>
      </c>
      <c r="H19" t="s">
        <v>24</v>
      </c>
    </row>
    <row r="20" spans="1:12" x14ac:dyDescent="0.25">
      <c r="B20" t="s">
        <v>25</v>
      </c>
      <c r="C20" s="3">
        <v>2.2222222222222223</v>
      </c>
      <c r="D20" s="3">
        <v>1.5555555555555556</v>
      </c>
      <c r="E20" s="2"/>
      <c r="F20" s="2"/>
      <c r="G20" t="s">
        <v>33</v>
      </c>
      <c r="H20" t="s">
        <v>33</v>
      </c>
    </row>
    <row r="21" spans="1:12" x14ac:dyDescent="0.25">
      <c r="B21" t="s">
        <v>26</v>
      </c>
      <c r="C21" s="3">
        <v>0</v>
      </c>
      <c r="D21" s="3">
        <v>6</v>
      </c>
      <c r="E21" s="2"/>
      <c r="F21" t="s">
        <v>34</v>
      </c>
      <c r="G21" s="2"/>
      <c r="H21" t="s">
        <v>33</v>
      </c>
    </row>
    <row r="22" spans="1:12" x14ac:dyDescent="0.25">
      <c r="B22" t="s">
        <v>27</v>
      </c>
      <c r="C22" s="3">
        <v>3</v>
      </c>
      <c r="D22" s="3">
        <v>0</v>
      </c>
      <c r="E22" s="2"/>
      <c r="F22" t="s">
        <v>33</v>
      </c>
      <c r="G22" t="s">
        <v>33</v>
      </c>
      <c r="H22" s="2"/>
    </row>
    <row r="23" spans="1:12" x14ac:dyDescent="0.25">
      <c r="B23" t="s">
        <v>28</v>
      </c>
      <c r="C23" s="3">
        <v>0</v>
      </c>
      <c r="D23" s="3">
        <v>3.5</v>
      </c>
      <c r="E23" t="s">
        <v>33</v>
      </c>
      <c r="F23" s="2"/>
      <c r="G23" s="2"/>
      <c r="H23" t="s">
        <v>33</v>
      </c>
    </row>
    <row r="24" spans="1:12" x14ac:dyDescent="0.25">
      <c r="B24" t="s">
        <v>29</v>
      </c>
      <c r="C24" s="3">
        <v>4</v>
      </c>
      <c r="D24" s="3">
        <v>0</v>
      </c>
      <c r="E24" t="s">
        <v>34</v>
      </c>
      <c r="F24" s="2"/>
      <c r="G24" t="s">
        <v>33</v>
      </c>
      <c r="H24" s="2"/>
    </row>
    <row r="25" spans="1:12" x14ac:dyDescent="0.25">
      <c r="B25" t="s">
        <v>30</v>
      </c>
      <c r="C25" s="3">
        <v>0</v>
      </c>
      <c r="D25" s="3">
        <v>0</v>
      </c>
      <c r="E25" t="s">
        <v>33</v>
      </c>
      <c r="F25" t="s">
        <v>33</v>
      </c>
      <c r="G25" s="2"/>
      <c r="H25" s="2"/>
    </row>
    <row r="26" spans="1:12" x14ac:dyDescent="0.25">
      <c r="L26" t="s">
        <v>13</v>
      </c>
    </row>
    <row r="27" spans="1:12" x14ac:dyDescent="0.25">
      <c r="C27" t="s">
        <v>25</v>
      </c>
      <c r="D27" t="s">
        <v>28</v>
      </c>
      <c r="E27" t="s">
        <v>27</v>
      </c>
      <c r="F27" t="s">
        <v>30</v>
      </c>
      <c r="L27" t="s">
        <v>14</v>
      </c>
    </row>
    <row r="28" spans="1:12" x14ac:dyDescent="0.25">
      <c r="B28" t="s">
        <v>35</v>
      </c>
      <c r="C28" s="2">
        <f xml:space="preserve"> 120 * C20 + 80 * D20</f>
        <v>391.11111111111114</v>
      </c>
      <c r="D28">
        <f xml:space="preserve"> 120 * C23 + 80 * D23</f>
        <v>280</v>
      </c>
      <c r="E28">
        <f xml:space="preserve"> 120 * C22 + 80 * D22</f>
        <v>360</v>
      </c>
      <c r="F28">
        <f xml:space="preserve"> 120 * C25 + 80 * D25</f>
        <v>0</v>
      </c>
      <c r="L28" t="s">
        <v>15</v>
      </c>
    </row>
    <row r="30" spans="1:12" x14ac:dyDescent="0.25">
      <c r="B30" t="s">
        <v>36</v>
      </c>
      <c r="C30" t="s">
        <v>37</v>
      </c>
      <c r="E30" t="s">
        <v>38</v>
      </c>
      <c r="F30">
        <v>1.56</v>
      </c>
    </row>
    <row r="31" spans="1:12" x14ac:dyDescent="0.25">
      <c r="B31" t="s">
        <v>39</v>
      </c>
    </row>
    <row r="32" spans="1:12" x14ac:dyDescent="0.25">
      <c r="B32" t="s">
        <v>36</v>
      </c>
      <c r="C32">
        <v>2</v>
      </c>
      <c r="E32" t="s">
        <v>38</v>
      </c>
      <c r="F3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B070-5C8A-4BAF-84CB-D6611D614024}">
  <dimension ref="A11:L39"/>
  <sheetViews>
    <sheetView topLeftCell="A18" zoomScaleNormal="100" workbookViewId="0">
      <selection activeCell="I34" sqref="I34"/>
    </sheetView>
  </sheetViews>
  <sheetFormatPr baseColWidth="10" defaultRowHeight="15" x14ac:dyDescent="0.25"/>
  <cols>
    <col min="2" max="2" width="13.85546875" customWidth="1"/>
    <col min="3" max="3" width="13.5703125" customWidth="1"/>
    <col min="5" max="5" width="14.5703125" customWidth="1"/>
    <col min="10" max="10" width="11.42578125" style="5"/>
  </cols>
  <sheetData>
    <row r="11" spans="2:8" x14ac:dyDescent="0.25">
      <c r="B11" t="s">
        <v>40</v>
      </c>
      <c r="E11" t="s">
        <v>43</v>
      </c>
      <c r="G11" t="s">
        <v>49</v>
      </c>
    </row>
    <row r="12" spans="2:8" x14ac:dyDescent="0.25">
      <c r="B12" t="s">
        <v>41</v>
      </c>
      <c r="D12" s="4" t="s">
        <v>21</v>
      </c>
      <c r="E12" t="s">
        <v>44</v>
      </c>
      <c r="F12" s="4"/>
      <c r="G12" t="s">
        <v>47</v>
      </c>
    </row>
    <row r="13" spans="2:8" x14ac:dyDescent="0.25">
      <c r="B13" t="s">
        <v>42</v>
      </c>
      <c r="D13" s="4" t="s">
        <v>22</v>
      </c>
      <c r="E13" t="s">
        <v>45</v>
      </c>
      <c r="F13" s="4"/>
      <c r="G13" t="s">
        <v>48</v>
      </c>
    </row>
    <row r="14" spans="2:8" x14ac:dyDescent="0.25">
      <c r="D14" s="4" t="s">
        <v>30</v>
      </c>
      <c r="E14" t="s">
        <v>46</v>
      </c>
      <c r="F14" s="4"/>
    </row>
    <row r="16" spans="2:8" x14ac:dyDescent="0.25">
      <c r="C16" t="s">
        <v>31</v>
      </c>
      <c r="D16" s="4" t="s">
        <v>62</v>
      </c>
      <c r="E16" t="s">
        <v>51</v>
      </c>
      <c r="F16" t="s">
        <v>52</v>
      </c>
      <c r="H16" t="s">
        <v>54</v>
      </c>
    </row>
    <row r="17" spans="1:12" x14ac:dyDescent="0.25">
      <c r="B17" t="s">
        <v>51</v>
      </c>
      <c r="C17" s="5">
        <v>40</v>
      </c>
      <c r="D17" s="5">
        <v>8</v>
      </c>
      <c r="E17" s="5">
        <v>1</v>
      </c>
      <c r="F17" s="5">
        <v>0</v>
      </c>
      <c r="G17" s="5">
        <v>800</v>
      </c>
      <c r="H17">
        <f>G17/C17</f>
        <v>20</v>
      </c>
    </row>
    <row r="18" spans="1:12" x14ac:dyDescent="0.25">
      <c r="B18" t="s">
        <v>52</v>
      </c>
      <c r="C18" s="5">
        <v>10</v>
      </c>
      <c r="D18">
        <v>5</v>
      </c>
      <c r="E18">
        <v>0</v>
      </c>
      <c r="F18">
        <v>1</v>
      </c>
      <c r="G18">
        <v>320</v>
      </c>
      <c r="H18">
        <f>G18/C18</f>
        <v>32</v>
      </c>
    </row>
    <row r="19" spans="1:12" x14ac:dyDescent="0.25">
      <c r="B19" t="s">
        <v>53</v>
      </c>
      <c r="C19" s="5">
        <v>-300</v>
      </c>
      <c r="D19">
        <v>-100</v>
      </c>
      <c r="E19">
        <v>0</v>
      </c>
      <c r="F19">
        <v>0</v>
      </c>
      <c r="G19">
        <v>0</v>
      </c>
    </row>
    <row r="21" spans="1:12" x14ac:dyDescent="0.25">
      <c r="C21" t="s">
        <v>31</v>
      </c>
      <c r="D21" t="s">
        <v>62</v>
      </c>
      <c r="E21" t="s">
        <v>51</v>
      </c>
      <c r="F21" t="s">
        <v>52</v>
      </c>
      <c r="H21" t="s">
        <v>54</v>
      </c>
    </row>
    <row r="22" spans="1:12" x14ac:dyDescent="0.25">
      <c r="A22" t="s">
        <v>55</v>
      </c>
      <c r="B22" t="s">
        <v>31</v>
      </c>
      <c r="C22">
        <f>C17/40</f>
        <v>1</v>
      </c>
      <c r="D22" s="5">
        <f t="shared" ref="D22:G22" si="0">D17/40</f>
        <v>0.2</v>
      </c>
      <c r="E22">
        <f t="shared" si="0"/>
        <v>2.5000000000000001E-2</v>
      </c>
      <c r="F22">
        <f t="shared" si="0"/>
        <v>0</v>
      </c>
      <c r="G22">
        <f t="shared" si="0"/>
        <v>20</v>
      </c>
      <c r="H22">
        <f>G22/D22</f>
        <v>100</v>
      </c>
    </row>
    <row r="23" spans="1:12" x14ac:dyDescent="0.25">
      <c r="A23" t="s">
        <v>56</v>
      </c>
      <c r="B23" t="s">
        <v>52</v>
      </c>
      <c r="C23" s="5">
        <f>C18 - 10*C22</f>
        <v>0</v>
      </c>
      <c r="D23" s="5">
        <f>D18 - 10*D22</f>
        <v>3</v>
      </c>
      <c r="E23" s="5">
        <f>E18 - 10*E22</f>
        <v>-0.25</v>
      </c>
      <c r="F23" s="5">
        <f>F18 - 10*F22</f>
        <v>1</v>
      </c>
      <c r="G23" s="5">
        <f>G18 - 10*G22</f>
        <v>120</v>
      </c>
      <c r="H23">
        <f>G23/D23</f>
        <v>40</v>
      </c>
      <c r="L23" t="s">
        <v>50</v>
      </c>
    </row>
    <row r="24" spans="1:12" x14ac:dyDescent="0.25">
      <c r="A24" t="s">
        <v>57</v>
      </c>
      <c r="B24" t="s">
        <v>53</v>
      </c>
      <c r="C24">
        <f>C19 + 300*C22</f>
        <v>0</v>
      </c>
      <c r="D24" s="5">
        <f t="shared" ref="D24:G24" si="1">D19 + 300*D22</f>
        <v>-40</v>
      </c>
      <c r="E24">
        <f t="shared" si="1"/>
        <v>7.5</v>
      </c>
      <c r="F24">
        <f t="shared" si="1"/>
        <v>0</v>
      </c>
      <c r="G24">
        <f t="shared" si="1"/>
        <v>6000</v>
      </c>
    </row>
    <row r="25" spans="1:12" x14ac:dyDescent="0.25">
      <c r="L25" t="s">
        <v>63</v>
      </c>
    </row>
    <row r="26" spans="1:12" x14ac:dyDescent="0.25">
      <c r="C26" t="s">
        <v>31</v>
      </c>
      <c r="D26" t="s">
        <v>62</v>
      </c>
      <c r="E26" t="s">
        <v>51</v>
      </c>
      <c r="F26" t="s">
        <v>52</v>
      </c>
      <c r="L26" t="s">
        <v>64</v>
      </c>
    </row>
    <row r="27" spans="1:12" x14ac:dyDescent="0.25">
      <c r="A27" t="s">
        <v>59</v>
      </c>
      <c r="B27" t="s">
        <v>31</v>
      </c>
      <c r="C27">
        <f>C22 - 0.2</f>
        <v>0.8</v>
      </c>
      <c r="D27">
        <f t="shared" ref="D27:G27" si="2">D22 - 0.2 * D28</f>
        <v>0</v>
      </c>
      <c r="E27">
        <f t="shared" si="2"/>
        <v>4.1666666666666671E-2</v>
      </c>
      <c r="F27">
        <f t="shared" si="2"/>
        <v>-6.6666666666666666E-2</v>
      </c>
      <c r="G27">
        <f t="shared" si="2"/>
        <v>12</v>
      </c>
    </row>
    <row r="28" spans="1:12" x14ac:dyDescent="0.25">
      <c r="A28" t="s">
        <v>58</v>
      </c>
      <c r="B28" t="s">
        <v>32</v>
      </c>
      <c r="C28">
        <f>C23/3</f>
        <v>0</v>
      </c>
      <c r="D28">
        <f t="shared" ref="D28:G28" si="3">D23/3</f>
        <v>1</v>
      </c>
      <c r="E28">
        <f t="shared" si="3"/>
        <v>-8.3333333333333329E-2</v>
      </c>
      <c r="F28">
        <f t="shared" si="3"/>
        <v>0.33333333333333331</v>
      </c>
      <c r="G28">
        <f t="shared" si="3"/>
        <v>40</v>
      </c>
    </row>
    <row r="29" spans="1:12" x14ac:dyDescent="0.25">
      <c r="A29" t="s">
        <v>60</v>
      </c>
      <c r="B29" t="s">
        <v>53</v>
      </c>
      <c r="C29">
        <f>C24 + 40 *C28</f>
        <v>0</v>
      </c>
      <c r="D29">
        <f t="shared" ref="D29:G29" si="4">D24 + 40 *D28</f>
        <v>0</v>
      </c>
      <c r="E29">
        <f t="shared" si="4"/>
        <v>4.166666666666667</v>
      </c>
      <c r="F29">
        <f t="shared" si="4"/>
        <v>13.333333333333332</v>
      </c>
      <c r="G29">
        <f t="shared" si="4"/>
        <v>7600</v>
      </c>
    </row>
    <row r="31" spans="1:12" x14ac:dyDescent="0.25">
      <c r="B31" t="s">
        <v>61</v>
      </c>
    </row>
    <row r="33" spans="2:7" x14ac:dyDescent="0.25">
      <c r="B33" t="s">
        <v>31</v>
      </c>
      <c r="C33">
        <f>G27</f>
        <v>12</v>
      </c>
      <c r="E33" t="s">
        <v>49</v>
      </c>
      <c r="G33">
        <f xml:space="preserve"> 300 *C33 + 100 * C34</f>
        <v>7600</v>
      </c>
    </row>
    <row r="34" spans="2:7" x14ac:dyDescent="0.25">
      <c r="B34" t="s">
        <v>62</v>
      </c>
      <c r="C34">
        <f>G28</f>
        <v>40</v>
      </c>
      <c r="E34" t="s">
        <v>47</v>
      </c>
      <c r="G34">
        <f xml:space="preserve"> 40 * C33 + 8 * C34 + C36</f>
        <v>800</v>
      </c>
    </row>
    <row r="35" spans="2:7" x14ac:dyDescent="0.25">
      <c r="B35" t="s">
        <v>35</v>
      </c>
      <c r="C35">
        <f>G29</f>
        <v>7600</v>
      </c>
      <c r="E35" t="s">
        <v>48</v>
      </c>
      <c r="G35">
        <f xml:space="preserve"> 10 * C33 + 5 * C34 + C37</f>
        <v>320</v>
      </c>
    </row>
    <row r="36" spans="2:7" x14ac:dyDescent="0.25">
      <c r="B36" t="s">
        <v>51</v>
      </c>
      <c r="C36">
        <v>0</v>
      </c>
    </row>
    <row r="37" spans="2:7" x14ac:dyDescent="0.25">
      <c r="B37" t="s">
        <v>52</v>
      </c>
      <c r="C37">
        <v>0</v>
      </c>
    </row>
    <row r="39" spans="2:7" x14ac:dyDescent="0.25">
      <c r="B39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B893-A5C6-4AA6-AE28-EB27337DE9F9}">
  <dimension ref="B12:L63"/>
  <sheetViews>
    <sheetView topLeftCell="A8" zoomScale="71" zoomScaleNormal="71" workbookViewId="0">
      <selection activeCell="G37" sqref="G37"/>
    </sheetView>
  </sheetViews>
  <sheetFormatPr baseColWidth="10" defaultRowHeight="15" x14ac:dyDescent="0.25"/>
  <cols>
    <col min="2" max="2" width="19.140625" bestFit="1" customWidth="1"/>
    <col min="4" max="4" width="24.28515625" bestFit="1" customWidth="1"/>
    <col min="6" max="6" width="14.5703125" bestFit="1" customWidth="1"/>
    <col min="7" max="7" width="9.42578125" bestFit="1" customWidth="1"/>
    <col min="8" max="8" width="13.5703125" bestFit="1" customWidth="1"/>
    <col min="12" max="12" width="11.42578125" style="8"/>
  </cols>
  <sheetData>
    <row r="12" spans="2:4" x14ac:dyDescent="0.25">
      <c r="B12" t="s">
        <v>65</v>
      </c>
    </row>
    <row r="13" spans="2:4" x14ac:dyDescent="0.25">
      <c r="B13" t="s">
        <v>67</v>
      </c>
      <c r="D13" t="s">
        <v>75</v>
      </c>
    </row>
    <row r="14" spans="2:4" x14ac:dyDescent="0.25">
      <c r="B14" t="s">
        <v>66</v>
      </c>
      <c r="D14" t="s">
        <v>72</v>
      </c>
    </row>
    <row r="15" spans="2:4" x14ac:dyDescent="0.25">
      <c r="B15" s="6" t="s">
        <v>68</v>
      </c>
      <c r="D15" t="s">
        <v>71</v>
      </c>
    </row>
    <row r="16" spans="2:4" x14ac:dyDescent="0.25">
      <c r="B16" t="s">
        <v>69</v>
      </c>
    </row>
    <row r="17" spans="2:10" ht="27" customHeight="1" x14ac:dyDescent="0.25">
      <c r="B17" s="7" t="s">
        <v>70</v>
      </c>
    </row>
    <row r="18" spans="2:10" x14ac:dyDescent="0.25">
      <c r="B18" t="s">
        <v>78</v>
      </c>
      <c r="C18">
        <v>2000</v>
      </c>
      <c r="D18">
        <v>500</v>
      </c>
      <c r="E18">
        <v>0</v>
      </c>
      <c r="F18">
        <v>0</v>
      </c>
      <c r="G18" t="s">
        <v>79</v>
      </c>
      <c r="H18" t="s">
        <v>79</v>
      </c>
    </row>
    <row r="20" spans="2:10" x14ac:dyDescent="0.25">
      <c r="C20" t="s">
        <v>76</v>
      </c>
      <c r="D20" t="s">
        <v>77</v>
      </c>
      <c r="E20" t="s">
        <v>51</v>
      </c>
      <c r="F20" t="s">
        <v>52</v>
      </c>
      <c r="G20" t="s">
        <v>73</v>
      </c>
      <c r="H20" t="s">
        <v>74</v>
      </c>
      <c r="J20" t="s">
        <v>54</v>
      </c>
    </row>
    <row r="21" spans="2:10" x14ac:dyDescent="0.25">
      <c r="B21" t="s">
        <v>73</v>
      </c>
      <c r="C21">
        <v>0.02</v>
      </c>
      <c r="D21" s="8">
        <v>0.03</v>
      </c>
      <c r="E21">
        <v>-1</v>
      </c>
      <c r="F21">
        <v>0</v>
      </c>
      <c r="G21">
        <v>1</v>
      </c>
      <c r="H21">
        <v>0</v>
      </c>
      <c r="I21">
        <v>0.36</v>
      </c>
      <c r="J21">
        <f>I21/D21</f>
        <v>12</v>
      </c>
    </row>
    <row r="22" spans="2:10" x14ac:dyDescent="0.25">
      <c r="B22" t="s">
        <v>74</v>
      </c>
      <c r="C22" s="8">
        <v>0.03</v>
      </c>
      <c r="D22" s="8">
        <v>0.06</v>
      </c>
      <c r="E22" s="8">
        <v>0</v>
      </c>
      <c r="F22" s="8">
        <v>-1</v>
      </c>
      <c r="G22" s="8">
        <v>0</v>
      </c>
      <c r="H22" s="8">
        <v>1</v>
      </c>
      <c r="I22" s="8">
        <v>0.6</v>
      </c>
      <c r="J22">
        <f>I22/D22</f>
        <v>10</v>
      </c>
    </row>
    <row r="23" spans="2:10" x14ac:dyDescent="0.25">
      <c r="B23" t="s">
        <v>53</v>
      </c>
      <c r="C23" t="s">
        <v>81</v>
      </c>
      <c r="D23" s="8" t="s">
        <v>82</v>
      </c>
      <c r="E23" s="6" t="s">
        <v>83</v>
      </c>
      <c r="F23" s="6" t="s">
        <v>83</v>
      </c>
      <c r="G23" t="s">
        <v>79</v>
      </c>
      <c r="H23" t="s">
        <v>79</v>
      </c>
    </row>
    <row r="24" spans="2:10" x14ac:dyDescent="0.25">
      <c r="B24" t="s">
        <v>80</v>
      </c>
      <c r="C24" t="str">
        <f>_xlfn.CONCAT(C18,"-",SUM(C21:C22),"M")</f>
        <v>2000-0.05M</v>
      </c>
      <c r="D24" t="str">
        <f>_xlfn.CONCAT(D18,"-",SUM(D21:D22),"M")</f>
        <v>500-0.09M</v>
      </c>
      <c r="E24" t="s">
        <v>79</v>
      </c>
      <c r="F24" t="s">
        <v>79</v>
      </c>
      <c r="G24">
        <v>0</v>
      </c>
      <c r="H24">
        <v>0</v>
      </c>
    </row>
    <row r="26" spans="2:10" x14ac:dyDescent="0.25">
      <c r="C26" t="s">
        <v>76</v>
      </c>
      <c r="D26" t="s">
        <v>77</v>
      </c>
      <c r="E26" t="s">
        <v>51</v>
      </c>
      <c r="F26" t="s">
        <v>52</v>
      </c>
      <c r="G26" t="s">
        <v>73</v>
      </c>
      <c r="H26" t="s">
        <v>74</v>
      </c>
      <c r="J26" t="s">
        <v>54</v>
      </c>
    </row>
    <row r="27" spans="2:10" x14ac:dyDescent="0.25">
      <c r="B27" t="s">
        <v>73</v>
      </c>
      <c r="C27" s="8">
        <f t="shared" ref="C27:I27" si="0">C21 - 0.03 * C28</f>
        <v>5.000000000000001E-3</v>
      </c>
      <c r="D27" s="8">
        <f t="shared" si="0"/>
        <v>0</v>
      </c>
      <c r="E27" s="8">
        <f t="shared" si="0"/>
        <v>-1</v>
      </c>
      <c r="F27" s="8">
        <f t="shared" si="0"/>
        <v>0.5</v>
      </c>
      <c r="G27" s="8">
        <f t="shared" si="0"/>
        <v>1</v>
      </c>
      <c r="H27" s="8">
        <f t="shared" si="0"/>
        <v>-0.5</v>
      </c>
      <c r="I27" s="8">
        <f t="shared" si="0"/>
        <v>0.06</v>
      </c>
      <c r="J27">
        <f>I27/F27</f>
        <v>0.12</v>
      </c>
    </row>
    <row r="28" spans="2:10" x14ac:dyDescent="0.25">
      <c r="B28" t="s">
        <v>77</v>
      </c>
      <c r="C28">
        <f t="shared" ref="C28:I28" si="1" xml:space="preserve"> 100 * C22 / 6</f>
        <v>0.5</v>
      </c>
      <c r="D28">
        <f t="shared" si="1"/>
        <v>1</v>
      </c>
      <c r="E28">
        <f t="shared" si="1"/>
        <v>0</v>
      </c>
      <c r="F28" s="8">
        <f t="shared" si="1"/>
        <v>-16.666666666666668</v>
      </c>
      <c r="G28">
        <f t="shared" si="1"/>
        <v>0</v>
      </c>
      <c r="H28">
        <f t="shared" si="1"/>
        <v>16.666666666666668</v>
      </c>
      <c r="I28">
        <f t="shared" si="1"/>
        <v>10</v>
      </c>
      <c r="J28">
        <f>I28/F28</f>
        <v>-0.6</v>
      </c>
    </row>
    <row r="29" spans="2:10" x14ac:dyDescent="0.25">
      <c r="B29" t="s">
        <v>53</v>
      </c>
      <c r="C29" t="str">
        <f>_xlfn.CONCAT(ROUND(C28*$D$18,2),"+",C27,"M")</f>
        <v>250+0.005M</v>
      </c>
      <c r="D29" t="str">
        <f t="shared" ref="D29:H29" si="2">_xlfn.CONCAT(ROUND(D28*$D$18,2),"+",D27,"M")</f>
        <v>500+0M</v>
      </c>
      <c r="E29" t="str">
        <f t="shared" si="2"/>
        <v>0+-1M</v>
      </c>
      <c r="F29" t="str">
        <f t="shared" si="2"/>
        <v>-8333.33+0.5M</v>
      </c>
      <c r="G29" t="str">
        <f t="shared" si="2"/>
        <v>0+1M</v>
      </c>
      <c r="H29" t="str">
        <f t="shared" si="2"/>
        <v>8333.33+-0.5M</v>
      </c>
    </row>
    <row r="30" spans="2:10" x14ac:dyDescent="0.25">
      <c r="B30" t="s">
        <v>84</v>
      </c>
      <c r="C30" t="s">
        <v>85</v>
      </c>
      <c r="D30">
        <v>0</v>
      </c>
      <c r="E30" s="6" t="s">
        <v>79</v>
      </c>
      <c r="F30" s="9" t="s">
        <v>86</v>
      </c>
      <c r="G30">
        <v>0</v>
      </c>
      <c r="H30" s="6" t="s">
        <v>87</v>
      </c>
    </row>
    <row r="31" spans="2:10" x14ac:dyDescent="0.25">
      <c r="B31" s="6"/>
      <c r="C31" s="6"/>
      <c r="G31" s="6"/>
    </row>
    <row r="32" spans="2:10" x14ac:dyDescent="0.25">
      <c r="C32" t="s">
        <v>76</v>
      </c>
      <c r="D32" t="s">
        <v>77</v>
      </c>
      <c r="E32" t="s">
        <v>51</v>
      </c>
      <c r="F32" t="s">
        <v>52</v>
      </c>
      <c r="G32" t="s">
        <v>73</v>
      </c>
      <c r="H32" t="s">
        <v>74</v>
      </c>
    </row>
    <row r="33" spans="2:9" x14ac:dyDescent="0.25">
      <c r="B33" t="s">
        <v>52</v>
      </c>
      <c r="C33">
        <f t="shared" ref="C33:I33" si="3" xml:space="preserve"> 2 * C27</f>
        <v>1.0000000000000002E-2</v>
      </c>
      <c r="D33">
        <f t="shared" si="3"/>
        <v>0</v>
      </c>
      <c r="E33">
        <f t="shared" si="3"/>
        <v>-2</v>
      </c>
      <c r="F33">
        <f t="shared" si="3"/>
        <v>1</v>
      </c>
      <c r="G33">
        <f t="shared" si="3"/>
        <v>2</v>
      </c>
      <c r="H33">
        <f t="shared" si="3"/>
        <v>-1</v>
      </c>
      <c r="I33">
        <f t="shared" si="3"/>
        <v>0.12</v>
      </c>
    </row>
    <row r="34" spans="2:9" x14ac:dyDescent="0.25">
      <c r="B34" t="s">
        <v>77</v>
      </c>
      <c r="C34">
        <f t="shared" ref="C34:I34" si="4" xml:space="preserve"> C28 - 100 * -1 / 6 * C33</f>
        <v>0.66666666666666674</v>
      </c>
      <c r="D34">
        <f t="shared" si="4"/>
        <v>1</v>
      </c>
      <c r="E34">
        <f t="shared" si="4"/>
        <v>-33.333333333333336</v>
      </c>
      <c r="F34">
        <f t="shared" si="4"/>
        <v>0</v>
      </c>
      <c r="G34">
        <f t="shared" si="4"/>
        <v>33.333333333333336</v>
      </c>
      <c r="H34">
        <f t="shared" si="4"/>
        <v>0</v>
      </c>
      <c r="I34">
        <f t="shared" si="4"/>
        <v>12</v>
      </c>
    </row>
    <row r="35" spans="2:9" x14ac:dyDescent="0.25">
      <c r="B35" t="s">
        <v>53</v>
      </c>
      <c r="C35">
        <f>C34*$D$18</f>
        <v>333.33333333333337</v>
      </c>
      <c r="D35">
        <f t="shared" ref="D35:H35" si="5">D34*$D$18</f>
        <v>500</v>
      </c>
      <c r="E35">
        <f t="shared" si="5"/>
        <v>-16666.666666666668</v>
      </c>
      <c r="F35">
        <f t="shared" si="5"/>
        <v>0</v>
      </c>
      <c r="G35">
        <f t="shared" si="5"/>
        <v>16666.666666666668</v>
      </c>
      <c r="H35">
        <f t="shared" si="5"/>
        <v>0</v>
      </c>
      <c r="I35">
        <f>I34*$D$18</f>
        <v>6000</v>
      </c>
    </row>
    <row r="36" spans="2:9" x14ac:dyDescent="0.25">
      <c r="B36" t="s">
        <v>88</v>
      </c>
      <c r="C36">
        <f>C18-C35</f>
        <v>1666.6666666666665</v>
      </c>
      <c r="D36">
        <f t="shared" ref="D36:F36" si="6">D18-D35</f>
        <v>0</v>
      </c>
      <c r="E36">
        <f t="shared" si="6"/>
        <v>16666.666666666668</v>
      </c>
      <c r="F36">
        <f t="shared" si="6"/>
        <v>0</v>
      </c>
      <c r="G36" t="s">
        <v>79</v>
      </c>
      <c r="H36" t="s">
        <v>89</v>
      </c>
    </row>
    <row r="38" spans="2:9" x14ac:dyDescent="0.25">
      <c r="B38" t="s">
        <v>90</v>
      </c>
    </row>
    <row r="40" spans="2:9" x14ac:dyDescent="0.25">
      <c r="B40" t="s">
        <v>35</v>
      </c>
      <c r="C40">
        <f>I35</f>
        <v>6000</v>
      </c>
      <c r="E40" t="s">
        <v>75</v>
      </c>
    </row>
    <row r="41" spans="2:9" x14ac:dyDescent="0.25">
      <c r="B41" t="s">
        <v>76</v>
      </c>
      <c r="C41">
        <v>0</v>
      </c>
      <c r="E41" t="s">
        <v>72</v>
      </c>
      <c r="H41">
        <f xml:space="preserve"> 0.02*C41 + 0.03*C42 -C43 + C45</f>
        <v>0.36</v>
      </c>
    </row>
    <row r="42" spans="2:9" x14ac:dyDescent="0.25">
      <c r="B42" t="s">
        <v>77</v>
      </c>
      <c r="C42">
        <v>12</v>
      </c>
      <c r="E42" t="s">
        <v>71</v>
      </c>
      <c r="H42">
        <f>0.03*C41+0.06*C42-C44+C46</f>
        <v>0.6</v>
      </c>
    </row>
    <row r="43" spans="2:9" x14ac:dyDescent="0.25">
      <c r="B43" t="s">
        <v>51</v>
      </c>
      <c r="C43">
        <v>0</v>
      </c>
      <c r="H43" s="10"/>
    </row>
    <row r="44" spans="2:9" x14ac:dyDescent="0.25">
      <c r="B44" t="s">
        <v>52</v>
      </c>
      <c r="C44">
        <f>I33</f>
        <v>0.12</v>
      </c>
      <c r="E44" s="10"/>
      <c r="F44" s="10"/>
      <c r="G44" s="10"/>
      <c r="H44" s="10"/>
    </row>
    <row r="45" spans="2:9" x14ac:dyDescent="0.25">
      <c r="B45" t="s">
        <v>73</v>
      </c>
      <c r="C45">
        <v>0</v>
      </c>
      <c r="E45" s="10"/>
      <c r="F45" s="10"/>
      <c r="G45" s="10"/>
      <c r="H45" s="10"/>
    </row>
    <row r="46" spans="2:9" x14ac:dyDescent="0.25">
      <c r="B46" t="s">
        <v>74</v>
      </c>
      <c r="C46">
        <v>0</v>
      </c>
      <c r="E46" s="10"/>
      <c r="F46" s="10"/>
      <c r="G46" s="10"/>
      <c r="H46" s="10"/>
    </row>
    <row r="47" spans="2:9" x14ac:dyDescent="0.25">
      <c r="E47" s="10"/>
      <c r="F47" s="10"/>
      <c r="G47" s="10"/>
    </row>
    <row r="48" spans="2:9" x14ac:dyDescent="0.25">
      <c r="E48" s="10"/>
      <c r="F48" s="10"/>
      <c r="G48" s="10"/>
    </row>
    <row r="49" spans="4:7" x14ac:dyDescent="0.25">
      <c r="E49" s="10"/>
      <c r="F49" s="10"/>
      <c r="G49" s="10"/>
    </row>
    <row r="50" spans="4:7" x14ac:dyDescent="0.25">
      <c r="E50" s="10"/>
      <c r="F50" s="10"/>
      <c r="G50" s="10"/>
    </row>
    <row r="51" spans="4:7" x14ac:dyDescent="0.25">
      <c r="E51" s="10"/>
      <c r="F51" s="10"/>
      <c r="G51" s="10"/>
    </row>
    <row r="52" spans="4:7" x14ac:dyDescent="0.25">
      <c r="E52" s="10"/>
      <c r="F52" s="10"/>
      <c r="G52" s="10"/>
    </row>
    <row r="53" spans="4:7" x14ac:dyDescent="0.25">
      <c r="E53" s="10"/>
      <c r="F53" s="10"/>
      <c r="G53" s="10"/>
    </row>
    <row r="54" spans="4:7" x14ac:dyDescent="0.25">
      <c r="E54" s="10"/>
      <c r="F54" s="10"/>
      <c r="G54" s="10"/>
    </row>
    <row r="55" spans="4:7" x14ac:dyDescent="0.25">
      <c r="E55" s="10"/>
      <c r="F55" s="10"/>
      <c r="G55" s="10"/>
    </row>
    <row r="56" spans="4:7" x14ac:dyDescent="0.25">
      <c r="E56" s="10"/>
      <c r="F56" s="10"/>
      <c r="G56" s="10"/>
    </row>
    <row r="57" spans="4:7" x14ac:dyDescent="0.25">
      <c r="E57" s="10"/>
      <c r="F57" s="10"/>
      <c r="G57" s="10"/>
    </row>
    <row r="58" spans="4:7" x14ac:dyDescent="0.25">
      <c r="E58" s="10"/>
      <c r="F58" s="10"/>
      <c r="G58" s="10"/>
    </row>
    <row r="59" spans="4:7" x14ac:dyDescent="0.25">
      <c r="E59" s="10"/>
      <c r="F59" s="10"/>
      <c r="G59" s="10"/>
    </row>
    <row r="60" spans="4:7" x14ac:dyDescent="0.25">
      <c r="E60" s="10"/>
      <c r="F60" s="10"/>
      <c r="G60" s="10"/>
    </row>
    <row r="61" spans="4:7" x14ac:dyDescent="0.25">
      <c r="E61" s="10"/>
      <c r="F61" s="10"/>
      <c r="G61" s="10"/>
    </row>
    <row r="62" spans="4:7" x14ac:dyDescent="0.25">
      <c r="D62" s="10"/>
      <c r="E62" s="10"/>
      <c r="F62" s="10"/>
    </row>
    <row r="63" spans="4:7" x14ac:dyDescent="0.25">
      <c r="D63" s="10"/>
      <c r="E63" s="10"/>
      <c r="F63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76B4-A3D8-45BA-AB12-67A9D3B6A32C}">
  <dimension ref="B9:J40"/>
  <sheetViews>
    <sheetView topLeftCell="A28" zoomScaleNormal="100" workbookViewId="0">
      <selection activeCell="J34" sqref="J34"/>
    </sheetView>
  </sheetViews>
  <sheetFormatPr baseColWidth="10" defaultRowHeight="15" x14ac:dyDescent="0.25"/>
  <sheetData>
    <row r="9" spans="2:8" x14ac:dyDescent="0.25">
      <c r="B9" t="s">
        <v>8</v>
      </c>
      <c r="F9" t="s">
        <v>114</v>
      </c>
      <c r="H9" t="s">
        <v>120</v>
      </c>
    </row>
    <row r="10" spans="2:8" x14ac:dyDescent="0.25">
      <c r="B10" t="s">
        <v>112</v>
      </c>
      <c r="E10" t="s">
        <v>21</v>
      </c>
      <c r="F10" t="s">
        <v>115</v>
      </c>
      <c r="H10" t="s">
        <v>118</v>
      </c>
    </row>
    <row r="11" spans="2:8" x14ac:dyDescent="0.25">
      <c r="B11" t="s">
        <v>113</v>
      </c>
      <c r="E11" t="s">
        <v>22</v>
      </c>
      <c r="F11" t="s">
        <v>116</v>
      </c>
      <c r="H11" t="s">
        <v>119</v>
      </c>
    </row>
    <row r="12" spans="2:8" x14ac:dyDescent="0.25">
      <c r="E12" t="s">
        <v>23</v>
      </c>
      <c r="F12" t="s">
        <v>117</v>
      </c>
    </row>
    <row r="15" spans="2:8" x14ac:dyDescent="0.25">
      <c r="C15" s="8" t="s">
        <v>31</v>
      </c>
      <c r="D15" s="4" t="s">
        <v>32</v>
      </c>
      <c r="E15" t="s">
        <v>51</v>
      </c>
      <c r="F15" t="s">
        <v>52</v>
      </c>
      <c r="H15" t="s">
        <v>110</v>
      </c>
    </row>
    <row r="16" spans="2:8" x14ac:dyDescent="0.25">
      <c r="B16" t="s">
        <v>51</v>
      </c>
      <c r="C16" s="8">
        <v>1</v>
      </c>
      <c r="D16" s="10">
        <v>2</v>
      </c>
      <c r="E16" s="10">
        <v>1</v>
      </c>
      <c r="F16" s="10">
        <v>0</v>
      </c>
      <c r="G16" s="10">
        <v>80</v>
      </c>
      <c r="H16">
        <f>G16/C16</f>
        <v>80</v>
      </c>
    </row>
    <row r="17" spans="2:8" x14ac:dyDescent="0.25">
      <c r="B17" s="8" t="s">
        <v>52</v>
      </c>
      <c r="C17" s="8">
        <v>3</v>
      </c>
      <c r="D17" s="8">
        <v>2</v>
      </c>
      <c r="E17" s="8">
        <v>0</v>
      </c>
      <c r="F17" s="8">
        <v>1</v>
      </c>
      <c r="G17" s="8">
        <v>120</v>
      </c>
      <c r="H17" s="8">
        <f>G17/C17</f>
        <v>40</v>
      </c>
    </row>
    <row r="18" spans="2:8" x14ac:dyDescent="0.25">
      <c r="B18" t="s">
        <v>53</v>
      </c>
      <c r="C18" s="8">
        <v>-2000</v>
      </c>
      <c r="D18" s="10">
        <v>-1500</v>
      </c>
      <c r="E18" s="10">
        <v>0</v>
      </c>
      <c r="F18" s="10">
        <v>0</v>
      </c>
      <c r="G18" s="10">
        <v>0</v>
      </c>
    </row>
    <row r="21" spans="2:8" x14ac:dyDescent="0.25">
      <c r="C21" s="10" t="s">
        <v>31</v>
      </c>
      <c r="D21" s="15" t="s">
        <v>32</v>
      </c>
      <c r="E21" s="10" t="s">
        <v>51</v>
      </c>
      <c r="F21" s="10" t="s">
        <v>52</v>
      </c>
      <c r="G21" s="10"/>
      <c r="H21" s="10" t="s">
        <v>110</v>
      </c>
    </row>
    <row r="22" spans="2:8" x14ac:dyDescent="0.25">
      <c r="B22" s="8" t="s">
        <v>51</v>
      </c>
      <c r="C22" s="8">
        <f>C16-$C$16*C23</f>
        <v>0</v>
      </c>
      <c r="D22" s="8">
        <f t="shared" ref="D22:G22" si="0">D16-$C$16*D23</f>
        <v>1.3333333333333335</v>
      </c>
      <c r="E22" s="8">
        <f t="shared" si="0"/>
        <v>1</v>
      </c>
      <c r="F22" s="8">
        <f t="shared" si="0"/>
        <v>-0.33333333333333331</v>
      </c>
      <c r="G22" s="8">
        <f t="shared" si="0"/>
        <v>40</v>
      </c>
      <c r="H22" s="8">
        <f>G22/D22</f>
        <v>29.999999999999996</v>
      </c>
    </row>
    <row r="23" spans="2:8" x14ac:dyDescent="0.25">
      <c r="B23" t="s">
        <v>31</v>
      </c>
      <c r="C23" s="10">
        <f>C17/$C$17</f>
        <v>1</v>
      </c>
      <c r="D23" s="8">
        <f t="shared" ref="D23:G23" si="1">D17/$C$17</f>
        <v>0.66666666666666663</v>
      </c>
      <c r="E23" s="10">
        <f t="shared" si="1"/>
        <v>0</v>
      </c>
      <c r="F23" s="10">
        <f t="shared" si="1"/>
        <v>0.33333333333333331</v>
      </c>
      <c r="G23" s="10">
        <f t="shared" si="1"/>
        <v>40</v>
      </c>
      <c r="H23" s="10">
        <f>G23/D23</f>
        <v>60</v>
      </c>
    </row>
    <row r="24" spans="2:8" x14ac:dyDescent="0.25">
      <c r="B24" t="s">
        <v>53</v>
      </c>
      <c r="C24" s="10">
        <f>C18-$C$18*C23</f>
        <v>0</v>
      </c>
      <c r="D24" s="8">
        <f t="shared" ref="D24:G24" si="2">D18-$C$18*D23</f>
        <v>-166.66666666666674</v>
      </c>
      <c r="E24" s="10">
        <f t="shared" si="2"/>
        <v>0</v>
      </c>
      <c r="F24" s="10">
        <f t="shared" si="2"/>
        <v>666.66666666666663</v>
      </c>
      <c r="G24" s="10">
        <f t="shared" si="2"/>
        <v>80000</v>
      </c>
      <c r="H24" s="10"/>
    </row>
    <row r="25" spans="2:8" x14ac:dyDescent="0.25">
      <c r="C25" s="10"/>
      <c r="D25" s="10"/>
      <c r="E25" s="10"/>
      <c r="F25" s="10"/>
      <c r="G25" s="10"/>
      <c r="H25" s="10"/>
    </row>
    <row r="27" spans="2:8" x14ac:dyDescent="0.25">
      <c r="C27" t="s">
        <v>31</v>
      </c>
      <c r="D27" t="s">
        <v>32</v>
      </c>
      <c r="E27" t="s">
        <v>51</v>
      </c>
      <c r="F27" t="s">
        <v>52</v>
      </c>
    </row>
    <row r="28" spans="2:8" x14ac:dyDescent="0.25">
      <c r="B28" t="s">
        <v>32</v>
      </c>
      <c r="C28">
        <v>0</v>
      </c>
      <c r="D28">
        <f>D22/$D$22</f>
        <v>1</v>
      </c>
      <c r="E28">
        <f t="shared" ref="E28:G28" si="3">E22/$D$22</f>
        <v>0.74999999999999989</v>
      </c>
      <c r="F28">
        <f t="shared" si="3"/>
        <v>-0.24999999999999997</v>
      </c>
      <c r="G28">
        <f t="shared" si="3"/>
        <v>29.999999999999996</v>
      </c>
    </row>
    <row r="29" spans="2:8" x14ac:dyDescent="0.25">
      <c r="B29" t="s">
        <v>31</v>
      </c>
      <c r="C29">
        <v>1</v>
      </c>
      <c r="D29">
        <f>D23-$D$23*D28</f>
        <v>0</v>
      </c>
      <c r="E29">
        <f t="shared" ref="E29:G29" si="4">E23-$D$23*E28</f>
        <v>-0.49999999999999989</v>
      </c>
      <c r="F29">
        <f t="shared" si="4"/>
        <v>0.49999999999999994</v>
      </c>
      <c r="G29">
        <f t="shared" si="4"/>
        <v>20.000000000000004</v>
      </c>
    </row>
    <row r="30" spans="2:8" x14ac:dyDescent="0.25">
      <c r="B30" t="s">
        <v>53</v>
      </c>
      <c r="C30">
        <v>0</v>
      </c>
      <c r="D30">
        <f>D24-$D$24*D28</f>
        <v>0</v>
      </c>
      <c r="E30">
        <f t="shared" ref="E30:G30" si="5">E24-$D$24*E28</f>
        <v>125.00000000000004</v>
      </c>
      <c r="F30">
        <f t="shared" si="5"/>
        <v>625</v>
      </c>
      <c r="G30">
        <f t="shared" si="5"/>
        <v>85000</v>
      </c>
    </row>
    <row r="32" spans="2:8" x14ac:dyDescent="0.25">
      <c r="B32" t="s">
        <v>61</v>
      </c>
    </row>
    <row r="34" spans="2:10" x14ac:dyDescent="0.25">
      <c r="B34" t="s">
        <v>31</v>
      </c>
      <c r="C34">
        <f>G29</f>
        <v>20.000000000000004</v>
      </c>
      <c r="E34" t="str">
        <f>H9</f>
        <v>Z = 2000A + 1500B + 0h1 + 0h2</v>
      </c>
      <c r="H34">
        <f>2000*C34+1500*C35</f>
        <v>85000</v>
      </c>
      <c r="J34" t="s">
        <v>122</v>
      </c>
    </row>
    <row r="35" spans="2:10" x14ac:dyDescent="0.25">
      <c r="B35" t="s">
        <v>32</v>
      </c>
      <c r="C35">
        <f>G28</f>
        <v>29.999999999999996</v>
      </c>
      <c r="E35" t="str">
        <f t="shared" ref="E35:E36" si="6">H10</f>
        <v>A + 2B + h1 = 80</v>
      </c>
      <c r="H35">
        <f>C34+2*C35+C37</f>
        <v>80</v>
      </c>
    </row>
    <row r="36" spans="2:10" x14ac:dyDescent="0.25">
      <c r="B36" t="s">
        <v>35</v>
      </c>
      <c r="C36">
        <f>G30</f>
        <v>85000</v>
      </c>
      <c r="E36" t="str">
        <f t="shared" si="6"/>
        <v>3A + 2B + h2 = 120</v>
      </c>
      <c r="H36">
        <f>3*C34+2*C35+C38</f>
        <v>120</v>
      </c>
    </row>
    <row r="37" spans="2:10" x14ac:dyDescent="0.25">
      <c r="B37" t="s">
        <v>51</v>
      </c>
      <c r="C37">
        <v>0</v>
      </c>
    </row>
    <row r="38" spans="2:10" x14ac:dyDescent="0.25">
      <c r="B38" t="s">
        <v>52</v>
      </c>
      <c r="C38">
        <v>0</v>
      </c>
    </row>
    <row r="40" spans="2:10" x14ac:dyDescent="0.25">
      <c r="B40" t="s">
        <v>121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7F2B-0FAF-4B4C-9CFB-5C0E42877B92}">
  <dimension ref="A13:J67"/>
  <sheetViews>
    <sheetView topLeftCell="A65" zoomScale="70" zoomScaleNormal="70" workbookViewId="0">
      <selection activeCell="H68" sqref="H68"/>
    </sheetView>
  </sheetViews>
  <sheetFormatPr baseColWidth="10" defaultRowHeight="15" x14ac:dyDescent="0.25"/>
  <cols>
    <col min="8" max="8" width="11.85546875" bestFit="1" customWidth="1"/>
  </cols>
  <sheetData>
    <row r="13" spans="2:10" x14ac:dyDescent="0.25">
      <c r="B13" t="s">
        <v>8</v>
      </c>
      <c r="F13" s="11" t="s">
        <v>125</v>
      </c>
      <c r="H13" s="11" t="s">
        <v>125</v>
      </c>
      <c r="J13" s="11" t="s">
        <v>126</v>
      </c>
    </row>
    <row r="14" spans="2:10" x14ac:dyDescent="0.25">
      <c r="B14" t="s">
        <v>123</v>
      </c>
      <c r="E14" t="s">
        <v>21</v>
      </c>
      <c r="F14" s="11" t="s">
        <v>95</v>
      </c>
      <c r="H14" s="12" t="s">
        <v>99</v>
      </c>
      <c r="J14" s="12" t="s">
        <v>101</v>
      </c>
    </row>
    <row r="15" spans="2:10" x14ac:dyDescent="0.25">
      <c r="B15" t="s">
        <v>124</v>
      </c>
      <c r="E15" t="s">
        <v>22</v>
      </c>
      <c r="F15" s="11" t="s">
        <v>96</v>
      </c>
      <c r="H15" s="11" t="s">
        <v>96</v>
      </c>
      <c r="J15" s="11" t="s">
        <v>102</v>
      </c>
    </row>
    <row r="16" spans="2:10" x14ac:dyDescent="0.25">
      <c r="E16" t="s">
        <v>23</v>
      </c>
      <c r="F16" s="11" t="s">
        <v>97</v>
      </c>
      <c r="H16" s="12" t="s">
        <v>100</v>
      </c>
      <c r="J16" s="12" t="s">
        <v>128</v>
      </c>
    </row>
    <row r="17" spans="1:10" x14ac:dyDescent="0.25">
      <c r="F17" s="11" t="s">
        <v>98</v>
      </c>
      <c r="H17" s="11" t="s">
        <v>98</v>
      </c>
      <c r="J17" s="11" t="s">
        <v>127</v>
      </c>
    </row>
    <row r="18" spans="1:10" x14ac:dyDescent="0.25">
      <c r="F18" s="11" t="s">
        <v>107</v>
      </c>
      <c r="H18" s="11"/>
    </row>
    <row r="19" spans="1:10" x14ac:dyDescent="0.25">
      <c r="A19" s="10"/>
      <c r="B19" s="10"/>
      <c r="C19" s="10"/>
      <c r="D19" s="10"/>
      <c r="E19" s="10"/>
      <c r="F19" s="14"/>
      <c r="G19" s="10"/>
      <c r="H19" s="10"/>
      <c r="I19" s="10"/>
    </row>
    <row r="20" spans="1:10" x14ac:dyDescent="0.25">
      <c r="A20" s="10"/>
      <c r="B20" s="10"/>
      <c r="C20" s="10"/>
      <c r="D20" s="10"/>
      <c r="E20" s="10"/>
      <c r="F20" s="14"/>
      <c r="G20" s="10"/>
      <c r="H20" s="10"/>
      <c r="I20" s="10"/>
    </row>
    <row r="21" spans="1:10" x14ac:dyDescent="0.25">
      <c r="A21" s="10"/>
      <c r="B21" s="10"/>
      <c r="C21" s="8" t="s">
        <v>31</v>
      </c>
      <c r="D21" s="17" t="s">
        <v>32</v>
      </c>
      <c r="E21" s="10" t="s">
        <v>51</v>
      </c>
      <c r="F21" s="10" t="s">
        <v>52</v>
      </c>
      <c r="G21" s="10" t="s">
        <v>105</v>
      </c>
      <c r="H21" s="10" t="s">
        <v>106</v>
      </c>
      <c r="I21" s="10"/>
      <c r="J21" s="10" t="s">
        <v>54</v>
      </c>
    </row>
    <row r="22" spans="1:10" x14ac:dyDescent="0.25">
      <c r="A22" s="10"/>
      <c r="B22" s="8" t="s">
        <v>51</v>
      </c>
      <c r="C22" s="8">
        <v>-1</v>
      </c>
      <c r="D22" s="8">
        <v>-1</v>
      </c>
      <c r="E22" s="8">
        <v>1</v>
      </c>
      <c r="F22" s="8">
        <v>0</v>
      </c>
      <c r="G22" s="8">
        <v>0</v>
      </c>
      <c r="H22" s="8">
        <v>0</v>
      </c>
      <c r="I22" s="8">
        <v>-60</v>
      </c>
      <c r="J22" s="8">
        <f>I22/C22</f>
        <v>60</v>
      </c>
    </row>
    <row r="23" spans="1:10" x14ac:dyDescent="0.25">
      <c r="A23" s="10"/>
      <c r="B23" s="10" t="s">
        <v>52</v>
      </c>
      <c r="C23" s="8">
        <v>1</v>
      </c>
      <c r="D23" s="10">
        <v>1</v>
      </c>
      <c r="E23" s="10">
        <v>0</v>
      </c>
      <c r="F23" s="10">
        <v>1</v>
      </c>
      <c r="G23" s="10">
        <v>0</v>
      </c>
      <c r="H23" s="10">
        <v>0</v>
      </c>
      <c r="I23" s="10">
        <v>200</v>
      </c>
      <c r="J23">
        <f t="shared" ref="J23:J25" si="0">I23/C23</f>
        <v>200</v>
      </c>
    </row>
    <row r="24" spans="1:10" x14ac:dyDescent="0.25">
      <c r="A24" s="10"/>
      <c r="B24" s="10" t="s">
        <v>105</v>
      </c>
      <c r="C24" s="8">
        <v>-1</v>
      </c>
      <c r="D24" s="10">
        <v>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>
        <f t="shared" si="0"/>
        <v>0</v>
      </c>
    </row>
    <row r="25" spans="1:10" x14ac:dyDescent="0.25">
      <c r="A25" s="10"/>
      <c r="B25" s="10" t="s">
        <v>106</v>
      </c>
      <c r="C25" s="8">
        <v>1</v>
      </c>
      <c r="D25" s="10">
        <v>0</v>
      </c>
      <c r="E25" s="10">
        <v>0</v>
      </c>
      <c r="F25" s="10">
        <v>0</v>
      </c>
      <c r="G25" s="10">
        <v>0</v>
      </c>
      <c r="H25" s="10">
        <v>1</v>
      </c>
      <c r="I25" s="10">
        <v>120</v>
      </c>
      <c r="J25">
        <f t="shared" si="0"/>
        <v>120</v>
      </c>
    </row>
    <row r="26" spans="1:10" x14ac:dyDescent="0.25">
      <c r="A26" s="10"/>
      <c r="B26" s="10" t="s">
        <v>53</v>
      </c>
      <c r="C26" s="8">
        <v>-30000</v>
      </c>
      <c r="D26" s="10">
        <v>-20000</v>
      </c>
      <c r="E26" s="10">
        <v>0</v>
      </c>
      <c r="F26" s="10">
        <v>0</v>
      </c>
      <c r="G26" s="10">
        <v>0</v>
      </c>
      <c r="H26" s="10">
        <v>0</v>
      </c>
      <c r="I26" s="10"/>
    </row>
    <row r="27" spans="1:10" x14ac:dyDescent="0.25">
      <c r="A27" s="10"/>
      <c r="B27" s="10"/>
      <c r="C27" s="10"/>
      <c r="D27" s="16"/>
      <c r="E27" s="10"/>
      <c r="F27" s="10"/>
      <c r="G27" s="10"/>
      <c r="H27" s="10"/>
      <c r="I27" s="10"/>
    </row>
    <row r="28" spans="1:10" x14ac:dyDescent="0.25">
      <c r="A28" s="10"/>
      <c r="B28" s="10"/>
      <c r="C28" s="10"/>
      <c r="D28" s="10"/>
      <c r="E28" s="10"/>
      <c r="F28" s="10"/>
      <c r="G28" s="10"/>
      <c r="H28" s="10"/>
      <c r="I28" s="10"/>
    </row>
    <row r="29" spans="1:10" x14ac:dyDescent="0.25">
      <c r="A29" s="10"/>
      <c r="B29" s="10"/>
      <c r="C29" s="10" t="s">
        <v>31</v>
      </c>
      <c r="D29" s="17" t="s">
        <v>32</v>
      </c>
      <c r="E29" s="8" t="s">
        <v>51</v>
      </c>
      <c r="F29" s="10" t="s">
        <v>52</v>
      </c>
      <c r="G29" s="10" t="s">
        <v>105</v>
      </c>
      <c r="H29" s="10" t="s">
        <v>106</v>
      </c>
      <c r="I29" s="10"/>
      <c r="J29" s="10" t="s">
        <v>54</v>
      </c>
    </row>
    <row r="30" spans="1:10" x14ac:dyDescent="0.25">
      <c r="A30" s="10"/>
      <c r="B30" s="10" t="s">
        <v>31</v>
      </c>
      <c r="C30" s="10">
        <f>C22/$C$22</f>
        <v>1</v>
      </c>
      <c r="D30" s="10">
        <f t="shared" ref="D30:I30" si="1">D22/$C$22</f>
        <v>1</v>
      </c>
      <c r="E30" s="8">
        <f t="shared" si="1"/>
        <v>-1</v>
      </c>
      <c r="F30" s="10">
        <f t="shared" si="1"/>
        <v>0</v>
      </c>
      <c r="G30" s="10">
        <f t="shared" si="1"/>
        <v>0</v>
      </c>
      <c r="H30" s="10">
        <f t="shared" si="1"/>
        <v>0</v>
      </c>
      <c r="I30" s="10">
        <f t="shared" si="1"/>
        <v>60</v>
      </c>
      <c r="J30" s="10">
        <f>I30/E30</f>
        <v>-60</v>
      </c>
    </row>
    <row r="31" spans="1:10" x14ac:dyDescent="0.25">
      <c r="A31" s="10"/>
      <c r="B31" s="10" t="s">
        <v>52</v>
      </c>
      <c r="C31" s="10">
        <f>C23-$C$23*C30</f>
        <v>0</v>
      </c>
      <c r="D31" s="10">
        <f t="shared" ref="D31:I31" si="2">D23-$C$23*D30</f>
        <v>0</v>
      </c>
      <c r="E31" s="8">
        <f t="shared" si="2"/>
        <v>1</v>
      </c>
      <c r="F31" s="10">
        <f t="shared" si="2"/>
        <v>1</v>
      </c>
      <c r="G31" s="10">
        <f t="shared" si="2"/>
        <v>0</v>
      </c>
      <c r="H31" s="10">
        <f t="shared" si="2"/>
        <v>0</v>
      </c>
      <c r="I31" s="10">
        <f t="shared" si="2"/>
        <v>140</v>
      </c>
      <c r="J31" s="10">
        <f t="shared" ref="J31:J33" si="3">I31/E31</f>
        <v>140</v>
      </c>
    </row>
    <row r="32" spans="1:10" x14ac:dyDescent="0.25">
      <c r="A32" s="10"/>
      <c r="B32" s="10" t="s">
        <v>105</v>
      </c>
      <c r="C32" s="10">
        <f>C24-$C$24*C30</f>
        <v>0</v>
      </c>
      <c r="D32" s="10">
        <f t="shared" ref="D32:I32" si="4">D24-$C$24*D30</f>
        <v>2</v>
      </c>
      <c r="E32" s="8">
        <f t="shared" si="4"/>
        <v>-1</v>
      </c>
      <c r="F32" s="10">
        <f t="shared" si="4"/>
        <v>0</v>
      </c>
      <c r="G32" s="10">
        <f t="shared" si="4"/>
        <v>1</v>
      </c>
      <c r="H32" s="10">
        <f t="shared" si="4"/>
        <v>0</v>
      </c>
      <c r="I32" s="10">
        <f t="shared" si="4"/>
        <v>60</v>
      </c>
      <c r="J32" s="10">
        <f t="shared" si="3"/>
        <v>-60</v>
      </c>
    </row>
    <row r="33" spans="2:10" x14ac:dyDescent="0.25">
      <c r="B33" s="8" t="s">
        <v>106</v>
      </c>
      <c r="C33" s="8">
        <f>C25-$C$25*C30</f>
        <v>0</v>
      </c>
      <c r="D33" s="8">
        <f t="shared" ref="D33:I33" si="5">D25-$C$25*D30</f>
        <v>-1</v>
      </c>
      <c r="E33" s="8">
        <f t="shared" si="5"/>
        <v>1</v>
      </c>
      <c r="F33" s="8">
        <f t="shared" si="5"/>
        <v>0</v>
      </c>
      <c r="G33" s="8">
        <f t="shared" si="5"/>
        <v>0</v>
      </c>
      <c r="H33" s="8">
        <f t="shared" si="5"/>
        <v>1</v>
      </c>
      <c r="I33" s="8">
        <f t="shared" si="5"/>
        <v>60</v>
      </c>
      <c r="J33" s="8">
        <f t="shared" si="3"/>
        <v>60</v>
      </c>
    </row>
    <row r="34" spans="2:10" x14ac:dyDescent="0.25">
      <c r="B34" s="10" t="s">
        <v>53</v>
      </c>
      <c r="C34" s="10">
        <f>C26-$C$26*C30</f>
        <v>0</v>
      </c>
      <c r="D34" s="10">
        <f t="shared" ref="D34:I34" si="6">D26-$C$26*D30</f>
        <v>10000</v>
      </c>
      <c r="E34" s="8">
        <f t="shared" si="6"/>
        <v>-30000</v>
      </c>
      <c r="F34" s="10">
        <f t="shared" si="6"/>
        <v>0</v>
      </c>
      <c r="G34" s="10">
        <f t="shared" si="6"/>
        <v>0</v>
      </c>
      <c r="H34" s="10">
        <f t="shared" si="6"/>
        <v>0</v>
      </c>
      <c r="I34" s="10">
        <f t="shared" si="6"/>
        <v>1800000</v>
      </c>
      <c r="J34" s="10"/>
    </row>
    <row r="37" spans="2:10" x14ac:dyDescent="0.25">
      <c r="C37" t="s">
        <v>31</v>
      </c>
      <c r="D37" s="8" t="s">
        <v>32</v>
      </c>
      <c r="E37" t="s">
        <v>51</v>
      </c>
      <c r="F37" t="s">
        <v>52</v>
      </c>
      <c r="G37" t="s">
        <v>105</v>
      </c>
      <c r="H37" t="s">
        <v>106</v>
      </c>
      <c r="J37" t="s">
        <v>54</v>
      </c>
    </row>
    <row r="38" spans="2:10" x14ac:dyDescent="0.25">
      <c r="B38" t="s">
        <v>31</v>
      </c>
      <c r="C38">
        <f t="shared" ref="C38:I38" si="7">C30-$E$30*C41</f>
        <v>1</v>
      </c>
      <c r="D38" s="8">
        <f t="shared" si="7"/>
        <v>0</v>
      </c>
      <c r="E38">
        <f>E30-$E$30*E41</f>
        <v>0</v>
      </c>
      <c r="F38">
        <f t="shared" si="7"/>
        <v>0</v>
      </c>
      <c r="G38">
        <f t="shared" si="7"/>
        <v>0</v>
      </c>
      <c r="H38">
        <f t="shared" si="7"/>
        <v>1</v>
      </c>
      <c r="I38">
        <f t="shared" si="7"/>
        <v>120</v>
      </c>
      <c r="J38" t="e">
        <f>I38/D38</f>
        <v>#DIV/0!</v>
      </c>
    </row>
    <row r="39" spans="2:10" x14ac:dyDescent="0.25">
      <c r="B39" s="8" t="s">
        <v>52</v>
      </c>
      <c r="C39" s="8">
        <f t="shared" ref="C39:I39" si="8">C31-$E$31*C41</f>
        <v>0</v>
      </c>
      <c r="D39" s="8">
        <f t="shared" si="8"/>
        <v>1</v>
      </c>
      <c r="E39" s="8">
        <f>E31-$E$31*E41</f>
        <v>0</v>
      </c>
      <c r="F39" s="8">
        <f t="shared" si="8"/>
        <v>1</v>
      </c>
      <c r="G39" s="8">
        <f t="shared" si="8"/>
        <v>0</v>
      </c>
      <c r="H39" s="8">
        <f t="shared" si="8"/>
        <v>-1</v>
      </c>
      <c r="I39" s="8">
        <f t="shared" si="8"/>
        <v>80</v>
      </c>
      <c r="J39" s="8">
        <f t="shared" ref="J39:J41" si="9">I39/D39</f>
        <v>80</v>
      </c>
    </row>
    <row r="40" spans="2:10" x14ac:dyDescent="0.25">
      <c r="B40" t="s">
        <v>105</v>
      </c>
      <c r="C40">
        <f t="shared" ref="C40:D40" si="10">C32-$E$32*C41</f>
        <v>0</v>
      </c>
      <c r="D40" s="8">
        <f t="shared" si="10"/>
        <v>1</v>
      </c>
      <c r="E40">
        <f>E32-$E$32*E41</f>
        <v>0</v>
      </c>
      <c r="F40">
        <f t="shared" ref="F40" si="11">F32-$E$32*F41</f>
        <v>0</v>
      </c>
      <c r="G40">
        <f t="shared" ref="G40:H40" si="12">G32-$E$32*G41</f>
        <v>1</v>
      </c>
      <c r="H40">
        <f t="shared" si="12"/>
        <v>1</v>
      </c>
      <c r="I40">
        <f t="shared" ref="I40" si="13">I32-$E$32*I41</f>
        <v>120</v>
      </c>
      <c r="J40">
        <f t="shared" si="9"/>
        <v>120</v>
      </c>
    </row>
    <row r="41" spans="2:10" x14ac:dyDescent="0.25">
      <c r="B41" t="s">
        <v>51</v>
      </c>
      <c r="C41">
        <f t="shared" ref="C41:I41" si="14">C33/$E$33</f>
        <v>0</v>
      </c>
      <c r="D41" s="8">
        <f t="shared" si="14"/>
        <v>-1</v>
      </c>
      <c r="E41">
        <f>E33/$E$33</f>
        <v>1</v>
      </c>
      <c r="F41">
        <f t="shared" si="14"/>
        <v>0</v>
      </c>
      <c r="G41">
        <f t="shared" si="14"/>
        <v>0</v>
      </c>
      <c r="H41">
        <f t="shared" si="14"/>
        <v>1</v>
      </c>
      <c r="I41">
        <f t="shared" si="14"/>
        <v>60</v>
      </c>
      <c r="J41">
        <f t="shared" si="9"/>
        <v>-60</v>
      </c>
    </row>
    <row r="42" spans="2:10" x14ac:dyDescent="0.25">
      <c r="B42" t="s">
        <v>53</v>
      </c>
      <c r="C42">
        <f>C34-$E$34*C41</f>
        <v>0</v>
      </c>
      <c r="D42" s="8">
        <f>D34-$E$34*D41</f>
        <v>-20000</v>
      </c>
      <c r="E42">
        <f>E34-$E$34*E41</f>
        <v>0</v>
      </c>
      <c r="F42">
        <f t="shared" ref="F42:I42" si="15">F34-$E$34*F41</f>
        <v>0</v>
      </c>
      <c r="G42">
        <f t="shared" si="15"/>
        <v>0</v>
      </c>
      <c r="H42">
        <f t="shared" si="15"/>
        <v>30000</v>
      </c>
      <c r="I42">
        <f t="shared" si="15"/>
        <v>3600000</v>
      </c>
    </row>
    <row r="45" spans="2:10" x14ac:dyDescent="0.25">
      <c r="C45" t="s">
        <v>31</v>
      </c>
      <c r="D45" t="s">
        <v>32</v>
      </c>
      <c r="E45" t="s">
        <v>51</v>
      </c>
      <c r="F45" t="s">
        <v>52</v>
      </c>
      <c r="G45" t="s">
        <v>105</v>
      </c>
      <c r="H45" t="s">
        <v>106</v>
      </c>
    </row>
    <row r="46" spans="2:10" x14ac:dyDescent="0.25">
      <c r="B46" t="s">
        <v>31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120</v>
      </c>
    </row>
    <row r="47" spans="2:10" x14ac:dyDescent="0.25">
      <c r="B47" t="s">
        <v>32</v>
      </c>
      <c r="C47">
        <v>0</v>
      </c>
      <c r="D47">
        <v>1</v>
      </c>
      <c r="E47">
        <v>0</v>
      </c>
      <c r="F47">
        <v>1</v>
      </c>
      <c r="G47">
        <v>0</v>
      </c>
      <c r="H47">
        <v>-1</v>
      </c>
      <c r="I47">
        <v>80</v>
      </c>
    </row>
    <row r="48" spans="2:10" x14ac:dyDescent="0.25">
      <c r="B48" t="s">
        <v>105</v>
      </c>
      <c r="C48">
        <v>0</v>
      </c>
      <c r="D48">
        <f>D40-$D$40*D47</f>
        <v>0</v>
      </c>
      <c r="E48">
        <f t="shared" ref="E48:I48" si="16">E40-$D$40*E47</f>
        <v>0</v>
      </c>
      <c r="F48">
        <f t="shared" si="16"/>
        <v>-1</v>
      </c>
      <c r="G48">
        <f t="shared" si="16"/>
        <v>1</v>
      </c>
      <c r="H48">
        <f t="shared" si="16"/>
        <v>2</v>
      </c>
      <c r="I48">
        <f t="shared" si="16"/>
        <v>40</v>
      </c>
    </row>
    <row r="49" spans="2:9" x14ac:dyDescent="0.25">
      <c r="B49" t="s">
        <v>51</v>
      </c>
      <c r="C49">
        <v>0</v>
      </c>
      <c r="D49">
        <f>D41-$D$41*D47</f>
        <v>0</v>
      </c>
      <c r="E49">
        <f t="shared" ref="E49:I49" si="17">E41-$D$41*E47</f>
        <v>1</v>
      </c>
      <c r="F49">
        <f t="shared" si="17"/>
        <v>1</v>
      </c>
      <c r="G49">
        <f t="shared" si="17"/>
        <v>0</v>
      </c>
      <c r="H49">
        <f t="shared" si="17"/>
        <v>0</v>
      </c>
      <c r="I49">
        <f t="shared" si="17"/>
        <v>140</v>
      </c>
    </row>
    <row r="50" spans="2:9" x14ac:dyDescent="0.25">
      <c r="B50" t="s">
        <v>53</v>
      </c>
      <c r="C50">
        <v>0</v>
      </c>
      <c r="D50">
        <f>D42-$D$42*D47</f>
        <v>0</v>
      </c>
      <c r="E50">
        <f t="shared" ref="E50:I50" si="18">E42-$D$42*E47</f>
        <v>0</v>
      </c>
      <c r="F50">
        <f t="shared" si="18"/>
        <v>20000</v>
      </c>
      <c r="G50">
        <f t="shared" si="18"/>
        <v>0</v>
      </c>
      <c r="H50">
        <f t="shared" si="18"/>
        <v>10000</v>
      </c>
      <c r="I50">
        <f t="shared" si="18"/>
        <v>5200000</v>
      </c>
    </row>
    <row r="53" spans="2:9" x14ac:dyDescent="0.25">
      <c r="B53" t="s">
        <v>61</v>
      </c>
    </row>
    <row r="55" spans="2:9" x14ac:dyDescent="0.25">
      <c r="B55" t="s">
        <v>31</v>
      </c>
      <c r="C55">
        <f>I46</f>
        <v>120</v>
      </c>
      <c r="E55" t="str">
        <f>J13</f>
        <v>Z=30000A + 20000B + 0h1 + 0h2 + 0h3 + 0h4</v>
      </c>
      <c r="I55">
        <f>30000*C55+20000*C56</f>
        <v>5200000</v>
      </c>
    </row>
    <row r="56" spans="2:9" x14ac:dyDescent="0.25">
      <c r="B56" t="s">
        <v>32</v>
      </c>
      <c r="C56">
        <f>I47</f>
        <v>80</v>
      </c>
      <c r="E56" t="str">
        <f t="shared" ref="E56:E59" si="19">J14</f>
        <v>-A-B + h1 = -60</v>
      </c>
      <c r="I56">
        <f>-C55-C56+C58</f>
        <v>-60</v>
      </c>
    </row>
    <row r="57" spans="2:9" x14ac:dyDescent="0.25">
      <c r="B57" t="s">
        <v>35</v>
      </c>
      <c r="C57">
        <f>I50</f>
        <v>5200000</v>
      </c>
      <c r="E57" t="str">
        <f t="shared" si="19"/>
        <v>A+B + h2 = 200</v>
      </c>
      <c r="I57">
        <f>C55+C56+C59</f>
        <v>200</v>
      </c>
    </row>
    <row r="58" spans="2:9" x14ac:dyDescent="0.25">
      <c r="B58" t="s">
        <v>51</v>
      </c>
      <c r="C58">
        <f>I49</f>
        <v>140</v>
      </c>
      <c r="E58" t="str">
        <f t="shared" si="19"/>
        <v>-A + h3 + B =0</v>
      </c>
      <c r="I58">
        <f>-C55+C60+C56</f>
        <v>0</v>
      </c>
    </row>
    <row r="59" spans="2:9" x14ac:dyDescent="0.25">
      <c r="B59" t="s">
        <v>52</v>
      </c>
      <c r="C59">
        <v>0</v>
      </c>
      <c r="E59" t="str">
        <f t="shared" si="19"/>
        <v>A + h4 = 120</v>
      </c>
      <c r="I59">
        <f>C55+C61</f>
        <v>120</v>
      </c>
    </row>
    <row r="60" spans="2:9" x14ac:dyDescent="0.25">
      <c r="B60" t="s">
        <v>105</v>
      </c>
      <c r="C60">
        <f>I48</f>
        <v>40</v>
      </c>
    </row>
    <row r="61" spans="2:9" x14ac:dyDescent="0.25">
      <c r="B61" t="s">
        <v>106</v>
      </c>
      <c r="C61">
        <v>0</v>
      </c>
    </row>
    <row r="63" spans="2:9" x14ac:dyDescent="0.25">
      <c r="B63" t="s">
        <v>129</v>
      </c>
    </row>
    <row r="67" spans="8:8" x14ac:dyDescent="0.25">
      <c r="H67" t="s">
        <v>130</v>
      </c>
    </row>
  </sheetData>
  <pageMargins left="0.7" right="0.7" top="0.75" bottom="0.75" header="0.3" footer="0.3"/>
  <ignoredErrors>
    <ignoredError sqref="C57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7337-B1FE-4B0C-9872-078DF853EFCC}">
  <dimension ref="B12:AH81"/>
  <sheetViews>
    <sheetView topLeftCell="A32" zoomScale="82" workbookViewId="0">
      <selection activeCell="E12" sqref="E12:E17"/>
    </sheetView>
  </sheetViews>
  <sheetFormatPr baseColWidth="10" defaultRowHeight="15" x14ac:dyDescent="0.25"/>
  <cols>
    <col min="1" max="1" width="11.42578125" style="11"/>
    <col min="2" max="2" width="12.7109375" style="11" customWidth="1"/>
    <col min="3" max="3" width="11.42578125" style="11"/>
    <col min="4" max="4" width="8.42578125" style="11" bestFit="1" customWidth="1"/>
    <col min="5" max="5" width="13.28515625" style="11" bestFit="1" customWidth="1"/>
    <col min="6" max="6" width="8.42578125" style="11" bestFit="1" customWidth="1"/>
    <col min="7" max="7" width="10.42578125" style="11" bestFit="1" customWidth="1"/>
    <col min="8" max="8" width="8.42578125" style="11" bestFit="1" customWidth="1"/>
    <col min="9" max="12" width="11.42578125" style="11"/>
    <col min="13" max="13" width="11.42578125" style="13"/>
    <col min="14" max="16384" width="11.42578125" style="11"/>
  </cols>
  <sheetData>
    <row r="12" spans="2:9" x14ac:dyDescent="0.25">
      <c r="B12" s="11" t="s">
        <v>91</v>
      </c>
      <c r="E12" s="11" t="s">
        <v>94</v>
      </c>
      <c r="I12" s="11" t="s">
        <v>104</v>
      </c>
    </row>
    <row r="13" spans="2:9" x14ac:dyDescent="0.25">
      <c r="B13" s="11" t="s">
        <v>92</v>
      </c>
      <c r="E13" s="11" t="s">
        <v>95</v>
      </c>
      <c r="G13" s="12" t="s">
        <v>99</v>
      </c>
      <c r="I13" s="12" t="s">
        <v>101</v>
      </c>
    </row>
    <row r="14" spans="2:9" x14ac:dyDescent="0.25">
      <c r="B14" s="11" t="s">
        <v>93</v>
      </c>
      <c r="E14" s="11" t="s">
        <v>96</v>
      </c>
      <c r="G14" s="11" t="s">
        <v>96</v>
      </c>
      <c r="I14" s="11" t="s">
        <v>102</v>
      </c>
    </row>
    <row r="15" spans="2:9" x14ac:dyDescent="0.25">
      <c r="E15" s="11" t="s">
        <v>97</v>
      </c>
      <c r="G15" s="12" t="s">
        <v>100</v>
      </c>
      <c r="I15" s="12" t="s">
        <v>111</v>
      </c>
    </row>
    <row r="16" spans="2:9" x14ac:dyDescent="0.25">
      <c r="E16" s="11" t="s">
        <v>98</v>
      </c>
      <c r="G16" s="11" t="s">
        <v>98</v>
      </c>
      <c r="I16" s="11" t="s">
        <v>103</v>
      </c>
    </row>
    <row r="17" spans="2:10" x14ac:dyDescent="0.25">
      <c r="E17" s="11" t="s">
        <v>107</v>
      </c>
    </row>
    <row r="19" spans="2:10" x14ac:dyDescent="0.25">
      <c r="B19" s="11" t="s">
        <v>78</v>
      </c>
      <c r="C19" s="11">
        <v>900</v>
      </c>
      <c r="D19" s="11">
        <v>700</v>
      </c>
      <c r="E19" s="11">
        <v>0</v>
      </c>
      <c r="F19" s="11">
        <v>0</v>
      </c>
      <c r="G19" s="11">
        <v>0</v>
      </c>
      <c r="H19" s="11">
        <v>0</v>
      </c>
    </row>
    <row r="21" spans="2:10" x14ac:dyDescent="0.25">
      <c r="C21" s="11" t="s">
        <v>31</v>
      </c>
      <c r="D21" s="11" t="s">
        <v>32</v>
      </c>
      <c r="E21" s="11" t="s">
        <v>51</v>
      </c>
      <c r="F21" s="11" t="s">
        <v>52</v>
      </c>
      <c r="G21" s="11" t="s">
        <v>105</v>
      </c>
      <c r="H21" s="11" t="s">
        <v>106</v>
      </c>
      <c r="I21" s="11" t="s">
        <v>108</v>
      </c>
    </row>
    <row r="22" spans="2:10" x14ac:dyDescent="0.25">
      <c r="B22" s="11" t="s">
        <v>51</v>
      </c>
      <c r="C22" s="13">
        <v>-1</v>
      </c>
      <c r="D22" s="13">
        <v>-1</v>
      </c>
      <c r="E22" s="13">
        <v>1</v>
      </c>
      <c r="F22" s="13">
        <v>0</v>
      </c>
      <c r="G22" s="13">
        <v>0</v>
      </c>
      <c r="H22" s="13">
        <v>0</v>
      </c>
      <c r="I22" s="13">
        <v>-60</v>
      </c>
    </row>
    <row r="23" spans="2:10" x14ac:dyDescent="0.25">
      <c r="B23" s="11" t="s">
        <v>52</v>
      </c>
      <c r="C23" s="13">
        <v>1</v>
      </c>
      <c r="D23" s="11">
        <v>1</v>
      </c>
      <c r="E23" s="11">
        <v>0</v>
      </c>
      <c r="F23" s="11">
        <v>1</v>
      </c>
      <c r="G23" s="11">
        <v>0</v>
      </c>
      <c r="H23" s="11">
        <v>0</v>
      </c>
      <c r="I23" s="11">
        <v>200</v>
      </c>
    </row>
    <row r="24" spans="2:10" x14ac:dyDescent="0.25">
      <c r="B24" s="11" t="s">
        <v>105</v>
      </c>
      <c r="C24" s="13">
        <v>-1</v>
      </c>
      <c r="D24" s="14">
        <v>1</v>
      </c>
      <c r="E24" s="14">
        <v>0</v>
      </c>
      <c r="F24" s="14">
        <v>0</v>
      </c>
      <c r="G24" s="14">
        <v>1</v>
      </c>
      <c r="H24" s="14">
        <v>0</v>
      </c>
      <c r="I24" s="14">
        <v>0</v>
      </c>
    </row>
    <row r="25" spans="2:10" x14ac:dyDescent="0.25">
      <c r="B25" s="11" t="s">
        <v>106</v>
      </c>
      <c r="C25" s="13">
        <v>1</v>
      </c>
      <c r="D25" s="11">
        <v>0</v>
      </c>
      <c r="E25" s="11">
        <v>0</v>
      </c>
      <c r="F25" s="11">
        <v>0</v>
      </c>
      <c r="G25" s="11">
        <v>0</v>
      </c>
      <c r="H25" s="11">
        <v>1</v>
      </c>
      <c r="I25" s="11">
        <v>120</v>
      </c>
    </row>
    <row r="26" spans="2:10" x14ac:dyDescent="0.25">
      <c r="B26" s="11" t="s">
        <v>53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</row>
    <row r="27" spans="2:10" x14ac:dyDescent="0.25">
      <c r="B27" s="11" t="s">
        <v>109</v>
      </c>
      <c r="C27" s="11">
        <f t="shared" ref="C27:H27" si="0">C19 - C26</f>
        <v>900</v>
      </c>
      <c r="D27" s="11">
        <f t="shared" si="0"/>
        <v>700</v>
      </c>
      <c r="E27" s="11">
        <f t="shared" si="0"/>
        <v>0</v>
      </c>
      <c r="F27" s="11">
        <f t="shared" si="0"/>
        <v>0</v>
      </c>
      <c r="G27" s="11">
        <f t="shared" si="0"/>
        <v>0</v>
      </c>
      <c r="H27" s="11">
        <f t="shared" si="0"/>
        <v>0</v>
      </c>
    </row>
    <row r="28" spans="2:10" x14ac:dyDescent="0.25">
      <c r="B28" s="11" t="s">
        <v>54</v>
      </c>
      <c r="C28" s="11">
        <f t="shared" ref="C28:H28" si="1">C27/C24</f>
        <v>-900</v>
      </c>
      <c r="D28" s="11">
        <f t="shared" si="1"/>
        <v>700</v>
      </c>
      <c r="E28" s="11" t="e">
        <f t="shared" si="1"/>
        <v>#DIV/0!</v>
      </c>
      <c r="F28" s="11" t="e">
        <f t="shared" si="1"/>
        <v>#DIV/0!</v>
      </c>
      <c r="G28" s="11">
        <f t="shared" si="1"/>
        <v>0</v>
      </c>
      <c r="H28" s="11" t="e">
        <f t="shared" si="1"/>
        <v>#DIV/0!</v>
      </c>
    </row>
    <row r="30" spans="2:10" x14ac:dyDescent="0.25">
      <c r="C30" s="11" t="s">
        <v>31</v>
      </c>
      <c r="D30" s="11" t="s">
        <v>32</v>
      </c>
      <c r="E30" s="11" t="s">
        <v>51</v>
      </c>
      <c r="F30" s="11" t="s">
        <v>52</v>
      </c>
      <c r="G30" s="11" t="s">
        <v>105</v>
      </c>
      <c r="H30" s="11" t="s">
        <v>106</v>
      </c>
      <c r="I30" s="11" t="s">
        <v>108</v>
      </c>
      <c r="J30" s="11" t="s">
        <v>110</v>
      </c>
    </row>
    <row r="31" spans="2:10" x14ac:dyDescent="0.25">
      <c r="B31" s="11" t="s">
        <v>31</v>
      </c>
      <c r="C31" s="14">
        <f t="shared" ref="C31:I31" si="2" xml:space="preserve"> -C22</f>
        <v>1</v>
      </c>
      <c r="D31" s="13">
        <f t="shared" si="2"/>
        <v>1</v>
      </c>
      <c r="E31" s="14">
        <f t="shared" si="2"/>
        <v>-1</v>
      </c>
      <c r="F31" s="14">
        <f t="shared" si="2"/>
        <v>0</v>
      </c>
      <c r="G31" s="14">
        <f t="shared" si="2"/>
        <v>0</v>
      </c>
      <c r="H31" s="14">
        <f t="shared" si="2"/>
        <v>0</v>
      </c>
      <c r="I31" s="14">
        <f t="shared" si="2"/>
        <v>60</v>
      </c>
      <c r="J31" s="14">
        <f xml:space="preserve"> I31/D31</f>
        <v>60</v>
      </c>
    </row>
    <row r="32" spans="2:10" x14ac:dyDescent="0.25">
      <c r="B32" s="11" t="s">
        <v>52</v>
      </c>
      <c r="C32" s="11">
        <f t="shared" ref="C32:I32" si="3" xml:space="preserve"> C23 - C31</f>
        <v>0</v>
      </c>
      <c r="D32" s="13">
        <f t="shared" si="3"/>
        <v>0</v>
      </c>
      <c r="E32" s="11">
        <f t="shared" si="3"/>
        <v>1</v>
      </c>
      <c r="F32" s="11">
        <f t="shared" si="3"/>
        <v>1</v>
      </c>
      <c r="G32" s="11">
        <f t="shared" si="3"/>
        <v>0</v>
      </c>
      <c r="H32" s="11">
        <f t="shared" si="3"/>
        <v>0</v>
      </c>
      <c r="I32" s="11">
        <f t="shared" si="3"/>
        <v>140</v>
      </c>
      <c r="J32" s="14" t="e">
        <f xml:space="preserve"> I32/D32</f>
        <v>#DIV/0!</v>
      </c>
    </row>
    <row r="33" spans="2:34" x14ac:dyDescent="0.25">
      <c r="B33" s="11" t="s">
        <v>105</v>
      </c>
      <c r="C33" s="13">
        <f t="shared" ref="C33:I33" si="4" xml:space="preserve"> C24 + C31</f>
        <v>0</v>
      </c>
      <c r="D33" s="13">
        <f t="shared" si="4"/>
        <v>2</v>
      </c>
      <c r="E33" s="13">
        <f t="shared" si="4"/>
        <v>-1</v>
      </c>
      <c r="F33" s="13">
        <f t="shared" si="4"/>
        <v>0</v>
      </c>
      <c r="G33" s="13">
        <f t="shared" si="4"/>
        <v>1</v>
      </c>
      <c r="H33" s="13">
        <f t="shared" si="4"/>
        <v>0</v>
      </c>
      <c r="I33" s="13">
        <f t="shared" si="4"/>
        <v>60</v>
      </c>
      <c r="J33" s="14">
        <f xml:space="preserve"> I33/D33</f>
        <v>30</v>
      </c>
    </row>
    <row r="34" spans="2:34" x14ac:dyDescent="0.25">
      <c r="B34" s="11" t="s">
        <v>106</v>
      </c>
      <c r="C34" s="11">
        <f t="shared" ref="C34:I34" si="5">C25 - C31</f>
        <v>0</v>
      </c>
      <c r="D34" s="13">
        <f t="shared" si="5"/>
        <v>-1</v>
      </c>
      <c r="E34" s="11">
        <f t="shared" si="5"/>
        <v>1</v>
      </c>
      <c r="F34" s="11">
        <f t="shared" si="5"/>
        <v>0</v>
      </c>
      <c r="G34" s="11">
        <f t="shared" si="5"/>
        <v>0</v>
      </c>
      <c r="H34" s="11">
        <f t="shared" si="5"/>
        <v>1</v>
      </c>
      <c r="I34" s="11">
        <f t="shared" si="5"/>
        <v>60</v>
      </c>
      <c r="J34" s="14">
        <f xml:space="preserve"> I34/D34</f>
        <v>-60</v>
      </c>
    </row>
    <row r="35" spans="2:34" x14ac:dyDescent="0.25">
      <c r="B35" s="11" t="s">
        <v>53</v>
      </c>
      <c r="C35" s="11">
        <f t="shared" ref="C35:H35" si="6">900 * C31</f>
        <v>900</v>
      </c>
      <c r="D35" s="13">
        <f t="shared" si="6"/>
        <v>900</v>
      </c>
      <c r="E35" s="11">
        <f t="shared" si="6"/>
        <v>-900</v>
      </c>
      <c r="F35" s="11">
        <f t="shared" si="6"/>
        <v>0</v>
      </c>
      <c r="G35" s="11">
        <f t="shared" si="6"/>
        <v>0</v>
      </c>
      <c r="H35" s="11">
        <f t="shared" si="6"/>
        <v>0</v>
      </c>
    </row>
    <row r="36" spans="2:34" x14ac:dyDescent="0.25">
      <c r="B36" s="11" t="s">
        <v>84</v>
      </c>
      <c r="C36" s="11">
        <f t="shared" ref="C36:H36" si="7">C19 - C35</f>
        <v>0</v>
      </c>
      <c r="D36" s="11">
        <f t="shared" si="7"/>
        <v>-200</v>
      </c>
      <c r="E36" s="11">
        <f t="shared" si="7"/>
        <v>900</v>
      </c>
      <c r="F36" s="11">
        <f t="shared" si="7"/>
        <v>0</v>
      </c>
      <c r="G36" s="11">
        <f t="shared" si="7"/>
        <v>0</v>
      </c>
      <c r="H36" s="11">
        <f t="shared" si="7"/>
        <v>0</v>
      </c>
    </row>
    <row r="38" spans="2:34" x14ac:dyDescent="0.25">
      <c r="C38" s="11" t="s">
        <v>31</v>
      </c>
      <c r="D38" s="11" t="s">
        <v>32</v>
      </c>
      <c r="E38" s="11" t="s">
        <v>51</v>
      </c>
      <c r="F38" s="11" t="s">
        <v>52</v>
      </c>
      <c r="G38" s="11" t="s">
        <v>105</v>
      </c>
      <c r="H38" s="11" t="s">
        <v>106</v>
      </c>
      <c r="I38" s="11" t="s">
        <v>108</v>
      </c>
    </row>
    <row r="39" spans="2:34" x14ac:dyDescent="0.25">
      <c r="B39" s="11" t="s">
        <v>31</v>
      </c>
      <c r="C39" s="11">
        <f t="shared" ref="C39:I39" si="8">C31 - C41</f>
        <v>1</v>
      </c>
      <c r="D39" s="11">
        <f t="shared" si="8"/>
        <v>0</v>
      </c>
      <c r="E39" s="11">
        <f t="shared" si="8"/>
        <v>-0.5</v>
      </c>
      <c r="F39" s="11">
        <f t="shared" si="8"/>
        <v>0</v>
      </c>
      <c r="G39" s="11">
        <f t="shared" si="8"/>
        <v>-0.5</v>
      </c>
      <c r="H39" s="11">
        <f t="shared" si="8"/>
        <v>0</v>
      </c>
      <c r="I39" s="11">
        <f t="shared" si="8"/>
        <v>30</v>
      </c>
    </row>
    <row r="40" spans="2:34" x14ac:dyDescent="0.25">
      <c r="B40" s="11" t="s">
        <v>52</v>
      </c>
      <c r="C40" s="11">
        <v>0</v>
      </c>
      <c r="D40" s="11">
        <v>0</v>
      </c>
      <c r="E40" s="11">
        <v>1</v>
      </c>
      <c r="F40" s="11">
        <v>1</v>
      </c>
      <c r="G40" s="11">
        <v>0</v>
      </c>
      <c r="H40" s="11">
        <v>0</v>
      </c>
      <c r="I40" s="11">
        <v>140</v>
      </c>
    </row>
    <row r="41" spans="2:34" x14ac:dyDescent="0.25">
      <c r="B41" s="11" t="s">
        <v>32</v>
      </c>
      <c r="C41" s="11">
        <f t="shared" ref="C41:I41" si="9" xml:space="preserve"> C33 / 2</f>
        <v>0</v>
      </c>
      <c r="D41" s="11">
        <f t="shared" si="9"/>
        <v>1</v>
      </c>
      <c r="E41" s="11">
        <f t="shared" si="9"/>
        <v>-0.5</v>
      </c>
      <c r="F41" s="11">
        <f t="shared" si="9"/>
        <v>0</v>
      </c>
      <c r="G41" s="11">
        <f t="shared" si="9"/>
        <v>0.5</v>
      </c>
      <c r="H41" s="11">
        <f t="shared" si="9"/>
        <v>0</v>
      </c>
      <c r="I41" s="11">
        <f t="shared" si="9"/>
        <v>30</v>
      </c>
    </row>
    <row r="42" spans="2:34" x14ac:dyDescent="0.25">
      <c r="B42" s="11" t="s">
        <v>106</v>
      </c>
      <c r="C42" s="11">
        <f t="shared" ref="C42:I42" si="10">C34 + C41</f>
        <v>0</v>
      </c>
      <c r="D42" s="11">
        <f t="shared" si="10"/>
        <v>0</v>
      </c>
      <c r="E42" s="11">
        <f t="shared" si="10"/>
        <v>0.5</v>
      </c>
      <c r="F42" s="11">
        <f t="shared" si="10"/>
        <v>0</v>
      </c>
      <c r="G42" s="11">
        <f t="shared" si="10"/>
        <v>0.5</v>
      </c>
      <c r="H42" s="11">
        <f t="shared" si="10"/>
        <v>1</v>
      </c>
      <c r="I42" s="11">
        <f t="shared" si="10"/>
        <v>90</v>
      </c>
    </row>
    <row r="43" spans="2:34" x14ac:dyDescent="0.25">
      <c r="B43" s="11" t="s">
        <v>53</v>
      </c>
      <c r="C43" s="11">
        <f t="shared" ref="C43:I43" si="11" xml:space="preserve"> 900 *C39 + 700 * C41</f>
        <v>900</v>
      </c>
      <c r="D43" s="11">
        <f t="shared" si="11"/>
        <v>700</v>
      </c>
      <c r="E43" s="11">
        <f t="shared" si="11"/>
        <v>-800</v>
      </c>
      <c r="F43" s="11">
        <f t="shared" si="11"/>
        <v>0</v>
      </c>
      <c r="G43" s="11">
        <f t="shared" si="11"/>
        <v>-100</v>
      </c>
      <c r="H43" s="11">
        <f t="shared" si="11"/>
        <v>0</v>
      </c>
      <c r="I43" s="11">
        <f t="shared" si="11"/>
        <v>48000</v>
      </c>
    </row>
    <row r="44" spans="2:34" x14ac:dyDescent="0.25">
      <c r="B44" s="11" t="s">
        <v>84</v>
      </c>
      <c r="C44" s="11">
        <f>C19-C43</f>
        <v>0</v>
      </c>
      <c r="D44" s="11">
        <f t="shared" ref="D44:H44" si="12">D19-D43</f>
        <v>0</v>
      </c>
      <c r="E44" s="11">
        <f t="shared" si="12"/>
        <v>800</v>
      </c>
      <c r="F44" s="11">
        <f t="shared" si="12"/>
        <v>0</v>
      </c>
      <c r="G44" s="11">
        <f t="shared" si="12"/>
        <v>100</v>
      </c>
      <c r="H44" s="11">
        <f t="shared" si="12"/>
        <v>0</v>
      </c>
    </row>
    <row r="46" spans="2:34" x14ac:dyDescent="0.25">
      <c r="B46" s="11" t="s">
        <v>90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2:34" x14ac:dyDescent="0.25"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 spans="2:34" x14ac:dyDescent="0.25">
      <c r="B48" s="11" t="s">
        <v>35</v>
      </c>
      <c r="C48" s="11">
        <f>I43</f>
        <v>48000</v>
      </c>
      <c r="G48" s="11" t="s">
        <v>104</v>
      </c>
      <c r="K48" s="11">
        <f>900*C49 + 700*C50</f>
        <v>48000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2:34" x14ac:dyDescent="0.25">
      <c r="B49" s="11" t="s">
        <v>31</v>
      </c>
      <c r="C49" s="11">
        <v>30</v>
      </c>
      <c r="G49" s="12" t="s">
        <v>101</v>
      </c>
      <c r="K49" s="11">
        <f>-C49-C50+C51</f>
        <v>-60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2:34" x14ac:dyDescent="0.25">
      <c r="B50" s="11" t="s">
        <v>32</v>
      </c>
      <c r="C50" s="11">
        <v>30</v>
      </c>
      <c r="G50" s="11" t="s">
        <v>102</v>
      </c>
      <c r="K50" s="11">
        <f>C49+C50+C52</f>
        <v>200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2:34" x14ac:dyDescent="0.25">
      <c r="B51" s="11" t="s">
        <v>51</v>
      </c>
      <c r="C51" s="11">
        <v>0</v>
      </c>
      <c r="G51" s="12" t="s">
        <v>111</v>
      </c>
      <c r="K51" s="11">
        <f>-C49+C50+C53</f>
        <v>0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2:34" x14ac:dyDescent="0.25">
      <c r="B52" s="11" t="s">
        <v>52</v>
      </c>
      <c r="C52" s="11">
        <v>140</v>
      </c>
      <c r="G52" s="11" t="s">
        <v>103</v>
      </c>
      <c r="K52" s="11">
        <f>C49+C54</f>
        <v>120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2:34" x14ac:dyDescent="0.25">
      <c r="B53" s="11" t="s">
        <v>105</v>
      </c>
      <c r="C53" s="11">
        <v>0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2:34" x14ac:dyDescent="0.25">
      <c r="B54" s="11" t="s">
        <v>106</v>
      </c>
      <c r="C54" s="11">
        <f>I42</f>
        <v>90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2:34" x14ac:dyDescent="0.25"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2:34" x14ac:dyDescent="0.25"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2:34" x14ac:dyDescent="0.25"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2:34" x14ac:dyDescent="0.25"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2:34" x14ac:dyDescent="0.25"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2:34" x14ac:dyDescent="0.25"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2:34" x14ac:dyDescent="0.25"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2:34" x14ac:dyDescent="0.25"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2:34" x14ac:dyDescent="0.25"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2:34" x14ac:dyDescent="0.25"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4:34" x14ac:dyDescent="0.25"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14:34" x14ac:dyDescent="0.25"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4:34" x14ac:dyDescent="0.25"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4:34" x14ac:dyDescent="0.25"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 spans="14:34" x14ac:dyDescent="0.25"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4:34" x14ac:dyDescent="0.25"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4:34" x14ac:dyDescent="0.25"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 spans="14:34" x14ac:dyDescent="0.25"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 spans="14:34" x14ac:dyDescent="0.25"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 spans="14:34" x14ac:dyDescent="0.25"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14:34" x14ac:dyDescent="0.25"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</row>
    <row r="76" spans="14:34" x14ac:dyDescent="0.25"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14:34" x14ac:dyDescent="0.25"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</row>
    <row r="78" spans="14:34" x14ac:dyDescent="0.25"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14:34" x14ac:dyDescent="0.25"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</row>
    <row r="80" spans="14:34" x14ac:dyDescent="0.25"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 spans="14:34" x14ac:dyDescent="0.25"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49E099C101A479742F8C50E8787FC" ma:contentTypeVersion="14" ma:contentTypeDescription="Create a new document." ma:contentTypeScope="" ma:versionID="3444b3a3f7ad6a2f9d652df8409d5162">
  <xsd:schema xmlns:xsd="http://www.w3.org/2001/XMLSchema" xmlns:xs="http://www.w3.org/2001/XMLSchema" xmlns:p="http://schemas.microsoft.com/office/2006/metadata/properties" xmlns:ns3="cf2fe1cb-e2ff-471b-82a2-353d47c9863e" xmlns:ns4="2435d4e8-cd29-4a16-819e-9f94f3249264" targetNamespace="http://schemas.microsoft.com/office/2006/metadata/properties" ma:root="true" ma:fieldsID="5cc48e30c3d69fe9888591a2fe043383" ns3:_="" ns4:_="">
    <xsd:import namespace="cf2fe1cb-e2ff-471b-82a2-353d47c9863e"/>
    <xsd:import namespace="2435d4e8-cd29-4a16-819e-9f94f32492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fe1cb-e2ff-471b-82a2-353d47c986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35d4e8-cd29-4a16-819e-9f94f32492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C12FEC-750E-40CA-AC9D-CB2DCEE701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fe1cb-e2ff-471b-82a2-353d47c9863e"/>
    <ds:schemaRef ds:uri="2435d4e8-cd29-4a16-819e-9f94f3249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596F0C-7AEE-4A9E-9B3A-0A461F27CE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374751-BBD1-42A6-AC94-C888DDEB4DE2}">
  <ds:schemaRefs>
    <ds:schemaRef ds:uri="http://purl.org/dc/terms/"/>
    <ds:schemaRef ds:uri="http://schemas.openxmlformats.org/package/2006/metadata/core-properties"/>
    <ds:schemaRef ds:uri="cf2fe1cb-e2ff-471b-82a2-353d47c9863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2435d4e8-cd29-4a16-819e-9f94f324926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Portada</vt:lpstr>
      <vt:lpstr>P1</vt:lpstr>
      <vt:lpstr>P2</vt:lpstr>
      <vt:lpstr>P3</vt:lpstr>
      <vt:lpstr>P4</vt:lpstr>
      <vt:lpstr>P5a</vt:lpstr>
      <vt:lpstr>P5b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2015-06-05T18:19:34Z</dcterms:created>
  <dcterms:modified xsi:type="dcterms:W3CDTF">2021-09-12T20:40:09Z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0x01010020749E099C101A479742F8C50E8787FC</vt:lpwstr>
  </property>
</Properties>
</file>