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mich\Documents\Star_Gardian_Project\StarGuardianProject\config\"/>
    </mc:Choice>
  </mc:AlternateContent>
  <xr:revisionPtr revIDLastSave="0" documentId="13_ncr:1_{9FB5B213-737B-4866-866D-5F1D6F0F3AFE}" xr6:coauthVersionLast="47" xr6:coauthVersionMax="47" xr10:uidLastSave="{00000000-0000-0000-0000-000000000000}"/>
  <bookViews>
    <workbookView xWindow="28680" yWindow="-120" windowWidth="29040" windowHeight="16440" activeTab="1" xr2:uid="{00000000-000D-0000-FFFF-FFFF00000000}"/>
  </bookViews>
  <sheets>
    <sheet name="SHORTLIST" sheetId="1" r:id="rId1"/>
    <sheet name="STATISTIQUES" sheetId="2" r:id="rId2"/>
    <sheet name="TOU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2" l="1"/>
  <c r="R8" i="2" s="1"/>
  <c r="AJ1" i="2"/>
  <c r="AK9" i="2"/>
  <c r="W3" i="2"/>
  <c r="R4" i="2"/>
  <c r="R3" i="2"/>
  <c r="AC10" i="2"/>
  <c r="Q7" i="2"/>
  <c r="K7" i="2"/>
  <c r="L7" i="2" s="1"/>
  <c r="Q6" i="2"/>
  <c r="K6" i="2"/>
  <c r="Z5" i="2"/>
  <c r="Q5" i="2"/>
  <c r="K5" i="2"/>
  <c r="D5" i="2"/>
  <c r="F3" i="2" s="1"/>
  <c r="F6" i="2" s="1"/>
  <c r="Z4" i="2"/>
  <c r="W4" i="2"/>
  <c r="Q4" i="2"/>
  <c r="K4" i="2"/>
  <c r="L4" i="2" s="1"/>
  <c r="Z3" i="2"/>
  <c r="Q3" i="2"/>
  <c r="K3" i="2"/>
  <c r="L3" i="2" s="1"/>
  <c r="AF1" i="2"/>
  <c r="AG5" i="2" s="1"/>
  <c r="AD1" i="2"/>
  <c r="U1" i="2"/>
  <c r="AK3" i="2" l="1"/>
  <c r="AK4" i="2"/>
  <c r="AK5" i="2"/>
  <c r="AK6" i="2"/>
  <c r="AK7" i="2"/>
  <c r="AK8" i="2"/>
  <c r="W1" i="2"/>
  <c r="L5" i="2"/>
  <c r="L6" i="2"/>
  <c r="R6" i="2"/>
  <c r="AG3" i="2"/>
  <c r="F4" i="2"/>
  <c r="F7" i="2" s="1"/>
  <c r="R7" i="2"/>
  <c r="Z1" i="2"/>
  <c r="R5" i="2"/>
  <c r="X4" i="2"/>
  <c r="L1" i="2"/>
  <c r="M6" i="2" s="1"/>
  <c r="M7" i="2"/>
  <c r="R1" i="2"/>
  <c r="S8" i="2" s="1"/>
  <c r="X3" i="2"/>
  <c r="AG4" i="2"/>
  <c r="AG6" i="2"/>
  <c r="S7" i="2" l="1"/>
  <c r="S3" i="2"/>
  <c r="S6" i="2"/>
  <c r="S5" i="2"/>
  <c r="M3" i="2"/>
  <c r="M5" i="2"/>
  <c r="S4" i="2"/>
  <c r="M4" i="2"/>
</calcChain>
</file>

<file path=xl/sharedStrings.xml><?xml version="1.0" encoding="utf-8"?>
<sst xmlns="http://schemas.openxmlformats.org/spreadsheetml/2006/main" count="258" uniqueCount="150">
  <si>
    <t>CCSDS_CDM_VERS</t>
  </si>
  <si>
    <t>COMMENT</t>
  </si>
  <si>
    <t>CREATION_DATE</t>
  </si>
  <si>
    <t>ORIGINATOR</t>
  </si>
  <si>
    <t>MESSAGE_FOR</t>
  </si>
  <si>
    <t>MESSAGE_ID</t>
  </si>
  <si>
    <t>TCA</t>
  </si>
  <si>
    <t>MISS_DISTANCE</t>
  </si>
  <si>
    <t>RELATIVE_SPEED</t>
  </si>
  <si>
    <t>RELATIVE_POSITION_R</t>
  </si>
  <si>
    <t>RELATIVE_POSITION_T</t>
  </si>
  <si>
    <t>RELATIVE_POSITION_N</t>
  </si>
  <si>
    <t>RELATIVE_VELOCITY_R</t>
  </si>
  <si>
    <t>RELATIVE_VELOCITY_T</t>
  </si>
  <si>
    <t>RELATIVE_VELOCITY_N</t>
  </si>
  <si>
    <t>COLLISION_PROBABILITY</t>
  </si>
  <si>
    <t>COLLISION_PROBABILITY_METHOD</t>
  </si>
  <si>
    <t>COMMENT Screening Option</t>
  </si>
  <si>
    <t>COMMENT Screened with</t>
  </si>
  <si>
    <t>OBJECT</t>
  </si>
  <si>
    <t>OBJECT_DESIGNATOR</t>
  </si>
  <si>
    <t>CATALOG_NAME</t>
  </si>
  <si>
    <t>OBJECT_NAME</t>
  </si>
  <si>
    <t>INTERNATIONAL_DESIGNATOR</t>
  </si>
  <si>
    <t>OBJECT_TYPE</t>
  </si>
  <si>
    <t>OPERATOR_CONTACT_POSITION</t>
  </si>
  <si>
    <t>OPERATOR_ORGANIZATION</t>
  </si>
  <si>
    <t>OPERATOR_PHONE</t>
  </si>
  <si>
    <t>OPERATOR_EMAIL</t>
  </si>
  <si>
    <t>EPHEMERIS_NAME</t>
  </si>
  <si>
    <t>COVARIANCE_METHOD</t>
  </si>
  <si>
    <t>MANEUVERABLE</t>
  </si>
  <si>
    <t>REF_FRAME</t>
  </si>
  <si>
    <t>GRAVITY_MODEL</t>
  </si>
  <si>
    <t>ATMOSPHERIC_MODEL</t>
  </si>
  <si>
    <t>N_BODY_PERTURBATIONS</t>
  </si>
  <si>
    <t>SOLAR_RAD_PRESSURE</t>
  </si>
  <si>
    <t>EARTH_TIDES</t>
  </si>
  <si>
    <t>INTRACK_THRUST</t>
  </si>
  <si>
    <t>COMMENT Covariance Scale Factor</t>
  </si>
  <si>
    <t>COMMENT Exclusion Volume Radius</t>
  </si>
  <si>
    <t>TIME_LASTOB_START</t>
  </si>
  <si>
    <t>TIME_LASTOB_END</t>
  </si>
  <si>
    <t>RECOMMENDED_OD_SPAN</t>
  </si>
  <si>
    <t>ACTUAL_OD_SPAN</t>
  </si>
  <si>
    <t>OBS_AVAILABLE</t>
  </si>
  <si>
    <t>OBS_USED</t>
  </si>
  <si>
    <t>TRACKS_AVAILABLE</t>
  </si>
  <si>
    <t>TRACKS_USED</t>
  </si>
  <si>
    <t>RESIDUALS_ACCEPTED</t>
  </si>
  <si>
    <t>WEIGHTED_RMS</t>
  </si>
  <si>
    <t>COMMENT Apogee Altitude</t>
  </si>
  <si>
    <t>COMMENT Perigee Altitude</t>
  </si>
  <si>
    <t>COMMENT Inclination</t>
  </si>
  <si>
    <t>COMMENT Operator Hard Body Radius</t>
  </si>
  <si>
    <t>AREA_PC</t>
  </si>
  <si>
    <t>CD_AREA_OVER_MASS</t>
  </si>
  <si>
    <t>CR_AREA_OVER_MASS</t>
  </si>
  <si>
    <t>THRUST_ACCELERATION</t>
  </si>
  <si>
    <t>SEDR</t>
  </si>
  <si>
    <t>X</t>
  </si>
  <si>
    <t>Y</t>
  </si>
  <si>
    <t>Z</t>
  </si>
  <si>
    <t>X_DOT</t>
  </si>
  <si>
    <t>Y_DOT</t>
  </si>
  <si>
    <t>Z_DOT</t>
  </si>
  <si>
    <t>COMMENT DCP Density Forecast Uncertainty</t>
  </si>
  <si>
    <t>COMMENT DCP Sensitivity Vector RTN Pos</t>
  </si>
  <si>
    <t>COMMENT DCP Sensitivity Vector RTN Vel</t>
  </si>
  <si>
    <t>CR_R</t>
  </si>
  <si>
    <t>CT_R</t>
  </si>
  <si>
    <t>CT_T</t>
  </si>
  <si>
    <t>CN_R</t>
  </si>
  <si>
    <t>CN_T</t>
  </si>
  <si>
    <t>CN_N</t>
  </si>
  <si>
    <t>CRDOT_R</t>
  </si>
  <si>
    <t>CRDOT_T</t>
  </si>
  <si>
    <t>CRDOT_N</t>
  </si>
  <si>
    <t>CRDOT_RDOT</t>
  </si>
  <si>
    <t>CTDOT_R</t>
  </si>
  <si>
    <t>CTDOT_T</t>
  </si>
  <si>
    <t>CTDOT_N</t>
  </si>
  <si>
    <t>CTDOT_RDOT</t>
  </si>
  <si>
    <t>CTDOT_TDOT</t>
  </si>
  <si>
    <t>CNDOT_R</t>
  </si>
  <si>
    <t>CNDOT_T</t>
  </si>
  <si>
    <t>CNDOT_N</t>
  </si>
  <si>
    <t>CNDOT_RDOT</t>
  </si>
  <si>
    <t>CNDOT_TDOT</t>
  </si>
  <si>
    <t>CNDOT_NDOT</t>
  </si>
  <si>
    <t>CDRG_R</t>
  </si>
  <si>
    <t>CDRG_T</t>
  </si>
  <si>
    <t>CDRG_N</t>
  </si>
  <si>
    <t>CDRG_RDOT</t>
  </si>
  <si>
    <t>CDRG_TDOT</t>
  </si>
  <si>
    <t>CDRG_NDOT</t>
  </si>
  <si>
    <t>CDRG_DRG</t>
  </si>
  <si>
    <t>CSRP_R</t>
  </si>
  <si>
    <t>CSRP_T</t>
  </si>
  <si>
    <t>CSRP_N</t>
  </si>
  <si>
    <t>CSRP_RDOT</t>
  </si>
  <si>
    <t>CSRP_TDOT</t>
  </si>
  <si>
    <t>CSRP_NDOT</t>
  </si>
  <si>
    <t>CSRP_DRG</t>
  </si>
  <si>
    <t>CSRP_SRP</t>
  </si>
  <si>
    <t>FILENAME</t>
  </si>
  <si>
    <t>PAYLOAD</t>
  </si>
  <si>
    <t>YES</t>
  </si>
  <si>
    <t>NO</t>
  </si>
  <si>
    <t>N/A</t>
  </si>
  <si>
    <t>DEBRIS</t>
  </si>
  <si>
    <t>MISS_DISTANCE
[m]</t>
  </si>
  <si>
    <t>Inclination
[deg]</t>
  </si>
  <si>
    <t>Nb</t>
  </si>
  <si>
    <t xml:space="preserve">OBJECT_TYPE   </t>
  </si>
  <si>
    <t xml:space="preserve">MANEUVERABLE     </t>
  </si>
  <si>
    <t>TCA Date</t>
  </si>
  <si>
    <t>Country</t>
  </si>
  <si>
    <t>Nb of alerts</t>
  </si>
  <si>
    <t>/day</t>
  </si>
  <si>
    <t>≥1E-4</t>
  </si>
  <si>
    <t>≤100m</t>
  </si>
  <si>
    <t>2024-07-25</t>
  </si>
  <si>
    <t>Nb of conjunction</t>
  </si>
  <si>
    <t>1E-4&gt;X≥1E-5</t>
  </si>
  <si>
    <t>100m&gt;X≥200m</t>
  </si>
  <si>
    <t>2024-07-26</t>
  </si>
  <si>
    <t>Nb of days</t>
  </si>
  <si>
    <t>1E-5&gt;X≥1E-6</t>
  </si>
  <si>
    <t>200m&gt;X≥300m</t>
  </si>
  <si>
    <t>2024-07-27</t>
  </si>
  <si>
    <t>/week</t>
  </si>
  <si>
    <t>1E-6&gt;X≥1E-7</t>
  </si>
  <si>
    <t>300m&gt;X≥400m</t>
  </si>
  <si>
    <t>2024-07-28</t>
  </si>
  <si>
    <t>≤1E-8</t>
  </si>
  <si>
    <t>400m&gt;X≥500m</t>
  </si>
  <si>
    <t>2024-07-29</t>
  </si>
  <si>
    <t>1000m&gt;X</t>
  </si>
  <si>
    <t>2024-07-30</t>
  </si>
  <si>
    <t>2024-07-31</t>
  </si>
  <si>
    <t>1 &lt;= X &lt;= 2</t>
  </si>
  <si>
    <t>2 &lt;= X &lt;= 3</t>
  </si>
  <si>
    <t>3 &lt;= X &lt;= 4</t>
  </si>
  <si>
    <t>4 &lt;= X &lt;= 5</t>
  </si>
  <si>
    <t>5 &lt;= X &lt;= 6</t>
  </si>
  <si>
    <t>OBJECT 2 AGE</t>
  </si>
  <si>
    <t>UNKNOWN</t>
  </si>
  <si>
    <t>&gt; 1</t>
  </si>
  <si>
    <t>X &gt;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</si>
</sst>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8"/>
      <color theme="0"/>
      <name val="Bahnschrift SemiBold SemiConden"/>
      <family val="2"/>
    </font>
    <font>
      <sz val="11"/>
      <color theme="5"/>
      <name val="Calibri"/>
      <family val="2"/>
      <scheme val="minor"/>
    </font>
    <font>
      <sz val="11"/>
      <color theme="1"/>
      <name val="Bahnschrift SemiBold SemiConden"/>
      <family val="2"/>
    </font>
    <font>
      <sz val="11"/>
      <color theme="0"/>
      <name val="Bahnschrift SemiBold SemiConden"/>
      <family val="2"/>
    </font>
    <font>
      <b/>
      <sz val="11"/>
      <color theme="0"/>
      <name val="Bahnschrift SemiBold SemiConden"/>
      <family val="2"/>
    </font>
    <font>
      <b/>
      <sz val="11"/>
      <name val="Bahnschrift SemiBold SemiConden"/>
      <family val="2"/>
    </font>
    <font>
      <b/>
      <sz val="11"/>
      <color theme="5"/>
      <name val="Bahnschrift SemiBold SemiConden"/>
      <family val="2"/>
    </font>
    <font>
      <sz val="11"/>
      <color theme="0"/>
      <name val="Bahnschrift SemiBold Condensed"/>
      <family val="2"/>
    </font>
    <font>
      <sz val="11"/>
      <color theme="5"/>
      <name val="Bahnschrift SemiBold Condensed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/>
    <xf numFmtId="0" fontId="3" fillId="0" borderId="0"/>
  </cellStyleXfs>
  <cellXfs count="56">
    <xf numFmtId="0" fontId="0" fillId="0" borderId="0" xfId="0"/>
    <xf numFmtId="0" fontId="4" fillId="2" borderId="0" xfId="2" applyFont="1" applyFill="1"/>
    <xf numFmtId="0" fontId="0" fillId="2" borderId="0" xfId="0" applyFill="1"/>
    <xf numFmtId="0" fontId="5" fillId="3" borderId="0" xfId="0" applyFont="1" applyFill="1"/>
    <xf numFmtId="11" fontId="6" fillId="2" borderId="1" xfId="0" applyNumberFormat="1" applyFont="1" applyFill="1" applyBorder="1"/>
    <xf numFmtId="11" fontId="6" fillId="2" borderId="0" xfId="0" applyNumberFormat="1" applyFont="1" applyFill="1"/>
    <xf numFmtId="0" fontId="7" fillId="2" borderId="0" xfId="0" applyFont="1" applyFill="1"/>
    <xf numFmtId="0" fontId="6" fillId="2" borderId="1" xfId="0" applyFont="1" applyFill="1" applyBorder="1"/>
    <xf numFmtId="0" fontId="6" fillId="2" borderId="0" xfId="0" applyFont="1" applyFill="1"/>
    <xf numFmtId="0" fontId="0" fillId="4" borderId="0" xfId="0" applyFill="1"/>
    <xf numFmtId="1" fontId="8" fillId="4" borderId="0" xfId="2" applyNumberFormat="1" applyFont="1" applyFill="1" applyAlignment="1">
      <alignment vertical="top"/>
    </xf>
    <xf numFmtId="0" fontId="7" fillId="4" borderId="0" xfId="0" applyFont="1" applyFill="1"/>
    <xf numFmtId="0" fontId="2" fillId="4" borderId="0" xfId="0" applyFont="1" applyFill="1"/>
    <xf numFmtId="11" fontId="8" fillId="2" borderId="1" xfId="2" applyNumberFormat="1" applyFont="1" applyFill="1" applyBorder="1" applyAlignment="1">
      <alignment vertical="top"/>
    </xf>
    <xf numFmtId="11" fontId="8" fillId="2" borderId="0" xfId="2" applyNumberFormat="1" applyFont="1" applyFill="1" applyAlignment="1">
      <alignment vertical="top"/>
    </xf>
    <xf numFmtId="0" fontId="8" fillId="2" borderId="1" xfId="2" applyFont="1" applyFill="1" applyBorder="1" applyAlignment="1">
      <alignment vertical="top" wrapText="1"/>
    </xf>
    <xf numFmtId="0" fontId="8" fillId="2" borderId="0" xfId="2" applyFont="1" applyFill="1" applyAlignment="1">
      <alignment vertical="top" wrapText="1"/>
    </xf>
    <xf numFmtId="0" fontId="7" fillId="4" borderId="0" xfId="0" applyFont="1" applyFill="1" applyAlignment="1">
      <alignment vertical="top"/>
    </xf>
    <xf numFmtId="0" fontId="8" fillId="2" borderId="0" xfId="2" applyFont="1" applyFill="1" applyAlignment="1">
      <alignment vertical="top"/>
    </xf>
    <xf numFmtId="0" fontId="9" fillId="5" borderId="0" xfId="2" applyFont="1" applyFill="1" applyAlignment="1">
      <alignment vertical="top"/>
    </xf>
    <xf numFmtId="164" fontId="9" fillId="5" borderId="0" xfId="2" applyNumberFormat="1" applyFont="1" applyFill="1" applyAlignment="1">
      <alignment vertical="top"/>
    </xf>
    <xf numFmtId="0" fontId="10" fillId="3" borderId="0" xfId="2" applyFont="1" applyFill="1" applyAlignment="1">
      <alignment vertical="top"/>
    </xf>
    <xf numFmtId="165" fontId="8" fillId="3" borderId="1" xfId="2" applyNumberFormat="1" applyFont="1" applyFill="1" applyBorder="1" applyAlignment="1">
      <alignment vertical="top"/>
    </xf>
    <xf numFmtId="165" fontId="8" fillId="3" borderId="0" xfId="2" applyNumberFormat="1" applyFont="1" applyFill="1" applyAlignment="1">
      <alignment horizontal="center" vertical="top"/>
    </xf>
    <xf numFmtId="165" fontId="8" fillId="3" borderId="0" xfId="2" quotePrefix="1" applyNumberFormat="1" applyFont="1" applyFill="1" applyAlignment="1">
      <alignment vertical="top"/>
    </xf>
    <xf numFmtId="0" fontId="8" fillId="3" borderId="0" xfId="2" applyFont="1" applyFill="1" applyAlignment="1">
      <alignment vertical="top"/>
    </xf>
    <xf numFmtId="9" fontId="11" fillId="3" borderId="0" xfId="1" applyFont="1" applyFill="1"/>
    <xf numFmtId="0" fontId="8" fillId="3" borderId="1" xfId="2" applyFont="1" applyFill="1" applyBorder="1" applyAlignment="1">
      <alignment vertical="top"/>
    </xf>
    <xf numFmtId="164" fontId="0" fillId="2" borderId="0" xfId="0" applyNumberFormat="1" applyFill="1"/>
    <xf numFmtId="14" fontId="12" fillId="2" borderId="0" xfId="0" applyNumberFormat="1" applyFont="1" applyFill="1"/>
    <xf numFmtId="165" fontId="8" fillId="3" borderId="0" xfId="2" applyNumberFormat="1" applyFont="1" applyFill="1" applyAlignment="1">
      <alignment vertical="top"/>
    </xf>
    <xf numFmtId="0" fontId="5" fillId="3" borderId="1" xfId="0" applyFont="1" applyFill="1" applyBorder="1"/>
    <xf numFmtId="14" fontId="7" fillId="4" borderId="0" xfId="0" applyNumberFormat="1" applyFont="1" applyFill="1"/>
    <xf numFmtId="164" fontId="8" fillId="6" borderId="0" xfId="2" applyNumberFormat="1" applyFont="1" applyFill="1" applyAlignment="1">
      <alignment vertical="top"/>
    </xf>
    <xf numFmtId="0" fontId="2" fillId="6" borderId="0" xfId="0" applyFont="1" applyFill="1"/>
    <xf numFmtId="1" fontId="8" fillId="6" borderId="0" xfId="2" applyNumberFormat="1" applyFont="1" applyFill="1" applyAlignment="1">
      <alignment vertical="top"/>
    </xf>
    <xf numFmtId="0" fontId="6" fillId="6" borderId="1" xfId="0" applyFont="1" applyFill="1" applyBorder="1"/>
    <xf numFmtId="0" fontId="6" fillId="6" borderId="0" xfId="0" applyFont="1" applyFill="1"/>
    <xf numFmtId="0" fontId="2" fillId="6" borderId="1" xfId="0" applyFont="1" applyFill="1" applyBorder="1"/>
    <xf numFmtId="0" fontId="8" fillId="6" borderId="0" xfId="2" applyFont="1" applyFill="1" applyAlignment="1">
      <alignment vertical="top" wrapText="1"/>
    </xf>
    <xf numFmtId="0" fontId="8" fillId="6" borderId="0" xfId="2" applyFont="1" applyFill="1" applyAlignment="1">
      <alignment vertical="top"/>
    </xf>
    <xf numFmtId="0" fontId="8" fillId="6" borderId="1" xfId="2" applyFont="1" applyFill="1" applyBorder="1" applyAlignment="1">
      <alignment vertical="top"/>
    </xf>
    <xf numFmtId="9" fontId="8" fillId="6" borderId="0" xfId="1" applyFont="1" applyFill="1" applyAlignment="1">
      <alignment vertical="top"/>
    </xf>
    <xf numFmtId="1" fontId="8" fillId="6" borderId="1" xfId="2" applyNumberFormat="1" applyFont="1" applyFill="1" applyBorder="1" applyAlignment="1">
      <alignment vertical="top"/>
    </xf>
    <xf numFmtId="0" fontId="8" fillId="6" borderId="0" xfId="0" applyFont="1" applyFill="1"/>
    <xf numFmtId="164" fontId="8" fillId="6" borderId="0" xfId="0" applyNumberFormat="1" applyFont="1" applyFill="1"/>
    <xf numFmtId="0" fontId="8" fillId="6" borderId="0" xfId="2" applyFont="1" applyFill="1" applyAlignment="1">
      <alignment horizontal="center" vertical="top"/>
    </xf>
    <xf numFmtId="0" fontId="2" fillId="4" borderId="2" xfId="0" applyFont="1" applyFill="1" applyBorder="1"/>
    <xf numFmtId="9" fontId="2" fillId="4" borderId="2" xfId="1" applyFont="1" applyFill="1" applyBorder="1"/>
    <xf numFmtId="9" fontId="2" fillId="4" borderId="2" xfId="0" applyNumberFormat="1" applyFont="1" applyFill="1" applyBorder="1"/>
    <xf numFmtId="0" fontId="0" fillId="4" borderId="2" xfId="0" applyFill="1" applyBorder="1"/>
    <xf numFmtId="0" fontId="7" fillId="4" borderId="2" xfId="0" applyFont="1" applyFill="1" applyBorder="1" applyAlignment="1">
      <alignment vertical="top"/>
    </xf>
    <xf numFmtId="0" fontId="7" fillId="4" borderId="2" xfId="0" applyFont="1" applyFill="1" applyBorder="1"/>
    <xf numFmtId="14" fontId="7" fillId="4" borderId="2" xfId="0" applyNumberFormat="1" applyFont="1" applyFill="1" applyBorder="1"/>
    <xf numFmtId="0" fontId="8" fillId="4" borderId="0" xfId="0" applyFont="1" applyFill="1" applyAlignment="1">
      <alignment horizontal="center" vertical="top"/>
    </xf>
    <xf numFmtId="9" fontId="2" fillId="4" borderId="0" xfId="1" applyFont="1" applyFill="1"/>
  </cellXfs>
  <cellStyles count="3">
    <cellStyle name="Normal" xfId="0" builtinId="0"/>
    <cellStyle name="Pourcentage" xfId="1" builtinId="5"/>
    <cellStyle name="Titr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ROBUSTA-3A - OBJECT_TYPE</a:t>
            </a:r>
          </a:p>
        </c:rich>
      </c:tx>
      <c:layout>
        <c:manualLayout>
          <c:xMode val="edge"/>
          <c:yMode val="edge"/>
          <c:x val="0.1126335672476087"/>
          <c:y val="3.527333595028774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90B-4128-BE45-6C7730091B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90B-4128-BE45-6C7730091B3A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STATISTIQUES!$V$3:$V$4</c:f>
              <c:strCache>
                <c:ptCount val="2"/>
                <c:pt idx="0">
                  <c:v>PAYLOAD</c:v>
                </c:pt>
                <c:pt idx="1">
                  <c:v>DEBRIS</c:v>
                </c:pt>
              </c:strCache>
            </c:strRef>
          </c:cat>
          <c:val>
            <c:numRef>
              <c:f>STATISTIQUES!$W$3:$W$4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0B-4128-BE45-6C7730091B3A}"/>
            </c:ext>
          </c:extLst>
        </c:ser>
        <c:ser>
          <c:idx val="1"/>
          <c:order val="1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90B-4128-BE45-6C7730091B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A90B-4128-BE45-6C7730091B3A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STATISTIQUES!$V$3:$V$4</c:f>
              <c:strCache>
                <c:ptCount val="2"/>
                <c:pt idx="0">
                  <c:v>PAYLOAD</c:v>
                </c:pt>
                <c:pt idx="1">
                  <c:v>DEBRIS</c:v>
                </c:pt>
              </c:strCache>
            </c:strRef>
          </c:cat>
          <c:val>
            <c:numRef>
              <c:f>STATISTIQUES!$X$3:$X$4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0B-4128-BE45-6C7730091B3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ROBUSTA-3A - MANEUVERABLE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45A-4A39-8D3F-05A33FBEDB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45A-4A39-8D3F-05A33FBEDB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45A-4A39-8D3F-05A33FBEDB6C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STATISTIQUES!$Y$3:$Y$5</c:f>
              <c:strCache>
                <c:ptCount val="3"/>
                <c:pt idx="0">
                  <c:v>YES</c:v>
                </c:pt>
                <c:pt idx="1">
                  <c:v>N/A</c:v>
                </c:pt>
                <c:pt idx="2">
                  <c:v>NO</c:v>
                </c:pt>
              </c:strCache>
            </c:strRef>
          </c:cat>
          <c:val>
            <c:numRef>
              <c:f>STATISTIQUES!$Z$3:$Z$5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5A-4A39-8D3F-05A33FBEDB6C}"/>
            </c:ext>
          </c:extLst>
        </c:ser>
        <c:ser>
          <c:idx val="1"/>
          <c:order val="1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345A-4A39-8D3F-05A33FBEDB6C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STATISTIQUES!$Y$3:$Y$5</c:f>
              <c:strCache>
                <c:ptCount val="3"/>
                <c:pt idx="0">
                  <c:v>YES</c:v>
                </c:pt>
                <c:pt idx="1">
                  <c:v>N/A</c:v>
                </c:pt>
                <c:pt idx="2">
                  <c:v>NO</c:v>
                </c:pt>
              </c:strCache>
            </c:strRef>
          </c:cat>
          <c:val>
            <c:numRef>
              <c:f>STATISTIQUES!$Y$2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45A-4A39-8D3F-05A33FBEDB6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ROBUSTA-3A</a:t>
            </a:r>
            <a:r>
              <a:rPr lang="fr-FR" baseline="0"/>
              <a:t> - Collision_Prob</a:t>
            </a:r>
            <a:endParaRPr lang="fr-FR"/>
          </a:p>
        </c:rich>
      </c:tx>
      <c:layout>
        <c:manualLayout>
          <c:xMode val="edge"/>
          <c:yMode val="edge"/>
          <c:x val="0.2040042125519009"/>
          <c:y val="2.77296511850059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A5B-4341-92E8-9661AEEB12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A5B-4341-92E8-9661AEEB12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A5B-4341-92E8-9661AEEB12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A5B-4341-92E8-9661AEEB121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A5B-4341-92E8-9661AEEB121A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STATISTIQUES!$J$3:$J$7</c:f>
              <c:strCache>
                <c:ptCount val="5"/>
                <c:pt idx="0">
                  <c:v>≥1E-4</c:v>
                </c:pt>
                <c:pt idx="1">
                  <c:v>1E-4&gt;X≥1E-5</c:v>
                </c:pt>
                <c:pt idx="2">
                  <c:v>1E-5&gt;X≥1E-6</c:v>
                </c:pt>
                <c:pt idx="3">
                  <c:v>1E-6&gt;X≥1E-7</c:v>
                </c:pt>
                <c:pt idx="4">
                  <c:v>≤1E-8</c:v>
                </c:pt>
              </c:strCache>
            </c:strRef>
          </c:cat>
          <c:val>
            <c:numRef>
              <c:f>STATISTIQUES!$M$3:$M$7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5B-4341-92E8-9661AEEB121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7156889731471892"/>
          <c:y val="0.32371893196446389"/>
          <c:w val="0.28247672881362501"/>
          <c:h val="0.4592750770480367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defRPr/>
            </a:pPr>
            <a:r>
              <a:rPr lang="fr-FR" sz="18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ROBUSTA-3A - MISS_DISTANCE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C53-4414-A34A-E44F377D5A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C53-4414-A34A-E44F377D5A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C53-4414-A34A-E44F377D5A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C53-4414-A34A-E44F377D5A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C53-4414-A34A-E44F377D5A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C53-4414-A34A-E44F377D5A84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STATISTIQUES!$P$3:$P$8</c:f>
              <c:strCache>
                <c:ptCount val="6"/>
                <c:pt idx="0">
                  <c:v>≤100m</c:v>
                </c:pt>
                <c:pt idx="1">
                  <c:v>100m&gt;X≥200m</c:v>
                </c:pt>
                <c:pt idx="2">
                  <c:v>200m&gt;X≥300m</c:v>
                </c:pt>
                <c:pt idx="3">
                  <c:v>300m&gt;X≥400m</c:v>
                </c:pt>
                <c:pt idx="4">
                  <c:v>400m&gt;X≥500m</c:v>
                </c:pt>
                <c:pt idx="5">
                  <c:v>1000m&gt;X</c:v>
                </c:pt>
              </c:strCache>
            </c:strRef>
          </c:cat>
          <c:val>
            <c:numRef>
              <c:f>STATISTIQUES!$S$3:$S$8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C53-4414-A34A-E44F377D5A8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ROBUSTA-3A</a:t>
            </a:r>
            <a:r>
              <a:rPr lang="fr-FR" baseline="0"/>
              <a:t> - </a:t>
            </a:r>
            <a:r>
              <a:rPr lang="fr-FR"/>
              <a:t>Inclination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1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335-47D2-97AD-828A68EADC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335-47D2-97AD-828A68EADC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335-47D2-97AD-828A68EADC6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335-47D2-97AD-828A68EADC6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335-47D2-97AD-828A68EADC6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335-47D2-97AD-828A68EADC6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335-47D2-97AD-828A68EADC6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335-47D2-97AD-828A68EADC6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335-47D2-97AD-828A68EADC6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335-47D2-97AD-828A68EADC6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335-47D2-97AD-828A68EADC6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0335-47D2-97AD-828A68EADC6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0335-47D2-97AD-828A68EADC6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0335-47D2-97AD-828A68EADC6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0335-47D2-97AD-828A68EADC6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0335-47D2-97AD-828A68EADC6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0335-47D2-97AD-828A68EADC60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STATISTIQUES!$T$3:$T$19</c:f>
              <c:numCache>
                <c:formatCode>0.0</c:formatCode>
                <c:ptCount val="17"/>
              </c:numCache>
            </c:numRef>
          </c:cat>
          <c:val>
            <c:numRef>
              <c:f>STATISTIQUES!$U$3:$U$19</c:f>
              <c:numCache>
                <c:formatCode>0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22-0335-47D2-97AD-828A68EADC6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ROBUSTA-3A - Country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B90-4084-A72C-71F943897D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B90-4084-A72C-71F943897D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B90-4084-A72C-71F943897D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B90-4084-A72C-71F943897D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B90-4084-A72C-71F943897D5F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STATISTIQUES!$AE$3:$AE$6</c:f>
              <c:numCache>
                <c:formatCode>General</c:formatCode>
                <c:ptCount val="4"/>
              </c:numCache>
            </c:numRef>
          </c:cat>
          <c:val>
            <c:numRef>
              <c:f>STATISTIQUES!$AG$3:$AG$6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90-4084-A72C-71F943897D5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ROBUSTA-3A</a:t>
            </a:r>
            <a:r>
              <a:rPr lang="fr-FR" baseline="0"/>
              <a:t> - OBJECT_AGE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1119553805774277"/>
          <c:y val="0.22839176681862136"/>
          <c:w val="0.39500699912510934"/>
          <c:h val="0.6652749458949209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DE-4AB1-9A26-D6B9AA877C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DE-4AB1-9A26-D6B9AA877C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DE-4AB1-9A26-D6B9AA877C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1DE-4AB1-9A26-D6B9AA877CC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1DE-4AB1-9A26-D6B9AA877CC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1DE-4AB1-9A26-D6B9AA877CC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1DE-4AB1-9A26-D6B9AA877C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STATISTIQUES!$AH$3:$AH$9</c:f>
              <c:strCache>
                <c:ptCount val="7"/>
                <c:pt idx="0">
                  <c:v>&gt; 1</c:v>
                </c:pt>
                <c:pt idx="1">
                  <c:v>1 &lt;= X &lt;= 2</c:v>
                </c:pt>
                <c:pt idx="2">
                  <c:v>2 &lt;= X &lt;= 3</c:v>
                </c:pt>
                <c:pt idx="3">
                  <c:v>3 &lt;= X &lt;= 4</c:v>
                </c:pt>
                <c:pt idx="4">
                  <c:v>4 &lt;= X &lt;= 5</c:v>
                </c:pt>
                <c:pt idx="5">
                  <c:v>5 &lt;= X &lt;= 6</c:v>
                </c:pt>
                <c:pt idx="6">
                  <c:v>X &gt; 6</c:v>
                </c:pt>
              </c:strCache>
            </c:strRef>
          </c:cat>
          <c:val>
            <c:numRef>
              <c:f>STATISTIQUES!$AK$3:$AK$9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1-4AC3-8FD4-B7DC658A1AB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93345</xdr:colOff>
      <xdr:row>9</xdr:row>
      <xdr:rowOff>106679</xdr:rowOff>
    </xdr:from>
    <xdr:to>
      <xdr:col>25</xdr:col>
      <xdr:colOff>390525</xdr:colOff>
      <xdr:row>21</xdr:row>
      <xdr:rowOff>97156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285750</xdr:colOff>
      <xdr:row>20</xdr:row>
      <xdr:rowOff>146684</xdr:rowOff>
    </xdr:from>
    <xdr:to>
      <xdr:col>27</xdr:col>
      <xdr:colOff>521970</xdr:colOff>
      <xdr:row>32</xdr:row>
      <xdr:rowOff>175259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443867</xdr:colOff>
      <xdr:row>9</xdr:row>
      <xdr:rowOff>173355</xdr:rowOff>
    </xdr:from>
    <xdr:to>
      <xdr:col>12</xdr:col>
      <xdr:colOff>276226</xdr:colOff>
      <xdr:row>25</xdr:row>
      <xdr:rowOff>25716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523875</xdr:colOff>
      <xdr:row>10</xdr:row>
      <xdr:rowOff>68580</xdr:rowOff>
    </xdr:from>
    <xdr:to>
      <xdr:col>19</xdr:col>
      <xdr:colOff>36195</xdr:colOff>
      <xdr:row>25</xdr:row>
      <xdr:rowOff>79057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533399</xdr:colOff>
      <xdr:row>26</xdr:row>
      <xdr:rowOff>36194</xdr:rowOff>
    </xdr:from>
    <xdr:to>
      <xdr:col>23</xdr:col>
      <xdr:colOff>377190</xdr:colOff>
      <xdr:row>48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49530</xdr:colOff>
      <xdr:row>11</xdr:row>
      <xdr:rowOff>55245</xdr:rowOff>
    </xdr:from>
    <xdr:to>
      <xdr:col>35</xdr:col>
      <xdr:colOff>354330</xdr:colOff>
      <xdr:row>26</xdr:row>
      <xdr:rowOff>87630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91440</xdr:colOff>
      <xdr:row>11</xdr:row>
      <xdr:rowOff>15240</xdr:rowOff>
    </xdr:from>
    <xdr:to>
      <xdr:col>44</xdr:col>
      <xdr:colOff>396240</xdr:colOff>
      <xdr:row>26</xdr:row>
      <xdr:rowOff>15240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EA352A0-4D2A-9D70-BE6E-AED094E4B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eu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1"/>
  <sheetViews>
    <sheetView topLeftCell="I1" workbookViewId="0">
      <selection activeCell="X2" sqref="X2"/>
    </sheetView>
  </sheetViews>
  <sheetFormatPr baseColWidth="10" defaultColWidth="8.88671875" defaultRowHeight="14.4" x14ac:dyDescent="0.3"/>
  <cols>
    <col min="16" max="16" width="22.109375" customWidth="1"/>
  </cols>
  <sheetData>
    <row r="1" spans="1:10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9"/>
  <sheetViews>
    <sheetView tabSelected="1" workbookViewId="0">
      <selection activeCell="Q8" sqref="Q8"/>
    </sheetView>
  </sheetViews>
  <sheetFormatPr baseColWidth="10" defaultColWidth="8.88671875" defaultRowHeight="14.4" x14ac:dyDescent="0.3"/>
  <cols>
    <col min="10" max="10" width="11.5546875" customWidth="1"/>
    <col min="16" max="16" width="13.88671875" customWidth="1"/>
    <col min="17" max="17" width="5.77734375" customWidth="1"/>
    <col min="18" max="18" width="6.33203125" customWidth="1"/>
    <col min="20" max="21" width="8.88671875" style="44" customWidth="1"/>
    <col min="35" max="35" width="5.44140625" customWidth="1"/>
    <col min="36" max="36" width="5.21875" customWidth="1"/>
    <col min="37" max="37" width="6.6640625" customWidth="1"/>
  </cols>
  <sheetData>
    <row r="1" spans="1:37" ht="22.2" customHeight="1" x14ac:dyDescent="0.35">
      <c r="A1" s="1"/>
      <c r="B1" s="2"/>
      <c r="C1" s="2"/>
      <c r="D1" s="2"/>
      <c r="E1" s="2"/>
      <c r="F1" s="2"/>
      <c r="G1" s="3"/>
      <c r="H1" s="4"/>
      <c r="I1" s="5"/>
      <c r="J1" s="5"/>
      <c r="K1" s="6"/>
      <c r="L1" s="6">
        <f>SUM(L3:L7)</f>
        <v>0</v>
      </c>
      <c r="M1" s="6"/>
      <c r="N1" s="7"/>
      <c r="O1" s="8"/>
      <c r="P1" s="8"/>
      <c r="Q1" s="6"/>
      <c r="R1" s="6">
        <f>SUM(R3:R8)</f>
        <v>0</v>
      </c>
      <c r="S1" s="3"/>
      <c r="U1" s="35">
        <f>SUBTOTAL(9,U3:U200)</f>
        <v>0</v>
      </c>
      <c r="V1" s="36"/>
      <c r="W1" s="35">
        <f>SUM(W3:W4)</f>
        <v>0</v>
      </c>
      <c r="X1" s="37"/>
      <c r="Y1" s="38"/>
      <c r="Z1" s="35">
        <f>SUBTOTAL(9,Z3:Z6)</f>
        <v>0</v>
      </c>
      <c r="AA1" s="9"/>
      <c r="AB1" s="9"/>
      <c r="AC1" s="50"/>
      <c r="AD1" s="10">
        <f>SUBTOTAL(9,AD3:AD6)</f>
        <v>0</v>
      </c>
      <c r="AE1" s="11"/>
      <c r="AF1" s="12">
        <f>SUM(AF3:AF50000)</f>
        <v>0</v>
      </c>
      <c r="AG1" s="47"/>
      <c r="AH1" s="12"/>
      <c r="AI1" s="12"/>
      <c r="AJ1" s="12">
        <f>SUM(AI3:AI10)</f>
        <v>0</v>
      </c>
      <c r="AK1" s="12"/>
    </row>
    <row r="2" spans="1:37" ht="41.4" customHeight="1" x14ac:dyDescent="0.35">
      <c r="A2" s="1"/>
      <c r="B2" s="2"/>
      <c r="C2" s="2"/>
      <c r="D2" s="2"/>
      <c r="E2" s="2"/>
      <c r="F2" s="2"/>
      <c r="G2" s="3"/>
      <c r="H2" s="13" t="s">
        <v>15</v>
      </c>
      <c r="I2" s="14"/>
      <c r="J2" s="14"/>
      <c r="K2" s="14"/>
      <c r="L2" s="14"/>
      <c r="M2" s="14"/>
      <c r="N2" s="15" t="s">
        <v>111</v>
      </c>
      <c r="O2" s="16"/>
      <c r="P2" s="16"/>
      <c r="Q2" s="14"/>
      <c r="R2" s="14"/>
      <c r="S2" s="3"/>
      <c r="T2" s="39" t="s">
        <v>112</v>
      </c>
      <c r="U2" s="46" t="s">
        <v>113</v>
      </c>
      <c r="V2" s="41" t="s">
        <v>114</v>
      </c>
      <c r="W2" s="40"/>
      <c r="X2" s="40"/>
      <c r="Y2" s="41" t="s">
        <v>115</v>
      </c>
      <c r="Z2" s="34"/>
      <c r="AA2" s="9"/>
      <c r="AB2" s="17" t="s">
        <v>116</v>
      </c>
      <c r="AC2" s="51"/>
      <c r="AD2" s="9"/>
      <c r="AE2" s="17" t="s">
        <v>117</v>
      </c>
      <c r="AF2" s="12"/>
      <c r="AG2" s="47"/>
      <c r="AH2" s="12"/>
      <c r="AI2" s="54" t="s">
        <v>146</v>
      </c>
      <c r="AJ2" s="12"/>
      <c r="AK2" s="12"/>
    </row>
    <row r="3" spans="1:37" x14ac:dyDescent="0.3">
      <c r="A3" s="18"/>
      <c r="B3" s="18" t="s">
        <v>118</v>
      </c>
      <c r="C3" s="2"/>
      <c r="D3" s="19"/>
      <c r="E3" s="2"/>
      <c r="F3" s="20" t="e">
        <f>D3/D5</f>
        <v>#DIV/0!</v>
      </c>
      <c r="G3" s="21" t="s">
        <v>119</v>
      </c>
      <c r="H3" s="22"/>
      <c r="I3" s="23">
        <v>1E-4</v>
      </c>
      <c r="J3" s="24" t="s">
        <v>120</v>
      </c>
      <c r="K3" s="25">
        <f>COUNTIF(SHORTLIST!P2:P9000,"&gt;=1E-04")</f>
        <v>0</v>
      </c>
      <c r="L3" s="25">
        <f>K3</f>
        <v>0</v>
      </c>
      <c r="M3" s="26" t="e">
        <f>L3/L1</f>
        <v>#DIV/0!</v>
      </c>
      <c r="N3" s="27"/>
      <c r="O3" s="25">
        <v>100</v>
      </c>
      <c r="P3" s="25" t="s">
        <v>121</v>
      </c>
      <c r="Q3" s="25">
        <f>COUNTIF(SHORTLIST!H2:H9000,"&lt;=100")</f>
        <v>0</v>
      </c>
      <c r="R3" s="25">
        <f>Q3</f>
        <v>0</v>
      </c>
      <c r="S3" s="26" t="e">
        <f>R3/R1</f>
        <v>#DIV/0!</v>
      </c>
      <c r="T3" s="45"/>
      <c r="V3" s="41" t="s">
        <v>106</v>
      </c>
      <c r="W3" s="40">
        <f>COUNTIF(SHORTLIST!Y2:Y99999,V3)</f>
        <v>0</v>
      </c>
      <c r="X3" s="42" t="e">
        <f>W3/W1</f>
        <v>#DIV/0!</v>
      </c>
      <c r="Y3" s="41" t="s">
        <v>107</v>
      </c>
      <c r="Z3" s="35">
        <f>COUNTIF(SHORTLIST!AF2:AF99999,Y3)</f>
        <v>0</v>
      </c>
      <c r="AA3" s="9"/>
      <c r="AB3" s="11" t="s">
        <v>122</v>
      </c>
      <c r="AC3" s="52"/>
      <c r="AD3" s="10"/>
      <c r="AE3" s="12"/>
      <c r="AF3" s="12"/>
      <c r="AG3" s="48" t="e">
        <f>AF3/AF1</f>
        <v>#DIV/0!</v>
      </c>
      <c r="AH3" s="12" t="s">
        <v>148</v>
      </c>
      <c r="AI3" s="12"/>
      <c r="AJ3" s="55"/>
      <c r="AK3" s="55" t="e">
        <f>AI3/AJ1</f>
        <v>#DIV/0!</v>
      </c>
    </row>
    <row r="4" spans="1:37" x14ac:dyDescent="0.3">
      <c r="A4" s="8"/>
      <c r="B4" s="18" t="s">
        <v>123</v>
      </c>
      <c r="C4" s="2"/>
      <c r="D4" s="19"/>
      <c r="E4" s="2"/>
      <c r="F4" s="20" t="e">
        <f>D4/D5</f>
        <v>#DIV/0!</v>
      </c>
      <c r="G4" s="21" t="s">
        <v>119</v>
      </c>
      <c r="H4" s="22">
        <v>1E-4</v>
      </c>
      <c r="I4" s="23">
        <v>1.0000000000000001E-5</v>
      </c>
      <c r="J4" s="24" t="s">
        <v>124</v>
      </c>
      <c r="K4" s="25">
        <f>COUNTIF(SHORTLIST!P2:P9000,"&gt;=1E-05")</f>
        <v>0</v>
      </c>
      <c r="L4" s="25">
        <f>K4-K3</f>
        <v>0</v>
      </c>
      <c r="M4" s="26" t="e">
        <f>L4/L1</f>
        <v>#DIV/0!</v>
      </c>
      <c r="N4" s="27">
        <v>100</v>
      </c>
      <c r="O4" s="25">
        <v>200</v>
      </c>
      <c r="P4" s="25" t="s">
        <v>125</v>
      </c>
      <c r="Q4" s="25">
        <f>COUNTIF(SHORTLIST!H2:H9000,"&lt;=200")</f>
        <v>0</v>
      </c>
      <c r="R4" s="25">
        <f>Q4-Q3</f>
        <v>0</v>
      </c>
      <c r="S4" s="26" t="e">
        <f>R4/R1</f>
        <v>#DIV/0!</v>
      </c>
      <c r="T4" s="33"/>
      <c r="U4" s="35"/>
      <c r="V4" s="41" t="s">
        <v>110</v>
      </c>
      <c r="W4" s="40">
        <f>COUNTIF(SHORTLIST!Y2:Y99999,V4)</f>
        <v>0</v>
      </c>
      <c r="X4" s="42" t="e">
        <f>W4/W1</f>
        <v>#DIV/0!</v>
      </c>
      <c r="Y4" s="41" t="s">
        <v>109</v>
      </c>
      <c r="Z4" s="35">
        <f>COUNTIF(SHORTLIST!AF3:AF100000,Y4)</f>
        <v>0</v>
      </c>
      <c r="AA4" s="9"/>
      <c r="AB4" s="11" t="s">
        <v>126</v>
      </c>
      <c r="AC4" s="52"/>
      <c r="AD4" s="10"/>
      <c r="AE4" s="12"/>
      <c r="AF4" s="12"/>
      <c r="AG4" s="48" t="e">
        <f>AF4/AF1</f>
        <v>#DIV/0!</v>
      </c>
      <c r="AH4" s="12" t="s">
        <v>141</v>
      </c>
      <c r="AI4" s="12"/>
      <c r="AJ4" s="55"/>
      <c r="AK4" s="55" t="e">
        <f>AI4/AJ1</f>
        <v>#DIV/0!</v>
      </c>
    </row>
    <row r="5" spans="1:37" x14ac:dyDescent="0.3">
      <c r="A5" s="2"/>
      <c r="B5" s="18" t="s">
        <v>127</v>
      </c>
      <c r="C5" s="2"/>
      <c r="D5" s="19">
        <f>D7-D6</f>
        <v>0</v>
      </c>
      <c r="E5" s="2"/>
      <c r="F5" s="28"/>
      <c r="G5" s="3"/>
      <c r="H5" s="22">
        <v>1.0000000000000001E-5</v>
      </c>
      <c r="I5" s="23">
        <v>9.9999999999999995E-7</v>
      </c>
      <c r="J5" s="24" t="s">
        <v>128</v>
      </c>
      <c r="K5" s="25">
        <f>COUNTIF(SHORTLIST!P2:P9000,"&gt;=1E-06")</f>
        <v>0</v>
      </c>
      <c r="L5" s="25">
        <f>K5-K4</f>
        <v>0</v>
      </c>
      <c r="M5" s="26" t="e">
        <f>L5/L1</f>
        <v>#DIV/0!</v>
      </c>
      <c r="N5" s="27">
        <v>200</v>
      </c>
      <c r="O5" s="25">
        <v>300</v>
      </c>
      <c r="P5" s="25" t="s">
        <v>129</v>
      </c>
      <c r="Q5" s="25">
        <f>COUNTIF(SHORTLIST!H2:H9000,"&lt;=300")</f>
        <v>0</v>
      </c>
      <c r="R5" s="25">
        <f>Q5-Q4</f>
        <v>0</v>
      </c>
      <c r="S5" s="26" t="e">
        <f>R5/R1</f>
        <v>#DIV/0!</v>
      </c>
      <c r="T5" s="45"/>
      <c r="V5" s="43"/>
      <c r="W5" s="35"/>
      <c r="X5" s="34"/>
      <c r="Y5" s="41" t="s">
        <v>108</v>
      </c>
      <c r="Z5" s="35">
        <f>COUNTIF(SHORTLIST!AF4:AF100001,Y5)</f>
        <v>0</v>
      </c>
      <c r="AA5" s="9"/>
      <c r="AB5" s="11" t="s">
        <v>130</v>
      </c>
      <c r="AC5" s="52"/>
      <c r="AD5" s="10"/>
      <c r="AE5" s="12"/>
      <c r="AF5" s="12"/>
      <c r="AG5" s="49" t="e">
        <f>AF5/AF1</f>
        <v>#DIV/0!</v>
      </c>
      <c r="AH5" s="12" t="s">
        <v>142</v>
      </c>
      <c r="AI5" s="12"/>
      <c r="AJ5" s="55"/>
      <c r="AK5" s="55" t="e">
        <f>AI5/AJ1</f>
        <v>#DIV/0!</v>
      </c>
    </row>
    <row r="6" spans="1:37" x14ac:dyDescent="0.3">
      <c r="A6" s="2"/>
      <c r="B6" s="2"/>
      <c r="C6" s="2"/>
      <c r="D6" s="29"/>
      <c r="E6" s="2"/>
      <c r="F6" s="20" t="e">
        <f>F3*7</f>
        <v>#DIV/0!</v>
      </c>
      <c r="G6" s="21" t="s">
        <v>131</v>
      </c>
      <c r="H6" s="22">
        <v>9.9999999999999995E-7</v>
      </c>
      <c r="I6" s="23">
        <v>9.9999999999999995E-8</v>
      </c>
      <c r="J6" s="24" t="s">
        <v>132</v>
      </c>
      <c r="K6" s="25">
        <f>COUNTIF(SHORTLIST!P2:P9000,"&gt;=1E-07")</f>
        <v>0</v>
      </c>
      <c r="L6" s="25">
        <f>K6-K5</f>
        <v>0</v>
      </c>
      <c r="M6" s="26" t="e">
        <f>L6/L1</f>
        <v>#DIV/0!</v>
      </c>
      <c r="N6" s="27">
        <v>300</v>
      </c>
      <c r="O6" s="25">
        <v>400</v>
      </c>
      <c r="P6" s="25" t="s">
        <v>133</v>
      </c>
      <c r="Q6" s="25">
        <f>COUNTIF(SHORTLIST!H2:H9000,"&lt;=400")</f>
        <v>0</v>
      </c>
      <c r="R6" s="25">
        <f>Q6-Q5</f>
        <v>0</v>
      </c>
      <c r="S6" s="26" t="e">
        <f>R6/R1</f>
        <v>#DIV/0!</v>
      </c>
      <c r="T6" s="45"/>
      <c r="V6" s="43"/>
      <c r="W6" s="35"/>
      <c r="X6" s="34"/>
      <c r="Y6" s="38"/>
      <c r="Z6" s="34"/>
      <c r="AA6" s="9"/>
      <c r="AB6" s="11" t="s">
        <v>134</v>
      </c>
      <c r="AC6" s="52"/>
      <c r="AD6" s="10"/>
      <c r="AE6" s="12"/>
      <c r="AF6" s="12"/>
      <c r="AG6" s="48" t="e">
        <f>AF6/AF1</f>
        <v>#DIV/0!</v>
      </c>
      <c r="AH6" s="12" t="s">
        <v>143</v>
      </c>
      <c r="AI6" s="12"/>
      <c r="AJ6" s="55"/>
      <c r="AK6" s="55" t="e">
        <f>AI6/AJ1</f>
        <v>#DIV/0!</v>
      </c>
    </row>
    <row r="7" spans="1:37" x14ac:dyDescent="0.3">
      <c r="A7" s="2"/>
      <c r="B7" s="18"/>
      <c r="C7" s="2"/>
      <c r="D7" s="29"/>
      <c r="E7" s="2"/>
      <c r="F7" s="20" t="e">
        <f>F4*7</f>
        <v>#DIV/0!</v>
      </c>
      <c r="G7" s="21" t="s">
        <v>131</v>
      </c>
      <c r="H7" s="22">
        <v>1E-8</v>
      </c>
      <c r="I7" s="30"/>
      <c r="J7" s="30" t="s">
        <v>135</v>
      </c>
      <c r="K7" s="25">
        <f>COUNTIF(SHORTLIST!P2:P9000,"&gt;=1E-08")</f>
        <v>0</v>
      </c>
      <c r="L7" s="25">
        <f>K7-K6</f>
        <v>0</v>
      </c>
      <c r="M7" s="26" t="e">
        <f>L7/L1</f>
        <v>#DIV/0!</v>
      </c>
      <c r="N7" s="27">
        <v>400</v>
      </c>
      <c r="O7" s="25">
        <v>500</v>
      </c>
      <c r="P7" s="25" t="s">
        <v>136</v>
      </c>
      <c r="Q7" s="25">
        <f>COUNTIF(SHORTLIST!H2:H9000,"&lt;=500")</f>
        <v>0</v>
      </c>
      <c r="R7" s="25">
        <f>Q7-Q6</f>
        <v>0</v>
      </c>
      <c r="S7" s="26" t="e">
        <f>R7/R1</f>
        <v>#DIV/0!</v>
      </c>
      <c r="T7" s="45"/>
      <c r="V7" s="38"/>
      <c r="W7" s="34"/>
      <c r="X7" s="34"/>
      <c r="Y7" s="38"/>
      <c r="Z7" s="34"/>
      <c r="AA7" s="9"/>
      <c r="AB7" s="11" t="s">
        <v>137</v>
      </c>
      <c r="AC7" s="52"/>
      <c r="AD7" s="10"/>
      <c r="AE7" s="12"/>
      <c r="AF7" s="12"/>
      <c r="AG7" s="49"/>
      <c r="AH7" s="12" t="s">
        <v>144</v>
      </c>
      <c r="AI7" s="12"/>
      <c r="AJ7" s="55"/>
      <c r="AK7" s="55" t="e">
        <f>AI7/AJ1</f>
        <v>#DIV/0!</v>
      </c>
    </row>
    <row r="8" spans="1:37" x14ac:dyDescent="0.3">
      <c r="A8" s="2"/>
      <c r="B8" s="2"/>
      <c r="C8" s="2"/>
      <c r="D8" s="2"/>
      <c r="E8" s="2"/>
      <c r="F8" s="2"/>
      <c r="G8" s="3"/>
      <c r="H8" s="31"/>
      <c r="I8" s="3"/>
      <c r="J8" s="3"/>
      <c r="K8" s="3"/>
      <c r="L8" s="3"/>
      <c r="M8" s="3"/>
      <c r="N8" s="31"/>
      <c r="O8" s="3"/>
      <c r="P8" s="25" t="s">
        <v>138</v>
      </c>
      <c r="Q8" s="25">
        <f>COUNTIF(SHORTLIST!H2:H9000,"&lt;=1000")</f>
        <v>0</v>
      </c>
      <c r="R8" s="25">
        <f>Q8-Q7</f>
        <v>0</v>
      </c>
      <c r="S8" s="26" t="e">
        <f>R8/R1</f>
        <v>#DIV/0!</v>
      </c>
      <c r="T8" s="33"/>
      <c r="U8" s="35"/>
      <c r="V8" s="38"/>
      <c r="W8" s="34"/>
      <c r="X8" s="34"/>
      <c r="Y8" s="38"/>
      <c r="Z8" s="34"/>
      <c r="AA8" s="9"/>
      <c r="AB8" s="11" t="s">
        <v>139</v>
      </c>
      <c r="AC8" s="52"/>
      <c r="AD8" s="10"/>
      <c r="AE8" s="12"/>
      <c r="AF8" s="12"/>
      <c r="AG8" s="47"/>
      <c r="AH8" s="12" t="s">
        <v>145</v>
      </c>
      <c r="AI8" s="12"/>
      <c r="AJ8" s="55"/>
      <c r="AK8" s="55" t="e">
        <f>AI8/AJ1</f>
        <v>#DIV/0!</v>
      </c>
    </row>
    <row r="9" spans="1:37" x14ac:dyDescent="0.3">
      <c r="A9" s="2"/>
      <c r="B9" s="2"/>
      <c r="C9" s="2"/>
      <c r="D9" s="2"/>
      <c r="E9" s="2"/>
      <c r="F9" s="2"/>
      <c r="G9" s="3"/>
      <c r="H9" s="31"/>
      <c r="I9" s="3"/>
      <c r="J9" s="3"/>
      <c r="K9" s="3"/>
      <c r="L9" s="3"/>
      <c r="M9" s="3"/>
      <c r="N9" s="31"/>
      <c r="O9" s="3"/>
      <c r="P9" s="3"/>
      <c r="Q9" s="3"/>
      <c r="R9" s="3"/>
      <c r="S9" s="3"/>
      <c r="T9" s="45"/>
      <c r="V9" s="38"/>
      <c r="W9" s="34"/>
      <c r="X9" s="34"/>
      <c r="Y9" s="38"/>
      <c r="Z9" s="34"/>
      <c r="AA9" s="9"/>
      <c r="AB9" s="11" t="s">
        <v>140</v>
      </c>
      <c r="AC9" s="52"/>
      <c r="AD9" s="10"/>
      <c r="AE9" s="12"/>
      <c r="AF9" s="12"/>
      <c r="AG9" s="47"/>
      <c r="AH9" s="12" t="s">
        <v>149</v>
      </c>
      <c r="AI9" s="12"/>
      <c r="AJ9" s="55"/>
      <c r="AK9" s="55" t="e">
        <f>AI9/AJ1</f>
        <v>#DIV/0!</v>
      </c>
    </row>
    <row r="10" spans="1:37" x14ac:dyDescent="0.3">
      <c r="T10" s="45"/>
      <c r="AB10" s="32">
        <v>45505</v>
      </c>
      <c r="AC10" s="53" t="str">
        <f>YEAR(AB10)&amp;"-"&amp;MONTH(AB10)&amp;"-"&amp;DAY(AB10)</f>
        <v>2024-8-1</v>
      </c>
      <c r="AD10" s="10"/>
      <c r="AE10" s="12"/>
      <c r="AF10" s="12"/>
      <c r="AG10" s="47"/>
      <c r="AH10" s="12" t="s">
        <v>147</v>
      </c>
      <c r="AI10" s="12"/>
      <c r="AJ10" s="12"/>
      <c r="AK10" s="12"/>
    </row>
    <row r="11" spans="1:37" x14ac:dyDescent="0.3">
      <c r="T11" s="45"/>
    </row>
    <row r="12" spans="1:37" x14ac:dyDescent="0.3">
      <c r="T12" s="33"/>
      <c r="U12" s="35"/>
    </row>
    <row r="13" spans="1:37" x14ac:dyDescent="0.3">
      <c r="T13" s="33"/>
      <c r="U13" s="35"/>
    </row>
    <row r="14" spans="1:37" x14ac:dyDescent="0.3">
      <c r="T14" s="45"/>
    </row>
    <row r="15" spans="1:37" x14ac:dyDescent="0.3">
      <c r="T15" s="45"/>
    </row>
    <row r="16" spans="1:37" x14ac:dyDescent="0.3">
      <c r="T16" s="33"/>
      <c r="U16" s="35"/>
    </row>
    <row r="17" spans="20:21" x14ac:dyDescent="0.3">
      <c r="T17" s="33"/>
      <c r="U17" s="35"/>
    </row>
    <row r="18" spans="20:21" x14ac:dyDescent="0.3">
      <c r="T18" s="33"/>
      <c r="U18" s="35"/>
    </row>
    <row r="19" spans="20:21" x14ac:dyDescent="0.3">
      <c r="T19" s="33"/>
      <c r="U19" s="35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A1"/>
  <sheetViews>
    <sheetView workbookViewId="0">
      <selection activeCell="I13" sqref="I13"/>
    </sheetView>
  </sheetViews>
  <sheetFormatPr baseColWidth="10" defaultColWidth="8.88671875" defaultRowHeight="14.4" x14ac:dyDescent="0.3"/>
  <sheetData>
    <row r="1" spans="1:10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SHORTLIST</vt:lpstr>
      <vt:lpstr>STATISTIQUES</vt:lpstr>
      <vt:lpstr>TOUS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Michaux-kinet</dc:creator>
  <cp:lastModifiedBy>Alexis Michaux-kinet</cp:lastModifiedBy>
  <dcterms:created xsi:type="dcterms:W3CDTF">2015-06-05T18:19:34Z</dcterms:created>
  <dcterms:modified xsi:type="dcterms:W3CDTF">2025-03-20T15:46:03Z</dcterms:modified>
</cp:coreProperties>
</file>