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comments4.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eafit-my.sharepoint.com/personal/jmyoungh_eafit_edu_co/Documents/EAFIT - Ingeniería de Sistemas/Semestre 16/Evaluación de proyectos/"/>
    </mc:Choice>
  </mc:AlternateContent>
  <xr:revisionPtr revIDLastSave="0" documentId="8_{7D403485-DA70-41E5-B97E-F38438FF3745}" xr6:coauthVersionLast="47" xr6:coauthVersionMax="47" xr10:uidLastSave="{00000000-0000-0000-0000-000000000000}"/>
  <bookViews>
    <workbookView xWindow="-3591" yWindow="4140" windowWidth="7500" windowHeight="6000" tabRatio="792" firstSheet="24" activeTab="24" xr2:uid="{00000000-000D-0000-FFFF-FFFF00000000}"/>
  </bookViews>
  <sheets>
    <sheet name="Evaluación_ideas" sheetId="39" r:id="rId1"/>
    <sheet name="Valoración-ideas" sheetId="40" r:id="rId2"/>
    <sheet name="IdeavsEstrategia" sheetId="38" r:id="rId3"/>
    <sheet name="Arbol Problemas" sheetId="44" r:id="rId4"/>
    <sheet name="Marco logico" sheetId="41" r:id="rId5"/>
    <sheet name="Arbol Objetivos" sheetId="56" r:id="rId6"/>
    <sheet name="Analisis PESTEL" sheetId="28" r:id="rId7"/>
    <sheet name="Ejemplo PESTEL" sheetId="29" r:id="rId8"/>
    <sheet name="Estudio de Mercado-Encuesta" sheetId="18" r:id="rId9"/>
    <sheet name="Est.Merca-participacion" sheetId="58" r:id="rId10"/>
    <sheet name="Mapa de Empatía" sheetId="57" r:id="rId11"/>
    <sheet name="costos, gastos,inversiones" sheetId="13" r:id="rId12"/>
    <sheet name="Analisis tecnico" sheetId="20" r:id="rId13"/>
    <sheet name="SELECCION-LOCALIZACIÓN" sheetId="42" r:id="rId14"/>
    <sheet name="FLUJO GRAMA " sheetId="21" r:id="rId15"/>
    <sheet name="inversiones" sheetId="50" r:id="rId16"/>
    <sheet name="C. inversiones y costos ctables" sheetId="2" r:id="rId17"/>
    <sheet name="Identificación de costos" sheetId="3" r:id="rId18"/>
    <sheet name="Punto de equilibrio" sheetId="6" r:id="rId19"/>
    <sheet name="Plantilla Nomina" sheetId="22" r:id="rId20"/>
    <sheet name="NominaIndividual " sheetId="23" r:id="rId21"/>
    <sheet name="Matriz Estudio Ambiental " sheetId="47" r:id="rId22"/>
    <sheet name="Guia-Matriz" sheetId="48" r:id="rId23"/>
    <sheet name="Estudio Legal" sheetId="49" r:id="rId24"/>
    <sheet name="Evaluación Financiera " sheetId="25" r:id="rId25"/>
  </sheets>
  <externalReferences>
    <externalReference r:id="rId26"/>
    <externalReference r:id="rId27"/>
  </externalReferenc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5" l="1"/>
  <c r="C78" i="25"/>
  <c r="H77" i="25"/>
  <c r="C140" i="25"/>
  <c r="E131" i="25" s="1"/>
  <c r="E130" i="25" l="1"/>
  <c r="D24" i="3"/>
  <c r="D23" i="3"/>
  <c r="D87" i="3"/>
  <c r="D9" i="25"/>
  <c r="E9" i="25" s="1"/>
  <c r="F9" i="25" s="1"/>
  <c r="G9" i="25" s="1"/>
  <c r="H9" i="25" s="1"/>
  <c r="C88" i="25"/>
  <c r="D53" i="25"/>
  <c r="D54" i="25"/>
  <c r="D55" i="25"/>
  <c r="D56" i="25"/>
  <c r="E56" i="25" s="1"/>
  <c r="F56" i="25" s="1"/>
  <c r="I56" i="25" s="1"/>
  <c r="D57" i="25"/>
  <c r="D58" i="25"/>
  <c r="D59" i="25"/>
  <c r="D60" i="25"/>
  <c r="D52" i="25"/>
  <c r="C53" i="25"/>
  <c r="C54" i="25"/>
  <c r="C55" i="25"/>
  <c r="C56" i="25"/>
  <c r="C57" i="25"/>
  <c r="C58" i="25"/>
  <c r="C59" i="25"/>
  <c r="C60" i="25"/>
  <c r="C52" i="25"/>
  <c r="E52" i="25" s="1"/>
  <c r="D19" i="2"/>
  <c r="D18" i="2"/>
  <c r="C48" i="25"/>
  <c r="C76" i="25" s="1"/>
  <c r="E31" i="25"/>
  <c r="F31" i="25"/>
  <c r="G31" i="25"/>
  <c r="H31" i="25"/>
  <c r="D31" i="25"/>
  <c r="J18" i="2"/>
  <c r="G18" i="2"/>
  <c r="H18" i="2"/>
  <c r="I18" i="2"/>
  <c r="F18" i="2"/>
  <c r="E55" i="25" l="1"/>
  <c r="E60" i="25"/>
  <c r="E58" i="25"/>
  <c r="E59" i="25"/>
  <c r="E57" i="25"/>
  <c r="F57" i="25" s="1"/>
  <c r="I57" i="25" s="1"/>
  <c r="E53" i="25"/>
  <c r="E54" i="25"/>
  <c r="E58" i="3"/>
  <c r="D23" i="25"/>
  <c r="E23" i="25" s="1"/>
  <c r="F23" i="25" s="1"/>
  <c r="G23" i="25" s="1"/>
  <c r="H23" i="25" s="1"/>
  <c r="D24" i="25"/>
  <c r="E16" i="25"/>
  <c r="F16" i="25" s="1"/>
  <c r="G16" i="25" s="1"/>
  <c r="H16" i="25" s="1"/>
  <c r="H24" i="25" s="1"/>
  <c r="H25" i="25" s="1"/>
  <c r="D17" i="3"/>
  <c r="E14" i="3"/>
  <c r="E8" i="25"/>
  <c r="E13" i="25" s="1"/>
  <c r="G24" i="25" l="1"/>
  <c r="G25" i="25" s="1"/>
  <c r="F24" i="25"/>
  <c r="F25" i="25" s="1"/>
  <c r="E24" i="25"/>
  <c r="E25" i="25" s="1"/>
  <c r="F8" i="25"/>
  <c r="G8" i="25" s="1"/>
  <c r="H8" i="25" s="1"/>
  <c r="F13" i="25" l="1"/>
  <c r="G13" i="25" s="1"/>
  <c r="H13" i="25" s="1"/>
  <c r="D70" i="3" l="1"/>
  <c r="H64" i="18"/>
  <c r="D47" i="6"/>
  <c r="E47" i="6"/>
  <c r="F47" i="6"/>
  <c r="G47" i="6"/>
  <c r="H47" i="6"/>
  <c r="C47" i="6"/>
  <c r="D39" i="6"/>
  <c r="E39" i="6" s="1"/>
  <c r="C10" i="6"/>
  <c r="B6" i="6"/>
  <c r="E59" i="3"/>
  <c r="F25" i="3"/>
  <c r="G25" i="3" s="1"/>
  <c r="I25" i="3" s="1"/>
  <c r="F26" i="3"/>
  <c r="G26" i="3" s="1"/>
  <c r="I26" i="3" s="1"/>
  <c r="F32" i="3"/>
  <c r="F33" i="3"/>
  <c r="F34" i="3"/>
  <c r="F35" i="3"/>
  <c r="F36" i="3"/>
  <c r="I19" i="3"/>
  <c r="H48" i="3"/>
  <c r="H47" i="3"/>
  <c r="H45" i="3"/>
  <c r="H46" i="3"/>
  <c r="H44" i="3"/>
  <c r="H43" i="3"/>
  <c r="P8" i="22"/>
  <c r="F15" i="22"/>
  <c r="F16" i="22"/>
  <c r="D18" i="22"/>
  <c r="G13" i="22"/>
  <c r="G11" i="22"/>
  <c r="G10" i="22"/>
  <c r="G8" i="22"/>
  <c r="F8" i="22"/>
  <c r="E13" i="22"/>
  <c r="E14" i="22"/>
  <c r="E15" i="22"/>
  <c r="E16" i="22"/>
  <c r="F9" i="2"/>
  <c r="G9" i="2"/>
  <c r="A9" i="2"/>
  <c r="B9" i="2"/>
  <c r="C9" i="2"/>
  <c r="D9" i="2"/>
  <c r="H9" i="2" s="1"/>
  <c r="A10" i="2"/>
  <c r="B10" i="2"/>
  <c r="C10" i="2"/>
  <c r="D10" i="2"/>
  <c r="J10" i="2" s="1"/>
  <c r="A11" i="2"/>
  <c r="B11" i="2"/>
  <c r="C11" i="2"/>
  <c r="D11" i="2"/>
  <c r="J11" i="2" s="1"/>
  <c r="A12" i="2"/>
  <c r="B12" i="2"/>
  <c r="C12" i="2"/>
  <c r="D12" i="2"/>
  <c r="J12" i="2" s="1"/>
  <c r="A13" i="2"/>
  <c r="B13" i="2"/>
  <c r="C13" i="2"/>
  <c r="D13" i="2"/>
  <c r="F13" i="2" s="1"/>
  <c r="A14" i="2"/>
  <c r="B14" i="2"/>
  <c r="C14" i="2"/>
  <c r="D14" i="2"/>
  <c r="J14" i="2" s="1"/>
  <c r="A15" i="2"/>
  <c r="B15" i="2"/>
  <c r="C15" i="2"/>
  <c r="D15" i="2"/>
  <c r="A16" i="2"/>
  <c r="B16" i="2"/>
  <c r="C16" i="2"/>
  <c r="D16" i="2"/>
  <c r="F16" i="2" s="1"/>
  <c r="A17" i="2"/>
  <c r="B17" i="2"/>
  <c r="C17" i="2"/>
  <c r="D17" i="2"/>
  <c r="F17" i="2" s="1"/>
  <c r="C18" i="2"/>
  <c r="D18" i="50"/>
  <c r="F8" i="58"/>
  <c r="F7" i="58"/>
  <c r="E37" i="18"/>
  <c r="C28" i="18"/>
  <c r="F34" i="18" s="1"/>
  <c r="D17" i="18"/>
  <c r="D9" i="18"/>
  <c r="J36" i="23"/>
  <c r="I36" i="23"/>
  <c r="J35" i="23"/>
  <c r="J34" i="23"/>
  <c r="I33" i="23"/>
  <c r="J33" i="23"/>
  <c r="J24" i="23"/>
  <c r="I22" i="23"/>
  <c r="I18" i="23"/>
  <c r="I14" i="23"/>
  <c r="J25" i="23"/>
  <c r="J23" i="23"/>
  <c r="M45" i="41"/>
  <c r="M46" i="41"/>
  <c r="M47" i="41"/>
  <c r="M48" i="41"/>
  <c r="I112" i="41"/>
  <c r="I106" i="41"/>
  <c r="I107" i="41"/>
  <c r="I108" i="41"/>
  <c r="I109" i="41"/>
  <c r="I110" i="41"/>
  <c r="I111" i="41"/>
  <c r="I105" i="41"/>
  <c r="G112" i="41"/>
  <c r="G106" i="41"/>
  <c r="G107" i="41"/>
  <c r="G108" i="41"/>
  <c r="G109" i="41"/>
  <c r="G110" i="41"/>
  <c r="G111" i="41"/>
  <c r="G105" i="41"/>
  <c r="E105" i="41"/>
  <c r="E106" i="41"/>
  <c r="E107" i="41"/>
  <c r="E108" i="41"/>
  <c r="E109" i="41"/>
  <c r="E110" i="41"/>
  <c r="E111" i="41"/>
  <c r="K46" i="41"/>
  <c r="K47" i="41"/>
  <c r="K45" i="41"/>
  <c r="K48" i="41"/>
  <c r="I46" i="41"/>
  <c r="I45" i="41"/>
  <c r="I47" i="41"/>
  <c r="Y13" i="40"/>
  <c r="W13" i="40"/>
  <c r="X13" i="40"/>
  <c r="V13" i="40"/>
  <c r="U13" i="40"/>
  <c r="T13" i="40"/>
  <c r="S13" i="40"/>
  <c r="R13" i="40"/>
  <c r="P13" i="40"/>
  <c r="O13" i="40"/>
  <c r="N13" i="40"/>
  <c r="M13" i="40"/>
  <c r="L13" i="40"/>
  <c r="K13" i="40"/>
  <c r="J13" i="40"/>
  <c r="I13" i="40"/>
  <c r="H13" i="40"/>
  <c r="F13" i="40"/>
  <c r="E13" i="40"/>
  <c r="D13" i="40"/>
  <c r="I10" i="40"/>
  <c r="H10" i="40"/>
  <c r="G10" i="40"/>
  <c r="F10" i="40"/>
  <c r="E10" i="40"/>
  <c r="D10" i="40"/>
  <c r="V9" i="40"/>
  <c r="U9" i="40"/>
  <c r="T9" i="40"/>
  <c r="S9" i="40"/>
  <c r="R9" i="40"/>
  <c r="Q9" i="40"/>
  <c r="P9" i="40"/>
  <c r="O9" i="40"/>
  <c r="N9" i="40"/>
  <c r="M9" i="40"/>
  <c r="K9" i="40"/>
  <c r="J9" i="40"/>
  <c r="I9" i="40"/>
  <c r="H9" i="40"/>
  <c r="G9" i="40"/>
  <c r="F9" i="40"/>
  <c r="E9" i="40"/>
  <c r="D9" i="40"/>
  <c r="D6" i="40"/>
  <c r="Y10" i="40"/>
  <c r="W11" i="40"/>
  <c r="W10" i="40"/>
  <c r="V12" i="40"/>
  <c r="T12" i="40"/>
  <c r="T11" i="40"/>
  <c r="R10" i="40"/>
  <c r="Q11" i="40"/>
  <c r="Q10" i="40"/>
  <c r="O10" i="40"/>
  <c r="M11" i="40"/>
  <c r="M10" i="40"/>
  <c r="K11" i="40"/>
  <c r="J10" i="40"/>
  <c r="G13" i="40"/>
  <c r="X9" i="40"/>
  <c r="G12" i="40"/>
  <c r="G11" i="40"/>
  <c r="F11" i="40"/>
  <c r="E11" i="40"/>
  <c r="X10" i="40"/>
  <c r="V10" i="40"/>
  <c r="T10" i="40"/>
  <c r="P10" i="40"/>
  <c r="D12" i="40"/>
  <c r="D11" i="40"/>
  <c r="N10" i="40"/>
  <c r="K10" i="40"/>
  <c r="H12" i="40"/>
  <c r="F12" i="40"/>
  <c r="E12" i="40"/>
  <c r="L9" i="40"/>
  <c r="Y9" i="40"/>
  <c r="Q13" i="40"/>
  <c r="X11" i="40"/>
  <c r="S8" i="40"/>
  <c r="V11" i="40"/>
  <c r="Q8" i="40"/>
  <c r="R8" i="40"/>
  <c r="U11" i="40"/>
  <c r="N8" i="40"/>
  <c r="W8" i="40"/>
  <c r="R11" i="40"/>
  <c r="M8" i="40"/>
  <c r="V8" i="40"/>
  <c r="S11" i="40"/>
  <c r="T8" i="40"/>
  <c r="O8" i="40"/>
  <c r="P8" i="40"/>
  <c r="K8" i="40"/>
  <c r="J8" i="40"/>
  <c r="I8" i="40"/>
  <c r="L8" i="40"/>
  <c r="H8" i="40"/>
  <c r="G8" i="40"/>
  <c r="F8" i="40"/>
  <c r="E8" i="40"/>
  <c r="D8" i="40"/>
  <c r="X7" i="40"/>
  <c r="P11" i="40"/>
  <c r="V7" i="40"/>
  <c r="U7" i="40"/>
  <c r="T7" i="40"/>
  <c r="J11" i="40"/>
  <c r="W7" i="40"/>
  <c r="H11" i="40"/>
  <c r="R7" i="40"/>
  <c r="O7" i="40"/>
  <c r="G7" i="40"/>
  <c r="X12" i="40"/>
  <c r="F7" i="40"/>
  <c r="W12" i="40"/>
  <c r="J7" i="40"/>
  <c r="P12" i="40"/>
  <c r="O12" i="40"/>
  <c r="N12" i="40"/>
  <c r="I7" i="40"/>
  <c r="H7" i="40"/>
  <c r="J12" i="40"/>
  <c r="E7" i="40"/>
  <c r="D7" i="40"/>
  <c r="K7" i="40"/>
  <c r="L7" i="40"/>
  <c r="M7" i="40"/>
  <c r="N7" i="40"/>
  <c r="P7" i="40"/>
  <c r="Q7" i="40"/>
  <c r="S7" i="40"/>
  <c r="Y7" i="40"/>
  <c r="U8" i="40"/>
  <c r="X8" i="40"/>
  <c r="Y8" i="40"/>
  <c r="W9" i="40"/>
  <c r="L10" i="40"/>
  <c r="S10" i="40"/>
  <c r="U10" i="40"/>
  <c r="I11" i="40"/>
  <c r="L11" i="40"/>
  <c r="N11" i="40"/>
  <c r="O11" i="40"/>
  <c r="Y11" i="40"/>
  <c r="I12" i="40"/>
  <c r="K12" i="40"/>
  <c r="L12" i="40"/>
  <c r="M12" i="40"/>
  <c r="Q12" i="40"/>
  <c r="R12" i="40"/>
  <c r="S12" i="40"/>
  <c r="U12" i="40"/>
  <c r="Y12" i="40"/>
  <c r="Y6" i="40"/>
  <c r="X6" i="40"/>
  <c r="W6" i="40"/>
  <c r="V6" i="40"/>
  <c r="U6" i="40"/>
  <c r="T6" i="40"/>
  <c r="S6" i="40"/>
  <c r="R6" i="40"/>
  <c r="Q6" i="40"/>
  <c r="P6" i="40"/>
  <c r="O6" i="40"/>
  <c r="N6" i="40"/>
  <c r="M6" i="40"/>
  <c r="L6" i="40"/>
  <c r="K6" i="40"/>
  <c r="J6" i="40"/>
  <c r="I6" i="40"/>
  <c r="H6" i="40"/>
  <c r="G6" i="40"/>
  <c r="F6" i="40"/>
  <c r="E6" i="40"/>
  <c r="Z6" i="40"/>
  <c r="Z7" i="40"/>
  <c r="Z8" i="40"/>
  <c r="Z9" i="40"/>
  <c r="Z10" i="40"/>
  <c r="Z11" i="40"/>
  <c r="Z12" i="40"/>
  <c r="Z13" i="40"/>
  <c r="C27" i="18"/>
  <c r="I14" i="2" l="1"/>
  <c r="H14" i="2"/>
  <c r="G14" i="2"/>
  <c r="J13" i="2"/>
  <c r="J17" i="2"/>
  <c r="H13" i="2"/>
  <c r="I17" i="2"/>
  <c r="I12" i="2"/>
  <c r="H17" i="2"/>
  <c r="G17" i="2"/>
  <c r="J15" i="2"/>
  <c r="I15" i="2"/>
  <c r="H15" i="2"/>
  <c r="G15" i="2"/>
  <c r="J9" i="2"/>
  <c r="I13" i="2"/>
  <c r="F15" i="2"/>
  <c r="I9" i="2"/>
  <c r="H11" i="2"/>
  <c r="F12" i="2"/>
  <c r="H12" i="2"/>
  <c r="I11" i="2"/>
  <c r="F14" i="2"/>
  <c r="K14" i="2" s="1"/>
  <c r="L14" i="2" s="1"/>
  <c r="M14" i="2" s="1"/>
  <c r="N14" i="2" s="1"/>
  <c r="G11" i="2"/>
  <c r="F11" i="2"/>
  <c r="J16" i="2"/>
  <c r="H10" i="2"/>
  <c r="I16" i="2"/>
  <c r="H16" i="2"/>
  <c r="G13" i="2"/>
  <c r="F10" i="2"/>
  <c r="G12" i="2"/>
  <c r="I10" i="2"/>
  <c r="G10" i="2"/>
  <c r="G16" i="2"/>
  <c r="H49" i="3"/>
  <c r="D65" i="3" s="1"/>
  <c r="D25" i="25"/>
  <c r="N11" i="23"/>
  <c r="N16" i="23" s="1"/>
  <c r="J30" i="23"/>
  <c r="J26" i="23"/>
  <c r="J22" i="23"/>
  <c r="J20" i="23"/>
  <c r="J21" i="23"/>
  <c r="J19" i="23"/>
  <c r="J16" i="23"/>
  <c r="J17" i="23"/>
  <c r="J15" i="23"/>
  <c r="J14" i="23" s="1"/>
  <c r="B21" i="6"/>
  <c r="G33" i="3"/>
  <c r="G34" i="3"/>
  <c r="G35" i="3"/>
  <c r="G36" i="3"/>
  <c r="G32" i="3"/>
  <c r="F39" i="6"/>
  <c r="G39" i="6" s="1"/>
  <c r="H39" i="6" s="1"/>
  <c r="F39" i="21"/>
  <c r="F53" i="21" s="1"/>
  <c r="F40" i="21"/>
  <c r="F41" i="21"/>
  <c r="F42" i="21"/>
  <c r="F43" i="21"/>
  <c r="F44" i="21"/>
  <c r="F45" i="21"/>
  <c r="F46" i="21"/>
  <c r="F47" i="21"/>
  <c r="F48" i="21"/>
  <c r="F49" i="21"/>
  <c r="F50" i="21"/>
  <c r="F51" i="21"/>
  <c r="F52" i="21"/>
  <c r="F38" i="21"/>
  <c r="D62" i="18"/>
  <c r="E62" i="18" s="1"/>
  <c r="F62" i="18" s="1"/>
  <c r="G62" i="18" s="1"/>
  <c r="H62" i="18" s="1"/>
  <c r="D56" i="18"/>
  <c r="D55" i="18"/>
  <c r="D54" i="18"/>
  <c r="C41" i="18"/>
  <c r="Z23" i="40"/>
  <c r="Z22" i="40"/>
  <c r="E8" i="22"/>
  <c r="E18" i="22" s="1"/>
  <c r="H6" i="22"/>
  <c r="H13" i="22" s="1"/>
  <c r="I6" i="22"/>
  <c r="I11" i="22" s="1"/>
  <c r="J6" i="22"/>
  <c r="J8" i="22" s="1"/>
  <c r="K6" i="22"/>
  <c r="K11" i="22" s="1"/>
  <c r="L11" i="22" s="1"/>
  <c r="K8" i="22"/>
  <c r="L8" i="22" s="1"/>
  <c r="L6" i="22"/>
  <c r="M6" i="22"/>
  <c r="N6" i="22"/>
  <c r="N14" i="22" s="1"/>
  <c r="N8" i="22"/>
  <c r="D140" i="25"/>
  <c r="E12" i="22"/>
  <c r="C18" i="22"/>
  <c r="C21" i="22" s="1"/>
  <c r="D21" i="22" s="1"/>
  <c r="C27" i="49"/>
  <c r="C13" i="49"/>
  <c r="Z53" i="21"/>
  <c r="R53" i="21"/>
  <c r="D105" i="25"/>
  <c r="E105" i="25" s="1"/>
  <c r="F105" i="25" s="1"/>
  <c r="G105" i="25" s="1"/>
  <c r="H105" i="25" s="1"/>
  <c r="G9" i="22"/>
  <c r="P9" i="22"/>
  <c r="Q9" i="22"/>
  <c r="R9" i="22"/>
  <c r="S9" i="22" s="1"/>
  <c r="T9" i="22" s="1"/>
  <c r="P10" i="22"/>
  <c r="Q10" i="22"/>
  <c r="R10" i="22"/>
  <c r="P11" i="22"/>
  <c r="Q11" i="22"/>
  <c r="R11" i="22"/>
  <c r="G12" i="22"/>
  <c r="P12" i="22"/>
  <c r="Q12" i="22"/>
  <c r="R12" i="22"/>
  <c r="P13" i="22"/>
  <c r="Q13" i="22"/>
  <c r="R13" i="22"/>
  <c r="G14" i="22"/>
  <c r="P14" i="22"/>
  <c r="Q14" i="22"/>
  <c r="R14" i="22"/>
  <c r="G15" i="22"/>
  <c r="P15" i="22"/>
  <c r="Q15" i="22"/>
  <c r="R15" i="22"/>
  <c r="G16" i="22"/>
  <c r="P16" i="22"/>
  <c r="Q16" i="22"/>
  <c r="R16" i="22"/>
  <c r="F9" i="22"/>
  <c r="F10" i="22"/>
  <c r="F11" i="22"/>
  <c r="F12" i="22"/>
  <c r="F13" i="22"/>
  <c r="F14" i="22"/>
  <c r="E9" i="22"/>
  <c r="E10" i="22"/>
  <c r="E11" i="22"/>
  <c r="C22" i="22"/>
  <c r="A17" i="22"/>
  <c r="U13" i="22"/>
  <c r="U12" i="22"/>
  <c r="U11" i="22"/>
  <c r="U10" i="22"/>
  <c r="U9" i="22"/>
  <c r="U8" i="22"/>
  <c r="R8" i="22"/>
  <c r="Q8" i="22"/>
  <c r="C53" i="23"/>
  <c r="C49" i="23"/>
  <c r="C48" i="23"/>
  <c r="C47" i="23"/>
  <c r="C46" i="23"/>
  <c r="C45" i="23"/>
  <c r="C41" i="23"/>
  <c r="C37" i="23"/>
  <c r="E7" i="23"/>
  <c r="D7" i="23"/>
  <c r="C7" i="23"/>
  <c r="E6" i="23"/>
  <c r="D6" i="23"/>
  <c r="C6" i="23"/>
  <c r="S16" i="22"/>
  <c r="T16" i="22"/>
  <c r="S8" i="22"/>
  <c r="S12" i="22"/>
  <c r="T12" i="22" s="1"/>
  <c r="S14" i="22"/>
  <c r="T14" i="22"/>
  <c r="K13" i="22"/>
  <c r="L13" i="22" s="1"/>
  <c r="K10" i="22"/>
  <c r="S10" i="22"/>
  <c r="T10" i="22"/>
  <c r="K15" i="22"/>
  <c r="L15" i="22" s="1"/>
  <c r="K14" i="22"/>
  <c r="N16" i="22"/>
  <c r="K12" i="22"/>
  <c r="K16" i="22"/>
  <c r="G18" i="22"/>
  <c r="G46" i="41"/>
  <c r="G47" i="41"/>
  <c r="G45" i="41"/>
  <c r="E46" i="41"/>
  <c r="E47" i="41"/>
  <c r="E45" i="41"/>
  <c r="I48" i="41" s="1"/>
  <c r="C48" i="41"/>
  <c r="E112" i="41"/>
  <c r="O33" i="38"/>
  <c r="E48" i="41"/>
  <c r="V38" i="21"/>
  <c r="V53" i="21" s="1"/>
  <c r="N38" i="21"/>
  <c r="N53" i="21"/>
  <c r="J38" i="21"/>
  <c r="J53" i="21"/>
  <c r="K9" i="22" l="1"/>
  <c r="L9" i="22" s="1"/>
  <c r="H10" i="22"/>
  <c r="N15" i="22"/>
  <c r="H8" i="22"/>
  <c r="K9" i="2"/>
  <c r="L9" i="2" s="1"/>
  <c r="M9" i="2" s="1"/>
  <c r="N9" i="2" s="1"/>
  <c r="K13" i="2"/>
  <c r="L13" i="2" s="1"/>
  <c r="M13" i="2" s="1"/>
  <c r="N13" i="2" s="1"/>
  <c r="K17" i="2"/>
  <c r="L17" i="2" s="1"/>
  <c r="M17" i="2" s="1"/>
  <c r="N17" i="2" s="1"/>
  <c r="K15" i="2"/>
  <c r="L15" i="2" s="1"/>
  <c r="M15" i="2" s="1"/>
  <c r="N15" i="2" s="1"/>
  <c r="K10" i="2"/>
  <c r="L10" i="2" s="1"/>
  <c r="M10" i="2" s="1"/>
  <c r="N10" i="2" s="1"/>
  <c r="K16" i="2"/>
  <c r="L16" i="2" s="1"/>
  <c r="M16" i="2" s="1"/>
  <c r="N16" i="2" s="1"/>
  <c r="K12" i="2"/>
  <c r="L12" i="2" s="1"/>
  <c r="M12" i="2" s="1"/>
  <c r="N12" i="2" s="1"/>
  <c r="B12" i="6"/>
  <c r="K11" i="2"/>
  <c r="L11" i="2" s="1"/>
  <c r="M11" i="2" s="1"/>
  <c r="N11" i="2" s="1"/>
  <c r="J11" i="22"/>
  <c r="J10" i="22"/>
  <c r="H9" i="22"/>
  <c r="J16" i="22"/>
  <c r="H12" i="22"/>
  <c r="J9" i="22"/>
  <c r="J13" i="22"/>
  <c r="N11" i="22"/>
  <c r="J14" i="22"/>
  <c r="J15" i="22"/>
  <c r="N13" i="22"/>
  <c r="H14" i="22"/>
  <c r="O14" i="22" s="1"/>
  <c r="N10" i="22"/>
  <c r="O10" i="22" s="1"/>
  <c r="H16" i="22"/>
  <c r="J12" i="22"/>
  <c r="H11" i="22"/>
  <c r="M11" i="22"/>
  <c r="M14" i="22"/>
  <c r="N12" i="22"/>
  <c r="N9" i="22"/>
  <c r="S15" i="22"/>
  <c r="T15" i="22" s="1"/>
  <c r="F18" i="22"/>
  <c r="S13" i="22"/>
  <c r="T13" i="22" s="1"/>
  <c r="P18" i="22"/>
  <c r="R18" i="22"/>
  <c r="Q18" i="22"/>
  <c r="J18" i="23"/>
  <c r="L14" i="22"/>
  <c r="K18" i="22"/>
  <c r="B11" i="6"/>
  <c r="C11" i="6" s="1"/>
  <c r="J29" i="23"/>
  <c r="G37" i="3"/>
  <c r="I10" i="22"/>
  <c r="M9" i="22"/>
  <c r="L16" i="22"/>
  <c r="L12" i="22"/>
  <c r="S11" i="22"/>
  <c r="T11" i="22" s="1"/>
  <c r="I13" i="22"/>
  <c r="I12" i="22"/>
  <c r="M16" i="22"/>
  <c r="T8" i="22"/>
  <c r="M10" i="22"/>
  <c r="I9" i="22"/>
  <c r="I15" i="22"/>
  <c r="H15" i="22"/>
  <c r="M8" i="22"/>
  <c r="I8" i="22"/>
  <c r="N15" i="23"/>
  <c r="N20" i="23" s="1"/>
  <c r="N29" i="23" s="1"/>
  <c r="M15" i="22"/>
  <c r="I16" i="22"/>
  <c r="L10" i="22"/>
  <c r="M12" i="22"/>
  <c r="M13" i="22"/>
  <c r="I14" i="22"/>
  <c r="E31" i="18"/>
  <c r="F31" i="18" s="1"/>
  <c r="C45" i="18" s="1"/>
  <c r="G36" i="18"/>
  <c r="F33" i="18"/>
  <c r="F35" i="18"/>
  <c r="G48" i="41"/>
  <c r="F36" i="18"/>
  <c r="J18" i="22" l="1"/>
  <c r="O13" i="22"/>
  <c r="N18" i="22"/>
  <c r="T18" i="22"/>
  <c r="O8" i="22"/>
  <c r="E23" i="3" s="1"/>
  <c r="F23" i="3" s="1"/>
  <c r="G23" i="3" s="1"/>
  <c r="L18" i="2"/>
  <c r="O12" i="22"/>
  <c r="V12" i="22" s="1"/>
  <c r="O11" i="22"/>
  <c r="V11" i="22" s="1"/>
  <c r="O15" i="22"/>
  <c r="O16" i="22"/>
  <c r="O9" i="22"/>
  <c r="C42" i="18"/>
  <c r="C43" i="18"/>
  <c r="C46" i="18" s="1"/>
  <c r="F37" i="18"/>
  <c r="V13" i="22"/>
  <c r="V10" i="22"/>
  <c r="I18" i="22"/>
  <c r="M18" i="22"/>
  <c r="S18" i="22"/>
  <c r="L18" i="22"/>
  <c r="P37" i="23"/>
  <c r="H18" i="22"/>
  <c r="E32" i="18"/>
  <c r="F32" i="18" s="1"/>
  <c r="I23" i="3" l="1"/>
  <c r="V9" i="22"/>
  <c r="E24" i="3"/>
  <c r="F24" i="3" s="1"/>
  <c r="G24" i="3" s="1"/>
  <c r="I24" i="3" s="1"/>
  <c r="E50" i="18"/>
  <c r="F50" i="18" s="1"/>
  <c r="V8" i="22"/>
  <c r="O18" i="22"/>
  <c r="C23" i="22"/>
  <c r="G27" i="3" l="1"/>
  <c r="D22" i="25" s="1"/>
  <c r="I27" i="3"/>
  <c r="E60" i="3" s="1"/>
  <c r="E61" i="3" s="1"/>
  <c r="G50" i="18"/>
  <c r="C64" i="18" s="1"/>
  <c r="D64" i="18" s="1"/>
  <c r="E64" i="18" s="1"/>
  <c r="F64" i="18" s="1"/>
  <c r="G64" i="18" s="1"/>
  <c r="D23" i="22"/>
  <c r="D24" i="22" s="1"/>
  <c r="D25" i="22" s="1"/>
  <c r="C24" i="22"/>
  <c r="C25" i="22" s="1"/>
  <c r="C43" i="6" l="1"/>
  <c r="D43" i="6" s="1"/>
  <c r="E43" i="6" s="1"/>
  <c r="F43" i="6" s="1"/>
  <c r="G43" i="6" s="1"/>
  <c r="H43" i="6" s="1"/>
  <c r="D85" i="3"/>
  <c r="B18" i="6" s="1"/>
  <c r="F26" i="6" s="1"/>
  <c r="E22" i="25"/>
  <c r="D27" i="25"/>
  <c r="D68" i="25" s="1"/>
  <c r="D69" i="25" s="1"/>
  <c r="C70" i="25" s="1"/>
  <c r="D73" i="3"/>
  <c r="D74" i="3" s="1"/>
  <c r="D86" i="3" s="1"/>
  <c r="D88" i="3" s="1"/>
  <c r="B15" i="6"/>
  <c r="B28" i="6" s="1"/>
  <c r="C12" i="6"/>
  <c r="C80" i="25" l="1"/>
  <c r="C89" i="25" s="1"/>
  <c r="C90" i="25" s="1"/>
  <c r="C101" i="25"/>
  <c r="F22" i="25"/>
  <c r="E27" i="25"/>
  <c r="E68" i="25" s="1"/>
  <c r="E69" i="25" s="1"/>
  <c r="D70" i="25" s="1"/>
  <c r="D80" i="25" s="1"/>
  <c r="D81" i="25" s="1"/>
  <c r="D89" i="25" s="1"/>
  <c r="B17" i="6"/>
  <c r="E18" i="6" s="1"/>
  <c r="C15" i="25"/>
  <c r="D15" i="25" s="1"/>
  <c r="E15" i="25" s="1"/>
  <c r="F15" i="25" s="1"/>
  <c r="G15" i="25" s="1"/>
  <c r="H15" i="25" s="1"/>
  <c r="F28" i="6"/>
  <c r="C41" i="6"/>
  <c r="B16" i="6"/>
  <c r="F27" i="25" l="1"/>
  <c r="F68" i="25" s="1"/>
  <c r="F69" i="25" s="1"/>
  <c r="E70" i="25" s="1"/>
  <c r="E80" i="25" s="1"/>
  <c r="E81" i="25" s="1"/>
  <c r="E89" i="25" s="1"/>
  <c r="G22" i="25"/>
  <c r="C104" i="25"/>
  <c r="C109" i="25"/>
  <c r="C120" i="25"/>
  <c r="C131" i="25"/>
  <c r="F25" i="6"/>
  <c r="F27" i="6" s="1"/>
  <c r="C44" i="6"/>
  <c r="D44" i="6" s="1"/>
  <c r="E44" i="6" s="1"/>
  <c r="F44" i="6" s="1"/>
  <c r="G44" i="6" s="1"/>
  <c r="H44" i="6" s="1"/>
  <c r="D20" i="25"/>
  <c r="D21" i="25" s="1"/>
  <c r="D28" i="25" s="1"/>
  <c r="D41" i="6"/>
  <c r="B29" i="6"/>
  <c r="B19" i="6"/>
  <c r="B22" i="6" s="1"/>
  <c r="E112" i="25" l="1"/>
  <c r="H112" i="25"/>
  <c r="G112" i="25"/>
  <c r="F112" i="25"/>
  <c r="D112" i="25"/>
  <c r="G27" i="25"/>
  <c r="G68" i="25" s="1"/>
  <c r="G69" i="25" s="1"/>
  <c r="F70" i="25" s="1"/>
  <c r="F80" i="25" s="1"/>
  <c r="F81" i="25" s="1"/>
  <c r="F89" i="25" s="1"/>
  <c r="H22" i="25"/>
  <c r="H27" i="25" s="1"/>
  <c r="H68" i="25" s="1"/>
  <c r="H69" i="25" s="1"/>
  <c r="C121" i="25"/>
  <c r="C130" i="25" s="1"/>
  <c r="D111" i="25"/>
  <c r="D113" i="25" s="1"/>
  <c r="D29" i="25"/>
  <c r="D30" i="25" s="1"/>
  <c r="D32" i="25" s="1"/>
  <c r="D88" i="25" s="1"/>
  <c r="D90" i="25" s="1"/>
  <c r="D120" i="25" s="1"/>
  <c r="E20" i="25"/>
  <c r="E21" i="25" s="1"/>
  <c r="E28" i="25" s="1"/>
  <c r="B26" i="6"/>
  <c r="B25" i="6"/>
  <c r="E41" i="6"/>
  <c r="F29" i="6"/>
  <c r="F30" i="6" s="1"/>
  <c r="C42" i="6"/>
  <c r="C122" i="25" l="1"/>
  <c r="C132" i="25"/>
  <c r="D131" i="25" s="1"/>
  <c r="F131" i="25" s="1"/>
  <c r="D130" i="25"/>
  <c r="F130" i="25" s="1"/>
  <c r="H70" i="25"/>
  <c r="H80" i="25" s="1"/>
  <c r="G70" i="25"/>
  <c r="G80" i="25" s="1"/>
  <c r="G81" i="25" s="1"/>
  <c r="G89" i="25" s="1"/>
  <c r="D110" i="25"/>
  <c r="D109" i="25" s="1"/>
  <c r="E111" i="25" s="1"/>
  <c r="E113" i="25" s="1"/>
  <c r="E114" i="25" s="1"/>
  <c r="E121" i="25" s="1"/>
  <c r="D114" i="25"/>
  <c r="D121" i="25" s="1"/>
  <c r="D122" i="25" s="1"/>
  <c r="E29" i="25"/>
  <c r="E30" i="25" s="1"/>
  <c r="E32" i="25" s="1"/>
  <c r="E88" i="25" s="1"/>
  <c r="E90" i="25" s="1"/>
  <c r="E120" i="25" s="1"/>
  <c r="F20" i="25"/>
  <c r="F21" i="25" s="1"/>
  <c r="F28" i="25" s="1"/>
  <c r="B27" i="6"/>
  <c r="B30" i="6" s="1"/>
  <c r="D42" i="6"/>
  <c r="C45" i="6"/>
  <c r="F41" i="6"/>
  <c r="H81" i="25" l="1"/>
  <c r="H89" i="25" s="1"/>
  <c r="E110" i="25"/>
  <c r="E109" i="25" s="1"/>
  <c r="F111" i="25" s="1"/>
  <c r="F113" i="25" s="1"/>
  <c r="F114" i="25" s="1"/>
  <c r="F121" i="25" s="1"/>
  <c r="G129" i="25"/>
  <c r="F132" i="25"/>
  <c r="E122" i="25"/>
  <c r="F110" i="25"/>
  <c r="F109" i="25" s="1"/>
  <c r="G111" i="25" s="1"/>
  <c r="F29" i="25"/>
  <c r="F30" i="25" s="1"/>
  <c r="F32" i="25" s="1"/>
  <c r="F88" i="25" s="1"/>
  <c r="F90" i="25" s="1"/>
  <c r="F120" i="25" s="1"/>
  <c r="F122" i="25" s="1"/>
  <c r="H20" i="25"/>
  <c r="H21" i="25" s="1"/>
  <c r="H28" i="25" s="1"/>
  <c r="G20" i="25"/>
  <c r="G21" i="25" s="1"/>
  <c r="G28" i="25" s="1"/>
  <c r="G41" i="6"/>
  <c r="E42" i="6"/>
  <c r="D45" i="6"/>
  <c r="G113" i="25" l="1"/>
  <c r="G110" i="25"/>
  <c r="G109" i="25" s="1"/>
  <c r="H111" i="25" s="1"/>
  <c r="G29" i="25"/>
  <c r="G30" i="25" s="1"/>
  <c r="G32" i="25" s="1"/>
  <c r="G88" i="25" s="1"/>
  <c r="G90" i="25" s="1"/>
  <c r="G120" i="25" s="1"/>
  <c r="H29" i="25"/>
  <c r="H30" i="25" s="1"/>
  <c r="H32" i="25" s="1"/>
  <c r="H88" i="25" s="1"/>
  <c r="H90" i="25" s="1"/>
  <c r="H120" i="25" s="1"/>
  <c r="C161" i="25" s="1" a="1"/>
  <c r="C161" i="25" s="1"/>
  <c r="D161" i="25" s="1"/>
  <c r="D162" i="25" s="1"/>
  <c r="D163" i="25" s="1"/>
  <c r="D164" i="25" s="1"/>
  <c r="D165" i="25" s="1"/>
  <c r="F42" i="6"/>
  <c r="E45" i="6"/>
  <c r="H41" i="6"/>
  <c r="D166" i="25" l="1"/>
  <c r="E166" i="25"/>
  <c r="C150" i="25" s="1"/>
  <c r="C148" i="25"/>
  <c r="C149" i="25"/>
  <c r="H110" i="25"/>
  <c r="H109" i="25" s="1"/>
  <c r="H113" i="25"/>
  <c r="H114" i="25" s="1"/>
  <c r="H121" i="25" s="1"/>
  <c r="H122" i="25" s="1"/>
  <c r="G114" i="25"/>
  <c r="G121" i="25" s="1"/>
  <c r="G122" i="25" s="1"/>
  <c r="K113" i="25"/>
  <c r="G42" i="6"/>
  <c r="F45" i="6"/>
  <c r="D148" i="25" l="1"/>
  <c r="D149" i="25"/>
  <c r="H42" i="6"/>
  <c r="H45" i="6" s="1"/>
  <c r="G45" i="6"/>
  <c r="E7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tc={6654DCBF-29F7-43D4-8DF0-67CBDDFDC5E9}</author>
  </authors>
  <commentList>
    <comment ref="B103" authorId="0" shapeId="0" xr:uid="{6654DCBF-29F7-43D4-8DF0-67CBDDFDC5E9}">
      <text>
        <t>[Threaded comment]
Your version of Excel allows you to read this threaded comment; however, any edits to it will get removed if the file is opened in a newer version of Excel. Learn more: https://go.microsoft.com/fwlink/?linkid=870924
Comment:
    Cada proyecto identificas los criterios relevantes para su selección.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Camilo Torres</author>
  </authors>
  <commentList>
    <comment ref="N26" authorId="0" shapeId="0" xr:uid="{0251DFC7-35C8-4A7E-8B37-B164516D9E46}">
      <text>
        <r>
          <rPr>
            <b/>
            <sz val="9"/>
            <color indexed="81"/>
            <rFont val="Tahoma"/>
            <family val="2"/>
          </rPr>
          <t xml:space="preserve">Gestionhumana.com
</t>
        </r>
        <r>
          <rPr>
            <sz val="9"/>
            <color indexed="81"/>
            <rFont val="Tahoma"/>
            <family val="2"/>
          </rPr>
          <t>Si conoce sobre su aporte voluntario AFC, por favor ingresar el valor en pesos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Luz Nora Mesa Agudelo</author>
  </authors>
  <commentList>
    <comment ref="L7" authorId="0" shapeId="0" xr:uid="{B14925D7-6E26-41F7-9329-B93821BD6E83}">
      <text>
        <r>
          <rPr>
            <b/>
            <sz val="9"/>
            <color indexed="81"/>
            <rFont val="Tahoma"/>
            <family val="2"/>
          </rPr>
          <t>Luz Nora Mesa Agudelo:</t>
        </r>
        <r>
          <rPr>
            <sz val="9"/>
            <color indexed="81"/>
            <rFont val="Tahoma"/>
            <family val="2"/>
          </rPr>
          <t xml:space="preserve">
actividades económicas, generación de empleo, seguridad e higiene ocupacional, infraestructura de servicios básicos, actividad cultural, calidad de vida, calidad visual</t>
        </r>
      </text>
    </comment>
    <comment ref="N7" authorId="0" shapeId="0" xr:uid="{0EE66153-F0B4-4CD3-9729-30C946D9F1D2}">
      <text>
        <r>
          <rPr>
            <b/>
            <sz val="9"/>
            <color indexed="81"/>
            <rFont val="Tahoma"/>
            <family val="2"/>
          </rPr>
          <t>Luz Nora Mesa Agudelo:
Positivo
Negativo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tc={BCADD60D-3D45-4EF7-B40E-C3697E53CE13}</author>
    <author>tc={CD49CBEE-4E24-4D24-AF04-B93FA84C7C70}</author>
  </authors>
  <commentList>
    <comment ref="C70" authorId="0" shapeId="0" xr:uid="{BCADD60D-3D45-4EF7-B40E-C3697E53CE13}">
      <text>
        <t>[Threaded comment]
Your version of Excel allows you to read this threaded comment; however, any edits to it will get removed if the file is opened in a newer version of Excel. Learn more: https://go.microsoft.com/fwlink/?linkid=870924
Comment:
    Valor que requiero tener disponible para cubrir el primer año de operación</t>
      </text>
    </comment>
    <comment ref="E131" authorId="1" shapeId="0" xr:uid="{CD49CBEE-4E24-4D24-AF04-B93FA84C7C70}">
      <text>
        <t>[Threaded comment]
Your version of Excel allows you to read this threaded comment; however, any edits to it will get removed if the file is opened in a newer version of Excel. Learn more: https://go.microsoft.com/fwlink/?linkid=870924
Comment:
    Costo de fondos propios (Ke)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<sst xmlns="http://schemas.openxmlformats.org/spreadsheetml/2006/main" count="1635" uniqueCount="1303">
  <si>
    <t>EVALUACIÓN DE IDEAS DE NEGOCIO</t>
  </si>
  <si>
    <t>FORMATO DE DESCRIPCIÓN DE IDEAS DE NEGOCIO</t>
  </si>
  <si>
    <t>No</t>
  </si>
  <si>
    <t>Nombre de la Idea del Negocio</t>
  </si>
  <si>
    <t>Fuente de Identificación de la Idea del Negocio</t>
  </si>
  <si>
    <t>Breve descripción de la Idea del Negocio</t>
  </si>
  <si>
    <t>Principal Razon Por la que Puede Ser Una Idea Ganadora</t>
  </si>
  <si>
    <t xml:space="preserve">Turismo Senior	</t>
  </si>
  <si>
    <t>Tendencia demográfica y notas de prensa sobre el auge de viajes 60+; escasez de paquetes accesibles</t>
  </si>
  <si>
    <t>Agencia que diseña y opera viajes “slow” con logística médica, guías formados y destinos fuera de temporada</t>
  </si>
  <si>
    <t>Mercado en rápido crecimiento y capacidad de desestacionalizar la oferta turística, generando ingresos todo el año</t>
  </si>
  <si>
    <t>Asistente Virtual para la Tercera Edad</t>
  </si>
  <si>
    <t>Reportes sobre soledad no deseada y adopción de interfaces de voz</t>
  </si>
  <si>
    <t>Altavoz/app IA que recuerda medicación, conecta con voluntarios y monitorea bienestar</t>
  </si>
  <si>
    <t>Alta necesidad social, barreras de salida altas una vez el usuario adopta la plataforma (stickiness)</t>
  </si>
  <si>
    <t>Centro de Acondicionamiento Senior</t>
  </si>
  <si>
    <t>Datos OMS/Ministerio sobre sedentarismo &gt; 50 % en mayores</t>
  </si>
  <si>
    <t>Gimnasio boutique con programas gerontológicos, monitoreo médico y convenios EPS</t>
  </si>
  <si>
    <t>Convierte un problema de salud pública en ingresos recurrentes; posibilidad de cofinanciación por aseguradoras</t>
  </si>
  <si>
    <t>ActivaVida – Dispositivo de Equilibrio y Reflejos</t>
  </si>
  <si>
    <t>Estadísticas de caídas (1 de 3 mayores/año) y papers de propiocepción</t>
  </si>
  <si>
    <t>Ecosistema de dispositivos modulares (disco IMU, banda, pads) + app y analítica para fisios</t>
  </si>
  <si>
    <t>Hardware low‑cost + servicio SaaS: alto impacto clínico, ingresos por venta y suscripción</t>
  </si>
  <si>
    <t>Snacks Nutricionales Senior</t>
  </si>
  <si>
    <t>Estudios sobre anorexia de la edad y sarcopenia</t>
  </si>
  <si>
    <t>Línea de bocados blandos, ricos en proteína y fibra, bajos en azúcar y sal</t>
  </si>
  <si>
    <t>Nicho poco atendido; sinergia con farmacias/geriátricos y tendencia “healthy aging”</t>
  </si>
  <si>
    <t xml:space="preserve">Huertos Intergeneracionales	</t>
  </si>
  <si>
    <t xml:space="preserve">Programas municipales de huertas y evidencias de integración social	</t>
  </si>
  <si>
    <t xml:space="preserve">Instalación y mentoría de huertas urbanas que reúnen jóvenes y mayores	</t>
  </si>
  <si>
    <t xml:space="preserve">Alto impacto social y bajo costo operativo; elegible a subvenciones públicas
</t>
  </si>
  <si>
    <t xml:space="preserve">AbueloAmigo	</t>
  </si>
  <si>
    <t>Iniciativas como “Voces en Red” y redes de voluntariado locales</t>
  </si>
  <si>
    <t>Plataforma que empareja seniors con voluntarios para llamadas y salidas</t>
  </si>
  <si>
    <t>Escalable digitalmente y con costes de infraestructura mínimos</t>
  </si>
  <si>
    <t xml:space="preserve">SeniorGames	</t>
  </si>
  <si>
    <t>Meta‑análisis de exergames que mejoran equilibrio y cognición</t>
  </si>
  <si>
    <t>Consola/app de juegos adaptativos con sensores de movimiento y niveles ajustables</t>
  </si>
  <si>
    <t>Combina entretenimiento y salud, mercado global de “seniors games” al alza</t>
  </si>
  <si>
    <t>Puertas Inteligentes Seguras</t>
  </si>
  <si>
    <t>Estadísticas de caídas y accidentes domésticos en adultos mayores; artículos sobre automatización del hogar y estudios que muestran aceptación de monitoreo por parte de seniors</t>
  </si>
  <si>
    <t>Cerraduras y sensores inteligentes que impiden quedar encerrado, alertan caídas en el marco de la puerta y permiten apertura remota por familiares o cuidadores</t>
  </si>
  <si>
    <t>Resuelve un dolor crítico (seguridad en el hogar) con tecnología ya madura y con alta disposición de pago; se integra fácilmente a ecosistemas de smart‑home y genera ingresos recurrentes por monitoreo y mantenimiento</t>
  </si>
  <si>
    <t>EVALUACION DE IDEAS DE NEGOCIO</t>
  </si>
  <si>
    <t>FORMATO DE EVALUACION DE IDEAS DE NEGOCIO</t>
  </si>
  <si>
    <t>Idea de Negocio</t>
  </si>
  <si>
    <t>Perspectiva Personal</t>
  </si>
  <si>
    <t>Perspectiva de Mercado</t>
  </si>
  <si>
    <t>Perspectiva de Recursos</t>
  </si>
  <si>
    <t>Perspectiva Legal</t>
  </si>
  <si>
    <r>
      <rPr>
        <b/>
        <sz val="10"/>
        <color rgb="FF002060"/>
        <rFont val="Arial"/>
        <family val="2"/>
      </rPr>
      <t>CRITERIOS DE EVALUACIÓN</t>
    </r>
    <r>
      <rPr>
        <sz val="10"/>
        <color rgb="FF002060"/>
        <rFont val="Arial"/>
        <family val="2"/>
      </rPr>
      <t xml:space="preserve">
5 - Totalmente
4 - En un alto porcentaje
3 - En un porcentaje aceptable
2 - Muy poco
1 - Nada</t>
    </r>
  </si>
  <si>
    <t>Vibro con la idea me gusta mucho</t>
  </si>
  <si>
    <t>Tengo el talento para sacar la idea adelante</t>
  </si>
  <si>
    <t>Tengo conocimiento en este campo</t>
  </si>
  <si>
    <t>Poseo experiencia practica</t>
  </si>
  <si>
    <t>Tengo red de contactos</t>
  </si>
  <si>
    <t>El producto sería valorado por el mercado final</t>
  </si>
  <si>
    <t>Tiene potencial en el mercado</t>
  </si>
  <si>
    <t>Estabilidad del mercado en ciclos económicos</t>
  </si>
  <si>
    <t>Incremento proyectado del número de consumidores (población consumidora en aumento)</t>
  </si>
  <si>
    <t>La idea busca atender necesidades insatisfechas</t>
  </si>
  <si>
    <t>Conozco la competencia</t>
  </si>
  <si>
    <t>Sé Como podría llegar al mercado objetivo</t>
  </si>
  <si>
    <t>La idea tiene elementos innovadores, diferenciadores</t>
  </si>
  <si>
    <t>Tiene capacidad de conseguir un equipo con el perfil requerido</t>
  </si>
  <si>
    <t>Tengo acceso a la tecnología requerida</t>
  </si>
  <si>
    <t>Puedo conseguir los insumos y materia prima requerida</t>
  </si>
  <si>
    <t>asegurado el suministro de materias primas, (disponibilidad estable, bajos costos)</t>
  </si>
  <si>
    <t>cuento con los recursos económicos y/o posibles fuentes de financiación</t>
  </si>
  <si>
    <t>El negocio Puede ser rentable</t>
  </si>
  <si>
    <t xml:space="preserve">Aspectos legales </t>
  </si>
  <si>
    <t>Patentes, licencias</t>
  </si>
  <si>
    <t>Legislación controles ambientales</t>
  </si>
  <si>
    <t>TOTAL</t>
  </si>
  <si>
    <t xml:space="preserve"> ,</t>
  </si>
  <si>
    <t>EJEMPLOS</t>
  </si>
  <si>
    <t>Servicio de correo para tiendas y pequeños negocios</t>
  </si>
  <si>
    <t>Producción y venta de bocadillo dietético</t>
  </si>
  <si>
    <t>* Para obtener el total, se suman todos los puntajes de la idea y se dividen por 22 (total de factores que se califican)</t>
  </si>
  <si>
    <t xml:space="preserve"> Proyecto Vs Estrategia Organizacional </t>
  </si>
  <si>
    <t>Objetivo:</t>
  </si>
  <si>
    <t>Identificar la relación existente entre la Idea de Proyecto y la Estrategia Organizacional</t>
  </si>
  <si>
    <t>Componentes</t>
  </si>
  <si>
    <t>Preguntas</t>
  </si>
  <si>
    <t>Detalles</t>
  </si>
  <si>
    <t>PERSPECTIVA (POR QUE)</t>
  </si>
  <si>
    <t>Antecedentes de negocio</t>
  </si>
  <si>
    <t>Por que debemos hacer el proyecto?</t>
  </si>
  <si>
    <t>Quien es el cliente/Usuario</t>
  </si>
  <si>
    <t>Cual es la perspectiva de negocio y la motivación?</t>
  </si>
  <si>
    <t>Cual es su necesidad?</t>
  </si>
  <si>
    <t>Como lograremos satisfacer esa necesidad?</t>
  </si>
  <si>
    <t>Cual es la oportunidad de negocio?</t>
  </si>
  <si>
    <t>Objetivo de negocio</t>
  </si>
  <si>
    <t>Que queremos conseguir como negocio?</t>
  </si>
  <si>
    <t>Cual es la meta de negocio que se conseguirá una vez el resultado del proyecto sea generado?</t>
  </si>
  <si>
    <t>Concepto estratégico</t>
  </si>
  <si>
    <t>Por que el proyecto soportara la estrategia de negocios de la compañía?</t>
  </si>
  <si>
    <t>Cual es el principio de solución estratégico que guiara el plan y la ejecución del proyecto y soportara la estrategia de la compañía?</t>
  </si>
  <si>
    <t>Cual es la idea competitiva estratégica?</t>
  </si>
  <si>
    <t>POSICION (QUE)</t>
  </si>
  <si>
    <t>Definición de producto</t>
  </si>
  <si>
    <t>Cual es el producto que será creado o producido por el proyecto?</t>
  </si>
  <si>
    <t>Que vamos a producir?</t>
  </si>
  <si>
    <t>Que tipo de producto es?</t>
  </si>
  <si>
    <t>Cual es su concepto de operación y sus principales características?</t>
  </si>
  <si>
    <t>Ventaja Competitiva/Valor</t>
  </si>
  <si>
    <t>Que tan bueno es?</t>
  </si>
  <si>
    <t>Cual es la ventaja para el cliente/usuario sobre:</t>
  </si>
  <si>
    <t>Por que es mejor que sus competidores?</t>
  </si>
  <si>
    <t>Competidores ?</t>
  </si>
  <si>
    <t>Por que es mejor que el proceso/estado actual?</t>
  </si>
  <si>
    <t>Productos previos?</t>
  </si>
  <si>
    <t>Por que el cliente lo compraría?</t>
  </si>
  <si>
    <t>Soluciones Alternativas?</t>
  </si>
  <si>
    <t>Cual es el valor para nosotros?</t>
  </si>
  <si>
    <t>Costo/Efectividad del producto, como podría beneficiarnos?</t>
  </si>
  <si>
    <t>Criterios de éxito/falla</t>
  </si>
  <si>
    <t>Cuales son las expectativas?</t>
  </si>
  <si>
    <t>Cuales son las dimensiones del éxito y sus indicadores?</t>
  </si>
  <si>
    <t>Como mediremos el éxito del proyecto?</t>
  </si>
  <si>
    <t xml:space="preserve">Que puede ir mal? </t>
  </si>
  <si>
    <t>Cuales son los principales riesgos y sus consecuencias?</t>
  </si>
  <si>
    <t>Altas tasas de caídas en adultos mayores (1 de cada 3 al año), aumento del sedentarismo y deterioro cognitivo. Costos sanitarios por caídas cercanos al 1% del PIB en Colombia.</t>
  </si>
  <si>
    <t>Adultos mayores (60+), cuidadores/familias, clínicas y fisioterapeutas, EPS y aseguradoras.</t>
  </si>
  <si>
    <t>El envejecimiento poblacional (20% de mayores en 2040) exige soluciones accesibles de prevención y monitoreo en el hogar.</t>
  </si>
  <si>
    <t>Prevenir caídas y deterioro cognitivo con herramientas motivadoras y accesibles, con datos clínicos confiables para la toma de decisiones médicas.</t>
  </si>
  <si>
    <t>Mediante un ecosistema de dispositivos lúdicos + app móvil + portal de analítica clínica con seguimiento remoto.</t>
  </si>
  <si>
    <t>Mercado TAM en Colombia de alrededor de 500 M (USD); crecimiento anual de 13% en tele-rehabilitación en LatAm; escasez de competidores que integren hardware low-cost, gamificación y datos clínicos.</t>
  </si>
  <si>
    <t>Meta de 10.000 usuarios activos y 50 clínicas aliadas en 24 meses; reducir en 15% las caídas y mejorar en 20% el tiempo de reacción en usuarios.</t>
  </si>
  <si>
    <t>Refuerza la visión de ser plataforma líder en salud activa y preventiva para adultos mayores, integrando IoT y analítica clínica accesible.</t>
  </si>
  <si>
    <t>Modelo Device-as-a-Service (kits en arriendo o venta + suscripción digital).</t>
  </si>
  <si>
    <t>Hardware modular low-cost, gamificación social y reportes clínicos automatizados que mejoran adherencia y diferencian frente a apps solo-software o equipos clínicos premium.</t>
  </si>
  <si>
    <t>Ecosistema compuesto por: banda IMU, disco de equilibrio, pads táctiles, app móvil (React Native), backend analítico y portal clínico.</t>
  </si>
  <si>
    <t>Kits físicos + plataforma digital + servicio de suscripción y analítica.</t>
  </si>
  <si>
    <t>Solución integrada de hardware + software + servicio (salud digital).</t>
  </si>
  <si>
    <t>Plug-and-play, retos lúdicos guiados, feedback visual/háptico, conectividad cloud, reportes clínicos automáticos.</t>
  </si>
  <si>
    <t>Ofrece prevención medible, divertida y accesible.</t>
  </si>
  <si>
    <t>Competidores: apps solo-software (sin métricas físicas); plataformas clínicas premium (muy costosas, solo para hospitales). ActivaVida ofrece bajo costo + usabilidad en el hogar.</t>
  </si>
  <si>
    <t>Estado actual: fisioterapia presencial limitada, sin datos objetivos en casa. La solución permite prevención diaria, adherencia y evidencia clínica.</t>
  </si>
  <si>
    <t>Porque reduce riesgo de caídas y deterioro cognitivo, mejora la autonomía, genera confianza familiar y datos útiles para médicos/EPS.</t>
  </si>
  <si>
    <t>Márgenes 40% en hardware, ingresos recurrentes por suscripción SaaS, expansión de portafolio B2B con analítica para aseguradoras.</t>
  </si>
  <si>
    <t>Impacto clínico: reducción 15% caídas y mejora 20% reflejos. Negocio: ARR &gt; USD 2M al año 2. Uso: 8.000 MAU al mes 18.</t>
  </si>
  <si>
    <t>Estudios pre/post clínicos, KPIs de uso (adherencia 30 días &gt; 60%), dashboards financieros y de analítica.</t>
  </si>
  <si>
    <t>Riesgos: retrasos en certificación Invima, baja adopción tecnológica en seniors, fallas de hardware, fugas de datos. Consecuencias: entrada tardía, pérdida de confianza o multas regulatorias.</t>
  </si>
  <si>
    <t>ÁRBOL DEL PROBLEMAS</t>
  </si>
  <si>
    <t>Efectos Indirectos</t>
  </si>
  <si>
    <t>Disminución de la esperanza de vida saludable</t>
  </si>
  <si>
    <t>Aumento de la carga familiar y "cuidadores"</t>
  </si>
  <si>
    <t>Reducción de participación en actividades comunitarias</t>
  </si>
  <si>
    <t>Mayor dependencia de servicios asistenciales</t>
  </si>
  <si>
    <t>ÁRBOL DE PROBLEMAS</t>
  </si>
  <si>
    <t>Estrés económico en familias</t>
  </si>
  <si>
    <t>Aumento de depresión</t>
  </si>
  <si>
    <t>Pérdida de autonomía personal</t>
  </si>
  <si>
    <t>Sobrecarga de EPS y clínicas</t>
  </si>
  <si>
    <t>Disminución de participación en el mercado</t>
  </si>
  <si>
    <t>Pérdida de competitividad frente a rivales</t>
  </si>
  <si>
    <t>Reducción de ingresos y rentabilidad</t>
  </si>
  <si>
    <t>🔽 Causas (raíces):</t>
  </si>
  <si>
    <t>Mayor riesgo de aislamiento social</t>
  </si>
  <si>
    <t>Deterioro de la autoestima</t>
  </si>
  <si>
    <t>Deterioro cognitivo acelerado</t>
  </si>
  <si>
    <t>Reducción del bienestar general</t>
  </si>
  <si>
    <t>Falta de planeación urbana para el crecimiento vehicular</t>
  </si>
  <si>
    <t>Clientes migran hacia la competencia</t>
  </si>
  <si>
    <t>Disminución de confianza de inversionistas</t>
  </si>
  <si>
    <t>Pérdida de posicionamiento en el sector</t>
  </si>
  <si>
    <t>Ausencia de políticas de control de parqueo en vía pública</t>
  </si>
  <si>
    <t>Efectos Directos</t>
  </si>
  <si>
    <t>.</t>
  </si>
  <si>
    <t>Aumento de costos sanitarios</t>
  </si>
  <si>
    <t>Fracturas y lesiones graves</t>
  </si>
  <si>
    <t>Periodos de recuperación más largos</t>
  </si>
  <si>
    <t>Reducción de movilidad y equilibrio</t>
  </si>
  <si>
    <t>Poca inversión en infraestructura de parqueaderos públicos</t>
  </si>
  <si>
    <t>Desaprovechamiento de tendencias tecnológicas</t>
  </si>
  <si>
    <t>Reputación debilitada ante stakeholders</t>
  </si>
  <si>
    <t>Menor capacidad de innovación</t>
  </si>
  <si>
    <t>Alta densidad vehicular en zonas comerciales y residenciales</t>
  </si>
  <si>
    <t>Problema Central</t>
  </si>
  <si>
    <t>Falta de herramientas y procesos efectivos para la prevención de caídas en adultos mayores, con baja continuidad y escaso seguimiento de datos clínicos.</t>
  </si>
  <si>
    <t>Débil regulación de construcciones sin áreas de estacionamiento</t>
  </si>
  <si>
    <t>Estrategias de marketing poco alineadas con el mercado</t>
  </si>
  <si>
    <t>Pérdida de oportunidades comerciales</t>
  </si>
  <si>
    <t>Baja efectividad de campañas publicitarias</t>
  </si>
  <si>
    <t>🔼 Efectos (consecuencias):</t>
  </si>
  <si>
    <t>Causas Directas</t>
  </si>
  <si>
    <t>Ineficacia en tratamientos médicos</t>
  </si>
  <si>
    <t>Falta de monitoreo remoto</t>
  </si>
  <si>
    <t>Ausencia de programas lúdicos</t>
  </si>
  <si>
    <t>Escaso acceso a tecnología adaptada a necesidades particulares</t>
  </si>
  <si>
    <t>Mayor congestión vehicular en zonas críticas</t>
  </si>
  <si>
    <t>La empresa carece de procesos efectivos para identificar y aprovechar oportunamente las oportunidades y tendencias de mercado, lo que limita la eficacia de sus estrategias de marketing.</t>
  </si>
  <si>
    <t>Reducción de la movilidad urbana y aumento del tiempo de desplazamiento</t>
  </si>
  <si>
    <t>Causas Indirectas</t>
  </si>
  <si>
    <t>Demora para diágnosticos de enfermedades degenerativas y resultados</t>
  </si>
  <si>
    <t>Diagnóstico tardío</t>
  </si>
  <si>
    <t>Escasez de profesionales especializados</t>
  </si>
  <si>
    <t>Diagnósticos tardíos de enfermedades degenerativas</t>
  </si>
  <si>
    <t>Invasión del espacio público por vehículos mal estacionados</t>
  </si>
  <si>
    <t>Falta de sistemas de análisis de datos en tiempo real</t>
  </si>
  <si>
    <t>Procesos de toma de decisiones lentos y burocráticos</t>
  </si>
  <si>
    <t>Escasa cultura de innovación</t>
  </si>
  <si>
    <t>Disminución de la calidad de vida de los residentes</t>
  </si>
  <si>
    <t>Demora entre citas</t>
  </si>
  <si>
    <t>Demoras en asignación de citas</t>
  </si>
  <si>
    <t>Protocolos de prevención desactualizados</t>
  </si>
  <si>
    <t>Falta de innovación tecnológica accesible</t>
  </si>
  <si>
    <t>Pérdidas económicas para comercios locales por dificultad de acceso</t>
  </si>
  <si>
    <t>Dependencia de estudios de mercado tradicionales y desactualizados</t>
  </si>
  <si>
    <t>Limitada inversión en herramientas tecnológicas</t>
  </si>
  <si>
    <t>Escasez de personal especializado en análisis de tendencias</t>
  </si>
  <si>
    <t>Hay falta de profesionales en el sector salud</t>
  </si>
  <si>
    <t>Desigualdad en cobertura de programas de prevención</t>
  </si>
  <si>
    <t>Baja cultura de envejecimiento activo y hábitos de ejercicio en mayores</t>
  </si>
  <si>
    <t>Escasa industria de dispositivos de salud en el país</t>
  </si>
  <si>
    <t>Falta de integración de fuentes de datos internas y externas</t>
  </si>
  <si>
    <t>Ausencia de metodologías ágiles en gestión estratégica</t>
  </si>
  <si>
    <t>Escasa colaboración interdepartamental</t>
  </si>
  <si>
    <t>Saturación en el sector salud</t>
  </si>
  <si>
    <t>Falta de incentivos a innovación para prevención</t>
  </si>
  <si>
    <t>Escaso apoyo a desarrollo de talento en geriatría y fisioterapia</t>
  </si>
  <si>
    <t>Poca articulación entre gobierno, EPS y sector privado</t>
  </si>
  <si>
    <t>Poca inversión en I+D aplicada al marketing</t>
  </si>
  <si>
    <t>Desconexión con universidades o centros de innovación</t>
  </si>
  <si>
    <t>Falta de incentivos para la innovación organizacional</t>
  </si>
  <si>
    <t xml:space="preserve">METODOLOGÍA MARCO LÓGICO </t>
  </si>
  <si>
    <t xml:space="preserve">1. IDENTIFICAR EL PROBLEMA </t>
  </si>
  <si>
    <t>Existe una falta de herramientas y procesos efectivos para prevenir caídas y deterioro cognitivo en adultos mayores. Esta situación genera baja continuidad en los tratamientos, escaso seguimiento de datos clínicos, y un incremento en la dependencia, costos de atención y deterioro de la calidad de vida.</t>
  </si>
  <si>
    <t xml:space="preserve">2. ANALIZAR GRUPOS DE INTERES O INVOLUCRADOS DEL PROYECTO </t>
  </si>
  <si>
    <t>https://ingenioempresa.com/analisis-involucrados-marco-logico/</t>
  </si>
  <si>
    <r>
      <t xml:space="preserve">a. Elaboración de la tabla de participación </t>
    </r>
    <r>
      <rPr>
        <b/>
        <sz val="12"/>
        <color rgb="FF00B0F0"/>
        <rFont val="Arial"/>
        <family val="2"/>
      </rPr>
      <t xml:space="preserve">(identificar los interesados) </t>
    </r>
  </si>
  <si>
    <t xml:space="preserve">b. Definir los roles y su participacion </t>
  </si>
  <si>
    <r>
      <t>a. Indentificacion de interesados</t>
    </r>
    <r>
      <rPr>
        <b/>
        <sz val="12"/>
        <color rgb="FF00B0F0"/>
        <rFont val="Arial"/>
        <family val="2"/>
      </rPr>
      <t xml:space="preserve">
Diagnostico de la población afectada y del entorno en general </t>
    </r>
  </si>
  <si>
    <t xml:space="preserve">b. Roles y su participacion </t>
  </si>
  <si>
    <t xml:space="preserve">Ejemplo de categorizacion de los interesados </t>
  </si>
  <si>
    <t>Grupos</t>
  </si>
  <si>
    <t xml:space="preserve">Roles de los actores </t>
  </si>
  <si>
    <t xml:space="preserve">Tipo de participacion </t>
  </si>
  <si>
    <t>Intereses</t>
  </si>
  <si>
    <t>Problemáticas</t>
  </si>
  <si>
    <t>Recursos/ Mandatos</t>
  </si>
  <si>
    <t>1. Org. Del sector publico</t>
  </si>
  <si>
    <t> Cooperante/Beneficiario</t>
  </si>
  <si>
    <t xml:space="preserve">Informar/asesorar </t>
  </si>
  <si>
    <t>Reducir carga al sistema de salud; promover envejecimiento activo</t>
  </si>
  <si>
    <t>Saturación en el sistema de salud; falta de innovación preventiva</t>
  </si>
  <si>
    <t>Políticas públicas, financiación estatal, normativas de salud</t>
  </si>
  <si>
    <t>2. Org. Del sector privado</t>
  </si>
  <si>
    <t> Beneficiario</t>
  </si>
  <si>
    <t>Informar</t>
  </si>
  <si>
    <t>Acceso a nuevos mercados, reputación social, inversión en salud preventiva</t>
  </si>
  <si>
    <t>Falta de acceso a datos clínicos para desarrollar soluciones</t>
  </si>
  <si>
    <t>Inversión, tecnología, canales de distribución</t>
  </si>
  <si>
    <t xml:space="preserve"> Cooperante </t>
  </si>
  <si>
    <t>3. Org. Del sector sociedad civil</t>
  </si>
  <si>
    <t xml:space="preserve">Aliado </t>
  </si>
  <si>
    <t>Mejorar calidad de vida de mayores; participación comunitaria</t>
  </si>
  <si>
    <t>Baja cultura de envejecimiento activo; aislamiento social</t>
  </si>
  <si>
    <t>Programas sociales, redes comunitarias</t>
  </si>
  <si>
    <t xml:space="preserve">Asesorar </t>
  </si>
  <si>
    <t>4. Org. Religiosas</t>
  </si>
  <si>
    <t xml:space="preserve"> Afectados </t>
  </si>
  <si>
    <t xml:space="preserve">consultar </t>
  </si>
  <si>
    <t>Bienestar integral de sus adultos mayores; red de apoyo espiritual\</t>
  </si>
  <si>
    <t>Escasa inclusión de sus miembros en estrategias de salud</t>
  </si>
  <si>
    <t>Voluntariado, espacios comunitarios</t>
  </si>
  <si>
    <t xml:space="preserve">5. Org. Externas </t>
  </si>
  <si>
    <t xml:space="preserve">opositor </t>
  </si>
  <si>
    <t xml:space="preserve">control </t>
  </si>
  <si>
    <t>Verificar impactos sociales, éticos y regulatorios</t>
  </si>
  <si>
    <t>Preocupaciones por privacidad, sostenibilidad y equidad en acceso tecnológico</t>
  </si>
  <si>
    <t>Organismos internacionales, ONGs, reguladores externos</t>
  </si>
  <si>
    <t xml:space="preserve">c. Agruparlos y priorizarlos </t>
  </si>
  <si>
    <t xml:space="preserve">Criterio </t>
  </si>
  <si>
    <t xml:space="preserve">Calificacion grupo </t>
  </si>
  <si>
    <t>ALTO</t>
  </si>
  <si>
    <t>MEDIO</t>
  </si>
  <si>
    <t xml:space="preserve">BAJO </t>
  </si>
  <si>
    <t xml:space="preserve">d. Analizar grupos de interes </t>
  </si>
  <si>
    <t>Criterio de Selección</t>
  </si>
  <si>
    <t xml:space="preserve">Peso del criterio </t>
  </si>
  <si>
    <t>Grupo 1</t>
  </si>
  <si>
    <t>Grupo 2</t>
  </si>
  <si>
    <t>Grupo 3</t>
  </si>
  <si>
    <t>Grupo 4</t>
  </si>
  <si>
    <t>Grupo 5</t>
  </si>
  <si>
    <t>Calificacion</t>
  </si>
  <si>
    <t>Resultado</t>
  </si>
  <si>
    <t>PODER</t>
  </si>
  <si>
    <t>INTERES</t>
  </si>
  <si>
    <t xml:space="preserve">INFLUENCIA </t>
  </si>
  <si>
    <t>Totales</t>
  </si>
  <si>
    <t>Subtotal Grupo 1</t>
  </si>
  <si>
    <t>Subtotal Grupo 2</t>
  </si>
  <si>
    <t>Subtotal Grupo 3</t>
  </si>
  <si>
    <r>
      <t xml:space="preserve">e. Matriz -Valorando los involucrados  </t>
    </r>
    <r>
      <rPr>
        <b/>
        <sz val="12"/>
        <color rgb="FF00B0F0"/>
        <rFont val="Arial"/>
        <family val="2"/>
      </rPr>
      <t>(Poder e interes)</t>
    </r>
    <r>
      <rPr>
        <b/>
        <sz val="12"/>
        <color rgb="FF002060"/>
        <rFont val="Arial"/>
        <family val="2"/>
      </rPr>
      <t xml:space="preserve">
</t>
    </r>
    <r>
      <rPr>
        <sz val="12"/>
        <color rgb="FF002060"/>
        <rFont val="Arial"/>
        <family val="2"/>
      </rPr>
      <t xml:space="preserve">
Agrupa a los interesados basándose en su nivel de autoridad para controlar las decisiones de un proyecto, facilitar su ejecución o dificultarla –económica-política-social etc. (“poder”) y su nivel de preocupación (“interés”) con respecto a los resultados del proyecto.</t>
    </r>
  </si>
  <si>
    <r>
      <rPr>
        <b/>
        <sz val="12"/>
        <color rgb="FF002060"/>
        <rFont val="Arial"/>
        <family val="2"/>
      </rPr>
      <t xml:space="preserve">e. Matriz -Valorando los involucrados </t>
    </r>
    <r>
      <rPr>
        <b/>
        <sz val="12"/>
        <color rgb="FF00B0F0"/>
        <rFont val="Arial"/>
        <family val="2"/>
      </rPr>
      <t xml:space="preserve"> (Influencia e Impacto) </t>
    </r>
    <r>
      <rPr>
        <sz val="12"/>
        <color theme="1"/>
        <rFont val="Arial"/>
        <family val="2"/>
      </rPr>
      <t xml:space="preserve">
Agrupa a los interesados basándose en su participación activa (“influencia”) en el proyecto y su capacidad de efectuar cambios a la planificación o ejecución del proyecto (“impacto”).</t>
    </r>
  </si>
  <si>
    <t xml:space="preserve">INFLUENCIA  </t>
  </si>
  <si>
    <t xml:space="preserve">ALTA </t>
  </si>
  <si>
    <t>Org. del sector privado; Org. del sector público</t>
  </si>
  <si>
    <t>Org. religiosas; Org. externas / ONGs / reguladores</t>
  </si>
  <si>
    <t>Org. sociedad civil</t>
  </si>
  <si>
    <t>BAJA</t>
  </si>
  <si>
    <t xml:space="preserve">BAJA </t>
  </si>
  <si>
    <t xml:space="preserve">IMPACTO </t>
  </si>
  <si>
    <t xml:space="preserve">e. Establecer estrategias con el involucrado </t>
  </si>
  <si>
    <t>Estrategia</t>
  </si>
  <si>
    <t>Involucramiento activo y sostenido. Facilitar toma de decisiones y coordinación interinstitucional.</t>
  </si>
  <si>
    <t>Establecer alianzas estratégicas. Incentivar su participación como co-ejecutores y promotores del proyecto.</t>
  </si>
  <si>
    <t>Fomentar participación ciudadana mediante espacios de diálogo y consulta. Promover mecanismos de veeduría social.</t>
  </si>
  <si>
    <t>Mantener informadas. Consultas puntuales sobre impacto comunitario.</t>
  </si>
  <si>
    <t>Mitigar oposición mediante negociación y transparencia. Escuchar recomendaciones técnicas y asegurar cumplimiento normativo.</t>
  </si>
  <si>
    <t xml:space="preserve">3. ARBOL DE PROBLEMAS </t>
  </si>
  <si>
    <t>https://ingenioempresa.com/arbol-de-problemas/</t>
  </si>
  <si>
    <t xml:space="preserve">4. ARBOL DE OBJETIVOS </t>
  </si>
  <si>
    <t>https://ingenioempresa.com/arbol-de-objetivos/</t>
  </si>
  <si>
    <t xml:space="preserve">5. ANALISIS DE ALTERNATIVAS Y SELECCIÓN DE LA ESTRATEGIA </t>
  </si>
  <si>
    <t>https://ingenioempresa.com/analisis-de-alternativas/</t>
  </si>
  <si>
    <t xml:space="preserve">criterio </t>
  </si>
  <si>
    <t xml:space="preserve">calificacion </t>
  </si>
  <si>
    <t>Criterio de selección</t>
  </si>
  <si>
    <t>AbueloAmigo</t>
  </si>
  <si>
    <t>Beneficio</t>
  </si>
  <si>
    <t>Tiempo</t>
  </si>
  <si>
    <t>Costo</t>
  </si>
  <si>
    <t>Impacto Ambiental</t>
  </si>
  <si>
    <t>Riesgo Social</t>
  </si>
  <si>
    <t>Viabilidad</t>
  </si>
  <si>
    <t>Riesgo Financiero</t>
  </si>
  <si>
    <t>suma 100%</t>
  </si>
  <si>
    <t>sumatoria</t>
  </si>
  <si>
    <t xml:space="preserve">6. CONSTRUCCION DE LA MATRIZ </t>
  </si>
  <si>
    <t>https://ingenioempresa.com/resumen-narrativo/</t>
  </si>
  <si>
    <t>Lógica: 
Horizontal: 
Vertical:</t>
  </si>
  <si>
    <t xml:space="preserve">Logica Intervencion </t>
  </si>
  <si>
    <t xml:space="preserve">Indicadores objetivamente verificables </t>
  </si>
  <si>
    <t xml:space="preserve">Fuentes de Verificacionn </t>
  </si>
  <si>
    <t>Hipótesis/Supuestos (Factores externos)</t>
  </si>
  <si>
    <t>https://ingenioempresa.com/resumen-narrativo/#Fin_finalidad_del_proyecto</t>
  </si>
  <si>
    <t>https://ingenioempresa.com/indicadores-marco-logico/</t>
  </si>
  <si>
    <t>https://ingenioempresa.com/medios-de-verificacion/</t>
  </si>
  <si>
    <t>https://ingenioempresa.com/supuestos-marco-logico/</t>
  </si>
  <si>
    <r>
      <t>FIN</t>
    </r>
    <r>
      <rPr>
        <sz val="12"/>
        <color rgb="FFFF0000"/>
        <rFont val="Arial"/>
        <family val="2"/>
      </rPr>
      <t xml:space="preserve"> 
</t>
    </r>
    <r>
      <rPr>
        <sz val="12"/>
        <color rgb="FF0070C0"/>
        <rFont val="Arial"/>
        <family val="2"/>
      </rPr>
      <t xml:space="preserve">(fin del árbol de objetivos) 
</t>
    </r>
    <r>
      <rPr>
        <sz val="12"/>
        <color rgb="FF002060"/>
        <rFont val="Arial"/>
        <family val="2"/>
      </rPr>
      <t>¿Por qué el proyecto es importante para los beneficiarios y la sociedad?</t>
    </r>
  </si>
  <si>
    <t>Fin general
Contribuir a reducir la incidencia de caídas y deterioro cognitivo en adultos mayores, mejorando su autonomía y calidad de vida.</t>
  </si>
  <si>
    <t xml:space="preserve"> Fin medible 
- Reducción del 15% en la tasa de caídas en población 60+ en 2 años.
- Mejora del 20% en pruebas de tiempo de reacción y memoria funcional en usuarios activos en 2 años.
- Aumento del 10% en percepción de bienestar reportada por usuarios/cuidadores.</t>
  </si>
  <si>
    <t>Fuente para verificar el cumplimiento del FIN
- Reportes del Ministerio de Salud y EPS.
- Estudios clínicos de seguimiento.
- Encuestas de calidad de vida a usuarios y cuidadores.
- Datos agregados de la plataforma.</t>
  </si>
  <si>
    <t>Factores externos que mantienen la estrategia, la Sustentabilidad  y las Suposiciones
- Apoyo de entidades de salud y políticas públicas en envejecimiento activo.
- Estabilidad en sistemas de salud (EPS/IPS).
- Aceptación cultural y familiar del uso de soluciones tecnológicas en adultos mayores.</t>
  </si>
  <si>
    <r>
      <t xml:space="preserve">PROPÓSITO 
</t>
    </r>
    <r>
      <rPr>
        <sz val="12"/>
        <color rgb="FF0070C0"/>
        <rFont val="Arial"/>
        <family val="2"/>
      </rPr>
      <t xml:space="preserve">(G: solución focal
E: medios directos seleccionados en la estrategia)
</t>
    </r>
    <r>
      <rPr>
        <sz val="12"/>
        <color rgb="FF002060"/>
        <rFont val="Arial"/>
        <family val="2"/>
      </rPr>
      <t xml:space="preserve">¿Por qué el proyecto es necesario para los beneficiarios? </t>
    </r>
  </si>
  <si>
    <t>General: propósito Específicos.
Ofrecer un sistema integral, accesible y motivador que combine dispositivos lúdicos + app + analítica clínica para prevenir caídas y deterioro cognitivo en adultos mayores.</t>
  </si>
  <si>
    <t>Objetivos medibles
- ≥ 10.000 usuarios activos en 24 meses.
- ≥ 50 clínicas/fisioterapeutas aliados en 2 años.
- ≥ 60% de adherencia a sesiones mensuales en usuarios activos.
- Retención de usuarios (30 días) ≥ 60%.</t>
  </si>
  <si>
    <t>Fuente para verificar el cumplimiento del objetivo
- Bases de datos de la plataforma (MAU, retención, sesiones).
- Contratos y registros de alianzas con clínicas/EPS.
- Estudios pre-post clínicos en usuarios (equilibrio, cognición).</t>
  </si>
  <si>
    <t>Factores externos que mantienen la estrategia, la Sustentabilidad  y las Suposiciones
- Adultos mayores y cuidadores cuentan con acceso a smartphones e internet.
- Profesionales de salud muestran disposición a usar datos digitales en su práctica.
- Regulación sanitaria (INVIMA) permite comercialización sin retrasos críticos.</t>
  </si>
  <si>
    <r>
      <t xml:space="preserve">Resultados (PRODUCTOS) </t>
    </r>
    <r>
      <rPr>
        <sz val="12"/>
        <color rgb="FF0070C0"/>
        <rFont val="Arial"/>
        <family val="2"/>
      </rPr>
      <t xml:space="preserve">(medios indirectos 1er Seleccionados en la estrategia) 
</t>
    </r>
    <r>
      <rPr>
        <sz val="12"/>
        <color rgb="FF002060"/>
        <rFont val="Arial"/>
        <family val="2"/>
      </rPr>
      <t xml:space="preserve">¿Qué entregará el proyecto? </t>
    </r>
  </si>
  <si>
    <t>Bienes y servicios.
kits de dispositivos (banda IMU, disco de equilibrio, pads táctiles), app móvil, backend analítico y portal clínico.</t>
  </si>
  <si>
    <t>Resultados medibles
- Desarrollo y validación de MVP funcional en 2026.
- ≥ 3 módulos de hardware certificados e integrados con app.
- Plataforma SaaS clínica operativa con dashboards multiusuario.
- Campañas de educación y capacitación realizadas en ≥ 5 municipios.</t>
  </si>
  <si>
    <t>Fuentes verificables para corroborar que si se hizo el producto INTERNAS PROYECTO
- Reportes de I+D y validaciones técnicas.
- Certificación sanitaria (INVIMA, ISO 13485 light).
- Registro de capacitaciones y talleres.
- Reportes de usuarios piloto y feedback clínico.</t>
  </si>
  <si>
    <t>Factores externos que mantienen la estrategia, la Sustentabilidad  y las Suposiciones
- Proveedores de hardware cumplen con estándares de calidad.
- Disponibilidad de fondos para I+D y certificaciones.
- Participación activa de adultos mayores y clínicas en pilotos.</t>
  </si>
  <si>
    <r>
      <t>Actividades</t>
    </r>
    <r>
      <rPr>
        <sz val="12"/>
        <color rgb="FF0070C0"/>
        <rFont val="Arial"/>
        <family val="2"/>
      </rPr>
      <t xml:space="preserve"> 
(medios indirectos 2do Seleccionados en la estrategia) 
</t>
    </r>
    <r>
      <rPr>
        <sz val="12"/>
        <color rgb="FF002060"/>
        <rFont val="Arial"/>
        <family val="2"/>
      </rPr>
      <t>¿Qué se hará?</t>
    </r>
  </si>
  <si>
    <t>Acción para transformar los INSUMOS en los  resultados según los planificado.
- Diseñar, prototipar y validar dispositivos de bajo costo.
- Desarrollar app (React Native) y backend analítico.
- Ejecutar pruebas piloto con usuarios y clínicas.
- Gestionar certificación sanitaria e integración con EPS.
- Implementar campañas educativas y programa “Embajadores Senior”.</t>
  </si>
  <si>
    <t>Insumos requeridos
Presupuesto
- Recursos invertidos en I+D (USD, % del presupuesto).
- Número de prototipos desarrollados y probados.
- Número de pilotos implementados (n≥50 usuarios, ≥2 clínicas).
- Número de campañas educativas realizadas.</t>
  </si>
  <si>
    <t>Costos No siempre en $$$ Fuentes para verificar el desempeño 
- Reportes financieros del proyecto.
- Documentos de pruebas de usabilidad y pilotos.
- Registros de campañas y eventos de difusión.
- Documentación de certificaciones.</t>
  </si>
  <si>
    <t>Factores externos que mantienen la estrategia, la Sustentabilidad  y las Suposiciones
- Disponibilidad de financiamiento semilla / inversión externa.
- Capacidad técnica del equipo de desarrollo y socios aliados.
- Regulación no impone trabas inesperadas.
- Interés de clínicas/EPS en integrarse.</t>
  </si>
  <si>
    <t>ÁRBOL DE OBJETIVOS</t>
  </si>
  <si>
    <t>Fines Indirectos</t>
  </si>
  <si>
    <t>Reducir la saturación del sector salud</t>
  </si>
  <si>
    <t>Reducción de la carga familiar y de cuidadores</t>
  </si>
  <si>
    <t>Mayor participación en actividades comunitarias</t>
  </si>
  <si>
    <t>Menor dependencia de servicios asistenciales</t>
  </si>
  <si>
    <t>Citas más eficientes</t>
  </si>
  <si>
    <t>Disminución de casos de depresión en adultos mayores</t>
  </si>
  <si>
    <t>Mayor autonomía personal</t>
  </si>
  <si>
    <t>Descongestión de EPS y clínicas</t>
  </si>
  <si>
    <t>Disminución de costos sanitarios</t>
  </si>
  <si>
    <t>Incremento de las interacciones sociales</t>
  </si>
  <si>
    <t>Mantenimiento y mejora de capacidades cognitivas</t>
  </si>
  <si>
    <t>Aumento del bienestar general</t>
  </si>
  <si>
    <t>Menores periodos de recuperación</t>
  </si>
  <si>
    <t>Disminución de fracturas y lesiones graves</t>
  </si>
  <si>
    <t>Reducción de los costos sanitarios</t>
  </si>
  <si>
    <t>Fines Directos</t>
  </si>
  <si>
    <t>Aumento de la calidad de vida aplicando tratamientos médicos en momentos oportunos</t>
  </si>
  <si>
    <t>Reducción de fracturas y lesiones</t>
  </si>
  <si>
    <t>Mantenimiento de las funciones cognitivas</t>
  </si>
  <si>
    <t>Mantenimiento de funciones cognitivas, de movilidad y equilibrio</t>
  </si>
  <si>
    <t>Mejora en la movilidad y el equilibrio</t>
  </si>
  <si>
    <t>Solución Focal/ Proposito 
Objetivo General</t>
  </si>
  <si>
    <t>Desarrollar un sistema integral y accesible que prevenga caídas y el deterioro cognitivo en adultos mayores, incremente la adherencia a los ejercicios, ofrezca monitoreo continuo y genere datos clínicos para una atención oportuna y de calidad.</t>
  </si>
  <si>
    <t>Objetivos específicos</t>
  </si>
  <si>
    <t>Aumentar la eficacia de los tratamientos médicos</t>
  </si>
  <si>
    <t>Implementar monitoreo remoto para seguimiento de pacientes</t>
  </si>
  <si>
    <t>Diseñar programas lúdicos de mejoras cognitivas y prevención de caídas</t>
  </si>
  <si>
    <t>Facilitar acceso a tecnología adaptada a necesidades particulares</t>
  </si>
  <si>
    <t>Medios/ Actividades</t>
  </si>
  <si>
    <t>Herramienta para generación de datos continuos y un análisis de resultados eficientes</t>
  </si>
  <si>
    <t>Reducir tiempos de espera en citas médicas</t>
  </si>
  <si>
    <t>Capacitar profesionales en rehabilitación geriátrica</t>
  </si>
  <si>
    <t>Desarrollar dispositivos accesibles y de bajo costo</t>
  </si>
  <si>
    <t>Hacer las citas más eficientes, mediante la prorización basada en los datos</t>
  </si>
  <si>
    <t>Mejorar la gestión de agenda médica y priorización de casos</t>
  </si>
  <si>
    <t>Diseñar campañas de prevención y envejecimiento activo</t>
  </si>
  <si>
    <t>Incentivar la innovación tecnológica en salud</t>
  </si>
  <si>
    <t>Garantizar acceso a la salud facilitando tecnología escalable</t>
  </si>
  <si>
    <t>Garantizar acceso equitativo a programas preventivos</t>
  </si>
  <si>
    <t>Fomentar hábitos de ejercicio en adultos mayores</t>
  </si>
  <si>
    <t>Diseño de herramientas que permitan analizar la aparición y el desarrollo sintomas según los casos estudiados</t>
  </si>
  <si>
    <t>Reducir la saturación del sector salud mediante un enfoque en la salud preventiva</t>
  </si>
  <si>
    <t>Otorgar incentivos para proyectos de prevención en salud</t>
  </si>
  <si>
    <t>Formar talento especializado en geriatría y fisioterapia</t>
  </si>
  <si>
    <t>Promover alianzas entre gobierno, aseguradoras y sector privado</t>
  </si>
  <si>
    <t>Revisión de estudios sobre deterioro cognitivo y lo sintomas que lo acompañan</t>
  </si>
  <si>
    <t>ESTUDIO SECTORIAL - ESTRATEGICO</t>
  </si>
  <si>
    <t>Análisis PESTEL</t>
  </si>
  <si>
    <t>Herramienta DOFA</t>
  </si>
  <si>
    <t>Modelo CAME</t>
  </si>
  <si>
    <t xml:space="preserve">Descripción </t>
  </si>
  <si>
    <t>Factor</t>
  </si>
  <si>
    <t>Detalle</t>
  </si>
  <si>
    <t>Plazo</t>
  </si>
  <si>
    <t>Fortalezas
 (F):</t>
  </si>
  <si>
    <t>Oportunidades (O):</t>
  </si>
  <si>
    <t>Debilidades (D):</t>
  </si>
  <si>
    <t>Amenazas
 (A):</t>
  </si>
  <si>
    <t>Estrategias FO:</t>
  </si>
  <si>
    <t xml:space="preserve">Estrategias DO: </t>
  </si>
  <si>
    <t>Estrategias FA:</t>
  </si>
  <si>
    <t xml:space="preserve">Estrategias DA: </t>
  </si>
  <si>
    <t>Corto plazo
 (&lt; 1 mes)</t>
  </si>
  <si>
    <t>Mediano plazo
 (1 mes a 3 años)</t>
  </si>
  <si>
    <t>Largo plazo
(&gt; 3 años)</t>
  </si>
  <si>
    <r>
      <rPr>
        <b/>
        <sz val="12"/>
        <color theme="8" tint="-0.499984740745262"/>
        <rFont val="Arial"/>
        <family val="2"/>
      </rPr>
      <t xml:space="preserve">Evalúa de qué forma la intervención del gobierno puede afectar la empresa o el proyecto </t>
    </r>
    <r>
      <rPr>
        <sz val="12"/>
        <color theme="8" tint="-0.499984740745262"/>
        <rFont val="Arial"/>
        <family val="2"/>
      </rPr>
      <t xml:space="preserve">
•	Cambios de gobierno y sus programas electorales
•	Política fiscal
•	Subsidios del gobierno
•	Guerras y conflictos
•	Cambios en legislación
•	Cambios en los tratados comerciales
•	Acuerdos internacionales
•	Conflictos internos y externos
•	Movimientos políticos</t>
    </r>
  </si>
  <si>
    <t>Político</t>
  </si>
  <si>
    <t>Falta de continuidad en políticas públicas</t>
  </si>
  <si>
    <t>Se puede reducir el presupuesto y desfinanciar los programas de prevención</t>
  </si>
  <si>
    <t>x</t>
  </si>
  <si>
    <t>Cambios en prioridades en salud</t>
  </si>
  <si>
    <t>Desviación de recursos hacia otras áreas de salud y seguridad.</t>
  </si>
  <si>
    <t>Interés de gobiernos locales en reducir costos en salud y dependencia</t>
  </si>
  <si>
    <t>Programas que buscan disminuir el peso económicoque generan hospitalizaciones. El proyecto se puede alinear a estas metas, facilitando acceso a convenios y subsidios</t>
  </si>
  <si>
    <t>Posibilidad de alianzas con EPS</t>
  </si>
  <si>
    <t>El enfoque de los gobiernos a la atención preventiva es una oportunidad para que las EPS vean el proyecto como una forma de reducir costos a largo plazo</t>
  </si>
  <si>
    <r>
      <rPr>
        <b/>
        <sz val="12"/>
        <color theme="5" tint="-0.499984740745262"/>
        <rFont val="Arial"/>
        <family val="2"/>
      </rPr>
      <t xml:space="preserve">Considera cómo el entorno macroeconómico nacional e internacional puede afectar empresa o el proyecto </t>
    </r>
    <r>
      <rPr>
        <sz val="12"/>
        <color theme="5" tint="-0.499984740745262"/>
        <rFont val="Arial"/>
        <family val="2"/>
      </rPr>
      <t xml:space="preserve">
•	Tasas de empleo
•	Ciclo económico
•	PIB
•	Impuestos
•	Inflación
•	Decisiones económicas de otros gobiernos
•	Devaluación y reevaluación de la moneda
•	Tendencias en canales de distribución
•	Déficit gubernamental
•	Índice de confianza del consumidor
•	Financiación
•	Proteccionismo de los mercados
Por ejemplo, la imposición de aranceles por decisión de Donald Trump sobre Toyota hace parte de una variable económica a tener en cuenta.</t>
    </r>
  </si>
  <si>
    <t>Económico</t>
  </si>
  <si>
    <t>Inflación</t>
  </si>
  <si>
    <t>Puede afectar la capacidd de pago directo de los usuarios. A pesar de esto, el modelo B2B con las EPS puede amortiguar este riesgo.</t>
  </si>
  <si>
    <t>Baja capacidad de pago directo de adultos mayores</t>
  </si>
  <si>
    <t>Baja adopción B2C si faltan convenios o subsidios</t>
  </si>
  <si>
    <t>Dependencia de financiamiento externo</t>
  </si>
  <si>
    <t>El proyecto puede dejar de ser sostenible financieramente si no se consolidan usuarios o alianzas con las entidades de salud</t>
  </si>
  <si>
    <t>Modelo de financiación con EPS</t>
  </si>
  <si>
    <t>El sistema de salud del país permite que las EPS cubran tecnologías de prevención costo-eficientes. Esto abre la oportunidad a la financiación de los dispositivos para los clientes.</t>
  </si>
  <si>
    <t>Creciente gasto público en salud</t>
  </si>
  <si>
    <t>Cada caida implica gastos para el sistema de salud. La presentación de este proyecto que busca reducir incidentes puede ser altamente atractiva.</t>
  </si>
  <si>
    <t>Crecimiento del mercado potencial</t>
  </si>
  <si>
    <t>∼14 % de la población colombiana tiene más de 60 años, y para 2040 se espera que llegue al 20 %.</t>
  </si>
  <si>
    <r>
      <rPr>
        <b/>
        <sz val="12"/>
        <color theme="8" tint="-0.499984740745262"/>
        <rFont val="Arial"/>
        <family val="2"/>
      </rPr>
      <t>Evalúa cultura, religión, creencias, hábitos, preferencias, etc.</t>
    </r>
    <r>
      <rPr>
        <sz val="12"/>
        <color theme="8" tint="-0.499984740745262"/>
        <rFont val="Arial"/>
        <family val="2"/>
      </rPr>
      <t xml:space="preserve">
•	Nivel de educación
•	Modas
•	Patrones de compra
•	Creencias
•	Religiones
•	Opinión de los clientes
•	Opiniones o percepción de los medios de información
•	Estilo de vida
•	Nivel de ingresos
•	Nivel de edad</t>
    </r>
  </si>
  <si>
    <t>Social</t>
  </si>
  <si>
    <t>Resistencia al uso de tecnología en adultos mayores</t>
  </si>
  <si>
    <t>Posiblemente exista una baja adherencia inicial</t>
  </si>
  <si>
    <t>Desigualdad en acceso digital</t>
  </si>
  <si>
    <t>Adultos mayores con bajos ingresos o en zonas alejadas podrían no tener smartphones compatibles</t>
  </si>
  <si>
    <t>Nivel de educación digital de cuidadores/familiares</t>
  </si>
  <si>
    <t>Si es bajo, puede frenar la implementación.</t>
  </si>
  <si>
    <t>Mayor interés de familias en soluciones accesibles</t>
  </si>
  <si>
    <t>Mayor busqueda de opciones prácticas que se puedan usar en casa sin necesidad de largos desplazamientos</t>
  </si>
  <si>
    <t>Mayor adopción digital</t>
  </si>
  <si>
    <t>El acceso a smartphones en la población general crece cada año, esto permite una curva de aprendizaje más baja.</t>
  </si>
  <si>
    <t xml:space="preserve">Valor social de la autonomía </t>
  </si>
  <si>
    <t>El fuerte componente emocional y cultural en preservar la independencia de adulto mayor. Una propuesta que retrase el deterioro puede ser altamente valorada</t>
  </si>
  <si>
    <r>
      <rPr>
        <b/>
        <sz val="12"/>
        <color theme="5" tint="-0.499984740745262"/>
        <rFont val="Arial"/>
        <family val="2"/>
      </rPr>
      <t xml:space="preserve"> El reto que trae está en que la empresa o los involucrados del proyecto sean consientes de qué tipo de tecnologías la pueden beneficiar o impactar negativamente </t>
    </r>
    <r>
      <rPr>
        <sz val="12"/>
        <color theme="5" tint="-0.499984740745262"/>
        <rFont val="Arial"/>
        <family val="2"/>
      </rPr>
      <t xml:space="preserve">
•	Machine Learning
•	Nuevos códigos de programación
•	Nueva maquinaria o dispositivos tecnológicos
•	Impresión 3D
•	Uso de la energía
•	Reemplazo de tecnología
•	Software en la nube
•	Obsolescencia
•	Internet
•	Incentivos por uso de tecnologías</t>
    </r>
  </si>
  <si>
    <t>Tecnológico</t>
  </si>
  <si>
    <t>Obsolescencia tecnológica</t>
  </si>
  <si>
    <t>La rapidez de innovación obliga a diseñar un dispositivo actualizable y escaclabel para evitar el rezago frente a competidores.</t>
  </si>
  <si>
    <t>Machine learning</t>
  </si>
  <si>
    <t>Permite personalizar el nivel deexigencia y adaptarse al progreso del usuario.</t>
  </si>
  <si>
    <t>Telemedicina y analítica de datos</t>
  </si>
  <si>
    <t>El aumento de la atención remota valida la potencialidad que tiene el proyecto al generar reportes en tiempo real.</t>
  </si>
  <si>
    <t>Integracion con telefonos móviles</t>
  </si>
  <si>
    <t>El uso generalizado de smartphones hace que la plataforma sea accesible sin necesidad de hardware muy especializado y costoso.</t>
  </si>
  <si>
    <t>Avances en sensores de movimiento</t>
  </si>
  <si>
    <t>Dispositivos cada vez más pequeños y más económicos que posibilitan medir con precisión.</t>
  </si>
  <si>
    <r>
      <t>E</t>
    </r>
    <r>
      <rPr>
        <b/>
        <sz val="12"/>
        <color theme="8" tint="-0.499984740745262"/>
        <rFont val="Arial"/>
        <family val="2"/>
      </rPr>
      <t xml:space="preserve">valúa de qué forma el medio ambiente afecta a la empresa o el proyecto </t>
    </r>
    <r>
      <rPr>
        <sz val="12"/>
        <color theme="8" tint="-0.499984740745262"/>
        <rFont val="Arial"/>
        <family val="2"/>
      </rPr>
      <t xml:space="preserve">
•	Cambio climático
•	Consumo de recursos no renovables
•	Reciclaje
•	Contaminación
•	Políticas medioambientales
•	Gases líquidos
•	Riesgos naturales</t>
    </r>
  </si>
  <si>
    <t>Ambiental</t>
  </si>
  <si>
    <r>
      <rPr>
        <b/>
        <sz val="12"/>
        <color theme="5" tint="-0.499984740745262"/>
        <rFont val="Arial"/>
        <family val="2"/>
      </rPr>
      <t>Las empresas deben cumplir si o si la ley y esta cambia constantemente. A veces no solo aplica la ley del país donde está la empresa o el proyecto, también aplica la ley del país donde se desea estar.</t>
    </r>
    <r>
      <rPr>
        <sz val="12"/>
        <color theme="5" tint="-0.499984740745262"/>
        <rFont val="Arial"/>
        <family val="2"/>
      </rPr>
      <t xml:space="preserve">
•	Propiedad intelectual
•	Salud y seguridad laboral
•	Regulación de sectores
•	Leyes de protección
•	Salario mínimo
•	Licencias</t>
    </r>
  </si>
  <si>
    <t>Legal</t>
  </si>
  <si>
    <t>Regulación INVIMA</t>
  </si>
  <si>
    <t>El sistema actualmente clasificaría como un dispositivo clase I, pudiendo llegar a clase II. posibles cambios en esta clasificación podrian impactar el proyecto</t>
  </si>
  <si>
    <t>Protección de datos clínicos</t>
  </si>
  <si>
    <t>El sistema manejará información sensible, por lo que debe cumplir con la Ley 1581 de 2012 en Colombia y con estándares internacionales (HIPAA, GDPR) si se escala.</t>
  </si>
  <si>
    <t>Propiedad intelectual</t>
  </si>
  <si>
    <t>Tanto el software como los diseños de hardware pueden protegerse para crear barreras de entrada frente a competidores</t>
  </si>
  <si>
    <t>Corto plazo (1 mes o menos)</t>
  </si>
  <si>
    <t>Mediano plazo (de 1 a 3 años)</t>
  </si>
  <si>
    <t>Largo plazo (más de 3 años)</t>
  </si>
  <si>
    <t>Cambio de presidente</t>
  </si>
  <si>
    <t>El programa de gobierno se adecua a las necesidades y expectativas de la empresa</t>
  </si>
  <si>
    <t>X</t>
  </si>
  <si>
    <t>Las elecciones políticas de alcaldes y gobernadores</t>
  </si>
  <si>
    <t>Uno de los candidatos en la empresa trabajó para la competencia e inició un pleito legal por la patente del dosificador de agua</t>
  </si>
  <si>
    <t>Tratados comerciales</t>
  </si>
  <si>
    <t>Se planea tratado comercial con los países centroaméricanos para exportar nuestros productos</t>
  </si>
  <si>
    <t>Divisa</t>
  </si>
  <si>
    <t>La devaluación de nuestra moneda frente al dólar ha aumentado el precio de la materia prima por la fabricación de nuestros productos en un 15%</t>
  </si>
  <si>
    <t>Aumento de la tasa de interés</t>
  </si>
  <si>
    <t>Debido al aumento de la tasa de interés la empresa no ha cumplido con su plan de inversiones, pues se requiere financiamiento de los bancos</t>
  </si>
  <si>
    <t>Aumento en las exportaciones</t>
  </si>
  <si>
    <t>Los tratados de libre comercio del año pasado han permitido aumentar los ingresos por el concepto de exportaciones a Sudamérica</t>
  </si>
  <si>
    <t>Aumento de la conciencia por el autocuidado</t>
  </si>
  <si>
    <t>Al analizar las fuentes de las ventas, un 20% indica que se han sido por autocuidado y por el conocimiento de los beneficios del agua mineral</t>
  </si>
  <si>
    <t>Impresión 3D</t>
  </si>
  <si>
    <t>Puede ser posible que se realice la impresión de ciertos componentes de los filtros de agua, lo que podría optimizar los tiempos de producción y los costos</t>
  </si>
  <si>
    <t>Robo de información electrónica</t>
  </si>
  <si>
    <t>Se perdió el 20% de información del proceso jurídico por la apertura indebida de un correo. Se establece como un riesgo no tratado ya que es la primera vez que ocurre</t>
  </si>
  <si>
    <t>Huella de carbono</t>
  </si>
  <si>
    <t>Se está trabajando para obtener la certificación de carbono neutro</t>
  </si>
  <si>
    <t>Residuos</t>
  </si>
  <si>
    <t>La transformación de los residuos de producción toma tiempo y es costosa para la empresa</t>
  </si>
  <si>
    <t>Decreto 1072</t>
  </si>
  <si>
    <t>La empresa debe dar cumplimiento al decreto 1072 que establece el SG-SST</t>
  </si>
  <si>
    <r>
      <rPr>
        <b/>
        <sz val="12"/>
        <color rgb="FF000000"/>
        <rFont val="Arial"/>
        <family val="2"/>
      </rPr>
      <t xml:space="preserve">Se desea iniciar la formulación y evaluación de un proyecto de inversión que tiene como objetivo desarrollar una aplicación móvil llamada Equilibrado+, diseñada para apoyar a personas con discapacidad en su vida diaria mediante recordatorios, reportes de caídas, rutinas de ejercicios y acompañamiento digital. Para tal fin, se realizará una investigación en la ciudad de Medellín, teniendo en cuenta que, según los registros oficiales, la población con alguna discapacidad asciende aproximadamente a 315.000 personas.
</t>
    </r>
    <r>
      <rPr>
        <sz val="12"/>
        <color rgb="FF000000"/>
        <rFont val="Arial"/>
        <family val="2"/>
      </rPr>
      <t>a.     Suponga que desea hacer la encuesta con un 95% de confianza (Z=1,96), un margen de error del 5%. ¿Cuántas encuestas debe realizar?</t>
    </r>
  </si>
  <si>
    <t>Nivel de confianza:</t>
  </si>
  <si>
    <t>Z</t>
  </si>
  <si>
    <t>Error máximo tolerable</t>
  </si>
  <si>
    <t>e</t>
  </si>
  <si>
    <t xml:space="preserve">Poblacion </t>
  </si>
  <si>
    <t xml:space="preserve">N </t>
  </si>
  <si>
    <t>Poblacion aporx adultos mayores Medellín</t>
  </si>
  <si>
    <t>Desviación</t>
  </si>
  <si>
    <t>S</t>
  </si>
  <si>
    <t>Numero de Encuestas (n)</t>
  </si>
  <si>
    <t>De la encuesta realizada  a 100 personas en la ciudad de Medellín, se vio que un porcentaje significativo mostró interés del producto para el apoyo en la vida diaria de personas con discapacidad.
Las personas encuestadas indicaron que, de las funcionalidades de mayor preferencia, destacan las alertas y recordatorios (30%), el reporte de caídas (25%), las rutinas de ejercicios guiados (20%), la facilidad de uso (15%) y, finalmente, contar con un precio accesible (10%).</t>
  </si>
  <si>
    <t>Alertas y recordatorios</t>
  </si>
  <si>
    <t>Se hicieron 100 encuestas</t>
  </si>
  <si>
    <t>El reporte de caídas</t>
  </si>
  <si>
    <t>las rutinas de ejercicios guiados (20%), la facilidad de uso (15%) y, finalmente, contar con un precio accesible (10%).</t>
  </si>
  <si>
    <t>la facilidad de uso</t>
  </si>
  <si>
    <t>Contar con un precio accesible</t>
  </si>
  <si>
    <t>Sesiones ejercicio</t>
  </si>
  <si>
    <t>Alertas activadas</t>
  </si>
  <si>
    <t xml:space="preserve">Descargas reporte </t>
  </si>
  <si>
    <t>Recordatorio diario</t>
  </si>
  <si>
    <t>Cantidad</t>
  </si>
  <si>
    <t>Frecuencia</t>
  </si>
  <si>
    <t>por sesion</t>
  </si>
  <si>
    <t>Mensual</t>
  </si>
  <si>
    <t>Diario</t>
  </si>
  <si>
    <t>Población Objetivo:</t>
  </si>
  <si>
    <t>Población estrato 2, 3, 4, 5 y 6 de la ciudad de Medellin</t>
  </si>
  <si>
    <t>% Personas comprarian</t>
  </si>
  <si>
    <t>N: Tamaño Población</t>
  </si>
  <si>
    <t>n: Tamaño Muestra</t>
  </si>
  <si>
    <t>Pregunta</t>
  </si>
  <si>
    <t>Enunciado</t>
  </si>
  <si>
    <t>Respuesta</t>
  </si>
  <si>
    <t>Personas</t>
  </si>
  <si>
    <t>%</t>
  </si>
  <si>
    <t>Dispuesto a comprar</t>
  </si>
  <si>
    <t>Sí</t>
  </si>
  <si>
    <t>Estrato socioeconómico</t>
  </si>
  <si>
    <t xml:space="preserve">Frecuencia de compra </t>
  </si>
  <si>
    <t xml:space="preserve">PROYECCIÓN DE DEMANDA SEGÚN ENCUESTA </t>
  </si>
  <si>
    <t>Población</t>
  </si>
  <si>
    <t>% Población Estrato 4,5,6</t>
  </si>
  <si>
    <t>Población Estrato 4,5,6 que compra</t>
  </si>
  <si>
    <t>% Población Sí compra</t>
  </si>
  <si>
    <t>Datos Encuesta</t>
  </si>
  <si>
    <t>Proyección Personas</t>
  </si>
  <si>
    <t>Proyección Mes</t>
  </si>
  <si>
    <t>Proyección Año</t>
  </si>
  <si>
    <t>APP</t>
  </si>
  <si>
    <t>AÑO</t>
  </si>
  <si>
    <t>Poblacion Mayor a 65 años</t>
  </si>
  <si>
    <t>CRECIMIENTO</t>
  </si>
  <si>
    <t>Esta es la pryeccion de suscripciones,  no es igual al numero de usuarios, sino la cantidad de veces que el usuario pago en el año</t>
  </si>
  <si>
    <t>Proyección de Suscripciones</t>
  </si>
  <si>
    <t xml:space="preserve">Variaciones Porcentuales </t>
  </si>
  <si>
    <t>Marca</t>
  </si>
  <si>
    <t>Año de inicio</t>
  </si>
  <si>
    <t>Instalaciones año inicial</t>
  </si>
  <si>
    <t>Instalaciones 2024</t>
  </si>
  <si>
    <t>Tasa de crecimiento anual compuesta</t>
  </si>
  <si>
    <t>Formula de la tasas de crecimeinto anual compuesta:</t>
  </si>
  <si>
    <t>Thera-Trainer</t>
  </si>
  <si>
    <t>One Step</t>
  </si>
  <si>
    <t xml:space="preserve">Condiciones de mercado </t>
  </si>
  <si>
    <t>Costos de desarrollo tecnologico</t>
  </si>
  <si>
    <t>Precio de venta del producto (suscripción mensual)</t>
  </si>
  <si>
    <t>Capacidad servidores</t>
  </si>
  <si>
    <t xml:space="preserve">Precio de materiales e insumos </t>
  </si>
  <si>
    <t>Servidores</t>
  </si>
  <si>
    <r>
      <rPr>
        <sz val="12"/>
        <color rgb="FF000000"/>
        <rFont val="Arial"/>
        <family val="2"/>
      </rPr>
      <t>•</t>
    </r>
    <r>
      <rPr>
        <sz val="12"/>
        <color rgb="FF000000"/>
        <rFont val="Calibri"/>
        <family val="2"/>
        <scheme val="minor"/>
      </rPr>
      <t xml:space="preserve">  Políticas de crédito </t>
    </r>
  </si>
  <si>
    <t xml:space="preserve">Inversion en activos fijos </t>
  </si>
  <si>
    <t>Infraestructira digital</t>
  </si>
  <si>
    <t>Equipod de oficina</t>
  </si>
  <si>
    <t xml:space="preserve">capacidad de produccion </t>
  </si>
  <si>
    <t>capacidad de produccion maxima</t>
  </si>
  <si>
    <t xml:space="preserve">capacidad de produccion minima </t>
  </si>
  <si>
    <t xml:space="preserve">punto de equilibrio </t>
  </si>
  <si>
    <t xml:space="preserve">Costos y gastos </t>
  </si>
  <si>
    <t>Registro de marca en la SIC.</t>
  </si>
  <si>
    <t>Certificaciones de seguridad de datos (ISO, Habeas Data).</t>
  </si>
  <si>
    <t>INVIMA podría aplicar si se relaciona con salud digital.</t>
  </si>
  <si>
    <r>
      <rPr>
        <b/>
        <sz val="11"/>
        <color rgb="FF000000"/>
        <rFont val="Calibri"/>
        <family val="2"/>
        <scheme val="minor"/>
      </rPr>
      <t>Trámites legales</t>
    </r>
    <r>
      <rPr>
        <b/>
        <sz val="13.5"/>
        <color rgb="FF000000"/>
        <rFont val="-Webkit-Standard"/>
      </rPr>
      <t>: constitución de la empresa (SAS).</t>
    </r>
  </si>
  <si>
    <t xml:space="preserve">Estructura organizacional </t>
  </si>
  <si>
    <t>cargos: CEO, desarrolladores, diseñador UX/UI, especialista en marketing digital, servicio al cliente.</t>
  </si>
  <si>
    <t xml:space="preserve">salarios </t>
  </si>
  <si>
    <t>prestaciones sociales</t>
  </si>
  <si>
    <t xml:space="preserve">seguridad social </t>
  </si>
  <si>
    <t xml:space="preserve">Gastos de constitucion </t>
  </si>
  <si>
    <t>Certificado de Homonimia</t>
  </si>
  <si>
    <t>Escritura Pública</t>
  </si>
  <si>
    <t>RUT y/o NIT</t>
  </si>
  <si>
    <t>Registro Mercantil</t>
  </si>
  <si>
    <t>Licencia Sanitaria</t>
  </si>
  <si>
    <t>Licencia de Bomberos</t>
  </si>
  <si>
    <t>Licencia Ambiental</t>
  </si>
  <si>
    <t>Licencia de Funcionamiento</t>
  </si>
  <si>
    <t>Permiso de Uso del Suelo</t>
  </si>
  <si>
    <t>Registro INVIMA</t>
  </si>
  <si>
    <t>Permiso ICA</t>
  </si>
  <si>
    <t>Registro de software en Dirección Nacional de Derechos de Autor.</t>
  </si>
  <si>
    <t>Protección de datos (Habeas Data – Ley 1581/2012).</t>
  </si>
  <si>
    <t xml:space="preserve">Gastos fase de operación </t>
  </si>
  <si>
    <t>Impuesto de Industria y Comercio</t>
  </si>
  <si>
    <t>Impuesto de Avisos y tableros</t>
  </si>
  <si>
    <t>Licencias de Importación o Exportación INCOMEX</t>
  </si>
  <si>
    <t>Aranceles de Entrada o Salida</t>
  </si>
  <si>
    <t>Impuesto de Valor Agregado –IVA-</t>
  </si>
  <si>
    <t>Seguridad Social</t>
  </si>
  <si>
    <t>Parafiscales</t>
  </si>
  <si>
    <t xml:space="preserve">Prestaciones Sociales </t>
  </si>
  <si>
    <t>Otros</t>
  </si>
  <si>
    <t xml:space="preserve">TOTAL INVERSION INICIAL </t>
  </si>
  <si>
    <t>CAPITAL DE TRABAJO NETO OPERATIVO KTNO</t>
  </si>
  <si>
    <t>indica  la necesidad de dinero de una empresa para poder cumplir con sus operaciones</t>
  </si>
  <si>
    <t xml:space="preserve">ESTUDIO TÉCNICO </t>
  </si>
  <si>
    <t>FORMATO DE EVALUACIÓN TÉCNICA</t>
  </si>
  <si>
    <t>ITEM</t>
  </si>
  <si>
    <t xml:space="preserve">Características técnicas a evaluar </t>
  </si>
  <si>
    <t>¿Cuáles son las nuevas tecnologías necesarias para el desarrollo, la implementación y las operaciones del nuevo producto o proyecto?</t>
  </si>
  <si>
    <t>Combinación y formulación de materias primas para el cumplimiento de las especificaciones</t>
  </si>
  <si>
    <t>¿Se cuenta con todo el conocimiento necesario  el para el desarrollo, la implementación y las operaciones del nuevo producto o proyecto?</t>
  </si>
  <si>
    <t>¿Qué conocimientos no se poseen, y es factible desarrollarlos o adquirirlos durante la ejecucción y puesta en marcha del proyecto?, incluir los conocimientos que deben ser desarrollados por el personal.</t>
  </si>
  <si>
    <t>Estabilidad de productos y adherencia para productos que cumplan bajos ciclos de horneo</t>
  </si>
  <si>
    <t>¿Se cuenta con todas las herramientas necesarias el para el desarrollo, la implementación y las operaciones del nuevo producto o proyecto?</t>
  </si>
  <si>
    <t>Si</t>
  </si>
  <si>
    <t>¿Qué herramientas hacen falta, y es factible económicamente conseguirlas?, o que nuevos dispositivos deben ser desarrolados</t>
  </si>
  <si>
    <t>N/A</t>
  </si>
  <si>
    <t>¿Se cuenta con todas las habilidades necesarias para el desarrollo, la implementación y las operaciones del nuevo producto o proyecto?</t>
  </si>
  <si>
    <t>¿Qué habilidades no se poseen, y es factible económicamente desarrolladas?</t>
  </si>
  <si>
    <t>¿Con que experiencia se cuenta en las tecnologías necesarias para el desarrollo y puesta en marcha del nuevo desarrollo?</t>
  </si>
  <si>
    <t>La compañía produce productos similares, adecuando la tecnología de acuerdo a las materias primas disponibles desde hace 30 años</t>
  </si>
  <si>
    <t>¿La reglamentación que limitantes técnicos aporta?, Estamos en capadidad de realizar el desarrollo cumpliendo con las reglamentacones existentes?</t>
  </si>
  <si>
    <t>La reglamentación es la misma que se tiene para los productos que se entregan actualmente y que serán reemplazados por esta nueva técnologia</t>
  </si>
  <si>
    <t>¿Cuáles son las innovaciones en producto y procesos que serán desarroladas con el proyecto?</t>
  </si>
  <si>
    <t>Capacidad de cumpliento de especificaciones a bajas condiciones de horneo</t>
  </si>
  <si>
    <t>¿Hay patentes que limitan el producto a desarrollar?, ¿Qué limitantes, imponen las patentes existentes?, es factible que el producto a desarrollar evite las limitaciones impuestas por las patentes?</t>
  </si>
  <si>
    <t>no</t>
  </si>
  <si>
    <t>¿Cuánto tiempo es necesario para la puesta en marcha del proyecto, teniendo en cuenta del desarrollo de las nuevas capacidades, tecnológicas y humanas?</t>
  </si>
  <si>
    <t>6 meses</t>
  </si>
  <si>
    <t>¿Se cuentan con los proveedores necesarios para el abastecimiento de los nuevos componentes?, es necesario desarrollar nuevos proveedores?, es factible técnicamente el desarrollo de los nuevos proveedores?</t>
  </si>
  <si>
    <t>si</t>
  </si>
  <si>
    <t>¿Se cuenta con el software necesario para el desarrollo?, Cuál es el costo del software faltante?, el licenciamiento y soporte son adecuados?</t>
  </si>
  <si>
    <t>¿Cuáles son los impactos esperados del proyecto sobre la competitiva de la empresa?</t>
  </si>
  <si>
    <t>Estos productos representan el 10% de las ventas de la compañía</t>
  </si>
  <si>
    <t>¿Cuál es el impacto medio ambiental del proyecto?, ¿Tienen en cuenta reducción de materiales contaminantes?</t>
  </si>
  <si>
    <t>Los productos deben cumplir con la reglamentación de materias primas provistas por el cliente y su casa matriz</t>
  </si>
  <si>
    <t>CRITERIO</t>
  </si>
  <si>
    <t>PESO /100</t>
  </si>
  <si>
    <t>ALTERNATIVA 1</t>
  </si>
  <si>
    <t>ALTERNATIVA 2</t>
  </si>
  <si>
    <t>CALIFICACIÓN</t>
  </si>
  <si>
    <t>PONDERACIÓN</t>
  </si>
  <si>
    <t>/5</t>
  </si>
  <si>
    <t>CLIENTES</t>
  </si>
  <si>
    <t>COSTOS</t>
  </si>
  <si>
    <t>IMPUESTOS</t>
  </si>
  <si>
    <t xml:space="preserve">PERSONEL DISPONIBLE </t>
  </si>
  <si>
    <t>ABASTECIMIENTO</t>
  </si>
  <si>
    <t>TOTALES</t>
  </si>
  <si>
    <t>SUMA=100%</t>
  </si>
  <si>
    <t>SUMA</t>
  </si>
  <si>
    <t>FLUJO GRAMA DEL PROCESO</t>
  </si>
  <si>
    <t xml:space="preserve">PROCESO </t>
  </si>
  <si>
    <t xml:space="preserve">ACTIVIDAD DEL PROCESO </t>
  </si>
  <si>
    <t xml:space="preserve">DESCRIPCION </t>
  </si>
  <si>
    <t>MAQUINARIA</t>
  </si>
  <si>
    <t>CANTIDAD</t>
  </si>
  <si>
    <t xml:space="preserve">VALOR </t>
  </si>
  <si>
    <t xml:space="preserve">VALOR TOTAL </t>
  </si>
  <si>
    <t>EQUIPOS</t>
  </si>
  <si>
    <t xml:space="preserve">CANTIDAD </t>
  </si>
  <si>
    <t xml:space="preserve">MUEBLES Y ENSERES </t>
  </si>
  <si>
    <t xml:space="preserve">MATERIALES E INSUMOS </t>
  </si>
  <si>
    <t xml:space="preserve">PERSONAL </t>
  </si>
  <si>
    <t xml:space="preserve">SALARIO </t>
  </si>
  <si>
    <t xml:space="preserve">PERMISOS -LICENCIAS </t>
  </si>
  <si>
    <t>Horno Rotatorio Panadería</t>
  </si>
  <si>
    <t xml:space="preserve">mesa </t>
  </si>
  <si>
    <t xml:space="preserve">Papel </t>
  </si>
  <si>
    <t>OPERAC</t>
  </si>
  <si>
    <t>Batidoras Industriales</t>
  </si>
  <si>
    <t>Balanza</t>
  </si>
  <si>
    <t>Tajadora de pan</t>
  </si>
  <si>
    <t>Cortadora divisora de masa</t>
  </si>
  <si>
    <t>Amasadora</t>
  </si>
  <si>
    <t>Enfriador</t>
  </si>
  <si>
    <t>Carros escabiladeros</t>
  </si>
  <si>
    <t>Mesas (Proceso Productivo)</t>
  </si>
  <si>
    <t>Moldes, recipientes y utensilios</t>
  </si>
  <si>
    <t>Vitrinas Panadería y Pastelería</t>
  </si>
  <si>
    <t>Caja Registradora</t>
  </si>
  <si>
    <t>Computadores</t>
  </si>
  <si>
    <t>Escritorios</t>
  </si>
  <si>
    <t xml:space="preserve">Sillas </t>
  </si>
  <si>
    <t xml:space="preserve">TOTAL </t>
  </si>
  <si>
    <t>Sillas Gerenciales</t>
  </si>
  <si>
    <t xml:space="preserve">CAPACIDAD MAXIMA PRODUCCION / PRESTACIÓN DEL SERVICIO </t>
  </si>
  <si>
    <t xml:space="preserve">PROYECCION DEMANDA </t>
  </si>
  <si>
    <t>DESFASE</t>
  </si>
  <si>
    <t xml:space="preserve">MAXIMO PRODUCCION / PRESTACION SERVICIO </t>
  </si>
  <si>
    <t>DIA</t>
  </si>
  <si>
    <t xml:space="preserve">SEMANA </t>
  </si>
  <si>
    <t xml:space="preserve">MES </t>
  </si>
  <si>
    <t xml:space="preserve">AÑO </t>
  </si>
  <si>
    <t xml:space="preserve">MAQUINARIA </t>
  </si>
  <si>
    <t>Activos / Recursos Digitales</t>
  </si>
  <si>
    <t>Precio Unitario [2025]</t>
  </si>
  <si>
    <t>VALOR TOTAL</t>
  </si>
  <si>
    <t>Desarrollo inicial de APP (versión básica con login, catálogo de productos y carrito de compras)</t>
  </si>
  <si>
    <t>Servidor Cloud / Hosting por 12 meses</t>
  </si>
  <si>
    <t>Software (licencias básicas: CRM, contabilidad, diseño)</t>
  </si>
  <si>
    <t>Pasarela de pagos (integración)</t>
  </si>
  <si>
    <t>Diseño de interfaz (branding, UX básico)</t>
  </si>
  <si>
    <t>Mantenimiento y soporte (primer año)</t>
  </si>
  <si>
    <t>Marketing digital inicial (lanzamiento y prueba de mercado)</t>
  </si>
  <si>
    <t>Dispositivos de prueba (celulares/tabletas para testeo)</t>
  </si>
  <si>
    <t>Computadores de desarrollo (ingenieros, diseño, IA)</t>
  </si>
  <si>
    <t>Laptops administrativas / comerciales</t>
  </si>
  <si>
    <t>Escritorios operativos</t>
  </si>
  <si>
    <t>Sillas ergonómicas</t>
  </si>
  <si>
    <t>Router y red local</t>
  </si>
  <si>
    <t>Pantallas para monitoreo de alertas</t>
  </si>
  <si>
    <t>Tablets para validación con usuarios / EPS</t>
  </si>
  <si>
    <t>Total Activos</t>
  </si>
  <si>
    <t xml:space="preserve">INVERSIONES Y COSTOS CONTABLES </t>
  </si>
  <si>
    <t>Item</t>
  </si>
  <si>
    <t>Cantidades</t>
  </si>
  <si>
    <t>Año 0</t>
  </si>
  <si>
    <t>Costos contables</t>
  </si>
  <si>
    <t>CANTIDADES</t>
  </si>
  <si>
    <t>VALOR DE COMPRA</t>
  </si>
  <si>
    <t xml:space="preserve">TIEMPO DEPRECIACION </t>
  </si>
  <si>
    <t>Año 1</t>
  </si>
  <si>
    <t>Año 2</t>
  </si>
  <si>
    <t>Año 3</t>
  </si>
  <si>
    <t>Año 4</t>
  </si>
  <si>
    <t>Año 5</t>
  </si>
  <si>
    <t>DEPRECIACION ACUMULADA
Sumatoria de los años de uso</t>
  </si>
  <si>
    <t>Valor en libros al final del año 5
Valor de compra (-) Depreciación acumulada</t>
  </si>
  <si>
    <t xml:space="preserve">Valor de venta del activo </t>
  </si>
  <si>
    <t>Ganancia/Pérdida en Venta de activos fijos</t>
  </si>
  <si>
    <t>Valor en libros</t>
  </si>
  <si>
    <r>
      <rPr>
        <b/>
        <sz val="11"/>
        <color theme="1"/>
        <rFont val="Calibri"/>
        <family val="2"/>
        <scheme val="minor"/>
      </rPr>
      <t>DEPRECIACION =</t>
    </r>
    <r>
      <rPr>
        <sz val="11"/>
        <color theme="1"/>
        <rFont val="Calibri"/>
        <family val="2"/>
        <scheme val="minor"/>
      </rPr>
      <t xml:space="preserve"> (VALOR  DEL ACTIVO -VALOR SALVAMENTO)/NRO AÑOS A DEPRECIAR </t>
    </r>
  </si>
  <si>
    <r>
      <rPr>
        <b/>
        <sz val="11"/>
        <color theme="1"/>
        <rFont val="Calibri"/>
        <family val="2"/>
        <scheme val="minor"/>
      </rPr>
      <t xml:space="preserve">DEPRECIACION ACUMULADA= </t>
    </r>
    <r>
      <rPr>
        <sz val="11"/>
        <color theme="1"/>
        <rFont val="Calibri"/>
        <family val="2"/>
        <scheme val="minor"/>
      </rPr>
      <t>VALOR DEPRECIACION DEL AÑO ACTUAL + DEPRECIACION ACUMULADA AÑO ANTERIOR</t>
    </r>
  </si>
  <si>
    <r>
      <rPr>
        <b/>
        <sz val="11"/>
        <color theme="1"/>
        <rFont val="Calibri"/>
        <family val="2"/>
        <scheme val="minor"/>
      </rPr>
      <t>VALOR LIBROS=</t>
    </r>
    <r>
      <rPr>
        <sz val="11"/>
        <color theme="1"/>
        <rFont val="Calibri"/>
        <family val="2"/>
        <scheme val="minor"/>
      </rPr>
      <t xml:space="preserve"> VALOR DEL ACTIVO _ DEPRECIACION ACUMULADA </t>
    </r>
  </si>
  <si>
    <r>
      <rPr>
        <b/>
        <sz val="11"/>
        <color theme="1"/>
        <rFont val="Calibri"/>
        <family val="2"/>
        <scheme val="minor"/>
      </rPr>
      <t xml:space="preserve">GANACIA O PERDIDA </t>
    </r>
    <r>
      <rPr>
        <sz val="11"/>
        <color theme="1"/>
        <rFont val="Calibri"/>
        <family val="2"/>
        <scheme val="minor"/>
      </rPr>
      <t xml:space="preserve">= VALOR EN LIBROS - VALOR VENTA </t>
    </r>
  </si>
  <si>
    <t>ESTUDIO TECNICO-ESTUDIO DE COSTOS</t>
  </si>
  <si>
    <t>Costos Variables</t>
  </si>
  <si>
    <t>Equilibrio+</t>
  </si>
  <si>
    <r>
      <t>Materia Prima</t>
    </r>
    <r>
      <rPr>
        <sz val="9"/>
        <color theme="0"/>
        <rFont val="MS Reference Sans Serif"/>
        <family val="2"/>
      </rPr>
      <t xml:space="preserve"> </t>
    </r>
    <r>
      <rPr>
        <b/>
        <sz val="9"/>
        <color theme="0"/>
        <rFont val="MS Reference Sans Serif"/>
        <family val="2"/>
      </rPr>
      <t>(Costo DIRECTO)</t>
    </r>
  </si>
  <si>
    <t>Requerimiento</t>
  </si>
  <si>
    <t>Costo 2025</t>
  </si>
  <si>
    <t>Pasarela de pagos</t>
  </si>
  <si>
    <t>configuracion + integracion (comisión por pago)</t>
  </si>
  <si>
    <r>
      <t>Materia Prima</t>
    </r>
    <r>
      <rPr>
        <b/>
        <sz val="9"/>
        <color rgb="FFFF0000"/>
        <rFont val="MS Reference Sans Serif"/>
        <family val="2"/>
      </rPr>
      <t xml:space="preserve"> (Costo Indirecto)</t>
    </r>
  </si>
  <si>
    <t>Licencia App Store / Google Play</t>
  </si>
  <si>
    <t>Anual (prorrateado mensual)</t>
  </si>
  <si>
    <t>Marketing digital inicial</t>
  </si>
  <si>
    <t>Campana minima redes sociales</t>
  </si>
  <si>
    <t>Soporte tecnico (horas freelance)</t>
  </si>
  <si>
    <t>20 hrs mes</t>
  </si>
  <si>
    <t xml:space="preserve">COSTO VARIABLE UNITARIO </t>
  </si>
  <si>
    <t>Costos Laborales de produccion ( desarrollo + soporte tecnico)</t>
  </si>
  <si>
    <t>proyeccion suscripciones</t>
  </si>
  <si>
    <t>Empleado</t>
  </si>
  <si>
    <t># Empleados</t>
  </si>
  <si>
    <t>Salario Mensual 2024</t>
  </si>
  <si>
    <t xml:space="preserve">Carga prestacional </t>
  </si>
  <si>
    <t>Salario Mensual con Factor Prestacional 2025</t>
  </si>
  <si>
    <t>Costo ANUAL Nómina 2025</t>
  </si>
  <si>
    <t xml:space="preserve">Observacion </t>
  </si>
  <si>
    <t>Jefe de tecnologia (CTO)</t>
  </si>
  <si>
    <t>Desarrollador Full-Stack</t>
  </si>
  <si>
    <t>Disenyador UX/UI</t>
  </si>
  <si>
    <t>Soporte tecnico</t>
  </si>
  <si>
    <t xml:space="preserve">TOTAL COSTO MANO DE OBRA PRODUCCION </t>
  </si>
  <si>
    <t xml:space="preserve">Gastos Laborales administracion </t>
  </si>
  <si>
    <t>Gerente General</t>
  </si>
  <si>
    <t>Coordinador de Marketing</t>
  </si>
  <si>
    <t>Community Manager</t>
  </si>
  <si>
    <t>Contador</t>
  </si>
  <si>
    <t>Personal de Aseo Administrativo</t>
  </si>
  <si>
    <t xml:space="preserve">TOTAL GASTOS LABORALES ADMINISTRATIVO </t>
  </si>
  <si>
    <t xml:space="preserve">GASTOS DE OPERACION FIJOS ANUALES </t>
  </si>
  <si>
    <t>Rubro</t>
  </si>
  <si>
    <t>Periodicidad</t>
  </si>
  <si>
    <t>Periodicidad/Año</t>
  </si>
  <si>
    <t>Costo POR PERIODO 2025</t>
  </si>
  <si>
    <t>Costo ANUAL 2025</t>
  </si>
  <si>
    <t xml:space="preserve">PERIODICIDAD </t>
  </si>
  <si>
    <t>Arrendamiento</t>
  </si>
  <si>
    <t>CFT</t>
  </si>
  <si>
    <t xml:space="preserve">Servicios Públicos </t>
  </si>
  <si>
    <t>Hosting y servidores cloud (AWS)</t>
  </si>
  <si>
    <t>Trimestral</t>
  </si>
  <si>
    <t>Mantenimiento Equipos (laptops, tablets)</t>
  </si>
  <si>
    <t>Plan software administrativo (CRM, Contabilidad, gestion de usuarios)</t>
  </si>
  <si>
    <t>Seguros</t>
  </si>
  <si>
    <t>Anual</t>
  </si>
  <si>
    <t>TOTAL GASTOS DE OPERACIÓN FIJOS</t>
  </si>
  <si>
    <t xml:space="preserve">Costo de Producción-Costo variable </t>
  </si>
  <si>
    <t>Equilibrado+</t>
  </si>
  <si>
    <t>Materia prima directa (MD)</t>
  </si>
  <si>
    <t>costos indiractod de fabricacion CIF</t>
  </si>
  <si>
    <t xml:space="preserve">Mano de obra Directa (MOD) </t>
  </si>
  <si>
    <t xml:space="preserve">TOTAL COSTOS DE PRODUCCION O PRESTACION DEL SERVICIO </t>
  </si>
  <si>
    <t xml:space="preserve">Gastos de operación </t>
  </si>
  <si>
    <t>Gastos de operación anuales totales</t>
  </si>
  <si>
    <t>ventas totales</t>
  </si>
  <si>
    <t>Proyeccion de ventas</t>
  </si>
  <si>
    <t xml:space="preserve">unidades total a vender </t>
  </si>
  <si>
    <t>participacion ventas</t>
  </si>
  <si>
    <t>Gastos operacionales Me totales</t>
  </si>
  <si>
    <t>Gastos operacionales Me Unitarios</t>
  </si>
  <si>
    <t xml:space="preserve">Calculo del precio venta </t>
  </si>
  <si>
    <t>Precio</t>
  </si>
  <si>
    <t>* Margen operativo porque en el costo unitario se incluyeron todos los costos y gastos del proyecto</t>
  </si>
  <si>
    <t>CVU</t>
  </si>
  <si>
    <t>Costos totales Medio</t>
  </si>
  <si>
    <t xml:space="preserve">Margen de utilidad requerida </t>
  </si>
  <si>
    <t>PVP Año 1</t>
  </si>
  <si>
    <t>Punto de equilibrio</t>
  </si>
  <si>
    <t>UNIDADES VENTA PROYECTADA</t>
  </si>
  <si>
    <t>participacion en la venta</t>
  </si>
  <si>
    <t xml:space="preserve">gato totale total </t>
  </si>
  <si>
    <t xml:space="preserve">Depreciacion Anual </t>
  </si>
  <si>
    <t>Costos totales</t>
  </si>
  <si>
    <t>Depreciación</t>
  </si>
  <si>
    <t>PVP</t>
  </si>
  <si>
    <t>Q*</t>
  </si>
  <si>
    <t>PROYECCION VENTAS</t>
  </si>
  <si>
    <t xml:space="preserve">DIFERENCIA </t>
  </si>
  <si>
    <t>PRUEBA</t>
  </si>
  <si>
    <t xml:space="preserve">INGRESOS </t>
  </si>
  <si>
    <t>COSTOS DE PRODUC</t>
  </si>
  <si>
    <t>UTILIDAD BRUTA</t>
  </si>
  <si>
    <t xml:space="preserve">COSTOS FIJOS </t>
  </si>
  <si>
    <t xml:space="preserve">DEPRECIACION </t>
  </si>
  <si>
    <t xml:space="preserve">UTILIDAD OPERACIONAL </t>
  </si>
  <si>
    <r>
      <t xml:space="preserve">Punto de Equilibrio: </t>
    </r>
    <r>
      <rPr>
        <sz val="14"/>
        <color theme="0"/>
        <rFont val="MS Reference Sans Serif"/>
        <family val="2"/>
      </rPr>
      <t>Año 1</t>
    </r>
  </si>
  <si>
    <t>Ajuste por inflacion</t>
  </si>
  <si>
    <t>% Participación</t>
  </si>
  <si>
    <t>Costos Fijos</t>
  </si>
  <si>
    <t>Depreciación y amortización</t>
  </si>
  <si>
    <t>Costo Variable UNITARIO</t>
  </si>
  <si>
    <t>Precio UNITARIO</t>
  </si>
  <si>
    <t>Punto de Equilibrio</t>
  </si>
  <si>
    <t>Cantidades Demandadas</t>
  </si>
  <si>
    <t>EMPLEADOR</t>
  </si>
  <si>
    <t>EMPLEADO</t>
  </si>
  <si>
    <t xml:space="preserve">Seguridad social </t>
  </si>
  <si>
    <t xml:space="preserve">Parafiscales </t>
  </si>
  <si>
    <t xml:space="preserve">Prestaciones sociales </t>
  </si>
  <si>
    <t>CARGO</t>
  </si>
  <si>
    <t>SALARIO</t>
  </si>
  <si>
    <t>AUXILIO TRANSPORTE</t>
  </si>
  <si>
    <t>APORTE SALUD</t>
  </si>
  <si>
    <t>APORTE PENSIÓN</t>
  </si>
  <si>
    <t>ARL</t>
  </si>
  <si>
    <t>SENA*</t>
  </si>
  <si>
    <t>ICBF*</t>
  </si>
  <si>
    <t>Caja Compensación Familiar</t>
  </si>
  <si>
    <t>Cesantías</t>
  </si>
  <si>
    <t>Intereses a las Cesantías</t>
  </si>
  <si>
    <t>Prima de Servicios</t>
  </si>
  <si>
    <t>Vacaciones</t>
  </si>
  <si>
    <t>FONDO SOLIDARIDAD</t>
  </si>
  <si>
    <t xml:space="preserve">TOTAL DEDUCCIONES </t>
  </si>
  <si>
    <t xml:space="preserve">TOTAL DEVENGADO </t>
  </si>
  <si>
    <t xml:space="preserve">SALARIOS </t>
  </si>
  <si>
    <t>AUXILIO DE TRANSPORTE</t>
  </si>
  <si>
    <t xml:space="preserve">CARGA PRESTACIONAL EMPRESA </t>
  </si>
  <si>
    <t>nomina administrativs</t>
  </si>
  <si>
    <t xml:space="preserve">ANUAL </t>
  </si>
  <si>
    <t xml:space="preserve">nomina anual </t>
  </si>
  <si>
    <t xml:space="preserve">CALCULO DE NOMINA INDIVIDUAL </t>
  </si>
  <si>
    <t>IV</t>
  </si>
  <si>
    <t>Alto</t>
  </si>
  <si>
    <t>V</t>
  </si>
  <si>
    <t>Máximo</t>
  </si>
  <si>
    <t>EMPRESA</t>
  </si>
  <si>
    <t xml:space="preserve">Calcule sus obligaciones con el trabajador y conozca cuánto le cuesta el empleado al proyecto </t>
  </si>
  <si>
    <t>Conozca el valor de las obligaciones de sus trabajadores y cuánto consignarles mensualmente.</t>
  </si>
  <si>
    <t>COMPAÑÍA</t>
  </si>
  <si>
    <t>Porcentajes</t>
  </si>
  <si>
    <t>Salario laboral</t>
  </si>
  <si>
    <t>Auxilio de transporte</t>
  </si>
  <si>
    <t>Básico</t>
  </si>
  <si>
    <t>intengral</t>
  </si>
  <si>
    <t>Carga prestacional</t>
  </si>
  <si>
    <t>Deducciones</t>
  </si>
  <si>
    <t>seguridad social</t>
  </si>
  <si>
    <t>Aporte en salud</t>
  </si>
  <si>
    <t>Salud(EPS)</t>
  </si>
  <si>
    <t>Aporte en pensión</t>
  </si>
  <si>
    <t>Pensiones</t>
  </si>
  <si>
    <t xml:space="preserve">Fondo de solidaridad pensional </t>
  </si>
  <si>
    <t>Caja  compensacin</t>
  </si>
  <si>
    <t>ICBF</t>
  </si>
  <si>
    <t>TOTAL DEDUCCIONES</t>
  </si>
  <si>
    <t>SENA</t>
  </si>
  <si>
    <t>Cesantias</t>
  </si>
  <si>
    <t>Intereses cesantias</t>
  </si>
  <si>
    <t>Retención en la Fuente "Estimado"</t>
  </si>
  <si>
    <t>Prima Legal</t>
  </si>
  <si>
    <t xml:space="preserve">COSTO MENSUAL CARGA PRESTACIONAL </t>
  </si>
  <si>
    <t>TOTAL DEVENGADO EMPLEADO</t>
  </si>
  <si>
    <t>AUXILIO DE TRANSPORTE COLABORADORES 2SMLV</t>
  </si>
  <si>
    <t>VALOR TOTAL PAGADO EMPLEADOR</t>
  </si>
  <si>
    <t>SALARIO MES JUNIO</t>
  </si>
  <si>
    <t>Dotación Legal (Opcional)</t>
  </si>
  <si>
    <t>SALARIO ANUAL "Estimado"</t>
  </si>
  <si>
    <t>TOTAL CARGA PRESTACIONAL</t>
  </si>
  <si>
    <r>
      <t>Por medio de los decretos </t>
    </r>
    <r>
      <rPr>
        <b/>
        <sz val="11"/>
        <color rgb="FF333333"/>
        <rFont val="Calibri"/>
        <family val="2"/>
        <scheme val="minor"/>
      </rPr>
      <t>2360*</t>
    </r>
    <r>
      <rPr>
        <sz val="11"/>
        <color rgb="FF333333"/>
        <rFont val="Calibri"/>
        <family val="2"/>
        <scheme val="minor"/>
      </rPr>
      <t> y  </t>
    </r>
    <r>
      <rPr>
        <b/>
        <sz val="11"/>
        <color rgb="FF333333"/>
        <rFont val="Calibri"/>
        <family val="2"/>
        <scheme val="minor"/>
      </rPr>
      <t>2361**</t>
    </r>
    <r>
      <rPr>
        <sz val="11"/>
        <color rgb="FF333333"/>
        <rFont val="Calibri"/>
        <family val="2"/>
        <scheme val="minor"/>
      </rPr>
      <t> del 26 de Diciembre de 2019, el Gobierno Nacional estableció el salario mínimo y el auxilio de transporte para el año 2020. </t>
    </r>
  </si>
  <si>
    <t>1UVT</t>
  </si>
  <si>
    <t>De esta forma el salario mínimo que rige a partir del 1° de enero de 2020 es de $877.803 y el auxilio de transporte de $102.854.</t>
  </si>
  <si>
    <t>UVT</t>
  </si>
  <si>
    <t>SUBSISTENCIA</t>
  </si>
  <si>
    <t xml:space="preserve">FONDO DE SOLIDARIDAD PENSIONAL </t>
  </si>
  <si>
    <t>SMLV</t>
  </si>
  <si>
    <t>PESOS</t>
  </si>
  <si>
    <t>FACTOR</t>
  </si>
  <si>
    <t>SOLIDARIDAD</t>
  </si>
  <si>
    <t xml:space="preserve">ESTUDIO AMBIENTAL </t>
  </si>
  <si>
    <t>MATRIZ DE VALORACIÓN DE IMPACTOS AMBIENTALES</t>
  </si>
  <si>
    <t xml:space="preserve">ACTIVIDAD(ES)  DEL PROYECTO
(Tener presente el proceso realizado en el estudio técnico) </t>
  </si>
  <si>
    <r>
      <rPr>
        <b/>
        <sz val="10"/>
        <color rgb="FF000000"/>
        <rFont val="Calibri"/>
        <family val="2"/>
      </rPr>
      <t xml:space="preserve">ASPECTO  AMBIENTAL
</t>
    </r>
    <r>
      <rPr>
        <sz val="10"/>
        <color rgb="FF000000"/>
        <rFont val="Calibri"/>
        <family val="2"/>
      </rPr>
      <t xml:space="preserve">
Acciones que pueden causar el impacto ambiental </t>
    </r>
  </si>
  <si>
    <r>
      <rPr>
        <b/>
        <sz val="10"/>
        <color rgb="FF000000"/>
        <rFont val="Calibri"/>
        <family val="2"/>
      </rPr>
      <t>TIPO IMPACTO  AMBIENTAL</t>
    </r>
    <r>
      <rPr>
        <sz val="10"/>
        <color rgb="FF000000"/>
        <rFont val="Calibri"/>
        <family val="2"/>
      </rPr>
      <t xml:space="preserve">
Cambios en el medio ambiente</t>
    </r>
  </si>
  <si>
    <t xml:space="preserve">COMPONENTE AMBIENTAL </t>
  </si>
  <si>
    <t xml:space="preserve">EFECTO IMPACTO AMBIENTAL </t>
  </si>
  <si>
    <t>Características físicas y químicas</t>
  </si>
  <si>
    <t xml:space="preserve">Condiciones biologicas </t>
  </si>
  <si>
    <t>Factores culturales</t>
  </si>
  <si>
    <t>Relaciones ecológicas</t>
  </si>
  <si>
    <t>Socioeconómico</t>
  </si>
  <si>
    <t>Efecto</t>
  </si>
  <si>
    <t xml:space="preserve">temporales </t>
  </si>
  <si>
    <t>Persistencia</t>
  </si>
  <si>
    <t xml:space="preserve">Irreversibles </t>
  </si>
  <si>
    <t>Reversibilidad</t>
  </si>
  <si>
    <t>Tipo</t>
  </si>
  <si>
    <t xml:space="preserve">Variable </t>
  </si>
  <si>
    <r>
      <rPr>
        <b/>
        <sz val="10"/>
        <color theme="1"/>
        <rFont val="Calibri"/>
        <family val="2"/>
        <scheme val="minor"/>
      </rPr>
      <t>Temporales:</t>
    </r>
    <r>
      <rPr>
        <sz val="10"/>
        <color theme="1"/>
        <rFont val="Calibri"/>
        <family val="2"/>
        <scheme val="minor"/>
      </rPr>
      <t xml:space="preserve"> se trata de un impacto a corto plazo y por tanto el medio puede recupera el estado anterior al impacto.</t>
    </r>
  </si>
  <si>
    <r>
      <rPr>
        <b/>
        <sz val="10"/>
        <color theme="1"/>
        <rFont val="Calibri"/>
        <family val="2"/>
        <scheme val="minor"/>
      </rPr>
      <t>Persistentes:</t>
    </r>
    <r>
      <rPr>
        <sz val="10"/>
        <color theme="1"/>
        <rFont val="Calibri"/>
        <family val="2"/>
        <scheme val="minor"/>
      </rPr>
      <t xml:space="preserve"> se trata de un impacto a largo plazo con efectos duraderos en el tiempo y en el espacio.</t>
    </r>
  </si>
  <si>
    <t>Cualquier cambio en el medio ambiente, ya sea adverso o beneficioso, como
resultado total o parcial de los aspectos ambientales.</t>
  </si>
  <si>
    <r>
      <rPr>
        <b/>
        <sz val="10"/>
        <color theme="1"/>
        <rFont val="Calibri"/>
        <family val="2"/>
        <scheme val="minor"/>
      </rPr>
      <t>Irreversibles:</t>
    </r>
    <r>
      <rPr>
        <sz val="10"/>
        <color theme="1"/>
        <rFont val="Calibri"/>
        <family val="2"/>
        <scheme val="minor"/>
      </rPr>
      <t xml:space="preserve"> el impacto es de tal magnitud que genera un impacto permanente en el medio.</t>
    </r>
  </si>
  <si>
    <t>Elemento o componente ambiental (suelo, agua, aire, flora y fauna) que interactúa
con el aspecto ambiental generado por la entidad u organismo distrital y que puede
presentar mejora o deterioro de acuerdo al impacto ambiental.</t>
  </si>
  <si>
    <r>
      <rPr>
        <b/>
        <sz val="10"/>
        <color theme="1"/>
        <rFont val="Calibri"/>
        <family val="2"/>
        <scheme val="minor"/>
      </rPr>
      <t>Reversible:</t>
    </r>
    <r>
      <rPr>
        <sz val="10"/>
        <color theme="1"/>
        <rFont val="Calibri"/>
        <family val="2"/>
        <scheme val="minor"/>
      </rPr>
      <t xml:space="preserve"> el medio natural podría recuperarse o no del todo a corto, medio o largo plazo.</t>
    </r>
  </si>
  <si>
    <t>https://compartirejemplos.blogspot.com/2019/03/ejemplo-de-matriz-de-leopold-impacto.html</t>
  </si>
  <si>
    <t>MATRIZ PARA LA EVALUACIÓN DE IMPACTOS AMBIENTALES (LEOPOLD)</t>
  </si>
  <si>
    <t xml:space="preserve">ASPECTO AMBIENTAL </t>
  </si>
  <si>
    <t xml:space="preserve">IMPACTO AMBIENTAL </t>
  </si>
  <si>
    <t>A. Modificación del régimen</t>
  </si>
  <si>
    <t xml:space="preserve">a. Introducción de flora o fauna exóticas </t>
  </si>
  <si>
    <t>A. Características físicas y químicas</t>
  </si>
  <si>
    <t>1. Tierra</t>
  </si>
  <si>
    <t xml:space="preserve">a. Recursos minerales </t>
  </si>
  <si>
    <t xml:space="preserve">b. Controles biológicos </t>
  </si>
  <si>
    <t xml:space="preserve">b. Materiales de construcción </t>
  </si>
  <si>
    <t xml:space="preserve">c. Modificación de hábitat </t>
  </si>
  <si>
    <t xml:space="preserve">c. Suelos </t>
  </si>
  <si>
    <t xml:space="preserve">d. Alteración de la cobertura vegetal del suelo </t>
  </si>
  <si>
    <t xml:space="preserve">d. Forma del terreno </t>
  </si>
  <si>
    <t xml:space="preserve">e. Alteración del flujo de agua subterránea </t>
  </si>
  <si>
    <t xml:space="preserve">e. Ondas electromagnéticas y radiación de fondo </t>
  </si>
  <si>
    <t xml:space="preserve">f. Alteración de patrones de drenaje </t>
  </si>
  <si>
    <t xml:space="preserve">f. Condiciones físicas únicas </t>
  </si>
  <si>
    <t>g. Control de ríos y modificación de flujo</t>
  </si>
  <si>
    <t xml:space="preserve">2. Agua </t>
  </si>
  <si>
    <t xml:space="preserve">a. Superficial </t>
  </si>
  <si>
    <t xml:space="preserve">h. Canalización </t>
  </si>
  <si>
    <t xml:space="preserve">b. Oceáno </t>
  </si>
  <si>
    <t xml:space="preserve">i. Irrigación </t>
  </si>
  <si>
    <t xml:space="preserve">c. Subterránea </t>
  </si>
  <si>
    <t>j. Modificación del clima</t>
  </si>
  <si>
    <t xml:space="preserve">d. Calidad del agua </t>
  </si>
  <si>
    <t xml:space="preserve">k. Quema de bosques </t>
  </si>
  <si>
    <t xml:space="preserve">e. Temperatura </t>
  </si>
  <si>
    <t xml:space="preserve">l. Pavimentación </t>
  </si>
  <si>
    <t xml:space="preserve">f. Recarga </t>
  </si>
  <si>
    <t xml:space="preserve">m. Ruido y vibraciones </t>
  </si>
  <si>
    <t xml:space="preserve">g. Nieve, hielo y hielo perenne </t>
  </si>
  <si>
    <t xml:space="preserve">B. Transformación del terreno y construcción </t>
  </si>
  <si>
    <t xml:space="preserve">a. Urbanización </t>
  </si>
  <si>
    <t xml:space="preserve">3. Atmósfera </t>
  </si>
  <si>
    <t xml:space="preserve">a. Calidad del aire (gases, partículas) </t>
  </si>
  <si>
    <t xml:space="preserve">b. Sitios y edificios industriales </t>
  </si>
  <si>
    <t xml:space="preserve">b. Clima (micro, macro) </t>
  </si>
  <si>
    <t xml:space="preserve">c. Aeropuertos </t>
  </si>
  <si>
    <t xml:space="preserve">c. Temperatura </t>
  </si>
  <si>
    <t xml:space="preserve">d. Carreteras y puentes </t>
  </si>
  <si>
    <t xml:space="preserve">4. Procesos </t>
  </si>
  <si>
    <t xml:space="preserve">a. Avenidas </t>
  </si>
  <si>
    <t xml:space="preserve">e. Caminos y senderos </t>
  </si>
  <si>
    <t xml:space="preserve">b. Erosión </t>
  </si>
  <si>
    <t xml:space="preserve">f. Ferrocarriles </t>
  </si>
  <si>
    <t xml:space="preserve">c. Deposición (sedimentación, precipitación) </t>
  </si>
  <si>
    <t xml:space="preserve">g. Cables y ascensores </t>
  </si>
  <si>
    <t xml:space="preserve">d. Solución </t>
  </si>
  <si>
    <t xml:space="preserve">h. Líneas de transmisión, gasoductos y corredores </t>
  </si>
  <si>
    <t>e. Adsorción (intercambiop iónico)</t>
  </si>
  <si>
    <t xml:space="preserve">i. Barreras, incluyendo cercas </t>
  </si>
  <si>
    <t xml:space="preserve">f. Compactación y asentamiento </t>
  </si>
  <si>
    <t>j. Dragado y enderezamiento de canales</t>
  </si>
  <si>
    <t xml:space="preserve">g. Estabilidad de taludes (deslizamientos) </t>
  </si>
  <si>
    <t xml:space="preserve">k. Revestimiento de canales </t>
  </si>
  <si>
    <t xml:space="preserve">h. Esfuerzo-deformación (terremotos) </t>
  </si>
  <si>
    <t xml:space="preserve">l. Canales </t>
  </si>
  <si>
    <t xml:space="preserve">i. Movimientos de masas de aire </t>
  </si>
  <si>
    <t xml:space="preserve">m. Presas y embalses </t>
  </si>
  <si>
    <t>B. Condiciones biológicas</t>
  </si>
  <si>
    <t xml:space="preserve">1. Flora </t>
  </si>
  <si>
    <t xml:space="preserve">a. Árboles </t>
  </si>
  <si>
    <t xml:space="preserve">n. Muelles, malecones, marinas, y terminales marítimos </t>
  </si>
  <si>
    <t xml:space="preserve">b. Arbustos </t>
  </si>
  <si>
    <t xml:space="preserve">o. Estructuras de altamar </t>
  </si>
  <si>
    <t xml:space="preserve">c. Pastos </t>
  </si>
  <si>
    <t xml:space="preserve">p. Estructuras de recreación </t>
  </si>
  <si>
    <t xml:space="preserve">d. Productos agrícolas </t>
  </si>
  <si>
    <t xml:space="preserve">q. Perforación y voladura </t>
  </si>
  <si>
    <t xml:space="preserve">e. Microflora </t>
  </si>
  <si>
    <t xml:space="preserve">r. Corte y relleno </t>
  </si>
  <si>
    <t xml:space="preserve">f. Plantas acuáticas </t>
  </si>
  <si>
    <t xml:space="preserve">s. Túneles y estructuras subterráneas </t>
  </si>
  <si>
    <t xml:space="preserve">h. Especies en peligro </t>
  </si>
  <si>
    <t xml:space="preserve">C. Explotación de recursos </t>
  </si>
  <si>
    <t xml:space="preserve">a. Perforación y voladura </t>
  </si>
  <si>
    <t xml:space="preserve">h. Barreras </t>
  </si>
  <si>
    <t>b. Excavación de superficie</t>
  </si>
  <si>
    <t xml:space="preserve">i. Corredores </t>
  </si>
  <si>
    <t xml:space="preserve">c. Excavación del subsuelo </t>
  </si>
  <si>
    <t xml:space="preserve">2. Fauna </t>
  </si>
  <si>
    <t xml:space="preserve">a. Pájaros </t>
  </si>
  <si>
    <t xml:space="preserve">d. Perforación de pozos </t>
  </si>
  <si>
    <t xml:space="preserve">b. Animales terrestres, incluyendo reptiles </t>
  </si>
  <si>
    <t xml:space="preserve">e. Dragado </t>
  </si>
  <si>
    <t xml:space="preserve">c. Peces y moluscos </t>
  </si>
  <si>
    <t xml:space="preserve">f. Tala de bosques </t>
  </si>
  <si>
    <t xml:space="preserve">d. Organismos bénticos </t>
  </si>
  <si>
    <t xml:space="preserve">g. Pesca comercial y caza </t>
  </si>
  <si>
    <t xml:space="preserve">e. Insectos </t>
  </si>
  <si>
    <t xml:space="preserve">D. Procesamiento </t>
  </si>
  <si>
    <t xml:space="preserve">a. Agricultura </t>
  </si>
  <si>
    <t xml:space="preserve">f. Microfauna </t>
  </si>
  <si>
    <t xml:space="preserve">b. Ganadería y pastoreo </t>
  </si>
  <si>
    <t xml:space="preserve">g. Especies en peligro </t>
  </si>
  <si>
    <t xml:space="preserve">c. Plantas de engorde de ganado </t>
  </si>
  <si>
    <t>h. Barreras</t>
  </si>
  <si>
    <t xml:space="preserve">d. Plantas de producción de leche </t>
  </si>
  <si>
    <t xml:space="preserve">e. Generación de energía </t>
  </si>
  <si>
    <t>C. Factores culturales</t>
  </si>
  <si>
    <t xml:space="preserve">1. Uso de la tierra </t>
  </si>
  <si>
    <t>a. Vida silvestre y espacios abiertos</t>
  </si>
  <si>
    <t xml:space="preserve">f. Procesamiento de minerales </t>
  </si>
  <si>
    <t>b. Humedales</t>
  </si>
  <si>
    <t xml:space="preserve">g. Industria metalúrgica </t>
  </si>
  <si>
    <t xml:space="preserve">c. Bosques </t>
  </si>
  <si>
    <t xml:space="preserve">h. Industria química </t>
  </si>
  <si>
    <t xml:space="preserve">d. Pastoreo </t>
  </si>
  <si>
    <t xml:space="preserve">i. Industria textil </t>
  </si>
  <si>
    <t>e. Agricultura</t>
  </si>
  <si>
    <t xml:space="preserve">j. Automóviles y aeronaves </t>
  </si>
  <si>
    <t xml:space="preserve">f. Residencial </t>
  </si>
  <si>
    <t xml:space="preserve">k. Refinación de petróleo </t>
  </si>
  <si>
    <t xml:space="preserve">g. Comercial </t>
  </si>
  <si>
    <t xml:space="preserve">l. Alimentos </t>
  </si>
  <si>
    <t xml:space="preserve">h. Industrial </t>
  </si>
  <si>
    <t xml:space="preserve">m. Madera </t>
  </si>
  <si>
    <t xml:space="preserve">i. Minería y extracción de materiales </t>
  </si>
  <si>
    <t xml:space="preserve">n. Pulpa y papel </t>
  </si>
  <si>
    <t xml:space="preserve">2. Recreación </t>
  </si>
  <si>
    <t xml:space="preserve">a. Caza </t>
  </si>
  <si>
    <t xml:space="preserve">o. Almacenamiento de productos </t>
  </si>
  <si>
    <t xml:space="preserve">b. Pesca </t>
  </si>
  <si>
    <t xml:space="preserve">E. Modificación del terreno </t>
  </si>
  <si>
    <t xml:space="preserve">a. Control de erosión y terrazas </t>
  </si>
  <si>
    <t>c. Navegación por placer</t>
  </si>
  <si>
    <t xml:space="preserve">b. Sellado de minas y control de desechos </t>
  </si>
  <si>
    <t xml:space="preserve">d. Natación </t>
  </si>
  <si>
    <t>c. Rehabilitación de minas a tajo abierto</t>
  </si>
  <si>
    <t xml:space="preserve">e. Camping y caminatas </t>
  </si>
  <si>
    <t xml:space="preserve">d. Paisajismo </t>
  </si>
  <si>
    <t xml:space="preserve">f. Salidas al campo </t>
  </si>
  <si>
    <t xml:space="preserve">e. Dragado de puertos </t>
  </si>
  <si>
    <t xml:space="preserve">g. Centros de vacaciones y placer </t>
  </si>
  <si>
    <t xml:space="preserve">f. Drenaje de humedales y pantanos </t>
  </si>
  <si>
    <t xml:space="preserve">3. Interés estético y humano </t>
  </si>
  <si>
    <t xml:space="preserve">a. Vistas escénicas </t>
  </si>
  <si>
    <t xml:space="preserve">F. Renovación de recursos </t>
  </si>
  <si>
    <t xml:space="preserve">a. Reforestación </t>
  </si>
  <si>
    <t xml:space="preserve">b. Calidad de vida silvestre </t>
  </si>
  <si>
    <t xml:space="preserve">b. Gestión de vida silvestre </t>
  </si>
  <si>
    <t xml:space="preserve">c. Calidad de espacio abierto </t>
  </si>
  <si>
    <t xml:space="preserve">c. Recarga de agua subterránea </t>
  </si>
  <si>
    <t xml:space="preserve">d. Diseño del paisaje </t>
  </si>
  <si>
    <t xml:space="preserve">d. Aplicación de fertilizantes </t>
  </si>
  <si>
    <t xml:space="preserve">e. Condiciones físicas únicas </t>
  </si>
  <si>
    <t xml:space="preserve">e. Reciclaje de residuos </t>
  </si>
  <si>
    <t xml:space="preserve">f. Parques y reservas forestales </t>
  </si>
  <si>
    <t xml:space="preserve">G. Cambios en el tráfico </t>
  </si>
  <si>
    <t>a. Red ferroviaria</t>
  </si>
  <si>
    <t xml:space="preserve">g. Monumentos </t>
  </si>
  <si>
    <t xml:space="preserve">b. Automóviles </t>
  </si>
  <si>
    <t xml:space="preserve">h. Especies o ecosistemas raros y únicos </t>
  </si>
  <si>
    <t xml:space="preserve">c. Camiones </t>
  </si>
  <si>
    <t xml:space="preserve">i. Sitios y objetos históricos o arqueológicos </t>
  </si>
  <si>
    <t xml:space="preserve">d. Transporte de carga </t>
  </si>
  <si>
    <t xml:space="preserve">j. Presencia de elementos raros </t>
  </si>
  <si>
    <t xml:space="preserve">e. Aviones </t>
  </si>
  <si>
    <t xml:space="preserve">4. Aspectos culturales </t>
  </si>
  <si>
    <t xml:space="preserve">a. Patrones culturales (estilo de vida) </t>
  </si>
  <si>
    <t xml:space="preserve">f. Ríos y canales </t>
  </si>
  <si>
    <t xml:space="preserve">b. Salud y seguridad </t>
  </si>
  <si>
    <t xml:space="preserve">g. Botes de placer </t>
  </si>
  <si>
    <t xml:space="preserve">c. Empleo </t>
  </si>
  <si>
    <t xml:space="preserve">h. Senderos </t>
  </si>
  <si>
    <t xml:space="preserve">d. Densidad de población </t>
  </si>
  <si>
    <t xml:space="preserve">i. Cables y ascensores </t>
  </si>
  <si>
    <t>5. Facilidades y actividades humanas</t>
  </si>
  <si>
    <t xml:space="preserve">a. Estructuras </t>
  </si>
  <si>
    <t xml:space="preserve">j. Comunicación </t>
  </si>
  <si>
    <t xml:space="preserve">b. Red de transporte </t>
  </si>
  <si>
    <t>k. Tuberías y conductos forzados</t>
  </si>
  <si>
    <t xml:space="preserve">c. Redes de servicios </t>
  </si>
  <si>
    <t xml:space="preserve">H. Emplazamiento y tratamiento de residuos </t>
  </si>
  <si>
    <t xml:space="preserve">a. Vertido en los océanos </t>
  </si>
  <si>
    <t xml:space="preserve">d. Manejo de residuos </t>
  </si>
  <si>
    <t>b. Rellenos sanitarios</t>
  </si>
  <si>
    <t xml:space="preserve">e. Barreras </t>
  </si>
  <si>
    <t xml:space="preserve">c. Colocación de residuos mineros </t>
  </si>
  <si>
    <t xml:space="preserve">f. Corredores </t>
  </si>
  <si>
    <t xml:space="preserve">d. Almacenamiento debajo del terreno </t>
  </si>
  <si>
    <t>D. Relaciones ecológicas</t>
  </si>
  <si>
    <t xml:space="preserve">a. Salinización de recursos hídricos </t>
  </si>
  <si>
    <t xml:space="preserve">e. Eliminación de basura </t>
  </si>
  <si>
    <t xml:space="preserve">b. Eutroficación </t>
  </si>
  <si>
    <t xml:space="preserve">f. Inundación de pozos de petróleo </t>
  </si>
  <si>
    <t>c. Insectos vectores de enfermedades</t>
  </si>
  <si>
    <t xml:space="preserve">g. Colocación de pozos de petróleo </t>
  </si>
  <si>
    <t xml:space="preserve">d. Cadenas tróficas </t>
  </si>
  <si>
    <t>h. Agua de enfriamiento industrial</t>
  </si>
  <si>
    <t xml:space="preserve">e. Salinización del terreno </t>
  </si>
  <si>
    <t xml:space="preserve">i. Aguas servidas municipales, incluyendo irrigación </t>
  </si>
  <si>
    <t xml:space="preserve">f. Aumento del área arbustiva </t>
  </si>
  <si>
    <t xml:space="preserve">j. Descarga de efluentes municipales </t>
  </si>
  <si>
    <t xml:space="preserve">g. Otros </t>
  </si>
  <si>
    <t xml:space="preserve">k. Lagunas de estabilización y oxidación </t>
  </si>
  <si>
    <t xml:space="preserve">E. Otros </t>
  </si>
  <si>
    <t xml:space="preserve">a. A ser determinado </t>
  </si>
  <si>
    <t xml:space="preserve">l. Tanques sépticos, comerciales y domésticos </t>
  </si>
  <si>
    <t xml:space="preserve">b. A ser determinado </t>
  </si>
  <si>
    <t>m. Emisiones de chimeneas al aire libre</t>
  </si>
  <si>
    <t xml:space="preserve">n. Lubricantes usados </t>
  </si>
  <si>
    <t xml:space="preserve">I. Tratamientos químicos </t>
  </si>
  <si>
    <t xml:space="preserve">a. Fertilización </t>
  </si>
  <si>
    <t xml:space="preserve">b. Deshielo de carreteras </t>
  </si>
  <si>
    <t xml:space="preserve">c. Estabilización de suelos </t>
  </si>
  <si>
    <t xml:space="preserve">d. Control de malezas </t>
  </si>
  <si>
    <t xml:space="preserve">e. Control de insectos con pesticidas </t>
  </si>
  <si>
    <t xml:space="preserve">J. Accidentes </t>
  </si>
  <si>
    <t xml:space="preserve">a. Explosiones </t>
  </si>
  <si>
    <t xml:space="preserve">b. Vertidos y filtraciones </t>
  </si>
  <si>
    <t xml:space="preserve">c. Falla operacional </t>
  </si>
  <si>
    <t xml:space="preserve">ESTUDIO LEGAL </t>
  </si>
  <si>
    <t xml:space="preserve"> Fase de constitución</t>
  </si>
  <si>
    <t xml:space="preserve">costo </t>
  </si>
  <si>
    <t>Escritura Pública/ minuta/acta de inicio</t>
  </si>
  <si>
    <t>Inscribirse en cámara de comercio</t>
  </si>
  <si>
    <t>Apertura de cuenta bancaria - Bancolombia</t>
  </si>
  <si>
    <t>RUT y/o NIT (DIAN)</t>
  </si>
  <si>
    <t xml:space="preserve">Pago impuestos de Rentas departamentales </t>
  </si>
  <si>
    <t>Fase de operación</t>
  </si>
  <si>
    <t>Registros de libros contables</t>
  </si>
  <si>
    <t xml:space="preserve">Avisos y tableros </t>
  </si>
  <si>
    <t>Permiso de Uso del Suelo (planeación municipal)</t>
  </si>
  <si>
    <t>Sayco y Acimpo</t>
  </si>
  <si>
    <t>EVALUACION FINANCIERA DEL PROYECTO</t>
  </si>
  <si>
    <t>Flujos de Caja de la Operación</t>
  </si>
  <si>
    <t>% incremento en servicios</t>
  </si>
  <si>
    <t>% incremento en costos (inflación + 3 puntos)</t>
  </si>
  <si>
    <t>% incremento en precio (inflación)</t>
  </si>
  <si>
    <t>Tasa de impuestos</t>
  </si>
  <si>
    <t>Serivicios adquiridos</t>
  </si>
  <si>
    <t>Precio del servicio</t>
  </si>
  <si>
    <t xml:space="preserve">costos variables </t>
  </si>
  <si>
    <t xml:space="preserve">Periodos </t>
  </si>
  <si>
    <t>Ingresos por venta de producto o prestación de servicio</t>
  </si>
  <si>
    <t>INGRESOS TOTALES</t>
  </si>
  <si>
    <t xml:space="preserve">   Costo Fijo TOTAL</t>
  </si>
  <si>
    <t>Gastos nomina administrativa</t>
  </si>
  <si>
    <t xml:space="preserve">   Costo Variable</t>
  </si>
  <si>
    <t>COSTOS VARIABLES TOTALES</t>
  </si>
  <si>
    <r>
      <t xml:space="preserve">   Depreciación y Amortización TOTAL </t>
    </r>
    <r>
      <rPr>
        <sz val="12"/>
        <color rgb="FFFF0000"/>
        <rFont val="Calibri Light"/>
        <family val="2"/>
        <scheme val="major"/>
      </rPr>
      <t>(costos contables)</t>
    </r>
  </si>
  <si>
    <r>
      <t xml:space="preserve">COSTO OPERACIONALES TOTAL = </t>
    </r>
    <r>
      <rPr>
        <sz val="12"/>
        <color rgb="FFFF0000"/>
        <rFont val="Calibri Light"/>
        <family val="2"/>
        <scheme val="major"/>
      </rPr>
      <t>Costo Fijo TOTAL + Costo Variable TOTAL + Depreciación + Amortización</t>
    </r>
  </si>
  <si>
    <t>UTILIDAD OPERATIVA = Ingresos - Costos</t>
  </si>
  <si>
    <r>
      <t xml:space="preserve">Impuesto Operativo = </t>
    </r>
    <r>
      <rPr>
        <b/>
        <sz val="12"/>
        <color rgb="FFFF0000"/>
        <rFont val="Calibri Light"/>
        <family val="2"/>
        <scheme val="major"/>
      </rPr>
      <t>Utilidad Operativa * T, T: Tasa de Impuestos</t>
    </r>
  </si>
  <si>
    <r>
      <t xml:space="preserve">UODI = Utilidad Operativa DESPUES de Impuestos = </t>
    </r>
    <r>
      <rPr>
        <sz val="12"/>
        <color theme="1"/>
        <rFont val="Calibri Light"/>
        <family val="2"/>
        <scheme val="major"/>
      </rPr>
      <t>Utilidad Operativa - Impuesto Operativo</t>
    </r>
  </si>
  <si>
    <r>
      <t xml:space="preserve">  (+) Costos contables: </t>
    </r>
    <r>
      <rPr>
        <b/>
        <sz val="12"/>
        <color theme="1"/>
        <rFont val="Calibri Light"/>
        <family val="2"/>
        <scheme val="major"/>
      </rPr>
      <t>Depreciación y Amortización Activos Intangibles TOTAL</t>
    </r>
  </si>
  <si>
    <r>
      <t xml:space="preserve">FLUJO DE CAJA OPERATIVO = </t>
    </r>
    <r>
      <rPr>
        <sz val="12"/>
        <color theme="1"/>
        <rFont val="Calibri Light"/>
        <family val="2"/>
        <scheme val="major"/>
      </rPr>
      <t>UODI + Depreciación + Amortización</t>
    </r>
  </si>
  <si>
    <t xml:space="preserve"> Datos para el Flujos de Caja de la Inversión</t>
  </si>
  <si>
    <t xml:space="preserve">Calendario de Inversión </t>
  </si>
  <si>
    <t>Activos Fijos</t>
  </si>
  <si>
    <t>Inversión en Activos FIJOS</t>
  </si>
  <si>
    <t>VALOR DE DESECHO DE LOS ACTIVOS FIJOS</t>
  </si>
  <si>
    <t>Activos</t>
  </si>
  <si>
    <t>Precio TOTAL Activo</t>
  </si>
  <si>
    <t>Depreciación Acumulada</t>
  </si>
  <si>
    <r>
      <t xml:space="preserve">Valor Libros = 
</t>
    </r>
    <r>
      <rPr>
        <sz val="12"/>
        <rFont val="Calibri Light"/>
        <family val="2"/>
        <scheme val="major"/>
      </rPr>
      <t>Precio Activo - Depreciación Acumulada</t>
    </r>
  </si>
  <si>
    <t xml:space="preserve">Valor Comercial
</t>
  </si>
  <si>
    <r>
      <t xml:space="preserve">Pérdida o Ganancia por venta de activos
</t>
    </r>
    <r>
      <rPr>
        <sz val="12"/>
        <rFont val="Calibri Light"/>
        <family val="2"/>
        <scheme val="major"/>
      </rPr>
      <t>= Valor comercial - Valor Libros</t>
    </r>
  </si>
  <si>
    <r>
      <t xml:space="preserve">Impuesto 
</t>
    </r>
    <r>
      <rPr>
        <sz val="12"/>
        <rFont val="Calibri Light"/>
        <family val="2"/>
        <scheme val="major"/>
      </rPr>
      <t>T de año 5</t>
    </r>
  </si>
  <si>
    <r>
      <t xml:space="preserve">Valor de Desecho = 
</t>
    </r>
    <r>
      <rPr>
        <sz val="12"/>
        <rFont val="Calibri Light"/>
        <family val="2"/>
        <scheme val="major"/>
      </rPr>
      <t>Valor comercial - Impuesto = Valor Libros</t>
    </r>
  </si>
  <si>
    <t>Periodo de desfase</t>
  </si>
  <si>
    <t>Días año</t>
  </si>
  <si>
    <t>Inversión en Capital de Trabajo (ΔKT)</t>
  </si>
  <si>
    <t>Costos TOTALES (Sin depreciación y amortización)</t>
  </si>
  <si>
    <t>Capital de Trabajo (KT)</t>
  </si>
  <si>
    <t xml:space="preserve">Flujo de Caja de la Inversión </t>
  </si>
  <si>
    <t>Año</t>
  </si>
  <si>
    <t>Inversión en Activos Fijos (IAF)</t>
  </si>
  <si>
    <t>Valor de desecho de Activos Fijos (Flujo de caja de la venta de activos)</t>
  </si>
  <si>
    <t>Valor de procedimientos legales</t>
  </si>
  <si>
    <t>Inversión en Activos Intangibles (IAI)</t>
  </si>
  <si>
    <t>Inversión en Capital de Trabajo (IKT)</t>
  </si>
  <si>
    <t>FLUJO DE CAJA INVERSIÓN</t>
  </si>
  <si>
    <r>
      <t xml:space="preserve">Flujo de Caja del Proyecto: </t>
    </r>
    <r>
      <rPr>
        <sz val="22"/>
        <color theme="0"/>
        <rFont val="Calibri Light"/>
        <family val="2"/>
        <scheme val="major"/>
      </rPr>
      <t>Flujos de caja que genera el proyecto independientemente de la financiación</t>
    </r>
  </si>
  <si>
    <t>Flujo de Caja de OPERACIÓN</t>
  </si>
  <si>
    <t>Flujo de Caja de INVERSIÓN</t>
  </si>
  <si>
    <t>FLUJO DE CAJA DEL PROYECTO = FLUJO DE CAJA LIBRE</t>
  </si>
  <si>
    <t>Flujos de Caja de la Financiación</t>
  </si>
  <si>
    <t xml:space="preserve">Inverision total </t>
  </si>
  <si>
    <t>Entidad Financiera</t>
  </si>
  <si>
    <t xml:space="preserve">Recursos propios </t>
  </si>
  <si>
    <t>DEUDA 1</t>
  </si>
  <si>
    <t>Monto Préstamo</t>
  </si>
  <si>
    <t>Kd = Tasa de Interés (Anual)</t>
  </si>
  <si>
    <t>BBVBA para PYMES</t>
  </si>
  <si>
    <t>Plazo (Años)</t>
  </si>
  <si>
    <t xml:space="preserve">Cuota FIJA </t>
  </si>
  <si>
    <t>Tasa de Impuestos</t>
  </si>
  <si>
    <t>Saldo (saldo anterior- abono a capital)</t>
  </si>
  <si>
    <t xml:space="preserve">Amortización de Capital = cuota-interes </t>
  </si>
  <si>
    <r>
      <t xml:space="preserve">Interés = </t>
    </r>
    <r>
      <rPr>
        <b/>
        <sz val="12"/>
        <color theme="1"/>
        <rFont val="Calibri Light"/>
        <family val="2"/>
        <scheme val="major"/>
      </rPr>
      <t>Saldo del periodo anterior * tasa de interés</t>
    </r>
  </si>
  <si>
    <t>Cuota</t>
  </si>
  <si>
    <t>Beneficio Tributario (Intereses*Tasa impuesto)</t>
  </si>
  <si>
    <t>FLUJO DE CAJA FINANCIACIÓN</t>
  </si>
  <si>
    <r>
      <t xml:space="preserve">Flujo de Caja del Inversionista: </t>
    </r>
    <r>
      <rPr>
        <sz val="20"/>
        <color theme="0"/>
        <rFont val="Calibri Light"/>
        <family val="2"/>
        <scheme val="major"/>
      </rPr>
      <t>Flujo de caja que reciben los dueños del negocio</t>
    </r>
  </si>
  <si>
    <t>Flujo de Caja de PROYECTO</t>
  </si>
  <si>
    <t>Flujo de Caja de FINANCIACIÓN</t>
  </si>
  <si>
    <t>FLUJO DE CAJA DEL INVERSIONISTA</t>
  </si>
  <si>
    <t xml:space="preserve">CRITERIOS DE SELECCIÓN DEL PROYECTO </t>
  </si>
  <si>
    <t>Costo Promedio Ponderado de Capital (WACC)</t>
  </si>
  <si>
    <t>Fuente</t>
  </si>
  <si>
    <t>Monto</t>
  </si>
  <si>
    <r>
      <t>Participaciones =</t>
    </r>
    <r>
      <rPr>
        <sz val="12"/>
        <rFont val="Calibri Light"/>
        <family val="2"/>
        <scheme val="major"/>
      </rPr>
      <t xml:space="preserve"> Monto Fuente / Inversión inicial</t>
    </r>
  </si>
  <si>
    <t>Costo de la Fuente</t>
  </si>
  <si>
    <t>Participación * Costo de la Fuente</t>
  </si>
  <si>
    <t>Deuda (Monto de deuda)</t>
  </si>
  <si>
    <t>Aporte de accionistas (Flujo de Caja de Inversionista, año 0)</t>
  </si>
  <si>
    <t>Inversión Inicial (I0)</t>
  </si>
  <si>
    <r>
      <t xml:space="preserve">Modelo Capm: </t>
    </r>
    <r>
      <rPr>
        <sz val="14"/>
        <color rgb="FF002060"/>
        <rFont val="Calibri Light"/>
        <family val="2"/>
        <scheme val="major"/>
      </rPr>
      <t>permite calcular la tasa de retorno de un activo financiero en función del riesgo asumido.</t>
    </r>
  </si>
  <si>
    <t>CAPM (Ke = Rf + (Em - Rf)*B)</t>
  </si>
  <si>
    <t>Rf</t>
  </si>
  <si>
    <t xml:space="preserve">Tasa libre de riesgo (Rendimiento de los TES a un año) </t>
  </si>
  <si>
    <t>Tasa de captación</t>
  </si>
  <si>
    <t>Em</t>
  </si>
  <si>
    <t>rendimiento esperado de mercado</t>
  </si>
  <si>
    <t>B</t>
  </si>
  <si>
    <t>Beta</t>
  </si>
  <si>
    <r>
      <rPr>
        <b/>
        <sz val="12"/>
        <color theme="1"/>
        <rFont val="Calibri Light"/>
        <family val="2"/>
        <scheme val="major"/>
      </rPr>
      <t xml:space="preserve">Costo de fondos propios (Ke) </t>
    </r>
    <r>
      <rPr>
        <sz val="12"/>
        <color theme="1"/>
        <rFont val="Calibri Light"/>
        <family val="2"/>
        <scheme val="major"/>
      </rPr>
      <t>(tasa libre de riesgo+(rendimiento esperado de mercado-tasalibre de riesgo)*Beta</t>
    </r>
  </si>
  <si>
    <t xml:space="preserve">INDICADOR </t>
  </si>
  <si>
    <t>PROYECTO</t>
  </si>
  <si>
    <t>INVERSIONISTA</t>
  </si>
  <si>
    <t>WACC</t>
  </si>
  <si>
    <t>KE</t>
  </si>
  <si>
    <t>VPN</t>
  </si>
  <si>
    <t>TIR: Tasa de rentabilidad</t>
  </si>
  <si>
    <t xml:space="preserve">PRI </t>
  </si>
  <si>
    <t>Payback- PRI periodo de recuperacion de la inversion</t>
  </si>
  <si>
    <t>Flujo de Caja PROYECTO</t>
  </si>
  <si>
    <r>
      <t xml:space="preserve">Acumulado </t>
    </r>
    <r>
      <rPr>
        <sz val="12"/>
        <color rgb="FF000099"/>
        <rFont val="Calibri Light"/>
        <family val="2"/>
        <scheme val="major"/>
      </rPr>
      <t>[Falta por recuperar]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</si>
</sst>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 #,##0_-;_-* &quot;-&quot;_-;_-@_-"/>
    <numFmt numFmtId="43" formatCode="_-* #,##0.00_-;\-* #,##0.00_-;_-* &quot;-&quot;??_-;_-@_-"/>
    <numFmt numFmtId="164" formatCode="&quot;$&quot;\ #,##0;[Red]\-&quot;$&quot;\ #,##0"/>
    <numFmt numFmtId="165" formatCode="_-&quot;$&quot;\ * #,##0_-;\-&quot;$&quot;\ * #,##0_-;_-&quot;$&quot;\ * &quot;-&quot;_-;_-@_-"/>
    <numFmt numFmtId="166" formatCode="_-&quot;$&quot;\ * #,##0.00_-;\-&quot;$&quot;\ * #,##0.00_-;_-&quot;$&quot;\ * &quot;-&quot;??_-;_-@_-"/>
    <numFmt numFmtId="167" formatCode="&quot;$&quot;#,##0;[Red]\-&quot;$&quot;#,##0"/>
    <numFmt numFmtId="168" formatCode="0.0%"/>
    <numFmt numFmtId="169" formatCode="0.000%"/>
    <numFmt numFmtId="170" formatCode="[$$-240A]&quot; &quot;#,##0.00"/>
    <numFmt numFmtId="171" formatCode="_-&quot;$&quot;\ * #,##0_-;\-&quot;$&quot;\ * #,##0_-;_-&quot;$&quot;\ * &quot;-&quot;??_-;_-@_-"/>
    <numFmt numFmtId="172" formatCode="_(* #,##0.00_);_(* \(#,##0.00\);_(* &quot;-&quot;??_);_(@_)"/>
    <numFmt numFmtId="173" formatCode="_-* #,##0_-;\-* #,##0_-;_-* &quot;-&quot;??_-;_-@_-"/>
    <numFmt numFmtId="174" formatCode="0.0000%"/>
    <numFmt numFmtId="175" formatCode="0.00000"/>
    <numFmt numFmtId="176" formatCode="[$$-240A]\ #,##0.000"/>
    <numFmt numFmtId="177" formatCode="[$$-240A]\ #,##0.00"/>
    <numFmt numFmtId="178" formatCode="_(&quot;$&quot;\ * #,##0_);_(&quot;$&quot;\ * \(#,##0\);_(&quot;$&quot;\ * &quot;-&quot;??_);_(@_)"/>
    <numFmt numFmtId="179" formatCode="[$$-240A]\ #,##0"/>
    <numFmt numFmtId="180" formatCode="&quot;$&quot;#,##0"/>
    <numFmt numFmtId="181" formatCode="#,##0_ ;\-#,##0\ "/>
    <numFmt numFmtId="182" formatCode="&quot;$&quot;\ #,##0"/>
    <numFmt numFmtId="183" formatCode="&quot;$&quot;\ #,##0.0_);[Red]\(&quot;$&quot;\ #,##0.0\)"/>
    <numFmt numFmtId="184" formatCode="&quot;$&quot;#,##0.0;[Red]\-&quot;$&quot;#,##0.0"/>
    <numFmt numFmtId="185" formatCode="&quot;$&quot;#,##0.0;[Red]&quot;$&quot;#,##0.0"/>
    <numFmt numFmtId="186" formatCode="&quot;$&quot;\ #,##0.0;[Red]\-&quot;$&quot;\ #,##0.0"/>
    <numFmt numFmtId="187" formatCode="[$$-240A]&quot; &quot;#,##0"/>
    <numFmt numFmtId="188" formatCode="0.0"/>
    <numFmt numFmtId="189" formatCode="_-[$$-409]* #,##0_ ;_-[$$-409]* \-#,##0\ ;_-[$$-409]* &quot;-&quot;??_ ;_-@_ "/>
    <numFmt numFmtId="190" formatCode="_-[$$-409]* #,##0.00_ ;_-[$$-409]* \-#,##0.00\ ;_-[$$-409]* &quot;-&quot;??_ ;_-@_ "/>
  </numFmts>
  <fonts count="162">
    <font>
      <sz val="11"/>
      <color theme="1"/>
      <name val="Calibri"/>
      <family val="2"/>
      <scheme val="minor"/>
    </font>
    <font>
      <sz val="11"/>
      <color theme="1"/>
      <name val="Calibri"/>
      <family val="2"/>
      <scheme val="minor"/>
    </font>
    <font>
      <b/>
      <sz val="18"/>
      <color theme="1"/>
      <name val="Calibri"/>
      <family val="2"/>
      <scheme val="minor"/>
    </font>
    <font>
      <b/>
      <sz val="11"/>
      <color theme="1"/>
      <name val="Calibri"/>
      <family val="2"/>
      <scheme val="minor"/>
    </font>
    <font>
      <b/>
      <sz val="11"/>
      <color rgb="FF002060"/>
      <name val="Calibri"/>
      <family val="2"/>
      <scheme val="minor"/>
    </font>
    <font>
      <b/>
      <sz val="11"/>
      <color theme="0"/>
      <name val="Calibri"/>
      <family val="2"/>
      <scheme val="minor"/>
    </font>
    <font>
      <sz val="11"/>
      <color theme="0"/>
      <name val="Calibri"/>
      <family val="2"/>
      <scheme val="minor"/>
    </font>
    <font>
      <sz val="12"/>
      <color theme="1"/>
      <name val="Arial"/>
      <family val="2"/>
    </font>
    <font>
      <b/>
      <sz val="14"/>
      <color theme="0"/>
      <name val="Calibri"/>
      <family val="2"/>
      <scheme val="minor"/>
    </font>
    <font>
      <b/>
      <sz val="12"/>
      <color theme="0"/>
      <name val="Calibri"/>
      <family val="2"/>
    </font>
    <font>
      <b/>
      <sz val="12"/>
      <color theme="1"/>
      <name val="Calibri"/>
      <family val="2"/>
      <scheme val="minor"/>
    </font>
    <font>
      <b/>
      <sz val="14"/>
      <color theme="1"/>
      <name val="Calibri"/>
      <family val="2"/>
      <scheme val="minor"/>
    </font>
    <font>
      <u/>
      <sz val="11"/>
      <color theme="10"/>
      <name val="Calibri"/>
      <family val="2"/>
      <scheme val="minor"/>
    </font>
    <font>
      <sz val="10"/>
      <color theme="1"/>
      <name val="MS Reference Sans Serif"/>
      <family val="2"/>
    </font>
    <font>
      <sz val="12"/>
      <color theme="1"/>
      <name val="Calibri"/>
      <family val="2"/>
      <scheme val="minor"/>
    </font>
    <font>
      <b/>
      <sz val="11"/>
      <color rgb="FF000000"/>
      <name val="Arial"/>
      <family val="2"/>
    </font>
    <font>
      <sz val="11"/>
      <color rgb="FF000000"/>
      <name val="Calibri"/>
      <family val="2"/>
      <scheme val="minor"/>
    </font>
    <font>
      <sz val="11"/>
      <color theme="1"/>
      <name val="Calibri Light"/>
      <family val="2"/>
      <scheme val="major"/>
    </font>
    <font>
      <b/>
      <sz val="11"/>
      <name val="Calibri Light"/>
      <family val="2"/>
      <scheme val="major"/>
    </font>
    <font>
      <b/>
      <sz val="11"/>
      <color rgb="FF000000"/>
      <name val="Calibri Light"/>
      <family val="2"/>
      <scheme val="major"/>
    </font>
    <font>
      <b/>
      <sz val="11"/>
      <color rgb="FFFF0000"/>
      <name val="Calibri Light"/>
      <family val="2"/>
      <scheme val="major"/>
    </font>
    <font>
      <b/>
      <sz val="11"/>
      <color theme="0"/>
      <name val="Calibri Light"/>
      <family val="2"/>
      <scheme val="major"/>
    </font>
    <font>
      <b/>
      <sz val="11"/>
      <color theme="1"/>
      <name val="Calibri Light"/>
      <family val="2"/>
      <scheme val="major"/>
    </font>
    <font>
      <b/>
      <i/>
      <sz val="11"/>
      <color theme="1"/>
      <name val="Calibri"/>
      <family val="2"/>
      <scheme val="minor"/>
    </font>
    <font>
      <i/>
      <sz val="11"/>
      <color theme="1"/>
      <name val="Calibri"/>
      <family val="2"/>
      <scheme val="minor"/>
    </font>
    <font>
      <sz val="11"/>
      <color rgb="FF333333"/>
      <name val="Calibri"/>
      <family val="2"/>
      <scheme val="minor"/>
    </font>
    <font>
      <b/>
      <sz val="11"/>
      <color rgb="FF333333"/>
      <name val="Calibri"/>
      <family val="2"/>
      <scheme val="minor"/>
    </font>
    <font>
      <b/>
      <sz val="9"/>
      <color indexed="81"/>
      <name val="Tahoma"/>
      <family val="2"/>
    </font>
    <font>
      <sz val="9"/>
      <color indexed="81"/>
      <name val="Tahoma"/>
      <family val="2"/>
    </font>
    <font>
      <b/>
      <sz val="11"/>
      <name val="Calibri"/>
      <family val="2"/>
      <scheme val="minor"/>
    </font>
    <font>
      <b/>
      <sz val="9"/>
      <color theme="1"/>
      <name val="MS Reference Sans Serif"/>
      <family val="2"/>
    </font>
    <font>
      <sz val="9"/>
      <color theme="1"/>
      <name val="MS Reference Sans Serif"/>
      <family val="2"/>
    </font>
    <font>
      <b/>
      <sz val="9"/>
      <color rgb="FFFF0000"/>
      <name val="MS Reference Sans Serif"/>
      <family val="2"/>
    </font>
    <font>
      <b/>
      <sz val="9"/>
      <color theme="0"/>
      <name val="MS Reference Sans Serif"/>
      <family val="2"/>
    </font>
    <font>
      <sz val="9"/>
      <color rgb="FF000000"/>
      <name val="Verdana"/>
      <family val="2"/>
    </font>
    <font>
      <sz val="11"/>
      <color theme="0" tint="-4.9989318521683403E-2"/>
      <name val="Calibri"/>
      <family val="2"/>
      <scheme val="minor"/>
    </font>
    <font>
      <b/>
      <sz val="10"/>
      <name val="Arial"/>
      <family val="2"/>
    </font>
    <font>
      <sz val="12"/>
      <color theme="1"/>
      <name val="Calibri Light"/>
      <family val="2"/>
      <scheme val="major"/>
    </font>
    <font>
      <b/>
      <sz val="12"/>
      <color rgb="FF002060"/>
      <name val="Calibri Light"/>
      <family val="2"/>
      <scheme val="major"/>
    </font>
    <font>
      <b/>
      <sz val="12"/>
      <color theme="1"/>
      <name val="Calibri Light"/>
      <family val="2"/>
      <scheme val="major"/>
    </font>
    <font>
      <b/>
      <sz val="12"/>
      <color theme="0"/>
      <name val="Calibri Light"/>
      <family val="2"/>
      <scheme val="major"/>
    </font>
    <font>
      <b/>
      <sz val="12"/>
      <name val="Calibri Light"/>
      <family val="2"/>
      <scheme val="major"/>
    </font>
    <font>
      <sz val="12"/>
      <color rgb="FF000000"/>
      <name val="Calibri Light"/>
      <family val="2"/>
      <scheme val="major"/>
    </font>
    <font>
      <b/>
      <sz val="12"/>
      <color rgb="FF000000"/>
      <name val="Calibri Light"/>
      <family val="2"/>
      <scheme val="major"/>
    </font>
    <font>
      <sz val="12"/>
      <name val="Calibri Light"/>
      <family val="2"/>
      <scheme val="major"/>
    </font>
    <font>
      <sz val="12"/>
      <color theme="0"/>
      <name val="Calibri Light"/>
      <family val="2"/>
      <scheme val="major"/>
    </font>
    <font>
      <b/>
      <sz val="12"/>
      <color rgb="FFFF0000"/>
      <name val="Calibri Light"/>
      <family val="2"/>
      <scheme val="major"/>
    </font>
    <font>
      <sz val="12"/>
      <color rgb="FF000099"/>
      <name val="Calibri Light"/>
      <family val="2"/>
      <scheme val="major"/>
    </font>
    <font>
      <sz val="12"/>
      <color rgb="FFFF0000"/>
      <name val="Calibri Light"/>
      <family val="2"/>
      <scheme val="major"/>
    </font>
    <font>
      <b/>
      <sz val="20"/>
      <color theme="0"/>
      <name val="Calibri Light"/>
      <family val="2"/>
      <scheme val="major"/>
    </font>
    <font>
      <b/>
      <sz val="18"/>
      <color theme="1"/>
      <name val="Calibri Light"/>
      <family val="2"/>
      <scheme val="major"/>
    </font>
    <font>
      <b/>
      <sz val="12"/>
      <color theme="1"/>
      <name val="Arial"/>
      <family val="2"/>
    </font>
    <font>
      <b/>
      <sz val="16"/>
      <color theme="1"/>
      <name val="Gisha"/>
      <family val="2"/>
    </font>
    <font>
      <b/>
      <sz val="12"/>
      <color theme="0"/>
      <name val="Gisha"/>
      <family val="2"/>
    </font>
    <font>
      <sz val="12"/>
      <color theme="0"/>
      <name val="Gisha"/>
      <family val="2"/>
    </font>
    <font>
      <sz val="10"/>
      <name val="Gisha"/>
      <family val="2"/>
    </font>
    <font>
      <b/>
      <sz val="11"/>
      <color theme="1"/>
      <name val="Arial"/>
      <family val="2"/>
    </font>
    <font>
      <sz val="11"/>
      <color theme="1"/>
      <name val="Arial"/>
      <family val="2"/>
    </font>
    <font>
      <b/>
      <sz val="10"/>
      <color theme="1"/>
      <name val="Calibri"/>
      <family val="2"/>
      <scheme val="minor"/>
    </font>
    <font>
      <sz val="10"/>
      <color theme="1"/>
      <name val="Calibri"/>
      <family val="2"/>
      <scheme val="minor"/>
    </font>
    <font>
      <sz val="18"/>
      <name val="Arial"/>
      <family val="2"/>
    </font>
    <font>
      <b/>
      <sz val="14"/>
      <color rgb="FFFFFFFF"/>
      <name val="Calibri"/>
      <family val="2"/>
    </font>
    <font>
      <b/>
      <sz val="12"/>
      <color rgb="FF000000"/>
      <name val="Calibri"/>
      <family val="2"/>
    </font>
    <font>
      <sz val="13.5"/>
      <color rgb="FF000000"/>
      <name val="Calibri"/>
      <family val="2"/>
    </font>
    <font>
      <b/>
      <sz val="16"/>
      <color rgb="FF000000"/>
      <name val="Calibri"/>
      <family val="2"/>
    </font>
    <font>
      <sz val="11"/>
      <name val="Calibri"/>
      <family val="2"/>
      <scheme val="minor"/>
    </font>
    <font>
      <sz val="10"/>
      <name val="MS Reference Sans Serif"/>
      <family val="2"/>
    </font>
    <font>
      <b/>
      <sz val="11"/>
      <color theme="9" tint="-0.499984740745262"/>
      <name val="Calibri"/>
      <family val="2"/>
      <scheme val="minor"/>
    </font>
    <font>
      <sz val="11"/>
      <name val="Calibri Light"/>
      <family val="2"/>
      <scheme val="major"/>
    </font>
    <font>
      <sz val="16"/>
      <color theme="1"/>
      <name val="Calibri Light"/>
      <family val="2"/>
      <scheme val="major"/>
    </font>
    <font>
      <b/>
      <sz val="16"/>
      <color theme="1"/>
      <name val="Calibri Light"/>
      <family val="2"/>
      <scheme val="major"/>
    </font>
    <font>
      <sz val="8"/>
      <name val="Calibri"/>
      <family val="2"/>
      <scheme val="minor"/>
    </font>
    <font>
      <sz val="10"/>
      <name val="Arial"/>
      <family val="2"/>
    </font>
    <font>
      <b/>
      <sz val="12"/>
      <name val="Arial"/>
      <family val="2"/>
    </font>
    <font>
      <sz val="12"/>
      <name val="Arial"/>
      <family val="2"/>
    </font>
    <font>
      <b/>
      <sz val="12"/>
      <color theme="0"/>
      <name val="Arial"/>
      <family val="2"/>
    </font>
    <font>
      <b/>
      <sz val="11"/>
      <color theme="0"/>
      <name val="Arial"/>
      <family val="2"/>
    </font>
    <font>
      <b/>
      <sz val="18"/>
      <color theme="0"/>
      <name val="Calibri Light"/>
      <family val="2"/>
      <scheme val="major"/>
    </font>
    <font>
      <b/>
      <sz val="14"/>
      <color theme="0"/>
      <name val="MS Reference Sans Serif"/>
      <family val="2"/>
    </font>
    <font>
      <sz val="18"/>
      <color theme="0"/>
      <name val="Calibri"/>
      <family val="2"/>
      <scheme val="minor"/>
    </font>
    <font>
      <sz val="20"/>
      <color theme="0"/>
      <name val="Calibri"/>
      <family val="2"/>
      <scheme val="minor"/>
    </font>
    <font>
      <b/>
      <i/>
      <sz val="11"/>
      <color theme="0"/>
      <name val="Calibri"/>
      <family val="2"/>
      <scheme val="minor"/>
    </font>
    <font>
      <sz val="11"/>
      <color rgb="FF002060"/>
      <name val="Calibri"/>
      <family val="2"/>
      <scheme val="minor"/>
    </font>
    <font>
      <b/>
      <sz val="16"/>
      <color theme="0"/>
      <name val="Calibri"/>
      <family val="2"/>
      <scheme val="minor"/>
    </font>
    <font>
      <b/>
      <sz val="20"/>
      <color theme="0"/>
      <name val="Calibri"/>
      <family val="2"/>
      <scheme val="minor"/>
    </font>
    <font>
      <sz val="22"/>
      <color theme="1"/>
      <name val="Calibri"/>
      <family val="2"/>
      <scheme val="minor"/>
    </font>
    <font>
      <sz val="22"/>
      <color theme="0"/>
      <name val="Calibri"/>
      <family val="2"/>
      <scheme val="minor"/>
    </font>
    <font>
      <sz val="24"/>
      <color theme="0"/>
      <name val="Calibri Light"/>
      <family val="2"/>
      <scheme val="major"/>
    </font>
    <font>
      <b/>
      <sz val="10"/>
      <color rgb="FF000000"/>
      <name val="Calibri"/>
      <family val="2"/>
    </font>
    <font>
      <sz val="10"/>
      <color rgb="FF000000"/>
      <name val="Calibri"/>
      <family val="2"/>
    </font>
    <font>
      <b/>
      <sz val="10"/>
      <color rgb="FF002060"/>
      <name val="Calibri"/>
      <family val="2"/>
      <scheme val="minor"/>
    </font>
    <font>
      <b/>
      <sz val="11"/>
      <color theme="0"/>
      <name val="Helvetica"/>
      <family val="2"/>
    </font>
    <font>
      <sz val="11"/>
      <color theme="1"/>
      <name val="Helvetica"/>
      <family val="2"/>
    </font>
    <font>
      <b/>
      <sz val="20"/>
      <color theme="0" tint="-4.9989318521683403E-2"/>
      <name val="Calibri Light"/>
      <family val="2"/>
      <scheme val="major"/>
    </font>
    <font>
      <sz val="16"/>
      <color theme="0"/>
      <name val="Calibri Light"/>
      <family val="2"/>
      <scheme val="major"/>
    </font>
    <font>
      <b/>
      <sz val="22"/>
      <color theme="0"/>
      <name val="Calibri Light"/>
      <family val="2"/>
      <scheme val="major"/>
    </font>
    <font>
      <sz val="20"/>
      <color theme="0"/>
      <name val="Calibri Light"/>
      <family val="2"/>
      <scheme val="major"/>
    </font>
    <font>
      <sz val="22"/>
      <color theme="0"/>
      <name val="Calibri Light"/>
      <family val="2"/>
      <scheme val="major"/>
    </font>
    <font>
      <b/>
      <sz val="16"/>
      <color rgb="FF002060"/>
      <name val="Calibri Light"/>
      <family val="2"/>
      <scheme val="major"/>
    </font>
    <font>
      <b/>
      <sz val="20"/>
      <color rgb="FF002060"/>
      <name val="Calibri Light"/>
      <family val="2"/>
      <scheme val="major"/>
    </font>
    <font>
      <b/>
      <sz val="14"/>
      <color rgb="FF002060"/>
      <name val="Calibri Light"/>
      <family val="2"/>
      <scheme val="major"/>
    </font>
    <font>
      <sz val="14"/>
      <color rgb="FF002060"/>
      <name val="Calibri Light"/>
      <family val="2"/>
      <scheme val="major"/>
    </font>
    <font>
      <b/>
      <sz val="14"/>
      <color theme="1"/>
      <name val="Calibri"/>
      <family val="2"/>
    </font>
    <font>
      <b/>
      <sz val="9"/>
      <name val="MS Reference Sans Serif"/>
      <family val="2"/>
    </font>
    <font>
      <sz val="9"/>
      <name val="MS Reference Sans Serif"/>
      <family val="2"/>
    </font>
    <font>
      <b/>
      <sz val="9"/>
      <color rgb="FF002060"/>
      <name val="MS Reference Sans Serif"/>
      <family val="2"/>
    </font>
    <font>
      <sz val="9"/>
      <color theme="0"/>
      <name val="MS Reference Sans Serif"/>
      <family val="2"/>
    </font>
    <font>
      <sz val="14"/>
      <color theme="0"/>
      <name val="MS Reference Sans Serif"/>
      <family val="2"/>
    </font>
    <font>
      <sz val="18"/>
      <color theme="0" tint="-4.9989318521683403E-2"/>
      <name val="Calibri"/>
      <family val="2"/>
      <scheme val="minor"/>
    </font>
    <font>
      <sz val="8"/>
      <color theme="1"/>
      <name val="Arial"/>
      <family val="2"/>
    </font>
    <font>
      <b/>
      <sz val="11"/>
      <color rgb="FF002060"/>
      <name val="Arial"/>
      <family val="2"/>
    </font>
    <font>
      <b/>
      <sz val="10"/>
      <color theme="1"/>
      <name val="Arial"/>
      <family val="2"/>
    </font>
    <font>
      <b/>
      <sz val="14"/>
      <color theme="0"/>
      <name val="Arial"/>
      <family val="2"/>
    </font>
    <font>
      <b/>
      <sz val="10"/>
      <color rgb="FF002060"/>
      <name val="Arial"/>
      <family val="2"/>
    </font>
    <font>
      <sz val="10"/>
      <color rgb="FF002060"/>
      <name val="Arial"/>
      <family val="2"/>
    </font>
    <font>
      <sz val="11"/>
      <color rgb="FF002060"/>
      <name val="Arial"/>
      <family val="2"/>
    </font>
    <font>
      <sz val="10"/>
      <color theme="1"/>
      <name val="Arial"/>
      <family val="2"/>
    </font>
    <font>
      <b/>
      <sz val="11"/>
      <color rgb="FFFF0000"/>
      <name val="Arial"/>
      <family val="2"/>
    </font>
    <font>
      <b/>
      <sz val="12"/>
      <color rgb="FF002060"/>
      <name val="Arial"/>
      <family val="2"/>
    </font>
    <font>
      <u/>
      <sz val="11"/>
      <color theme="10"/>
      <name val="Arial"/>
      <family val="2"/>
    </font>
    <font>
      <b/>
      <sz val="12"/>
      <color rgb="FF00B0F0"/>
      <name val="Arial"/>
      <family val="2"/>
    </font>
    <font>
      <sz val="12"/>
      <color rgb="FF002060"/>
      <name val="Arial"/>
      <family val="2"/>
    </font>
    <font>
      <sz val="12"/>
      <color rgb="FF000000"/>
      <name val="Arial"/>
      <family val="2"/>
    </font>
    <font>
      <b/>
      <sz val="16"/>
      <color rgb="FF000000"/>
      <name val="Arial"/>
      <family val="2"/>
    </font>
    <font>
      <b/>
      <sz val="18"/>
      <color rgb="FF002060"/>
      <name val="Arial"/>
      <family val="2"/>
    </font>
    <font>
      <sz val="18"/>
      <color rgb="FF000000"/>
      <name val="Arial"/>
      <family val="2"/>
    </font>
    <font>
      <b/>
      <sz val="18"/>
      <color rgb="FF000000"/>
      <name val="Arial"/>
      <family val="2"/>
    </font>
    <font>
      <sz val="12"/>
      <color rgb="FFFF0000"/>
      <name val="Arial"/>
      <family val="2"/>
    </font>
    <font>
      <sz val="12"/>
      <color rgb="FF0070C0"/>
      <name val="Arial"/>
      <family val="2"/>
    </font>
    <font>
      <b/>
      <sz val="18"/>
      <color theme="0"/>
      <name val="Arial"/>
      <family val="2"/>
    </font>
    <font>
      <b/>
      <sz val="12"/>
      <color theme="8" tint="-0.499984740745262"/>
      <name val="Arial"/>
      <family val="2"/>
    </font>
    <font>
      <sz val="14"/>
      <color theme="1"/>
      <name val="Arial"/>
      <family val="2"/>
    </font>
    <font>
      <b/>
      <sz val="14"/>
      <color rgb="FF002060"/>
      <name val="Arial"/>
      <family val="2"/>
    </font>
    <font>
      <b/>
      <sz val="14"/>
      <color theme="9" tint="-0.499984740745262"/>
      <name val="Arial"/>
      <family val="2"/>
    </font>
    <font>
      <b/>
      <sz val="14"/>
      <color theme="8" tint="-0.499984740745262"/>
      <name val="Arial"/>
      <family val="2"/>
    </font>
    <font>
      <b/>
      <sz val="11"/>
      <color theme="8" tint="-0.499984740745262"/>
      <name val="Arial"/>
      <family val="2"/>
    </font>
    <font>
      <sz val="12"/>
      <color theme="8" tint="-0.499984740745262"/>
      <name val="Arial"/>
      <family val="2"/>
    </font>
    <font>
      <sz val="12"/>
      <color theme="5" tint="-0.499984740745262"/>
      <name val="Arial"/>
      <family val="2"/>
    </font>
    <font>
      <b/>
      <sz val="12"/>
      <color theme="5" tint="-0.499984740745262"/>
      <name val="Arial"/>
      <family val="2"/>
    </font>
    <font>
      <b/>
      <sz val="12"/>
      <color rgb="FFFF0000"/>
      <name val="Arial"/>
      <family val="2"/>
    </font>
    <font>
      <sz val="11"/>
      <color rgb="FF242424"/>
      <name val="Aptos Narrow"/>
    </font>
    <font>
      <b/>
      <sz val="13.5"/>
      <color theme="1"/>
      <name val="Calibri"/>
      <family val="2"/>
      <scheme val="minor"/>
    </font>
    <font>
      <sz val="11"/>
      <color rgb="FF000000"/>
      <name val="Calibri"/>
      <family val="2"/>
    </font>
    <font>
      <b/>
      <sz val="12"/>
      <color rgb="FFFFFFFF"/>
      <name val="Arial"/>
      <family val="2"/>
    </font>
    <font>
      <sz val="12"/>
      <color theme="1"/>
      <name val="Arial"/>
      <family val="2"/>
    </font>
    <font>
      <sz val="11"/>
      <color rgb="FF000000"/>
      <name val="MS Reference Sans Serif"/>
      <family val="2"/>
    </font>
    <font>
      <b/>
      <sz val="16"/>
      <color rgb="FFFFFFFF"/>
      <name val="MS Reference Sans Serif"/>
      <family val="2"/>
    </font>
    <font>
      <b/>
      <sz val="11"/>
      <color rgb="FFFFFFFF"/>
      <name val="MS Reference Sans Serif"/>
      <family val="2"/>
    </font>
    <font>
      <b/>
      <sz val="11"/>
      <color rgb="FF000000"/>
      <name val="MS Reference Sans Serif"/>
      <family val="2"/>
    </font>
    <font>
      <i/>
      <u/>
      <sz val="11"/>
      <color rgb="FF0563C1"/>
      <name val="MS Reference Sans Serif"/>
      <family val="2"/>
    </font>
    <font>
      <sz val="8"/>
      <color rgb="FF000000"/>
      <name val="MS Reference Sans Serif"/>
      <family val="2"/>
    </font>
    <font>
      <b/>
      <sz val="11"/>
      <color rgb="FF000000"/>
      <name val="Calibri"/>
      <family val="2"/>
      <scheme val="minor"/>
    </font>
    <font>
      <b/>
      <sz val="12"/>
      <color rgb="FF000000"/>
      <name val="Arial"/>
      <family val="2"/>
    </font>
    <font>
      <sz val="11"/>
      <color rgb="FFFFFFFF"/>
      <name val="MS Reference Sans Serif"/>
      <family val="2"/>
    </font>
    <font>
      <sz val="11"/>
      <color rgb="FFFF0000"/>
      <name val="MS Reference Sans Serif"/>
      <family val="2"/>
    </font>
    <font>
      <sz val="11"/>
      <color theme="0"/>
      <name val="MS Reference Sans Serif"/>
      <family val="2"/>
    </font>
    <font>
      <sz val="12"/>
      <color rgb="FF000000"/>
      <name val="Calibri"/>
      <family val="2"/>
      <scheme val="minor"/>
    </font>
    <font>
      <sz val="13.5"/>
      <color rgb="FF000000"/>
      <name val="-Webkit-Standard"/>
      <charset val="1"/>
    </font>
    <font>
      <b/>
      <sz val="13.5"/>
      <color rgb="FF000000"/>
      <name val="-Webkit-Standard"/>
    </font>
    <font>
      <b/>
      <sz val="11"/>
      <color theme="0"/>
      <name val="Calibri"/>
      <family val="2"/>
    </font>
    <font>
      <b/>
      <sz val="11"/>
      <color theme="1"/>
      <name val="MS Reference Sans Serif"/>
      <family val="2"/>
    </font>
    <font>
      <sz val="10"/>
      <color rgb="FF000000"/>
      <name val="MS Reference Sans Serif"/>
      <family val="2"/>
    </font>
  </fonts>
  <fills count="54">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002060"/>
        <bgColor indexed="64"/>
      </patternFill>
    </fill>
    <fill>
      <patternFill patternType="solid">
        <fgColor theme="2"/>
        <bgColor indexed="64"/>
      </patternFill>
    </fill>
    <fill>
      <patternFill patternType="solid">
        <fgColor rgb="FF002060"/>
        <bgColor rgb="FFC9C9C9"/>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DDD9C4"/>
        <bgColor rgb="FF000000"/>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3"/>
        <bgColor indexed="64"/>
      </patternFill>
    </fill>
    <fill>
      <patternFill patternType="solid">
        <fgColor theme="4"/>
        <bgColor indexed="64"/>
      </patternFill>
    </fill>
    <fill>
      <patternFill patternType="solid">
        <fgColor rgb="FF000000"/>
        <bgColor indexed="64"/>
      </patternFill>
    </fill>
    <fill>
      <patternFill patternType="solid">
        <fgColor rgb="FFDEEBF7"/>
        <bgColor indexed="64"/>
      </patternFill>
    </fill>
    <fill>
      <patternFill patternType="solid">
        <fgColor rgb="FFE7E7E7"/>
        <bgColor indexed="64"/>
      </patternFill>
    </fill>
    <fill>
      <patternFill patternType="solid">
        <fgColor rgb="FFCBCBCB"/>
        <bgColor indexed="64"/>
      </patternFill>
    </fill>
    <fill>
      <patternFill patternType="solid">
        <fgColor theme="5" tint="0.39997558519241921"/>
        <bgColor indexed="64"/>
      </patternFill>
    </fill>
    <fill>
      <patternFill patternType="solid">
        <fgColor rgb="FFFFFF00"/>
        <bgColor rgb="FFC9C9C9"/>
      </patternFill>
    </fill>
    <fill>
      <patternFill patternType="solid">
        <fgColor rgb="FFBDD7EE"/>
        <bgColor indexed="64"/>
      </patternFill>
    </fill>
    <fill>
      <patternFill patternType="solid">
        <fgColor indexed="46"/>
      </patternFill>
    </fill>
    <fill>
      <patternFill patternType="solid">
        <fgColor indexed="57"/>
      </patternFill>
    </fill>
    <fill>
      <patternFill patternType="solid">
        <fgColor rgb="FF002060"/>
        <bgColor rgb="FF000000"/>
      </patternFill>
    </fill>
    <fill>
      <patternFill patternType="solid">
        <fgColor theme="9" tint="-0.499984740745262"/>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EDCBA9"/>
        <bgColor indexed="64"/>
      </patternFill>
    </fill>
    <fill>
      <patternFill patternType="solid">
        <fgColor rgb="FFFFFFCC"/>
        <bgColor indexed="64"/>
      </patternFill>
    </fill>
    <fill>
      <patternFill patternType="solid">
        <fgColor rgb="FFEEDDBB"/>
        <bgColor indexed="64"/>
      </patternFill>
    </fill>
    <fill>
      <patternFill patternType="solid">
        <fgColor rgb="FFFFFFFF"/>
        <bgColor indexed="64"/>
      </patternFill>
    </fill>
    <fill>
      <patternFill patternType="solid">
        <fgColor rgb="FFCC6600"/>
        <bgColor indexed="64"/>
      </patternFill>
    </fill>
    <fill>
      <patternFill patternType="solid">
        <fgColor theme="4" tint="0.39997558519241921"/>
        <bgColor auto="1"/>
      </patternFill>
    </fill>
    <fill>
      <patternFill patternType="solid">
        <fgColor rgb="FFDDEBF7"/>
        <bgColor rgb="FF000000"/>
      </patternFill>
    </fill>
    <fill>
      <patternFill patternType="solid">
        <fgColor rgb="FFFFFFFF"/>
        <bgColor rgb="FF000000"/>
      </patternFill>
    </fill>
  </fills>
  <borders count="130">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hair">
        <color indexed="64"/>
      </left>
      <right/>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ck">
        <color rgb="FFFFFFFF"/>
      </left>
      <right style="medium">
        <color rgb="FFFFFFFF"/>
      </right>
      <top style="thick">
        <color rgb="FFFFFFFF"/>
      </top>
      <bottom/>
      <diagonal/>
    </border>
    <border>
      <left style="thick">
        <color rgb="FFFFFFFF"/>
      </left>
      <right style="medium">
        <color rgb="FFFFFFFF"/>
      </right>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top style="medium">
        <color rgb="FFFFFFFF"/>
      </top>
      <bottom/>
      <diagonal/>
    </border>
    <border>
      <left style="medium">
        <color rgb="FFFFFFFF"/>
      </left>
      <right/>
      <top/>
      <bottom/>
      <diagonal/>
    </border>
    <border>
      <left style="medium">
        <color rgb="FFFFFFFF"/>
      </left>
      <right/>
      <top/>
      <bottom style="thick">
        <color rgb="FFFFFFFF"/>
      </bottom>
      <diagonal/>
    </border>
    <border>
      <left style="thin">
        <color indexed="64"/>
      </left>
      <right style="medium">
        <color indexed="64"/>
      </right>
      <top style="medium">
        <color indexed="64"/>
      </top>
      <bottom style="medium">
        <color indexed="64"/>
      </bottom>
      <diagonal/>
    </border>
    <border>
      <left style="thin">
        <color rgb="FF779922"/>
      </left>
      <right style="thin">
        <color rgb="FF779922"/>
      </right>
      <top/>
      <bottom/>
      <diagonal/>
    </border>
    <border>
      <left style="thin">
        <color rgb="FF779922"/>
      </left>
      <right/>
      <top/>
      <bottom style="thin">
        <color rgb="FF779922"/>
      </bottom>
      <diagonal/>
    </border>
    <border>
      <left style="medium">
        <color indexed="64"/>
      </left>
      <right style="thin">
        <color rgb="FF779922"/>
      </right>
      <top/>
      <bottom/>
      <diagonal/>
    </border>
    <border>
      <left style="thin">
        <color rgb="FF779922"/>
      </left>
      <right style="medium">
        <color indexed="64"/>
      </right>
      <top/>
      <bottom style="thin">
        <color rgb="FF779922"/>
      </bottom>
      <diagonal/>
    </border>
    <border>
      <left style="thin">
        <color rgb="FF779922"/>
      </left>
      <right/>
      <top style="thin">
        <color rgb="FF779922"/>
      </top>
      <bottom style="thin">
        <color rgb="FF779922"/>
      </bottom>
      <diagonal/>
    </border>
    <border>
      <left style="thin">
        <color rgb="FF779922"/>
      </left>
      <right style="medium">
        <color indexed="64"/>
      </right>
      <top style="thin">
        <color rgb="FF779922"/>
      </top>
      <bottom style="thin">
        <color rgb="FF779922"/>
      </bottom>
      <diagonal/>
    </border>
    <border>
      <left style="thin">
        <color rgb="FF779922"/>
      </left>
      <right style="thin">
        <color rgb="FF779922"/>
      </right>
      <top/>
      <bottom style="thin">
        <color rgb="FF779922"/>
      </bottom>
      <diagonal/>
    </border>
    <border>
      <left style="thin">
        <color rgb="FF779922"/>
      </left>
      <right style="thin">
        <color rgb="FF779922"/>
      </right>
      <top style="thin">
        <color rgb="FF779922"/>
      </top>
      <bottom/>
      <diagonal/>
    </border>
    <border>
      <left style="medium">
        <color indexed="64"/>
      </left>
      <right style="thin">
        <color rgb="FF779922"/>
      </right>
      <top/>
      <bottom style="thin">
        <color rgb="FF779922"/>
      </bottom>
      <diagonal/>
    </border>
    <border>
      <left style="medium">
        <color indexed="64"/>
      </left>
      <right style="thin">
        <color rgb="FF779922"/>
      </right>
      <top style="thin">
        <color rgb="FF779922"/>
      </top>
      <bottom/>
      <diagonal/>
    </border>
    <border>
      <left style="medium">
        <color indexed="64"/>
      </left>
      <right/>
      <top style="thin">
        <color rgb="FF779922"/>
      </top>
      <bottom/>
      <diagonal/>
    </border>
    <border>
      <left/>
      <right style="thin">
        <color rgb="FF779922"/>
      </right>
      <top style="thin">
        <color rgb="FF779922"/>
      </top>
      <bottom/>
      <diagonal/>
    </border>
    <border>
      <left/>
      <right style="thin">
        <color rgb="FF779922"/>
      </right>
      <top/>
      <bottom/>
      <diagonal/>
    </border>
    <border>
      <left style="medium">
        <color indexed="64"/>
      </left>
      <right/>
      <top/>
      <bottom style="thin">
        <color rgb="FF779922"/>
      </bottom>
      <diagonal/>
    </border>
    <border>
      <left/>
      <right style="thin">
        <color rgb="FF779922"/>
      </right>
      <top/>
      <bottom style="thin">
        <color rgb="FF779922"/>
      </bottom>
      <diagonal/>
    </border>
    <border>
      <left/>
      <right style="thin">
        <color rgb="FF779922"/>
      </right>
      <top/>
      <bottom style="medium">
        <color indexed="64"/>
      </bottom>
      <diagonal/>
    </border>
    <border>
      <left style="thin">
        <color rgb="FF779922"/>
      </left>
      <right style="medium">
        <color indexed="64"/>
      </right>
      <top style="thin">
        <color rgb="FF779922"/>
      </top>
      <bottom style="medium">
        <color indexed="64"/>
      </bottom>
      <diagonal/>
    </border>
    <border>
      <left style="thin">
        <color rgb="FF779922"/>
      </left>
      <right style="thin">
        <color rgb="FF779922"/>
      </right>
      <top style="thin">
        <color rgb="FF779922"/>
      </top>
      <bottom style="thin">
        <color rgb="FF779922"/>
      </bottom>
      <diagonal/>
    </border>
    <border>
      <left/>
      <right style="medium">
        <color rgb="FF000000"/>
      </right>
      <top/>
      <bottom/>
      <diagonal/>
    </border>
    <border>
      <left/>
      <right/>
      <top/>
      <bottom style="thin">
        <color rgb="FF779922"/>
      </bottom>
      <diagonal/>
    </border>
    <border>
      <left/>
      <right style="medium">
        <color rgb="FF000000"/>
      </right>
      <top/>
      <bottom style="thin">
        <color rgb="FF779922"/>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rgb="FF000000"/>
      </right>
      <top style="medium">
        <color indexed="64"/>
      </top>
      <bottom style="medium">
        <color indexed="64"/>
      </bottom>
      <diagonal/>
    </border>
    <border>
      <left/>
      <right style="thin">
        <color rgb="FF000000"/>
      </right>
      <top style="thin">
        <color indexed="64"/>
      </top>
      <bottom style="thin">
        <color indexed="64"/>
      </bottom>
      <diagonal/>
    </border>
    <border>
      <left/>
      <right/>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indexed="64"/>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style="thin">
        <color rgb="FF000000"/>
      </bottom>
      <diagonal/>
    </border>
    <border>
      <left/>
      <right style="medium">
        <color indexed="64"/>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1">
    <xf numFmtId="0" fontId="0" fillId="0" borderId="0"/>
    <xf numFmtId="41"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6" fontId="1" fillId="0" borderId="0" applyFont="0" applyFill="0" applyBorder="0" applyAlignment="0" applyProtection="0"/>
    <xf numFmtId="0" fontId="12" fillId="0" borderId="0" applyNumberFormat="0" applyFill="0" applyBorder="0" applyAlignment="0" applyProtection="0"/>
    <xf numFmtId="172" fontId="1" fillId="0" borderId="0" applyFont="0" applyFill="0" applyBorder="0" applyAlignment="0" applyProtection="0"/>
    <xf numFmtId="0" fontId="72" fillId="0" borderId="0"/>
    <xf numFmtId="0" fontId="1" fillId="40" borderId="0" applyNumberFormat="0" applyBorder="0" applyAlignment="0" applyProtection="0"/>
    <xf numFmtId="0" fontId="6" fillId="41" borderId="0" applyNumberFormat="0" applyBorder="0" applyAlignment="0" applyProtection="0"/>
  </cellStyleXfs>
  <cellXfs count="1345">
    <xf numFmtId="0" fontId="0" fillId="0" borderId="0" xfId="0"/>
    <xf numFmtId="165" fontId="0" fillId="0" borderId="0" xfId="2" applyFont="1"/>
    <xf numFmtId="0" fontId="0" fillId="0" borderId="1" xfId="0" applyBorder="1"/>
    <xf numFmtId="165" fontId="0" fillId="0" borderId="1" xfId="0" applyNumberFormat="1" applyBorder="1"/>
    <xf numFmtId="165" fontId="0" fillId="0" borderId="1" xfId="2" applyFont="1" applyBorder="1"/>
    <xf numFmtId="0" fontId="5" fillId="7" borderId="0" xfId="0" applyFont="1" applyFill="1"/>
    <xf numFmtId="0" fontId="7" fillId="0" borderId="0" xfId="0" applyFont="1" applyAlignment="1">
      <alignment horizontal="left" vertical="center" indent="3" readingOrder="1"/>
    </xf>
    <xf numFmtId="0" fontId="8" fillId="7" borderId="0" xfId="0" applyFont="1" applyFill="1"/>
    <xf numFmtId="0" fontId="3" fillId="8" borderId="0" xfId="0" applyFont="1" applyFill="1"/>
    <xf numFmtId="0" fontId="6" fillId="7" borderId="0" xfId="0" applyFont="1" applyFill="1"/>
    <xf numFmtId="0" fontId="3" fillId="0" borderId="0" xfId="0" applyFont="1"/>
    <xf numFmtId="0" fontId="0" fillId="5" borderId="1" xfId="0" applyFill="1" applyBorder="1"/>
    <xf numFmtId="170" fontId="1" fillId="0" borderId="1" xfId="5" applyNumberFormat="1" applyBorder="1"/>
    <xf numFmtId="0" fontId="3" fillId="0" borderId="1" xfId="0" applyFont="1" applyBorder="1"/>
    <xf numFmtId="171" fontId="0" fillId="0" borderId="0" xfId="0" applyNumberFormat="1"/>
    <xf numFmtId="0" fontId="0" fillId="12" borderId="0" xfId="0" applyFill="1"/>
    <xf numFmtId="0" fontId="0" fillId="3" borderId="1" xfId="0" applyFill="1" applyBorder="1"/>
    <xf numFmtId="0" fontId="14" fillId="0" borderId="0" xfId="0" applyFont="1"/>
    <xf numFmtId="0" fontId="14" fillId="5" borderId="0" xfId="0" applyFont="1" applyFill="1"/>
    <xf numFmtId="0" fontId="6" fillId="7" borderId="1" xfId="0" applyFont="1" applyFill="1" applyBorder="1"/>
    <xf numFmtId="0" fontId="0" fillId="12" borderId="11" xfId="0" applyFill="1" applyBorder="1"/>
    <xf numFmtId="0" fontId="0" fillId="12" borderId="17" xfId="0" applyFill="1" applyBorder="1"/>
    <xf numFmtId="0" fontId="0" fillId="12" borderId="19" xfId="0" applyFill="1" applyBorder="1"/>
    <xf numFmtId="0" fontId="0" fillId="12" borderId="3" xfId="0" applyFill="1" applyBorder="1"/>
    <xf numFmtId="0" fontId="0" fillId="12" borderId="21" xfId="0" applyFill="1" applyBorder="1"/>
    <xf numFmtId="0" fontId="0" fillId="12" borderId="16" xfId="0" applyFill="1" applyBorder="1"/>
    <xf numFmtId="0" fontId="0" fillId="12" borderId="18" xfId="0" applyFill="1" applyBorder="1"/>
    <xf numFmtId="0" fontId="0" fillId="12" borderId="20" xfId="0" applyFill="1" applyBorder="1"/>
    <xf numFmtId="0" fontId="17" fillId="23" borderId="1" xfId="0" applyFont="1" applyFill="1" applyBorder="1"/>
    <xf numFmtId="0" fontId="18" fillId="23" borderId="1" xfId="0" applyFont="1" applyFill="1" applyBorder="1" applyAlignment="1">
      <alignment horizontal="center" vertical="center" wrapText="1"/>
    </xf>
    <xf numFmtId="0" fontId="17" fillId="0" borderId="0" xfId="0" applyFont="1"/>
    <xf numFmtId="168" fontId="19" fillId="23" borderId="1" xfId="0" applyNumberFormat="1" applyFont="1" applyFill="1" applyBorder="1" applyAlignment="1">
      <alignment horizontal="center" vertical="center" wrapText="1" readingOrder="1"/>
    </xf>
    <xf numFmtId="10" fontId="19" fillId="23" borderId="1" xfId="0" applyNumberFormat="1" applyFont="1" applyFill="1" applyBorder="1" applyAlignment="1">
      <alignment horizontal="center" vertical="center" wrapText="1" readingOrder="1"/>
    </xf>
    <xf numFmtId="9" fontId="19" fillId="23" borderId="1" xfId="0" applyNumberFormat="1" applyFont="1" applyFill="1" applyBorder="1" applyAlignment="1">
      <alignment horizontal="center" vertical="center" wrapText="1" readingOrder="1"/>
    </xf>
    <xf numFmtId="174" fontId="19" fillId="23" borderId="1" xfId="3" applyNumberFormat="1" applyFont="1" applyFill="1" applyBorder="1" applyAlignment="1">
      <alignment horizontal="center" vertical="center" wrapText="1" readingOrder="1"/>
    </xf>
    <xf numFmtId="0" fontId="21" fillId="7" borderId="1" xfId="0" applyFont="1" applyFill="1" applyBorder="1" applyAlignment="1">
      <alignment horizontal="center" vertical="center" wrapText="1"/>
    </xf>
    <xf numFmtId="165" fontId="17" fillId="0" borderId="1" xfId="2" applyFont="1" applyBorder="1" applyAlignment="1">
      <alignment horizontal="center"/>
    </xf>
    <xf numFmtId="165" fontId="17" fillId="0" borderId="1" xfId="2" applyFont="1" applyBorder="1"/>
    <xf numFmtId="165" fontId="17" fillId="0" borderId="0" xfId="2" applyFont="1"/>
    <xf numFmtId="165" fontId="21" fillId="7" borderId="1" xfId="2" applyFont="1" applyFill="1" applyBorder="1"/>
    <xf numFmtId="165" fontId="21" fillId="7" borderId="1" xfId="2" applyFont="1" applyFill="1" applyBorder="1" applyAlignment="1">
      <alignment horizontal="center"/>
    </xf>
    <xf numFmtId="175" fontId="0" fillId="5" borderId="1" xfId="0" applyNumberFormat="1" applyFill="1" applyBorder="1" applyAlignment="1" applyProtection="1">
      <alignment horizontal="center"/>
      <protection locked="0"/>
    </xf>
    <xf numFmtId="0" fontId="0" fillId="5" borderId="1" xfId="0" applyFill="1" applyBorder="1" applyAlignment="1" applyProtection="1">
      <alignment horizontal="center"/>
      <protection locked="0"/>
    </xf>
    <xf numFmtId="169" fontId="0" fillId="5" borderId="1" xfId="3" applyNumberFormat="1" applyFont="1" applyFill="1" applyBorder="1" applyAlignment="1" applyProtection="1">
      <alignment horizontal="center"/>
      <protection locked="0"/>
    </xf>
    <xf numFmtId="169" fontId="0" fillId="5" borderId="0" xfId="3" applyNumberFormat="1" applyFont="1" applyFill="1" applyBorder="1" applyAlignment="1" applyProtection="1">
      <alignment horizontal="center"/>
      <protection locked="0"/>
    </xf>
    <xf numFmtId="0" fontId="0" fillId="5" borderId="23" xfId="0" applyFill="1" applyBorder="1" applyProtection="1">
      <protection locked="0"/>
    </xf>
    <xf numFmtId="0" fontId="0" fillId="5" borderId="0" xfId="0" applyFill="1" applyProtection="1">
      <protection locked="0"/>
    </xf>
    <xf numFmtId="176" fontId="0" fillId="5" borderId="0" xfId="0" applyNumberFormat="1" applyFill="1" applyAlignment="1" applyProtection="1">
      <alignment horizontal="right"/>
      <protection locked="0"/>
    </xf>
    <xf numFmtId="0" fontId="0" fillId="5" borderId="24" xfId="0" applyFill="1" applyBorder="1" applyProtection="1">
      <protection locked="0"/>
    </xf>
    <xf numFmtId="0" fontId="23" fillId="5" borderId="0" xfId="0" applyFont="1" applyFill="1" applyAlignment="1" applyProtection="1">
      <alignment vertical="center" wrapText="1"/>
      <protection locked="0"/>
    </xf>
    <xf numFmtId="0" fontId="24" fillId="5" borderId="0" xfId="0" applyFont="1" applyFill="1" applyAlignment="1" applyProtection="1">
      <alignment vertical="center" wrapText="1"/>
      <protection locked="0"/>
    </xf>
    <xf numFmtId="175" fontId="0" fillId="5" borderId="0" xfId="0" applyNumberFormat="1" applyFill="1" applyProtection="1">
      <protection locked="0"/>
    </xf>
    <xf numFmtId="175" fontId="3" fillId="5" borderId="0" xfId="0" applyNumberFormat="1" applyFont="1" applyFill="1" applyAlignment="1" applyProtection="1">
      <alignment horizontal="center"/>
      <protection locked="0"/>
    </xf>
    <xf numFmtId="0" fontId="0" fillId="5" borderId="18" xfId="0" applyFill="1" applyBorder="1" applyProtection="1">
      <protection hidden="1"/>
    </xf>
    <xf numFmtId="0" fontId="0" fillId="5" borderId="0" xfId="0" applyFill="1" applyProtection="1">
      <protection hidden="1"/>
    </xf>
    <xf numFmtId="0" fontId="0" fillId="5" borderId="19" xfId="0" applyFill="1" applyBorder="1" applyAlignment="1" applyProtection="1">
      <alignment horizontal="right"/>
      <protection hidden="1"/>
    </xf>
    <xf numFmtId="0" fontId="0" fillId="5" borderId="19" xfId="0" applyFill="1" applyBorder="1" applyProtection="1">
      <protection hidden="1"/>
    </xf>
    <xf numFmtId="0" fontId="3" fillId="5" borderId="0" xfId="0" applyFont="1" applyFill="1" applyAlignment="1" applyProtection="1">
      <alignment horizontal="center"/>
      <protection locked="0"/>
    </xf>
    <xf numFmtId="0" fontId="23" fillId="5" borderId="18" xfId="0" applyFont="1" applyFill="1" applyBorder="1" applyAlignment="1" applyProtection="1">
      <alignment horizontal="left" vertical="center" indent="1"/>
      <protection hidden="1"/>
    </xf>
    <xf numFmtId="177" fontId="0" fillId="5" borderId="19" xfId="0" applyNumberFormat="1" applyFill="1" applyBorder="1" applyAlignment="1" applyProtection="1">
      <alignment horizontal="right" vertical="center"/>
      <protection hidden="1"/>
    </xf>
    <xf numFmtId="0" fontId="24" fillId="5" borderId="0" xfId="0" applyFont="1" applyFill="1" applyAlignment="1" applyProtection="1">
      <alignment horizontal="left" vertical="center" indent="1"/>
      <protection hidden="1"/>
    </xf>
    <xf numFmtId="0" fontId="3" fillId="5" borderId="1" xfId="0" applyFont="1" applyFill="1" applyBorder="1" applyAlignment="1" applyProtection="1">
      <alignment horizontal="center"/>
      <protection locked="0"/>
    </xf>
    <xf numFmtId="175" fontId="3" fillId="5" borderId="1" xfId="0" applyNumberFormat="1" applyFont="1" applyFill="1" applyBorder="1" applyAlignment="1" applyProtection="1">
      <alignment horizontal="center"/>
      <protection locked="0"/>
    </xf>
    <xf numFmtId="0" fontId="0" fillId="11" borderId="0" xfId="0" applyFill="1" applyProtection="1">
      <protection hidden="1"/>
    </xf>
    <xf numFmtId="177" fontId="0" fillId="5" borderId="0" xfId="0" applyNumberFormat="1" applyFill="1" applyAlignment="1" applyProtection="1">
      <alignment horizontal="right" vertical="center" indent="2"/>
      <protection hidden="1"/>
    </xf>
    <xf numFmtId="177" fontId="0" fillId="5" borderId="19" xfId="0" applyNumberFormat="1" applyFill="1" applyBorder="1" applyAlignment="1" applyProtection="1">
      <alignment horizontal="right" vertical="center" indent="2"/>
      <protection hidden="1"/>
    </xf>
    <xf numFmtId="10" fontId="0" fillId="5" borderId="1" xfId="3" applyNumberFormat="1" applyFont="1" applyFill="1" applyBorder="1" applyProtection="1">
      <protection locked="0"/>
    </xf>
    <xf numFmtId="10" fontId="0" fillId="5" borderId="0" xfId="3" applyNumberFormat="1" applyFont="1" applyFill="1" applyBorder="1" applyProtection="1">
      <protection locked="0"/>
    </xf>
    <xf numFmtId="0" fontId="24" fillId="5" borderId="18" xfId="0" applyFont="1" applyFill="1" applyBorder="1" applyAlignment="1" applyProtection="1">
      <alignment horizontal="left" vertical="center" indent="1"/>
      <protection hidden="1"/>
    </xf>
    <xf numFmtId="9" fontId="24" fillId="5" borderId="0" xfId="0" applyNumberFormat="1" applyFont="1" applyFill="1" applyAlignment="1" applyProtection="1">
      <alignment horizontal="left" vertical="center" indent="1"/>
      <protection hidden="1"/>
    </xf>
    <xf numFmtId="10" fontId="0" fillId="5" borderId="0" xfId="3" applyNumberFormat="1" applyFont="1" applyFill="1" applyProtection="1">
      <protection locked="0"/>
    </xf>
    <xf numFmtId="0" fontId="24" fillId="5" borderId="18" xfId="0" applyFont="1" applyFill="1" applyBorder="1" applyProtection="1">
      <protection hidden="1"/>
    </xf>
    <xf numFmtId="0" fontId="24" fillId="5" borderId="0" xfId="0" applyFont="1" applyFill="1" applyProtection="1">
      <protection hidden="1"/>
    </xf>
    <xf numFmtId="178" fontId="0" fillId="5" borderId="0" xfId="5" applyNumberFormat="1" applyFont="1" applyFill="1" applyProtection="1">
      <protection locked="0"/>
    </xf>
    <xf numFmtId="178" fontId="0" fillId="5" borderId="0" xfId="3" applyNumberFormat="1" applyFont="1" applyFill="1" applyProtection="1">
      <protection locked="0"/>
    </xf>
    <xf numFmtId="0" fontId="24" fillId="5" borderId="18" xfId="0" applyFont="1" applyFill="1" applyBorder="1" applyAlignment="1">
      <alignment horizontal="left" vertical="center" indent="1"/>
    </xf>
    <xf numFmtId="0" fontId="24" fillId="5" borderId="0" xfId="0" applyFont="1" applyFill="1" applyAlignment="1" applyProtection="1">
      <alignment horizontal="left" vertical="center" indent="1"/>
      <protection locked="0"/>
    </xf>
    <xf numFmtId="0" fontId="23" fillId="5" borderId="0" xfId="0" applyFont="1" applyFill="1" applyAlignment="1" applyProtection="1">
      <alignment vertical="center"/>
      <protection locked="0"/>
    </xf>
    <xf numFmtId="0" fontId="0" fillId="5" borderId="18" xfId="0" applyFill="1" applyBorder="1" applyAlignment="1" applyProtection="1">
      <alignment horizontal="left" vertical="center" indent="1"/>
      <protection locked="0"/>
    </xf>
    <xf numFmtId="0" fontId="0" fillId="5" borderId="0" xfId="0" applyFill="1" applyAlignment="1" applyProtection="1">
      <alignment horizontal="left" vertical="center" indent="1"/>
      <protection locked="0"/>
    </xf>
    <xf numFmtId="0" fontId="0" fillId="5" borderId="0" xfId="0" applyFill="1" applyAlignment="1" applyProtection="1">
      <alignment horizontal="right"/>
      <protection locked="0"/>
    </xf>
    <xf numFmtId="0" fontId="3" fillId="5" borderId="18" xfId="0" applyFont="1" applyFill="1" applyBorder="1" applyAlignment="1" applyProtection="1">
      <alignment horizontal="left" vertical="center" indent="1"/>
      <protection hidden="1"/>
    </xf>
    <xf numFmtId="179" fontId="3" fillId="5" borderId="19" xfId="0" applyNumberFormat="1" applyFont="1" applyFill="1" applyBorder="1" applyAlignment="1" applyProtection="1">
      <alignment horizontal="right" vertical="center"/>
      <protection hidden="1"/>
    </xf>
    <xf numFmtId="0" fontId="0" fillId="5" borderId="0" xfId="0" applyFill="1" applyAlignment="1" applyProtection="1">
      <alignment horizontal="left" vertical="center" indent="1"/>
      <protection hidden="1"/>
    </xf>
    <xf numFmtId="177" fontId="3" fillId="5" borderId="0" xfId="0" applyNumberFormat="1" applyFont="1" applyFill="1" applyAlignment="1" applyProtection="1">
      <alignment horizontal="right" vertical="center" indent="2"/>
      <protection hidden="1"/>
    </xf>
    <xf numFmtId="177" fontId="3" fillId="5" borderId="19" xfId="0" applyNumberFormat="1" applyFont="1" applyFill="1" applyBorder="1" applyAlignment="1" applyProtection="1">
      <alignment horizontal="right" vertical="center" indent="2"/>
      <protection hidden="1"/>
    </xf>
    <xf numFmtId="0" fontId="5" fillId="5" borderId="18" xfId="0" applyFont="1" applyFill="1" applyBorder="1" applyAlignment="1" applyProtection="1">
      <alignment horizontal="left" vertical="center" indent="1"/>
      <protection hidden="1"/>
    </xf>
    <xf numFmtId="0" fontId="6" fillId="5" borderId="0" xfId="0" applyFont="1" applyFill="1" applyAlignment="1" applyProtection="1">
      <alignment horizontal="left" vertical="center" indent="1"/>
      <protection hidden="1"/>
    </xf>
    <xf numFmtId="177" fontId="6" fillId="5" borderId="0" xfId="0" applyNumberFormat="1" applyFont="1" applyFill="1" applyAlignment="1" applyProtection="1">
      <alignment horizontal="right" vertical="center" indent="2"/>
      <protection hidden="1"/>
    </xf>
    <xf numFmtId="177" fontId="6" fillId="5" borderId="19" xfId="0" applyNumberFormat="1" applyFont="1" applyFill="1" applyBorder="1" applyAlignment="1" applyProtection="1">
      <alignment horizontal="right" vertical="center" indent="2"/>
      <protection hidden="1"/>
    </xf>
    <xf numFmtId="0" fontId="5" fillId="5" borderId="20" xfId="0" applyFont="1" applyFill="1" applyBorder="1" applyAlignment="1" applyProtection="1">
      <alignment horizontal="left" vertical="center" indent="1"/>
      <protection hidden="1"/>
    </xf>
    <xf numFmtId="0" fontId="6" fillId="5" borderId="3" xfId="0" applyFont="1" applyFill="1" applyBorder="1" applyAlignment="1" applyProtection="1">
      <alignment horizontal="left" vertical="center" indent="1"/>
      <protection hidden="1"/>
    </xf>
    <xf numFmtId="0" fontId="3" fillId="5" borderId="0" xfId="0" applyFont="1" applyFill="1" applyProtection="1">
      <protection locked="0"/>
    </xf>
    <xf numFmtId="177" fontId="0" fillId="5" borderId="0" xfId="0" applyNumberFormat="1" applyFill="1" applyProtection="1">
      <protection locked="0"/>
    </xf>
    <xf numFmtId="0" fontId="0" fillId="5" borderId="1" xfId="0" applyFill="1" applyBorder="1" applyProtection="1">
      <protection locked="0"/>
    </xf>
    <xf numFmtId="177" fontId="0" fillId="5" borderId="1" xfId="0" applyNumberFormat="1" applyFill="1" applyBorder="1" applyAlignment="1" applyProtection="1">
      <alignment horizontal="center"/>
      <protection locked="0"/>
    </xf>
    <xf numFmtId="9" fontId="3" fillId="3" borderId="0" xfId="3" applyFont="1" applyFill="1" applyProtection="1">
      <protection locked="0"/>
    </xf>
    <xf numFmtId="0" fontId="25" fillId="0" borderId="0" xfId="0" applyFont="1" applyAlignment="1">
      <alignment horizontal="justify" vertical="center" wrapText="1"/>
    </xf>
    <xf numFmtId="177" fontId="0" fillId="5" borderId="0" xfId="0" applyNumberFormat="1" applyFill="1" applyAlignment="1" applyProtection="1">
      <alignment horizontal="right"/>
      <protection locked="0"/>
    </xf>
    <xf numFmtId="177" fontId="0" fillId="5" borderId="1" xfId="0" applyNumberFormat="1" applyFill="1" applyBorder="1" applyProtection="1">
      <protection locked="0"/>
    </xf>
    <xf numFmtId="9" fontId="0" fillId="5" borderId="0" xfId="3" applyFont="1" applyFill="1" applyProtection="1">
      <protection locked="0"/>
    </xf>
    <xf numFmtId="1" fontId="0" fillId="5" borderId="0" xfId="0" applyNumberFormat="1" applyFill="1" applyAlignment="1" applyProtection="1">
      <alignment horizontal="right"/>
      <protection locked="0"/>
    </xf>
    <xf numFmtId="1" fontId="0" fillId="5" borderId="1" xfId="0" applyNumberFormat="1" applyFill="1" applyBorder="1" applyProtection="1">
      <protection locked="0"/>
    </xf>
    <xf numFmtId="175" fontId="11" fillId="7" borderId="0" xfId="0" applyNumberFormat="1" applyFont="1" applyFill="1" applyProtection="1">
      <protection locked="0"/>
    </xf>
    <xf numFmtId="175" fontId="3" fillId="5" borderId="1" xfId="0" applyNumberFormat="1" applyFont="1" applyFill="1" applyBorder="1" applyProtection="1">
      <protection locked="0"/>
    </xf>
    <xf numFmtId="9" fontId="0" fillId="5" borderId="1" xfId="3" applyFont="1" applyFill="1" applyBorder="1" applyProtection="1">
      <protection locked="0"/>
    </xf>
    <xf numFmtId="0" fontId="5" fillId="7" borderId="1" xfId="0" applyFont="1" applyFill="1" applyBorder="1"/>
    <xf numFmtId="9" fontId="0" fillId="0" borderId="1" xfId="0" applyNumberFormat="1" applyBorder="1"/>
    <xf numFmtId="170" fontId="0" fillId="0" borderId="1" xfId="5" applyNumberFormat="1" applyFont="1" applyBorder="1"/>
    <xf numFmtId="0" fontId="13" fillId="5" borderId="1" xfId="0" applyFont="1" applyFill="1" applyBorder="1" applyAlignment="1">
      <alignment vertical="center" wrapText="1"/>
    </xf>
    <xf numFmtId="0" fontId="31" fillId="0" borderId="6" xfId="0" applyFont="1" applyBorder="1" applyAlignment="1">
      <alignment horizontal="left" vertical="center"/>
    </xf>
    <xf numFmtId="1" fontId="31" fillId="0" borderId="0" xfId="0" applyNumberFormat="1" applyFont="1" applyAlignment="1">
      <alignment horizontal="center" vertical="center"/>
    </xf>
    <xf numFmtId="0" fontId="31" fillId="0" borderId="6" xfId="0" applyFont="1" applyBorder="1" applyAlignment="1">
      <alignment vertical="center"/>
    </xf>
    <xf numFmtId="0" fontId="31" fillId="0" borderId="0" xfId="0" applyFont="1" applyAlignment="1">
      <alignment horizontal="center" vertical="center"/>
    </xf>
    <xf numFmtId="180" fontId="31" fillId="0" borderId="0" xfId="3" applyNumberFormat="1" applyFont="1" applyBorder="1" applyAlignment="1">
      <alignment horizontal="center" vertical="center"/>
    </xf>
    <xf numFmtId="180" fontId="0" fillId="0" borderId="1" xfId="0" applyNumberFormat="1" applyBorder="1"/>
    <xf numFmtId="0" fontId="31" fillId="0" borderId="0" xfId="0" applyFont="1" applyAlignment="1">
      <alignment vertical="center"/>
    </xf>
    <xf numFmtId="0" fontId="31" fillId="0" borderId="1" xfId="0" applyFont="1" applyBorder="1" applyAlignment="1">
      <alignment horizontal="center" vertical="center"/>
    </xf>
    <xf numFmtId="180" fontId="31" fillId="0" borderId="1" xfId="0" applyNumberFormat="1" applyFont="1" applyBorder="1" applyAlignment="1">
      <alignment horizontal="center" vertical="center"/>
    </xf>
    <xf numFmtId="10" fontId="31" fillId="0" borderId="0" xfId="3" applyNumberFormat="1" applyFont="1" applyBorder="1" applyAlignment="1">
      <alignment horizontal="center" vertical="center"/>
    </xf>
    <xf numFmtId="10" fontId="31" fillId="0" borderId="0" xfId="3" applyNumberFormat="1" applyFont="1" applyAlignment="1">
      <alignment horizontal="center" vertical="center"/>
    </xf>
    <xf numFmtId="165" fontId="0" fillId="3" borderId="1" xfId="2" applyFont="1" applyFill="1" applyBorder="1"/>
    <xf numFmtId="0" fontId="31" fillId="5" borderId="0" xfId="0" applyFont="1" applyFill="1" applyAlignment="1">
      <alignment vertical="center"/>
    </xf>
    <xf numFmtId="0" fontId="0" fillId="0" borderId="0" xfId="0" applyAlignment="1">
      <alignment horizontal="center"/>
    </xf>
    <xf numFmtId="0" fontId="0" fillId="14" borderId="1" xfId="0" applyFill="1" applyBorder="1"/>
    <xf numFmtId="0" fontId="37" fillId="5" borderId="0" xfId="0" applyFont="1" applyFill="1"/>
    <xf numFmtId="0" fontId="37" fillId="5" borderId="0" xfId="0" applyFont="1" applyFill="1" applyAlignment="1">
      <alignment horizontal="center"/>
    </xf>
    <xf numFmtId="0" fontId="37" fillId="5" borderId="33" xfId="0" applyFont="1" applyFill="1" applyBorder="1" applyAlignment="1">
      <alignment horizontal="left" vertical="center" wrapText="1"/>
    </xf>
    <xf numFmtId="0" fontId="37" fillId="5" borderId="1" xfId="0" applyFont="1" applyFill="1" applyBorder="1" applyAlignment="1">
      <alignment horizontal="center" vertical="center"/>
    </xf>
    <xf numFmtId="0" fontId="37" fillId="0" borderId="33" xfId="0" applyFont="1" applyBorder="1" applyAlignment="1">
      <alignment vertical="center"/>
    </xf>
    <xf numFmtId="0" fontId="37" fillId="5" borderId="0" xfId="0" applyFont="1" applyFill="1" applyAlignment="1">
      <alignment horizontal="center" vertical="center"/>
    </xf>
    <xf numFmtId="0" fontId="37" fillId="5" borderId="0" xfId="0" applyFont="1" applyFill="1" applyAlignment="1">
      <alignment vertical="center"/>
    </xf>
    <xf numFmtId="0" fontId="40" fillId="5" borderId="41" xfId="0" applyFont="1" applyFill="1" applyBorder="1" applyAlignment="1">
      <alignment horizontal="center" vertical="center"/>
    </xf>
    <xf numFmtId="0" fontId="41" fillId="20" borderId="42" xfId="0" applyFont="1" applyFill="1" applyBorder="1" applyAlignment="1">
      <alignment horizontal="center" vertical="center" wrapText="1"/>
    </xf>
    <xf numFmtId="0" fontId="37" fillId="3" borderId="0" xfId="0" applyFont="1" applyFill="1"/>
    <xf numFmtId="0" fontId="39" fillId="5" borderId="33" xfId="0" applyFont="1" applyFill="1" applyBorder="1" applyAlignment="1">
      <alignment vertical="center"/>
    </xf>
    <xf numFmtId="0" fontId="37" fillId="5" borderId="33" xfId="0" applyFont="1" applyFill="1" applyBorder="1" applyAlignment="1">
      <alignment vertical="center"/>
    </xf>
    <xf numFmtId="0" fontId="39" fillId="4" borderId="34" xfId="0" applyFont="1" applyFill="1" applyBorder="1" applyAlignment="1">
      <alignment vertical="center"/>
    </xf>
    <xf numFmtId="167" fontId="43" fillId="4" borderId="35" xfId="0" applyNumberFormat="1" applyFont="1" applyFill="1" applyBorder="1" applyAlignment="1">
      <alignment horizontal="center" vertical="center"/>
    </xf>
    <xf numFmtId="165" fontId="37" fillId="5" borderId="0" xfId="2" applyFont="1" applyFill="1" applyBorder="1"/>
    <xf numFmtId="0" fontId="39" fillId="20" borderId="41" xfId="0" applyFont="1" applyFill="1" applyBorder="1" applyAlignment="1">
      <alignment horizontal="center" vertical="center"/>
    </xf>
    <xf numFmtId="167" fontId="37" fillId="5" borderId="1" xfId="0" applyNumberFormat="1" applyFont="1" applyFill="1" applyBorder="1" applyAlignment="1">
      <alignment horizontal="center" vertical="center"/>
    </xf>
    <xf numFmtId="0" fontId="39" fillId="2" borderId="34" xfId="0" applyFont="1" applyFill="1" applyBorder="1" applyAlignment="1">
      <alignment vertical="center"/>
    </xf>
    <xf numFmtId="167" fontId="39" fillId="2" borderId="35" xfId="0" applyNumberFormat="1" applyFont="1" applyFill="1" applyBorder="1" applyAlignment="1">
      <alignment horizontal="center" vertical="center"/>
    </xf>
    <xf numFmtId="0" fontId="41" fillId="20" borderId="28" xfId="0" applyFont="1" applyFill="1" applyBorder="1" applyAlignment="1">
      <alignment horizontal="center" vertical="center" wrapText="1"/>
    </xf>
    <xf numFmtId="0" fontId="41" fillId="20" borderId="29" xfId="0" applyFont="1" applyFill="1" applyBorder="1" applyAlignment="1">
      <alignment horizontal="center" vertical="center" wrapText="1"/>
    </xf>
    <xf numFmtId="0" fontId="41" fillId="20" borderId="29" xfId="0" applyFont="1" applyFill="1" applyBorder="1" applyAlignment="1">
      <alignment horizontal="center" vertical="top" wrapText="1"/>
    </xf>
    <xf numFmtId="180" fontId="37" fillId="5" borderId="1" xfId="0" applyNumberFormat="1" applyFont="1" applyFill="1" applyBorder="1" applyAlignment="1">
      <alignment horizontal="center" vertical="center"/>
    </xf>
    <xf numFmtId="180" fontId="37" fillId="6" borderId="1" xfId="0" applyNumberFormat="1" applyFont="1" applyFill="1" applyBorder="1" applyAlignment="1">
      <alignment horizontal="center" vertical="center"/>
    </xf>
    <xf numFmtId="0" fontId="37" fillId="5" borderId="41" xfId="0" applyFont="1" applyFill="1" applyBorder="1" applyAlignment="1">
      <alignment vertical="center"/>
    </xf>
    <xf numFmtId="0" fontId="37" fillId="5" borderId="42" xfId="0" applyFont="1" applyFill="1" applyBorder="1" applyAlignment="1">
      <alignment horizontal="center" vertical="center"/>
    </xf>
    <xf numFmtId="0" fontId="37" fillId="5" borderId="34" xfId="0" applyFont="1" applyFill="1" applyBorder="1" applyAlignment="1">
      <alignment vertical="center"/>
    </xf>
    <xf numFmtId="0" fontId="37" fillId="5" borderId="35" xfId="0" applyFont="1" applyFill="1" applyBorder="1" applyAlignment="1">
      <alignment horizontal="center" vertical="center"/>
    </xf>
    <xf numFmtId="0" fontId="37" fillId="5" borderId="36" xfId="0" applyFont="1" applyFill="1" applyBorder="1" applyAlignment="1">
      <alignment horizontal="center" vertical="center"/>
    </xf>
    <xf numFmtId="0" fontId="37" fillId="5" borderId="41" xfId="0" applyFont="1" applyFill="1" applyBorder="1"/>
    <xf numFmtId="3" fontId="37" fillId="0" borderId="33" xfId="0" applyNumberFormat="1" applyFont="1" applyBorder="1" applyAlignment="1">
      <alignment horizontal="left" vertical="center" wrapText="1"/>
    </xf>
    <xf numFmtId="167" fontId="37" fillId="0" borderId="1" xfId="0" applyNumberFormat="1" applyFont="1" applyBorder="1" applyAlignment="1">
      <alignment horizontal="center" vertical="center"/>
    </xf>
    <xf numFmtId="3" fontId="37" fillId="0" borderId="33" xfId="0" applyNumberFormat="1" applyFont="1" applyBorder="1" applyAlignment="1">
      <alignment horizontal="left" vertical="center"/>
    </xf>
    <xf numFmtId="3" fontId="39" fillId="29" borderId="34" xfId="0" applyNumberFormat="1" applyFont="1" applyFill="1" applyBorder="1" applyAlignment="1">
      <alignment horizontal="left" vertical="center" wrapText="1"/>
    </xf>
    <xf numFmtId="167" fontId="39" fillId="29" borderId="35" xfId="0" applyNumberFormat="1" applyFont="1" applyFill="1" applyBorder="1" applyAlignment="1">
      <alignment horizontal="center" vertical="center"/>
    </xf>
    <xf numFmtId="167" fontId="37" fillId="5" borderId="0" xfId="0" applyNumberFormat="1" applyFont="1" applyFill="1"/>
    <xf numFmtId="0" fontId="41" fillId="20" borderId="41" xfId="0" applyFont="1" applyFill="1" applyBorder="1" applyAlignment="1">
      <alignment horizontal="center" vertical="center" wrapText="1"/>
    </xf>
    <xf numFmtId="0" fontId="39" fillId="4" borderId="34" xfId="0" applyFont="1" applyFill="1" applyBorder="1" applyAlignment="1">
      <alignment vertical="center" wrapText="1"/>
    </xf>
    <xf numFmtId="0" fontId="39" fillId="5" borderId="33" xfId="0" applyFont="1" applyFill="1" applyBorder="1" applyAlignment="1">
      <alignment horizontal="left" vertical="center"/>
    </xf>
    <xf numFmtId="0" fontId="40" fillId="5" borderId="0" xfId="0" applyFont="1" applyFill="1" applyAlignment="1">
      <alignment vertical="center"/>
    </xf>
    <xf numFmtId="0" fontId="37" fillId="0" borderId="0" xfId="0" applyFont="1"/>
    <xf numFmtId="0" fontId="39" fillId="0" borderId="1" xfId="0" applyFont="1" applyBorder="1" applyAlignment="1">
      <alignment horizontal="center" vertical="center"/>
    </xf>
    <xf numFmtId="0" fontId="39" fillId="0" borderId="0" xfId="0" applyFont="1" applyAlignment="1">
      <alignment horizontal="center" vertical="center"/>
    </xf>
    <xf numFmtId="0" fontId="39" fillId="0" borderId="1" xfId="0" applyFont="1" applyBorder="1" applyAlignment="1">
      <alignment horizontal="left" vertical="center"/>
    </xf>
    <xf numFmtId="183" fontId="37" fillId="0" borderId="1" xfId="0" applyNumberFormat="1" applyFont="1" applyBorder="1" applyAlignment="1">
      <alignment horizontal="center" vertical="center"/>
    </xf>
    <xf numFmtId="183" fontId="37" fillId="0" borderId="0" xfId="0" applyNumberFormat="1" applyFont="1" applyAlignment="1">
      <alignment horizontal="center" vertical="center"/>
    </xf>
    <xf numFmtId="0" fontId="37" fillId="0" borderId="0" xfId="0" applyFont="1" applyAlignment="1">
      <alignment vertical="center"/>
    </xf>
    <xf numFmtId="168" fontId="37" fillId="0" borderId="0" xfId="3" applyNumberFormat="1" applyFont="1" applyBorder="1" applyAlignment="1">
      <alignment horizontal="center" vertical="center"/>
    </xf>
    <xf numFmtId="37" fontId="37" fillId="0" borderId="1" xfId="4" applyNumberFormat="1" applyFont="1" applyBorder="1" applyAlignment="1">
      <alignment horizontal="center" vertical="center"/>
    </xf>
    <xf numFmtId="37" fontId="37" fillId="0" borderId="0" xfId="4" applyNumberFormat="1" applyFont="1" applyBorder="1" applyAlignment="1">
      <alignment horizontal="center" vertical="center"/>
    </xf>
    <xf numFmtId="0" fontId="37" fillId="0" borderId="41" xfId="0" applyFont="1" applyBorder="1"/>
    <xf numFmtId="0" fontId="37" fillId="0" borderId="33" xfId="0" applyFont="1" applyBorder="1"/>
    <xf numFmtId="0" fontId="41" fillId="20" borderId="1" xfId="0" applyFont="1" applyFill="1" applyBorder="1" applyAlignment="1">
      <alignment horizontal="center" vertical="center" wrapText="1"/>
    </xf>
    <xf numFmtId="0" fontId="37" fillId="0" borderId="33" xfId="0" applyFont="1" applyBorder="1" applyAlignment="1">
      <alignment vertical="center" wrapText="1"/>
    </xf>
    <xf numFmtId="0" fontId="39" fillId="5" borderId="0" xfId="0" applyFont="1" applyFill="1" applyAlignment="1">
      <alignment vertical="center" wrapText="1"/>
    </xf>
    <xf numFmtId="183" fontId="39" fillId="5" borderId="0" xfId="0" applyNumberFormat="1" applyFont="1" applyFill="1" applyAlignment="1">
      <alignment horizontal="center" vertical="center"/>
    </xf>
    <xf numFmtId="182" fontId="37" fillId="0" borderId="0" xfId="0" applyNumberFormat="1" applyFont="1"/>
    <xf numFmtId="184" fontId="37" fillId="0" borderId="1" xfId="0" applyNumberFormat="1" applyFont="1" applyBorder="1" applyAlignment="1">
      <alignment horizontal="center" vertical="center"/>
    </xf>
    <xf numFmtId="184" fontId="39" fillId="4" borderId="35" xfId="0" applyNumberFormat="1" applyFont="1" applyFill="1" applyBorder="1" applyAlignment="1">
      <alignment horizontal="center" vertical="center"/>
    </xf>
    <xf numFmtId="10" fontId="37" fillId="5" borderId="0" xfId="0" applyNumberFormat="1" applyFont="1" applyFill="1"/>
    <xf numFmtId="0" fontId="40" fillId="5" borderId="0" xfId="0" applyFont="1" applyFill="1" applyAlignment="1">
      <alignment horizontal="center" vertical="center" wrapText="1"/>
    </xf>
    <xf numFmtId="10" fontId="39" fillId="5" borderId="0" xfId="0" applyNumberFormat="1" applyFont="1" applyFill="1" applyAlignment="1">
      <alignment horizontal="center" vertical="center"/>
    </xf>
    <xf numFmtId="185" fontId="37" fillId="5" borderId="1" xfId="0" applyNumberFormat="1" applyFont="1" applyFill="1" applyBorder="1" applyAlignment="1">
      <alignment horizontal="center" vertical="center"/>
    </xf>
    <xf numFmtId="9" fontId="37" fillId="5" borderId="0" xfId="3" applyFont="1" applyFill="1" applyBorder="1"/>
    <xf numFmtId="10" fontId="39" fillId="5" borderId="1" xfId="0" applyNumberFormat="1" applyFont="1" applyFill="1" applyBorder="1" applyAlignment="1">
      <alignment horizontal="center" vertical="center"/>
    </xf>
    <xf numFmtId="184" fontId="39" fillId="5" borderId="0" xfId="0" applyNumberFormat="1" applyFont="1" applyFill="1" applyAlignment="1">
      <alignment horizontal="center" vertical="center"/>
    </xf>
    <xf numFmtId="184" fontId="37" fillId="5" borderId="0" xfId="0" applyNumberFormat="1" applyFont="1" applyFill="1" applyAlignment="1">
      <alignment horizontal="center" vertical="center"/>
    </xf>
    <xf numFmtId="186" fontId="37" fillId="5" borderId="0" xfId="0" applyNumberFormat="1" applyFont="1" applyFill="1"/>
    <xf numFmtId="9" fontId="37" fillId="0" borderId="0" xfId="0" applyNumberFormat="1" applyFont="1" applyAlignment="1">
      <alignment horizontal="center" vertical="center"/>
    </xf>
    <xf numFmtId="0" fontId="48" fillId="5" borderId="33" xfId="0" applyFont="1" applyFill="1" applyBorder="1" applyAlignment="1">
      <alignment vertical="center"/>
    </xf>
    <xf numFmtId="0" fontId="48" fillId="5" borderId="0" xfId="0" applyFont="1" applyFill="1"/>
    <xf numFmtId="0" fontId="37" fillId="14" borderId="0" xfId="0" applyFont="1" applyFill="1"/>
    <xf numFmtId="0" fontId="46" fillId="25" borderId="0" xfId="0" applyFont="1" applyFill="1"/>
    <xf numFmtId="0" fontId="46" fillId="5" borderId="33" xfId="0" applyFont="1" applyFill="1" applyBorder="1" applyAlignment="1">
      <alignment vertical="center"/>
    </xf>
    <xf numFmtId="0" fontId="37" fillId="17" borderId="0" xfId="0" applyFont="1" applyFill="1"/>
    <xf numFmtId="0" fontId="37" fillId="5" borderId="1" xfId="0" applyFont="1" applyFill="1" applyBorder="1" applyAlignment="1">
      <alignment vertical="center"/>
    </xf>
    <xf numFmtId="165" fontId="37" fillId="5" borderId="1" xfId="0" applyNumberFormat="1" applyFont="1" applyFill="1" applyBorder="1" applyAlignment="1">
      <alignment vertical="center"/>
    </xf>
    <xf numFmtId="167" fontId="43" fillId="4" borderId="1" xfId="0" applyNumberFormat="1" applyFont="1" applyFill="1" applyBorder="1" applyAlignment="1">
      <alignment horizontal="center" vertical="center"/>
    </xf>
    <xf numFmtId="0" fontId="0" fillId="5" borderId="0" xfId="0" applyFill="1"/>
    <xf numFmtId="165" fontId="0" fillId="5" borderId="0" xfId="0" applyNumberFormat="1" applyFill="1"/>
    <xf numFmtId="0" fontId="48" fillId="0" borderId="33" xfId="0" applyFont="1" applyBorder="1" applyAlignment="1">
      <alignment vertical="center" wrapText="1"/>
    </xf>
    <xf numFmtId="0" fontId="48" fillId="5" borderId="1" xfId="0" applyFont="1" applyFill="1" applyBorder="1" applyAlignment="1">
      <alignment vertical="center"/>
    </xf>
    <xf numFmtId="0" fontId="48" fillId="5" borderId="0" xfId="0" applyFont="1" applyFill="1" applyAlignment="1">
      <alignment vertical="center"/>
    </xf>
    <xf numFmtId="0" fontId="37" fillId="0" borderId="31" xfId="0" applyFont="1" applyBorder="1"/>
    <xf numFmtId="0" fontId="39" fillId="0" borderId="41" xfId="0" applyFont="1" applyBorder="1" applyAlignment="1">
      <alignment vertical="center"/>
    </xf>
    <xf numFmtId="9" fontId="37" fillId="0" borderId="43" xfId="3" applyFont="1" applyBorder="1" applyAlignment="1">
      <alignment horizontal="center" vertical="center" wrapText="1"/>
    </xf>
    <xf numFmtId="0" fontId="37" fillId="0" borderId="8" xfId="0" applyFont="1" applyBorder="1"/>
    <xf numFmtId="9" fontId="37" fillId="0" borderId="10" xfId="0" applyNumberFormat="1" applyFont="1" applyBorder="1"/>
    <xf numFmtId="0" fontId="40" fillId="7" borderId="0" xfId="0" applyFont="1" applyFill="1" applyAlignment="1">
      <alignment horizontal="center" vertical="center"/>
    </xf>
    <xf numFmtId="173" fontId="37" fillId="0" borderId="0" xfId="4" applyNumberFormat="1" applyFont="1" applyAlignment="1">
      <alignment vertical="center"/>
    </xf>
    <xf numFmtId="1" fontId="37" fillId="0" borderId="0" xfId="0" applyNumberFormat="1" applyFont="1" applyAlignment="1">
      <alignment horizontal="right" vertical="center"/>
    </xf>
    <xf numFmtId="0" fontId="37" fillId="5" borderId="1" xfId="0" applyFont="1" applyFill="1" applyBorder="1"/>
    <xf numFmtId="0" fontId="39" fillId="12" borderId="1" xfId="0" applyFont="1" applyFill="1" applyBorder="1"/>
    <xf numFmtId="0" fontId="41" fillId="20" borderId="50" xfId="0" applyFont="1" applyFill="1" applyBorder="1" applyAlignment="1">
      <alignment horizontal="center" vertical="center" wrapText="1"/>
    </xf>
    <xf numFmtId="167" fontId="37" fillId="0" borderId="22" xfId="0" applyNumberFormat="1" applyFont="1" applyBorder="1" applyAlignment="1">
      <alignment horizontal="center" vertical="center"/>
    </xf>
    <xf numFmtId="0" fontId="57" fillId="0" borderId="1" xfId="0" applyFont="1" applyBorder="1" applyAlignment="1">
      <alignment horizontal="center" vertical="center" wrapText="1"/>
    </xf>
    <xf numFmtId="0" fontId="57" fillId="0" borderId="1" xfId="0" applyFont="1" applyBorder="1" applyAlignment="1">
      <alignment horizontal="left" vertical="center" wrapText="1"/>
    </xf>
    <xf numFmtId="0" fontId="56" fillId="0" borderId="1" xfId="0" applyFont="1" applyBorder="1" applyAlignment="1">
      <alignment horizontal="center" vertical="center" textRotation="90" wrapText="1"/>
    </xf>
    <xf numFmtId="0" fontId="55" fillId="0" borderId="1" xfId="0" applyFont="1" applyBorder="1" applyAlignment="1">
      <alignment horizontal="center" vertical="center" wrapText="1"/>
    </xf>
    <xf numFmtId="0" fontId="0" fillId="0" borderId="33" xfId="0" applyBorder="1"/>
    <xf numFmtId="0" fontId="12" fillId="0" borderId="0" xfId="6"/>
    <xf numFmtId="0" fontId="62" fillId="34" borderId="64" xfId="0" applyFont="1" applyFill="1" applyBorder="1" applyAlignment="1">
      <alignment horizontal="center" vertical="center" wrapText="1" readingOrder="1"/>
    </xf>
    <xf numFmtId="0" fontId="62" fillId="34" borderId="65" xfId="0" applyFont="1" applyFill="1" applyBorder="1" applyAlignment="1">
      <alignment horizontal="center" vertical="center" wrapText="1" readingOrder="1"/>
    </xf>
    <xf numFmtId="0" fontId="62" fillId="34" borderId="66" xfId="0" applyFont="1" applyFill="1" applyBorder="1" applyAlignment="1">
      <alignment horizontal="center" vertical="center" wrapText="1" readingOrder="1"/>
    </xf>
    <xf numFmtId="0" fontId="62" fillId="34" borderId="67" xfId="0" applyFont="1" applyFill="1" applyBorder="1" applyAlignment="1">
      <alignment horizontal="center" vertical="center" wrapText="1" readingOrder="1"/>
    </xf>
    <xf numFmtId="0" fontId="63" fillId="35" borderId="57" xfId="0" applyFont="1" applyFill="1" applyBorder="1" applyAlignment="1">
      <alignment horizontal="left" vertical="center" wrapText="1" readingOrder="1"/>
    </xf>
    <xf numFmtId="0" fontId="60" fillId="35" borderId="57" xfId="0" applyFont="1" applyFill="1" applyBorder="1" applyAlignment="1">
      <alignment vertical="top" wrapText="1"/>
    </xf>
    <xf numFmtId="0" fontId="60" fillId="35" borderId="58" xfId="0" applyFont="1" applyFill="1" applyBorder="1" applyAlignment="1">
      <alignment vertical="top" wrapText="1"/>
    </xf>
    <xf numFmtId="0" fontId="63" fillId="36" borderId="58" xfId="0" applyFont="1" applyFill="1" applyBorder="1" applyAlignment="1">
      <alignment horizontal="left" vertical="center" wrapText="1" readingOrder="1"/>
    </xf>
    <xf numFmtId="0" fontId="60" fillId="36" borderId="58" xfId="0" applyFont="1" applyFill="1" applyBorder="1" applyAlignment="1">
      <alignment vertical="top" wrapText="1"/>
    </xf>
    <xf numFmtId="0" fontId="63" fillId="35" borderId="58" xfId="0" applyFont="1" applyFill="1" applyBorder="1" applyAlignment="1">
      <alignment horizontal="left" vertical="center" wrapText="1" readingOrder="1"/>
    </xf>
    <xf numFmtId="0" fontId="64" fillId="34" borderId="58" xfId="0" applyFont="1" applyFill="1" applyBorder="1" applyAlignment="1">
      <alignment horizontal="left" vertical="center" wrapText="1" readingOrder="1"/>
    </xf>
    <xf numFmtId="0" fontId="64" fillId="34" borderId="58" xfId="0" applyFont="1" applyFill="1" applyBorder="1" applyAlignment="1">
      <alignment horizontal="left" vertical="center" wrapText="1" indent="4" readingOrder="1"/>
    </xf>
    <xf numFmtId="0" fontId="60" fillId="34" borderId="58" xfId="0" applyFont="1" applyFill="1" applyBorder="1" applyAlignment="1">
      <alignment vertical="top" wrapText="1"/>
    </xf>
    <xf numFmtId="0" fontId="64" fillId="34" borderId="58" xfId="0" applyFont="1" applyFill="1" applyBorder="1" applyAlignment="1">
      <alignment horizontal="center" vertical="center" wrapText="1" readingOrder="1"/>
    </xf>
    <xf numFmtId="0" fontId="8" fillId="5" borderId="0" xfId="0" applyFont="1" applyFill="1"/>
    <xf numFmtId="0" fontId="0" fillId="13" borderId="1" xfId="0" applyFill="1" applyBorder="1"/>
    <xf numFmtId="0" fontId="18" fillId="10"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8" fillId="23" borderId="47" xfId="0" applyFont="1" applyFill="1" applyBorder="1" applyAlignment="1">
      <alignment horizontal="center" vertical="center" wrapText="1"/>
    </xf>
    <xf numFmtId="0" fontId="17" fillId="23" borderId="22" xfId="0" applyFont="1" applyFill="1" applyBorder="1"/>
    <xf numFmtId="165" fontId="21" fillId="7" borderId="22" xfId="2" applyFont="1" applyFill="1" applyBorder="1" applyAlignment="1">
      <alignment horizontal="center"/>
    </xf>
    <xf numFmtId="165" fontId="21" fillId="7" borderId="47" xfId="2" applyFont="1" applyFill="1" applyBorder="1" applyAlignment="1">
      <alignment horizontal="center"/>
    </xf>
    <xf numFmtId="168" fontId="19" fillId="23" borderId="33" xfId="0" applyNumberFormat="1" applyFont="1" applyFill="1" applyBorder="1" applyAlignment="1">
      <alignment horizontal="center" vertical="center" wrapText="1" readingOrder="1"/>
    </xf>
    <xf numFmtId="169" fontId="20" fillId="23" borderId="32" xfId="0" applyNumberFormat="1" applyFont="1" applyFill="1" applyBorder="1" applyAlignment="1">
      <alignment horizontal="center" vertical="center" wrapText="1" readingOrder="1"/>
    </xf>
    <xf numFmtId="0" fontId="18" fillId="10" borderId="33" xfId="0" applyFont="1" applyFill="1" applyBorder="1" applyAlignment="1">
      <alignment horizontal="center" vertical="center" wrapText="1"/>
    </xf>
    <xf numFmtId="0" fontId="18" fillId="10" borderId="32" xfId="0" applyFont="1" applyFill="1" applyBorder="1" applyAlignment="1">
      <alignment horizontal="center" vertical="center" wrapText="1"/>
    </xf>
    <xf numFmtId="165" fontId="21" fillId="7" borderId="34" xfId="2" applyFont="1" applyFill="1" applyBorder="1" applyAlignment="1">
      <alignment horizontal="center"/>
    </xf>
    <xf numFmtId="165" fontId="21" fillId="7" borderId="35" xfId="2" applyFont="1" applyFill="1" applyBorder="1" applyAlignment="1">
      <alignment horizontal="center"/>
    </xf>
    <xf numFmtId="165" fontId="21" fillId="7" borderId="36" xfId="2" applyFont="1" applyFill="1" applyBorder="1" applyAlignment="1">
      <alignment horizontal="center"/>
    </xf>
    <xf numFmtId="9" fontId="19" fillId="23" borderId="33" xfId="3" applyFont="1" applyFill="1" applyBorder="1" applyAlignment="1">
      <alignment horizontal="center" vertical="center" wrapText="1" readingOrder="1"/>
    </xf>
    <xf numFmtId="9" fontId="19" fillId="23" borderId="32" xfId="0" applyNumberFormat="1" applyFont="1" applyFill="1" applyBorder="1" applyAlignment="1">
      <alignment horizontal="center" vertical="center" wrapText="1" readingOrder="1"/>
    </xf>
    <xf numFmtId="0" fontId="18" fillId="15" borderId="33" xfId="0" applyFont="1" applyFill="1" applyBorder="1" applyAlignment="1">
      <alignment horizontal="center" vertical="center" wrapText="1"/>
    </xf>
    <xf numFmtId="0" fontId="18" fillId="15" borderId="32" xfId="0" applyFont="1" applyFill="1" applyBorder="1" applyAlignment="1">
      <alignment horizontal="center" vertical="center" wrapText="1"/>
    </xf>
    <xf numFmtId="174" fontId="19" fillId="23" borderId="47" xfId="3" applyNumberFormat="1" applyFont="1" applyFill="1" applyBorder="1" applyAlignment="1">
      <alignment horizontal="center" vertical="center" wrapText="1" readingOrder="1"/>
    </xf>
    <xf numFmtId="0" fontId="18" fillId="13" borderId="47" xfId="0" applyFont="1" applyFill="1" applyBorder="1" applyAlignment="1">
      <alignment horizontal="center" vertical="center" wrapText="1"/>
    </xf>
    <xf numFmtId="169" fontId="19" fillId="23" borderId="33" xfId="3" applyNumberFormat="1" applyFont="1" applyFill="1" applyBorder="1" applyAlignment="1">
      <alignment horizontal="center" vertical="center" wrapText="1" readingOrder="1"/>
    </xf>
    <xf numFmtId="174" fontId="19" fillId="23" borderId="32" xfId="3" applyNumberFormat="1" applyFont="1" applyFill="1" applyBorder="1" applyAlignment="1">
      <alignment horizontal="center" vertical="center" wrapText="1" readingOrder="1"/>
    </xf>
    <xf numFmtId="0" fontId="21" fillId="7" borderId="33" xfId="0" applyFont="1" applyFill="1" applyBorder="1" applyAlignment="1">
      <alignment horizontal="center" vertical="center" wrapText="1"/>
    </xf>
    <xf numFmtId="0" fontId="21" fillId="7" borderId="32" xfId="0" applyFont="1" applyFill="1" applyBorder="1" applyAlignment="1">
      <alignment horizontal="center" vertical="center" wrapText="1"/>
    </xf>
    <xf numFmtId="165" fontId="0" fillId="15" borderId="1" xfId="0" applyNumberFormat="1" applyFill="1" applyBorder="1"/>
    <xf numFmtId="165" fontId="0" fillId="24" borderId="1" xfId="0" applyNumberFormat="1" applyFill="1" applyBorder="1"/>
    <xf numFmtId="0" fontId="66" fillId="5" borderId="1" xfId="0" applyFont="1" applyFill="1" applyBorder="1" applyAlignment="1">
      <alignment horizontal="center" vertical="center"/>
    </xf>
    <xf numFmtId="165" fontId="65" fillId="0" borderId="1" xfId="2" applyFont="1" applyBorder="1"/>
    <xf numFmtId="165" fontId="65" fillId="0" borderId="1" xfId="0" applyNumberFormat="1" applyFont="1" applyBorder="1"/>
    <xf numFmtId="165" fontId="0" fillId="5" borderId="1" xfId="2" applyFont="1" applyFill="1" applyBorder="1"/>
    <xf numFmtId="165" fontId="67" fillId="5" borderId="1" xfId="0" applyNumberFormat="1" applyFont="1" applyFill="1" applyBorder="1"/>
    <xf numFmtId="165" fontId="0" fillId="5" borderId="1" xfId="0" applyNumberFormat="1" applyFill="1" applyBorder="1"/>
    <xf numFmtId="179" fontId="0" fillId="11" borderId="19" xfId="0" applyNumberFormat="1" applyFill="1" applyBorder="1" applyAlignment="1" applyProtection="1">
      <alignment horizontal="right" vertical="center"/>
      <protection hidden="1"/>
    </xf>
    <xf numFmtId="177" fontId="65" fillId="5" borderId="19" xfId="0" applyNumberFormat="1" applyFont="1" applyFill="1" applyBorder="1" applyAlignment="1" applyProtection="1">
      <alignment horizontal="right" vertical="center"/>
      <protection hidden="1"/>
    </xf>
    <xf numFmtId="0" fontId="23" fillId="5" borderId="0" xfId="0" applyFont="1" applyFill="1" applyAlignment="1" applyProtection="1">
      <alignment horizontal="left" vertical="center" indent="1"/>
      <protection hidden="1"/>
    </xf>
    <xf numFmtId="164" fontId="68" fillId="0" borderId="1" xfId="2" applyNumberFormat="1" applyFont="1" applyBorder="1" applyAlignment="1">
      <alignment horizontal="center"/>
    </xf>
    <xf numFmtId="164" fontId="18" fillId="16" borderId="1" xfId="2" applyNumberFormat="1" applyFont="1" applyFill="1" applyBorder="1" applyAlignment="1">
      <alignment horizontal="center"/>
    </xf>
    <xf numFmtId="164" fontId="18" fillId="0" borderId="1" xfId="2" applyNumberFormat="1" applyFont="1" applyBorder="1" applyAlignment="1">
      <alignment horizontal="center"/>
    </xf>
    <xf numFmtId="165" fontId="68" fillId="0" borderId="1" xfId="2" applyFont="1" applyBorder="1" applyAlignment="1">
      <alignment horizontal="center"/>
    </xf>
    <xf numFmtId="165" fontId="68" fillId="0" borderId="1" xfId="2" applyFont="1" applyBorder="1"/>
    <xf numFmtId="164" fontId="21" fillId="7" borderId="1" xfId="2" applyNumberFormat="1" applyFont="1" applyFill="1" applyBorder="1" applyAlignment="1">
      <alignment horizontal="center"/>
    </xf>
    <xf numFmtId="166" fontId="0" fillId="0" borderId="1" xfId="5" applyFont="1" applyBorder="1"/>
    <xf numFmtId="9" fontId="37" fillId="5" borderId="0" xfId="3" applyFont="1" applyFill="1" applyAlignment="1">
      <alignment horizontal="center" vertical="center"/>
    </xf>
    <xf numFmtId="180" fontId="48" fillId="5" borderId="1" xfId="0" applyNumberFormat="1" applyFont="1" applyFill="1" applyBorder="1" applyAlignment="1">
      <alignment horizontal="center" vertical="center"/>
    </xf>
    <xf numFmtId="9" fontId="37" fillId="5" borderId="0" xfId="0" applyNumberFormat="1" applyFont="1" applyFill="1"/>
    <xf numFmtId="183" fontId="37" fillId="5" borderId="1" xfId="0" applyNumberFormat="1" applyFont="1" applyFill="1" applyBorder="1" applyAlignment="1">
      <alignment vertical="center"/>
    </xf>
    <xf numFmtId="9" fontId="37" fillId="0" borderId="0" xfId="3" applyFont="1" applyAlignment="1">
      <alignment horizontal="center" vertical="center" wrapText="1"/>
    </xf>
    <xf numFmtId="9" fontId="37" fillId="0" borderId="0" xfId="3" applyFont="1" applyAlignment="1">
      <alignment vertical="center"/>
    </xf>
    <xf numFmtId="0" fontId="52" fillId="5" borderId="1" xfId="0" applyFont="1" applyFill="1" applyBorder="1" applyAlignment="1">
      <alignment horizontal="center" vertical="center" wrapText="1"/>
    </xf>
    <xf numFmtId="0" fontId="72" fillId="0" borderId="0" xfId="8"/>
    <xf numFmtId="0" fontId="72" fillId="0" borderId="0" xfId="8" applyAlignment="1">
      <alignment horizontal="center" vertical="center" wrapText="1"/>
    </xf>
    <xf numFmtId="0" fontId="72" fillId="0" borderId="0" xfId="8" applyAlignment="1">
      <alignment horizontal="center" vertical="center"/>
    </xf>
    <xf numFmtId="0" fontId="72" fillId="5" borderId="0" xfId="8" applyFill="1"/>
    <xf numFmtId="0" fontId="73" fillId="5" borderId="0" xfId="8" applyFont="1" applyFill="1" applyAlignment="1">
      <alignment vertical="center" wrapText="1"/>
    </xf>
    <xf numFmtId="0" fontId="72" fillId="5" borderId="0" xfId="8" applyFill="1" applyAlignment="1">
      <alignment horizontal="center" vertical="center" wrapText="1"/>
    </xf>
    <xf numFmtId="0" fontId="72" fillId="5" borderId="0" xfId="8" applyFill="1" applyAlignment="1">
      <alignment horizontal="center" vertical="center"/>
    </xf>
    <xf numFmtId="0" fontId="57" fillId="5" borderId="0" xfId="9" applyFont="1" applyFill="1" applyAlignment="1">
      <alignment horizontal="left" vertical="center" wrapText="1"/>
    </xf>
    <xf numFmtId="0" fontId="74" fillId="5" borderId="0" xfId="8" applyFont="1" applyFill="1"/>
    <xf numFmtId="0" fontId="73" fillId="5" borderId="0" xfId="8" applyFont="1" applyFill="1" applyAlignment="1">
      <alignment horizontal="center" vertical="center" textRotation="90" wrapText="1"/>
    </xf>
    <xf numFmtId="0" fontId="17" fillId="5" borderId="0" xfId="0" applyFont="1" applyFill="1"/>
    <xf numFmtId="0" fontId="17" fillId="5" borderId="0" xfId="0" applyFont="1" applyFill="1" applyAlignment="1">
      <alignment horizontal="center"/>
    </xf>
    <xf numFmtId="0" fontId="40" fillId="7" borderId="1" xfId="0" applyFont="1" applyFill="1" applyBorder="1"/>
    <xf numFmtId="0" fontId="40" fillId="7" borderId="22" xfId="0" applyFont="1" applyFill="1" applyBorder="1"/>
    <xf numFmtId="0" fontId="39" fillId="12" borderId="33" xfId="0" applyFont="1" applyFill="1" applyBorder="1"/>
    <xf numFmtId="0" fontId="39" fillId="12" borderId="34" xfId="0" applyFont="1" applyFill="1" applyBorder="1"/>
    <xf numFmtId="0" fontId="39" fillId="12" borderId="35" xfId="0" applyFont="1" applyFill="1" applyBorder="1"/>
    <xf numFmtId="0" fontId="39" fillId="0" borderId="0" xfId="0" applyFont="1"/>
    <xf numFmtId="0" fontId="39" fillId="12" borderId="41" xfId="0" applyFont="1" applyFill="1" applyBorder="1" applyAlignment="1">
      <alignment horizontal="center"/>
    </xf>
    <xf numFmtId="0" fontId="39" fillId="12" borderId="42" xfId="0" applyFont="1" applyFill="1" applyBorder="1" applyAlignment="1">
      <alignment horizontal="center"/>
    </xf>
    <xf numFmtId="0" fontId="39" fillId="13" borderId="41" xfId="0" applyFont="1" applyFill="1" applyBorder="1" applyAlignment="1">
      <alignment horizontal="center"/>
    </xf>
    <xf numFmtId="0" fontId="39" fillId="13" borderId="42" xfId="0" applyFont="1" applyFill="1" applyBorder="1" applyAlignment="1">
      <alignment horizontal="center"/>
    </xf>
    <xf numFmtId="0" fontId="39" fillId="13" borderId="33" xfId="0" applyFont="1" applyFill="1" applyBorder="1"/>
    <xf numFmtId="0" fontId="39" fillId="13" borderId="1" xfId="0" applyFont="1" applyFill="1" applyBorder="1"/>
    <xf numFmtId="0" fontId="39" fillId="13" borderId="34" xfId="0" applyFont="1" applyFill="1" applyBorder="1"/>
    <xf numFmtId="0" fontId="39" fillId="13" borderId="35" xfId="0" applyFont="1" applyFill="1" applyBorder="1"/>
    <xf numFmtId="171" fontId="39" fillId="12" borderId="1" xfId="0" applyNumberFormat="1" applyFont="1" applyFill="1" applyBorder="1"/>
    <xf numFmtId="171" fontId="39" fillId="13" borderId="33" xfId="0" applyNumberFormat="1" applyFont="1" applyFill="1" applyBorder="1"/>
    <xf numFmtId="171" fontId="39" fillId="13" borderId="1" xfId="5" applyNumberFormat="1" applyFont="1" applyFill="1" applyBorder="1"/>
    <xf numFmtId="171" fontId="39" fillId="13" borderId="1" xfId="0" applyNumberFormat="1" applyFont="1" applyFill="1" applyBorder="1"/>
    <xf numFmtId="171" fontId="39" fillId="12" borderId="33" xfId="0" applyNumberFormat="1" applyFont="1" applyFill="1" applyBorder="1"/>
    <xf numFmtId="171" fontId="39" fillId="12" borderId="1" xfId="5" applyNumberFormat="1" applyFont="1" applyFill="1" applyBorder="1"/>
    <xf numFmtId="0" fontId="40" fillId="7" borderId="43" xfId="0" applyFont="1" applyFill="1" applyBorder="1" applyAlignment="1">
      <alignment horizontal="center"/>
    </xf>
    <xf numFmtId="171" fontId="40" fillId="7" borderId="32" xfId="5" applyNumberFormat="1" applyFont="1" applyFill="1" applyBorder="1"/>
    <xf numFmtId="171" fontId="40" fillId="7" borderId="32" xfId="0" applyNumberFormat="1" applyFont="1" applyFill="1" applyBorder="1"/>
    <xf numFmtId="0" fontId="40" fillId="7" borderId="32" xfId="0" applyFont="1" applyFill="1" applyBorder="1"/>
    <xf numFmtId="0" fontId="40" fillId="7" borderId="36" xfId="0" applyFont="1" applyFill="1" applyBorder="1"/>
    <xf numFmtId="171" fontId="40" fillId="25" borderId="22" xfId="0" applyNumberFormat="1" applyFont="1" applyFill="1" applyBorder="1"/>
    <xf numFmtId="0" fontId="40" fillId="25" borderId="1" xfId="0" applyFont="1" applyFill="1" applyBorder="1"/>
    <xf numFmtId="0" fontId="40" fillId="25" borderId="22" xfId="0" applyFont="1" applyFill="1" applyBorder="1"/>
    <xf numFmtId="171" fontId="39" fillId="25" borderId="1" xfId="0" applyNumberFormat="1" applyFont="1" applyFill="1" applyBorder="1"/>
    <xf numFmtId="0" fontId="39" fillId="25" borderId="1" xfId="0" applyFont="1" applyFill="1" applyBorder="1"/>
    <xf numFmtId="0" fontId="8" fillId="7" borderId="42" xfId="0" applyFont="1" applyFill="1" applyBorder="1"/>
    <xf numFmtId="0" fontId="8" fillId="7" borderId="43" xfId="0" applyFont="1" applyFill="1" applyBorder="1"/>
    <xf numFmtId="0" fontId="0" fillId="0" borderId="32" xfId="0" applyBorder="1"/>
    <xf numFmtId="0" fontId="0" fillId="0" borderId="34" xfId="0" applyBorder="1"/>
    <xf numFmtId="0" fontId="0" fillId="0" borderId="35" xfId="0" applyBorder="1"/>
    <xf numFmtId="0" fontId="0" fillId="0" borderId="36" xfId="0" applyBorder="1"/>
    <xf numFmtId="0" fontId="6" fillId="7" borderId="1" xfId="0" applyFont="1" applyFill="1" applyBorder="1" applyAlignment="1">
      <alignment wrapText="1"/>
    </xf>
    <xf numFmtId="0" fontId="0" fillId="25" borderId="1" xfId="0" applyFill="1" applyBorder="1"/>
    <xf numFmtId="0" fontId="0" fillId="25" borderId="1" xfId="0" applyFill="1" applyBorder="1" applyAlignment="1">
      <alignment horizontal="center"/>
    </xf>
    <xf numFmtId="0" fontId="6" fillId="7" borderId="1" xfId="0" applyFont="1" applyFill="1" applyBorder="1" applyAlignment="1">
      <alignment horizontal="center" wrapText="1"/>
    </xf>
    <xf numFmtId="0" fontId="6" fillId="5" borderId="0" xfId="0" applyFont="1" applyFill="1"/>
    <xf numFmtId="0" fontId="6" fillId="7" borderId="0" xfId="0" applyFont="1" applyFill="1" applyProtection="1">
      <protection hidden="1"/>
    </xf>
    <xf numFmtId="179" fontId="5" fillId="7" borderId="19" xfId="0" applyNumberFormat="1" applyFont="1" applyFill="1" applyBorder="1" applyAlignment="1" applyProtection="1">
      <alignment horizontal="right" vertical="center"/>
      <protection hidden="1"/>
    </xf>
    <xf numFmtId="177" fontId="5" fillId="7" borderId="19" xfId="0" applyNumberFormat="1" applyFont="1" applyFill="1" applyBorder="1" applyAlignment="1" applyProtection="1">
      <alignment horizontal="right"/>
      <protection locked="0"/>
    </xf>
    <xf numFmtId="0" fontId="5" fillId="7" borderId="18" xfId="0" applyFont="1" applyFill="1" applyBorder="1" applyAlignment="1" applyProtection="1">
      <alignment horizontal="left" vertical="center" indent="1"/>
      <protection hidden="1"/>
    </xf>
    <xf numFmtId="0" fontId="4" fillId="13" borderId="18" xfId="0" applyFont="1" applyFill="1" applyBorder="1" applyAlignment="1" applyProtection="1">
      <alignment horizontal="left" vertical="center" indent="1"/>
      <protection hidden="1"/>
    </xf>
    <xf numFmtId="0" fontId="82" fillId="13" borderId="0" xfId="0" applyFont="1" applyFill="1" applyAlignment="1" applyProtection="1">
      <alignment horizontal="left" vertical="center" indent="1"/>
      <protection hidden="1"/>
    </xf>
    <xf numFmtId="0" fontId="24" fillId="27" borderId="18" xfId="0" applyFont="1" applyFill="1" applyBorder="1" applyAlignment="1" applyProtection="1">
      <alignment horizontal="left" vertical="center" indent="1"/>
      <protection hidden="1"/>
    </xf>
    <xf numFmtId="0" fontId="0" fillId="27" borderId="0" xfId="0" applyFill="1" applyProtection="1">
      <protection hidden="1"/>
    </xf>
    <xf numFmtId="0" fontId="0" fillId="27" borderId="0" xfId="0" applyFill="1" applyProtection="1">
      <protection locked="0"/>
    </xf>
    <xf numFmtId="0" fontId="0" fillId="27" borderId="18" xfId="0" applyFill="1" applyBorder="1" applyAlignment="1" applyProtection="1">
      <alignment horizontal="left" vertical="center" indent="1"/>
      <protection hidden="1"/>
    </xf>
    <xf numFmtId="0" fontId="3" fillId="27" borderId="18" xfId="0" applyFont="1" applyFill="1" applyBorder="1" applyAlignment="1" applyProtection="1">
      <alignment horizontal="left" vertical="center" indent="1"/>
      <protection hidden="1"/>
    </xf>
    <xf numFmtId="10" fontId="3" fillId="27" borderId="0" xfId="0" applyNumberFormat="1" applyFont="1" applyFill="1" applyProtection="1">
      <protection hidden="1"/>
    </xf>
    <xf numFmtId="9" fontId="3" fillId="27" borderId="0" xfId="0" applyNumberFormat="1" applyFont="1" applyFill="1" applyProtection="1">
      <protection hidden="1"/>
    </xf>
    <xf numFmtId="0" fontId="3" fillId="27" borderId="0" xfId="0" applyFont="1" applyFill="1" applyProtection="1">
      <protection hidden="1"/>
    </xf>
    <xf numFmtId="0" fontId="6" fillId="5" borderId="1" xfId="0" applyFont="1" applyFill="1" applyBorder="1"/>
    <xf numFmtId="0" fontId="30" fillId="5" borderId="38" xfId="0" applyFont="1" applyFill="1" applyBorder="1" applyAlignment="1">
      <alignment horizontal="center" vertical="center"/>
    </xf>
    <xf numFmtId="0" fontId="76" fillId="42" borderId="1" xfId="0" applyFont="1" applyFill="1" applyBorder="1"/>
    <xf numFmtId="0" fontId="85" fillId="5" borderId="0" xfId="0" applyFont="1" applyFill="1"/>
    <xf numFmtId="0" fontId="85" fillId="0" borderId="0" xfId="0" applyFont="1"/>
    <xf numFmtId="165" fontId="17" fillId="5" borderId="0" xfId="2" applyFont="1" applyFill="1" applyAlignment="1">
      <alignment horizontal="center"/>
    </xf>
    <xf numFmtId="165" fontId="22" fillId="5" borderId="0" xfId="2" applyFont="1" applyFill="1"/>
    <xf numFmtId="0" fontId="69" fillId="5" borderId="0" xfId="0" applyFont="1" applyFill="1"/>
    <xf numFmtId="171" fontId="70" fillId="5" borderId="0" xfId="5" applyNumberFormat="1" applyFont="1" applyFill="1"/>
    <xf numFmtId="0" fontId="59" fillId="0" borderId="0" xfId="0" applyFont="1"/>
    <xf numFmtId="0" fontId="89" fillId="28" borderId="1" xfId="0" applyFont="1" applyFill="1" applyBorder="1" applyAlignment="1">
      <alignment horizontal="left" vertical="center" wrapText="1" indent="1" readingOrder="1"/>
    </xf>
    <xf numFmtId="0" fontId="89" fillId="28" borderId="1" xfId="0" applyFont="1" applyFill="1" applyBorder="1" applyAlignment="1">
      <alignment horizontal="left" vertical="center" wrapText="1" indent="3" readingOrder="1"/>
    </xf>
    <xf numFmtId="0" fontId="88" fillId="28" borderId="48" xfId="0" applyFont="1" applyFill="1" applyBorder="1" applyAlignment="1">
      <alignment horizontal="center" vertical="center" wrapText="1" readingOrder="1"/>
    </xf>
    <xf numFmtId="0" fontId="89" fillId="28" borderId="44" xfId="0" applyFont="1" applyFill="1" applyBorder="1" applyAlignment="1">
      <alignment horizontal="center" vertical="center" wrapText="1" readingOrder="1"/>
    </xf>
    <xf numFmtId="0" fontId="89" fillId="28" borderId="71" xfId="0" applyFont="1" applyFill="1" applyBorder="1" applyAlignment="1">
      <alignment horizontal="center" vertical="center" wrapText="1" readingOrder="1"/>
    </xf>
    <xf numFmtId="0" fontId="89" fillId="28" borderId="47" xfId="0" applyFont="1" applyFill="1" applyBorder="1" applyAlignment="1">
      <alignment horizontal="left" vertical="center" textRotation="90" wrapText="1" readingOrder="1"/>
    </xf>
    <xf numFmtId="0" fontId="89" fillId="28" borderId="1" xfId="0" applyFont="1" applyFill="1" applyBorder="1" applyAlignment="1">
      <alignment horizontal="left" vertical="center" textRotation="90" wrapText="1" readingOrder="1"/>
    </xf>
    <xf numFmtId="0" fontId="88" fillId="28" borderId="1" xfId="0" applyFont="1" applyFill="1" applyBorder="1" applyAlignment="1">
      <alignment horizontal="left" vertical="center" wrapText="1" indent="1" readingOrder="1"/>
    </xf>
    <xf numFmtId="0" fontId="88" fillId="12" borderId="1" xfId="0" applyFont="1" applyFill="1" applyBorder="1" applyAlignment="1">
      <alignment horizontal="center" vertical="center" wrapText="1" readingOrder="1"/>
    </xf>
    <xf numFmtId="0" fontId="59" fillId="0" borderId="1" xfId="0" applyFont="1" applyBorder="1"/>
    <xf numFmtId="0" fontId="59" fillId="0" borderId="47" xfId="0" applyFont="1" applyBorder="1"/>
    <xf numFmtId="0" fontId="90" fillId="10" borderId="0" xfId="0" applyFont="1" applyFill="1" applyAlignment="1">
      <alignment horizontal="center"/>
    </xf>
    <xf numFmtId="0" fontId="59" fillId="12" borderId="0" xfId="0" applyFont="1" applyFill="1" applyAlignment="1">
      <alignment horizontal="left" wrapText="1"/>
    </xf>
    <xf numFmtId="0" fontId="59" fillId="0" borderId="0" xfId="0" applyFont="1" applyAlignment="1">
      <alignment horizontal="left" wrapText="1"/>
    </xf>
    <xf numFmtId="0" fontId="59" fillId="5" borderId="0" xfId="0" applyFont="1" applyFill="1"/>
    <xf numFmtId="0" fontId="91" fillId="7" borderId="1" xfId="0" applyFont="1" applyFill="1" applyBorder="1" applyAlignment="1">
      <alignment horizontal="center" vertical="center" wrapText="1"/>
    </xf>
    <xf numFmtId="0" fontId="92" fillId="47" borderId="73" xfId="0" applyFont="1" applyFill="1" applyBorder="1" applyAlignment="1">
      <alignment vertical="center" wrapText="1"/>
    </xf>
    <xf numFmtId="0" fontId="92" fillId="47" borderId="75" xfId="0" applyFont="1" applyFill="1" applyBorder="1" applyAlignment="1">
      <alignment vertical="center" wrapText="1"/>
    </xf>
    <xf numFmtId="0" fontId="92" fillId="47" borderId="76" xfId="0" applyFont="1" applyFill="1" applyBorder="1" applyAlignment="1">
      <alignment vertical="center" wrapText="1"/>
    </xf>
    <xf numFmtId="0" fontId="92" fillId="47" borderId="77" xfId="0" applyFont="1" applyFill="1" applyBorder="1" applyAlignment="1">
      <alignment vertical="center" wrapText="1"/>
    </xf>
    <xf numFmtId="0" fontId="92" fillId="47" borderId="88" xfId="0" applyFont="1" applyFill="1" applyBorder="1" applyAlignment="1">
      <alignment vertical="center" wrapText="1"/>
    </xf>
    <xf numFmtId="0" fontId="92" fillId="47" borderId="89" xfId="0" applyFont="1" applyFill="1" applyBorder="1" applyAlignment="1">
      <alignment vertical="center" wrapText="1"/>
    </xf>
    <xf numFmtId="0" fontId="0" fillId="49" borderId="90" xfId="0" applyFill="1" applyBorder="1"/>
    <xf numFmtId="0" fontId="65" fillId="5" borderId="0" xfId="0" applyFont="1" applyFill="1"/>
    <xf numFmtId="0" fontId="83" fillId="7" borderId="1" xfId="0" applyFont="1" applyFill="1" applyBorder="1"/>
    <xf numFmtId="0" fontId="65" fillId="7" borderId="1" xfId="0" applyFont="1" applyFill="1" applyBorder="1"/>
    <xf numFmtId="0" fontId="4" fillId="13" borderId="1" xfId="0" applyFont="1" applyFill="1" applyBorder="1"/>
    <xf numFmtId="0" fontId="65" fillId="5" borderId="1" xfId="0" applyFont="1" applyFill="1" applyBorder="1"/>
    <xf numFmtId="0" fontId="65" fillId="5" borderId="1" xfId="0" applyFont="1" applyFill="1" applyBorder="1" applyAlignment="1">
      <alignment wrapText="1"/>
    </xf>
    <xf numFmtId="9" fontId="45" fillId="5" borderId="0" xfId="3" applyFont="1" applyFill="1" applyBorder="1" applyAlignment="1">
      <alignment horizontal="center" vertical="center"/>
    </xf>
    <xf numFmtId="167" fontId="37" fillId="5" borderId="22" xfId="0" applyNumberFormat="1" applyFont="1" applyFill="1" applyBorder="1" applyAlignment="1">
      <alignment horizontal="center" vertical="center"/>
    </xf>
    <xf numFmtId="167" fontId="39" fillId="2" borderId="93" xfId="0" applyNumberFormat="1" applyFont="1" applyFill="1" applyBorder="1" applyAlignment="1">
      <alignment horizontal="center" vertical="center"/>
    </xf>
    <xf numFmtId="0" fontId="37" fillId="5" borderId="93" xfId="0" applyFont="1" applyFill="1" applyBorder="1" applyAlignment="1">
      <alignment horizontal="center" vertical="center"/>
    </xf>
    <xf numFmtId="0" fontId="45" fillId="5" borderId="0" xfId="0" applyFont="1" applyFill="1"/>
    <xf numFmtId="167" fontId="45" fillId="5" borderId="0" xfId="0" applyNumberFormat="1" applyFont="1" applyFill="1" applyAlignment="1">
      <alignment horizontal="center" vertical="center"/>
    </xf>
    <xf numFmtId="180" fontId="45" fillId="5" borderId="0" xfId="0" applyNumberFormat="1" applyFont="1" applyFill="1" applyAlignment="1">
      <alignment horizontal="center" vertical="center"/>
    </xf>
    <xf numFmtId="0" fontId="45" fillId="5" borderId="0" xfId="0" applyFont="1" applyFill="1" applyAlignment="1">
      <alignment horizontal="center" vertical="center"/>
    </xf>
    <xf numFmtId="167" fontId="45" fillId="5" borderId="0" xfId="0" applyNumberFormat="1" applyFont="1" applyFill="1"/>
    <xf numFmtId="0" fontId="45" fillId="5" borderId="0" xfId="0" applyFont="1" applyFill="1" applyAlignment="1">
      <alignment vertical="center"/>
    </xf>
    <xf numFmtId="165" fontId="45" fillId="5" borderId="0" xfId="0" applyNumberFormat="1" applyFont="1" applyFill="1" applyAlignment="1">
      <alignment vertical="center"/>
    </xf>
    <xf numFmtId="166" fontId="45" fillId="5" borderId="0" xfId="5" applyFont="1" applyFill="1" applyBorder="1" applyAlignment="1">
      <alignment vertical="center"/>
    </xf>
    <xf numFmtId="182" fontId="45" fillId="5" borderId="0" xfId="0" applyNumberFormat="1" applyFont="1" applyFill="1" applyAlignment="1">
      <alignment vertical="center"/>
    </xf>
    <xf numFmtId="10" fontId="45" fillId="5" borderId="0" xfId="0" applyNumberFormat="1" applyFont="1" applyFill="1"/>
    <xf numFmtId="10" fontId="40" fillId="5" borderId="0" xfId="0" applyNumberFormat="1" applyFont="1" applyFill="1"/>
    <xf numFmtId="1" fontId="40" fillId="5" borderId="0" xfId="0" applyNumberFormat="1" applyFont="1" applyFill="1"/>
    <xf numFmtId="173" fontId="40" fillId="5" borderId="0" xfId="0" applyNumberFormat="1" applyFont="1" applyFill="1"/>
    <xf numFmtId="0" fontId="40" fillId="5" borderId="0" xfId="0" applyFont="1" applyFill="1" applyAlignment="1">
      <alignment horizontal="center" vertical="center"/>
    </xf>
    <xf numFmtId="167" fontId="40" fillId="5" borderId="0" xfId="0" applyNumberFormat="1" applyFont="1" applyFill="1" applyAlignment="1">
      <alignment horizontal="center" vertical="center"/>
    </xf>
    <xf numFmtId="0" fontId="40" fillId="5" borderId="0" xfId="0" applyFont="1" applyFill="1"/>
    <xf numFmtId="0" fontId="49" fillId="5" borderId="0" xfId="0" applyFont="1" applyFill="1" applyAlignment="1">
      <alignment horizontal="center" vertical="center"/>
    </xf>
    <xf numFmtId="0" fontId="77" fillId="5" borderId="0" xfId="0" applyFont="1" applyFill="1" applyAlignment="1">
      <alignment horizontal="center" vertical="center"/>
    </xf>
    <xf numFmtId="180" fontId="40" fillId="5" borderId="0" xfId="0" applyNumberFormat="1" applyFont="1" applyFill="1" applyAlignment="1">
      <alignment horizontal="center" vertical="center"/>
    </xf>
    <xf numFmtId="183" fontId="40" fillId="5" borderId="0" xfId="0" applyNumberFormat="1" applyFont="1" applyFill="1" applyAlignment="1">
      <alignment horizontal="center" vertical="center"/>
    </xf>
    <xf numFmtId="165" fontId="6" fillId="5" borderId="0" xfId="0" applyNumberFormat="1" applyFont="1" applyFill="1"/>
    <xf numFmtId="182" fontId="40" fillId="5" borderId="0" xfId="0" applyNumberFormat="1" applyFont="1" applyFill="1" applyAlignment="1">
      <alignment horizontal="center" vertical="center"/>
    </xf>
    <xf numFmtId="184" fontId="45" fillId="5" borderId="0" xfId="0" applyNumberFormat="1" applyFont="1" applyFill="1" applyAlignment="1">
      <alignment horizontal="center" vertical="center"/>
    </xf>
    <xf numFmtId="184" fontId="40" fillId="5" borderId="0" xfId="0" applyNumberFormat="1" applyFont="1" applyFill="1" applyAlignment="1">
      <alignment horizontal="center" vertical="center"/>
    </xf>
    <xf numFmtId="0" fontId="45" fillId="5" borderId="0" xfId="0" applyFont="1" applyFill="1" applyAlignment="1">
      <alignment horizontal="right" vertical="center"/>
    </xf>
    <xf numFmtId="9" fontId="45" fillId="5" borderId="0" xfId="0" applyNumberFormat="1" applyFont="1" applyFill="1" applyAlignment="1">
      <alignment horizontal="center" vertical="center"/>
    </xf>
    <xf numFmtId="167" fontId="42" fillId="5" borderId="1" xfId="0" applyNumberFormat="1" applyFont="1" applyFill="1" applyBorder="1" applyAlignment="1">
      <alignment horizontal="center" vertical="center"/>
    </xf>
    <xf numFmtId="167" fontId="43" fillId="5" borderId="1" xfId="0" applyNumberFormat="1" applyFont="1" applyFill="1" applyBorder="1" applyAlignment="1">
      <alignment horizontal="center" vertical="center"/>
    </xf>
    <xf numFmtId="167" fontId="46" fillId="5" borderId="1" xfId="0" applyNumberFormat="1" applyFont="1" applyFill="1" applyBorder="1" applyAlignment="1">
      <alignment horizontal="center" vertical="center"/>
    </xf>
    <xf numFmtId="0" fontId="46" fillId="5" borderId="0" xfId="0" applyFont="1" applyFill="1"/>
    <xf numFmtId="167" fontId="48" fillId="5" borderId="1" xfId="0" applyNumberFormat="1" applyFont="1" applyFill="1" applyBorder="1" applyAlignment="1">
      <alignment horizontal="center" vertical="center"/>
    </xf>
    <xf numFmtId="0" fontId="46" fillId="5" borderId="33" xfId="0" applyFont="1" applyFill="1" applyBorder="1" applyAlignment="1">
      <alignment vertical="center" wrapText="1"/>
    </xf>
    <xf numFmtId="0" fontId="39" fillId="5" borderId="33" xfId="0" applyFont="1" applyFill="1" applyBorder="1" applyAlignment="1">
      <alignment vertical="center" wrapText="1"/>
    </xf>
    <xf numFmtId="0" fontId="39" fillId="13" borderId="34" xfId="0" applyFont="1" applyFill="1" applyBorder="1" applyAlignment="1">
      <alignment vertical="center"/>
    </xf>
    <xf numFmtId="167" fontId="43" fillId="13" borderId="35" xfId="0" applyNumberFormat="1" applyFont="1" applyFill="1" applyBorder="1" applyAlignment="1">
      <alignment horizontal="center" vertical="center"/>
    </xf>
    <xf numFmtId="0" fontId="39" fillId="13" borderId="34" xfId="0" applyFont="1" applyFill="1" applyBorder="1" applyAlignment="1">
      <alignment vertical="center" wrapText="1"/>
    </xf>
    <xf numFmtId="0" fontId="39" fillId="8" borderId="0" xfId="0" applyFont="1" applyFill="1"/>
    <xf numFmtId="0" fontId="39" fillId="8" borderId="48" xfId="0" applyFont="1" applyFill="1" applyBorder="1" applyAlignment="1">
      <alignment horizontal="left" vertical="center"/>
    </xf>
    <xf numFmtId="184" fontId="37" fillId="8" borderId="48" xfId="0" applyNumberFormat="1" applyFont="1" applyFill="1" applyBorder="1" applyAlignment="1">
      <alignment horizontal="center" vertical="center"/>
    </xf>
    <xf numFmtId="184" fontId="94" fillId="8" borderId="1" xfId="0" applyNumberFormat="1" applyFont="1" applyFill="1" applyBorder="1" applyAlignment="1">
      <alignment vertical="center"/>
    </xf>
    <xf numFmtId="0" fontId="98" fillId="8" borderId="33" xfId="0" applyFont="1" applyFill="1" applyBorder="1" applyAlignment="1">
      <alignment vertical="center"/>
    </xf>
    <xf numFmtId="0" fontId="41" fillId="20" borderId="22" xfId="0" applyFont="1" applyFill="1" applyBorder="1" applyAlignment="1">
      <alignment horizontal="center" vertical="center" wrapText="1"/>
    </xf>
    <xf numFmtId="167" fontId="43" fillId="5" borderId="0" xfId="0" applyNumberFormat="1" applyFont="1" applyFill="1" applyAlignment="1">
      <alignment horizontal="center" vertical="center"/>
    </xf>
    <xf numFmtId="167" fontId="46" fillId="5" borderId="0" xfId="0" applyNumberFormat="1" applyFont="1" applyFill="1" applyAlignment="1">
      <alignment horizontal="center" vertical="center"/>
    </xf>
    <xf numFmtId="167" fontId="42" fillId="5" borderId="0" xfId="0" applyNumberFormat="1" applyFont="1" applyFill="1" applyAlignment="1">
      <alignment horizontal="center" vertical="center"/>
    </xf>
    <xf numFmtId="167" fontId="48" fillId="5" borderId="0" xfId="0" applyNumberFormat="1" applyFont="1" applyFill="1" applyAlignment="1">
      <alignment horizontal="center" vertical="center"/>
    </xf>
    <xf numFmtId="0" fontId="41" fillId="5" borderId="0" xfId="0" applyFont="1" applyFill="1" applyAlignment="1">
      <alignment horizontal="center" vertical="center" wrapText="1"/>
    </xf>
    <xf numFmtId="167" fontId="37" fillId="5" borderId="0" xfId="0" applyNumberFormat="1" applyFont="1" applyFill="1" applyAlignment="1">
      <alignment horizontal="center" vertical="center"/>
    </xf>
    <xf numFmtId="167" fontId="39" fillId="5" borderId="0" xfId="0" applyNumberFormat="1" applyFont="1" applyFill="1" applyAlignment="1">
      <alignment horizontal="center" vertical="center"/>
    </xf>
    <xf numFmtId="166" fontId="48" fillId="5" borderId="0" xfId="5" applyFont="1" applyFill="1" applyBorder="1" applyAlignment="1">
      <alignment vertical="center"/>
    </xf>
    <xf numFmtId="0" fontId="39" fillId="5" borderId="0" xfId="0" applyFont="1" applyFill="1"/>
    <xf numFmtId="10" fontId="39" fillId="5" borderId="0" xfId="0" applyNumberFormat="1" applyFont="1" applyFill="1"/>
    <xf numFmtId="183" fontId="39" fillId="30" borderId="49" xfId="0" applyNumberFormat="1" applyFont="1" applyFill="1" applyBorder="1" applyAlignment="1">
      <alignment vertical="center"/>
    </xf>
    <xf numFmtId="183" fontId="39" fillId="30" borderId="1" xfId="0" applyNumberFormat="1" applyFont="1" applyFill="1" applyBorder="1" applyAlignment="1">
      <alignment vertical="center"/>
    </xf>
    <xf numFmtId="183" fontId="39" fillId="5" borderId="1" xfId="0" applyNumberFormat="1" applyFont="1" applyFill="1" applyBorder="1" applyAlignment="1">
      <alignment vertical="center"/>
    </xf>
    <xf numFmtId="0" fontId="37" fillId="13" borderId="1" xfId="0" applyFont="1" applyFill="1" applyBorder="1"/>
    <xf numFmtId="183" fontId="37" fillId="5" borderId="0" xfId="0" applyNumberFormat="1" applyFont="1" applyFill="1" applyAlignment="1">
      <alignment horizontal="center" vertical="center"/>
    </xf>
    <xf numFmtId="168" fontId="37" fillId="5" borderId="0" xfId="0" applyNumberFormat="1" applyFont="1" applyFill="1" applyAlignment="1">
      <alignment horizontal="center" vertical="center"/>
    </xf>
    <xf numFmtId="0" fontId="41" fillId="21" borderId="1" xfId="0" applyFont="1" applyFill="1" applyBorder="1" applyAlignment="1">
      <alignment horizontal="center" vertical="center" wrapText="1"/>
    </xf>
    <xf numFmtId="0" fontId="37" fillId="0" borderId="1" xfId="0" applyFont="1" applyBorder="1" applyAlignment="1">
      <alignment vertical="center"/>
    </xf>
    <xf numFmtId="10" fontId="37" fillId="5" borderId="1" xfId="0" applyNumberFormat="1" applyFont="1" applyFill="1" applyBorder="1" applyAlignment="1">
      <alignment horizontal="center" vertical="center"/>
    </xf>
    <xf numFmtId="184" fontId="39" fillId="0" borderId="1" xfId="0" applyNumberFormat="1" applyFont="1" applyBorder="1" applyAlignment="1">
      <alignment horizontal="center" vertical="center"/>
    </xf>
    <xf numFmtId="183" fontId="39" fillId="0" borderId="1" xfId="0" applyNumberFormat="1" applyFont="1" applyBorder="1" applyAlignment="1">
      <alignment horizontal="center" vertical="center"/>
    </xf>
    <xf numFmtId="0" fontId="40" fillId="5" borderId="1" xfId="0" applyFont="1" applyFill="1" applyBorder="1" applyAlignment="1">
      <alignment horizontal="center" vertical="center" wrapText="1"/>
    </xf>
    <xf numFmtId="0" fontId="39" fillId="5" borderId="1" xfId="0" applyFont="1" applyFill="1" applyBorder="1"/>
    <xf numFmtId="0" fontId="39" fillId="0" borderId="1" xfId="0" applyFont="1" applyBorder="1"/>
    <xf numFmtId="9" fontId="37" fillId="5" borderId="1" xfId="0" applyNumberFormat="1" applyFont="1" applyFill="1" applyBorder="1"/>
    <xf numFmtId="0" fontId="37" fillId="13" borderId="1" xfId="0" applyFont="1" applyFill="1" applyBorder="1" applyAlignment="1">
      <alignment wrapText="1"/>
    </xf>
    <xf numFmtId="185" fontId="39" fillId="5" borderId="0" xfId="0" applyNumberFormat="1" applyFont="1" applyFill="1"/>
    <xf numFmtId="166" fontId="37" fillId="5" borderId="0" xfId="5" applyFont="1" applyFill="1" applyBorder="1"/>
    <xf numFmtId="0" fontId="39" fillId="13" borderId="1" xfId="0" applyFont="1" applyFill="1" applyBorder="1" applyAlignment="1">
      <alignment horizontal="center" vertical="center"/>
    </xf>
    <xf numFmtId="168" fontId="37" fillId="5" borderId="1" xfId="0" applyNumberFormat="1" applyFont="1" applyFill="1" applyBorder="1" applyAlignment="1">
      <alignment horizontal="center" vertical="center"/>
    </xf>
    <xf numFmtId="0" fontId="37" fillId="5" borderId="1" xfId="0" applyFont="1" applyFill="1" applyBorder="1" applyAlignment="1">
      <alignment horizontal="right" vertical="center"/>
    </xf>
    <xf numFmtId="0" fontId="37" fillId="5" borderId="1" xfId="0" applyFont="1" applyFill="1" applyBorder="1" applyAlignment="1">
      <alignment horizontal="right"/>
    </xf>
    <xf numFmtId="184" fontId="100" fillId="5" borderId="0" xfId="0" applyNumberFormat="1" applyFont="1" applyFill="1" applyAlignment="1">
      <alignment vertical="center"/>
    </xf>
    <xf numFmtId="9" fontId="37" fillId="5" borderId="0" xfId="0" applyNumberFormat="1" applyFont="1" applyFill="1" applyAlignment="1">
      <alignment horizontal="center" vertical="center"/>
    </xf>
    <xf numFmtId="0" fontId="0" fillId="5" borderId="0" xfId="0" applyFill="1" applyAlignment="1">
      <alignment horizontal="center"/>
    </xf>
    <xf numFmtId="41" fontId="0" fillId="5" borderId="1" xfId="0" applyNumberFormat="1" applyFill="1" applyBorder="1"/>
    <xf numFmtId="0" fontId="21" fillId="7" borderId="12" xfId="0" applyFont="1" applyFill="1" applyBorder="1" applyAlignment="1">
      <alignment horizontal="center" vertical="center" wrapText="1"/>
    </xf>
    <xf numFmtId="165" fontId="17" fillId="0" borderId="47" xfId="2" applyFont="1" applyBorder="1"/>
    <xf numFmtId="165" fontId="17" fillId="3" borderId="47" xfId="2" applyFont="1" applyFill="1" applyBorder="1"/>
    <xf numFmtId="164" fontId="68" fillId="3" borderId="1" xfId="2" applyNumberFormat="1" applyFont="1" applyFill="1" applyBorder="1" applyAlignment="1">
      <alignment horizontal="center"/>
    </xf>
    <xf numFmtId="164" fontId="18" fillId="3" borderId="1" xfId="2" applyNumberFormat="1" applyFont="1" applyFill="1" applyBorder="1" applyAlignment="1">
      <alignment horizontal="center"/>
    </xf>
    <xf numFmtId="165" fontId="17" fillId="3" borderId="0" xfId="2" applyFont="1" applyFill="1"/>
    <xf numFmtId="165" fontId="0" fillId="3" borderId="0" xfId="2" applyFont="1" applyFill="1"/>
    <xf numFmtId="173" fontId="10" fillId="0" borderId="1" xfId="4" applyNumberFormat="1" applyFont="1" applyBorder="1"/>
    <xf numFmtId="173" fontId="0" fillId="0" borderId="1" xfId="0" applyNumberFormat="1" applyBorder="1"/>
    <xf numFmtId="10" fontId="0" fillId="0" borderId="1" xfId="3" applyNumberFormat="1" applyFont="1" applyBorder="1"/>
    <xf numFmtId="0" fontId="41" fillId="5" borderId="1" xfId="0" applyFont="1" applyFill="1" applyBorder="1" applyAlignment="1">
      <alignment horizontal="center" vertical="center" wrapText="1"/>
    </xf>
    <xf numFmtId="180" fontId="39" fillId="5" borderId="1" xfId="0" applyNumberFormat="1" applyFont="1" applyFill="1" applyBorder="1" applyAlignment="1">
      <alignment horizontal="center" vertical="center"/>
    </xf>
    <xf numFmtId="180" fontId="37" fillId="5" borderId="1" xfId="0" applyNumberFormat="1" applyFont="1" applyFill="1" applyBorder="1"/>
    <xf numFmtId="167" fontId="39" fillId="5" borderId="7" xfId="0" applyNumberFormat="1" applyFont="1" applyFill="1" applyBorder="1" applyAlignment="1">
      <alignment horizontal="center" vertical="center"/>
    </xf>
    <xf numFmtId="167" fontId="37" fillId="5" borderId="7" xfId="0" applyNumberFormat="1" applyFont="1" applyFill="1" applyBorder="1" applyAlignment="1">
      <alignment horizontal="center" vertical="center"/>
    </xf>
    <xf numFmtId="1" fontId="37" fillId="5" borderId="0" xfId="0" applyNumberFormat="1" applyFont="1" applyFill="1" applyAlignment="1">
      <alignment vertical="center"/>
    </xf>
    <xf numFmtId="43" fontId="37" fillId="5" borderId="0" xfId="4" applyFont="1" applyFill="1" applyAlignment="1">
      <alignment vertical="center"/>
    </xf>
    <xf numFmtId="173" fontId="37" fillId="5" borderId="0" xfId="0" applyNumberFormat="1" applyFont="1" applyFill="1" applyAlignment="1">
      <alignment vertical="center"/>
    </xf>
    <xf numFmtId="9" fontId="37" fillId="5" borderId="1" xfId="3" applyFont="1" applyFill="1" applyBorder="1" applyAlignment="1">
      <alignment horizontal="center" vertical="center"/>
    </xf>
    <xf numFmtId="3" fontId="37" fillId="5" borderId="1" xfId="0" applyNumberFormat="1" applyFont="1" applyFill="1" applyBorder="1" applyAlignment="1">
      <alignment horizontal="center" vertical="center"/>
    </xf>
    <xf numFmtId="164" fontId="17" fillId="5" borderId="0" xfId="0" applyNumberFormat="1" applyFont="1" applyFill="1" applyAlignment="1">
      <alignment horizontal="center"/>
    </xf>
    <xf numFmtId="165" fontId="22" fillId="3" borderId="0" xfId="2" applyFont="1" applyFill="1"/>
    <xf numFmtId="166" fontId="17" fillId="3" borderId="0" xfId="5" applyFont="1" applyFill="1"/>
    <xf numFmtId="180" fontId="39" fillId="3" borderId="1" xfId="0" applyNumberFormat="1" applyFont="1" applyFill="1" applyBorder="1" applyAlignment="1">
      <alignment horizontal="center" vertical="center"/>
    </xf>
    <xf numFmtId="168" fontId="37" fillId="3" borderId="1" xfId="3" applyNumberFormat="1" applyFont="1" applyFill="1" applyBorder="1" applyAlignment="1">
      <alignment horizontal="center" vertical="center"/>
    </xf>
    <xf numFmtId="167" fontId="39" fillId="3" borderId="0" xfId="0" applyNumberFormat="1" applyFont="1" applyFill="1"/>
    <xf numFmtId="171" fontId="39" fillId="8" borderId="0" xfId="5" applyNumberFormat="1" applyFont="1" applyFill="1"/>
    <xf numFmtId="10" fontId="37" fillId="5" borderId="1" xfId="0" applyNumberFormat="1" applyFont="1" applyFill="1" applyBorder="1"/>
    <xf numFmtId="10" fontId="45" fillId="5" borderId="1" xfId="3" applyNumberFormat="1" applyFont="1" applyFill="1" applyBorder="1"/>
    <xf numFmtId="10" fontId="39" fillId="3" borderId="1" xfId="3" applyNumberFormat="1" applyFont="1" applyFill="1" applyBorder="1"/>
    <xf numFmtId="10" fontId="39" fillId="3" borderId="1" xfId="0" applyNumberFormat="1" applyFont="1" applyFill="1" applyBorder="1" applyAlignment="1">
      <alignment horizontal="center" vertical="center"/>
    </xf>
    <xf numFmtId="10" fontId="37" fillId="3" borderId="0" xfId="0" applyNumberFormat="1" applyFont="1" applyFill="1"/>
    <xf numFmtId="10" fontId="48" fillId="5" borderId="0" xfId="0" applyNumberFormat="1" applyFont="1" applyFill="1"/>
    <xf numFmtId="0" fontId="65" fillId="0" borderId="1" xfId="0" applyFont="1" applyBorder="1"/>
    <xf numFmtId="10" fontId="65" fillId="0" borderId="1" xfId="3" applyNumberFormat="1" applyFont="1" applyBorder="1"/>
    <xf numFmtId="0" fontId="35" fillId="7" borderId="1" xfId="0" applyFont="1" applyFill="1" applyBorder="1"/>
    <xf numFmtId="10" fontId="35" fillId="7" borderId="1" xfId="0" applyNumberFormat="1" applyFont="1" applyFill="1" applyBorder="1"/>
    <xf numFmtId="171" fontId="29" fillId="0" borderId="1" xfId="5" applyNumberFormat="1" applyFont="1" applyBorder="1"/>
    <xf numFmtId="171" fontId="0" fillId="0" borderId="1" xfId="0" applyNumberFormat="1" applyBorder="1"/>
    <xf numFmtId="0" fontId="0" fillId="28" borderId="1" xfId="0" applyFill="1" applyBorder="1"/>
    <xf numFmtId="41" fontId="0" fillId="28" borderId="1" xfId="0" applyNumberFormat="1" applyFill="1" applyBorder="1"/>
    <xf numFmtId="41" fontId="0" fillId="0" borderId="1" xfId="0" applyNumberFormat="1" applyBorder="1"/>
    <xf numFmtId="41" fontId="0" fillId="3" borderId="1" xfId="0" applyNumberFormat="1" applyFill="1" applyBorder="1"/>
    <xf numFmtId="171" fontId="0" fillId="3" borderId="1" xfId="0" applyNumberFormat="1" applyFill="1" applyBorder="1"/>
    <xf numFmtId="0" fontId="37" fillId="12" borderId="1" xfId="0" applyFont="1" applyFill="1" applyBorder="1" applyAlignment="1">
      <alignment vertical="center"/>
    </xf>
    <xf numFmtId="3" fontId="37" fillId="12" borderId="1" xfId="0" applyNumberFormat="1" applyFont="1" applyFill="1" applyBorder="1" applyAlignment="1">
      <alignment horizontal="center" vertical="center"/>
    </xf>
    <xf numFmtId="9" fontId="37" fillId="12" borderId="1" xfId="3" applyFont="1" applyFill="1" applyBorder="1" applyAlignment="1">
      <alignment horizontal="center" vertical="center"/>
    </xf>
    <xf numFmtId="43" fontId="37" fillId="12" borderId="1" xfId="4" applyFont="1" applyFill="1" applyBorder="1" applyAlignment="1">
      <alignment horizontal="center" vertical="center"/>
    </xf>
    <xf numFmtId="165" fontId="39" fillId="12" borderId="1" xfId="3" applyNumberFormat="1" applyFont="1" applyFill="1" applyBorder="1" applyAlignment="1">
      <alignment horizontal="center" vertical="center"/>
    </xf>
    <xf numFmtId="171" fontId="37" fillId="12" borderId="1" xfId="5" applyNumberFormat="1" applyFont="1" applyFill="1" applyBorder="1"/>
    <xf numFmtId="166" fontId="48" fillId="5" borderId="1" xfId="5" applyFont="1" applyFill="1" applyBorder="1" applyAlignment="1">
      <alignment vertical="center"/>
    </xf>
    <xf numFmtId="0" fontId="39" fillId="0" borderId="1" xfId="0" applyFont="1" applyBorder="1" applyAlignment="1">
      <alignment horizontal="center" vertical="center" wrapText="1"/>
    </xf>
    <xf numFmtId="167" fontId="37" fillId="5" borderId="1" xfId="0" applyNumberFormat="1" applyFont="1" applyFill="1" applyBorder="1" applyAlignment="1">
      <alignment vertical="center"/>
    </xf>
    <xf numFmtId="0" fontId="33" fillId="7" borderId="37" xfId="0" applyFont="1" applyFill="1" applyBorder="1" applyAlignment="1">
      <alignment horizontal="center" vertical="center"/>
    </xf>
    <xf numFmtId="0" fontId="33" fillId="7" borderId="38" xfId="0" applyFont="1" applyFill="1" applyBorder="1" applyAlignment="1">
      <alignment horizontal="center" vertical="center" wrapText="1"/>
    </xf>
    <xf numFmtId="0" fontId="33" fillId="7" borderId="39" xfId="0" applyFont="1" applyFill="1" applyBorder="1" applyAlignment="1">
      <alignment horizontal="center" vertical="center"/>
    </xf>
    <xf numFmtId="173" fontId="39" fillId="13" borderId="1" xfId="4" applyNumberFormat="1" applyFont="1" applyFill="1" applyBorder="1"/>
    <xf numFmtId="180" fontId="31" fillId="0" borderId="0" xfId="0" applyNumberFormat="1" applyFont="1" applyAlignment="1">
      <alignment horizontal="center" vertical="center"/>
    </xf>
    <xf numFmtId="165" fontId="31" fillId="0" borderId="0" xfId="2" applyFont="1" applyAlignment="1">
      <alignment vertical="center"/>
    </xf>
    <xf numFmtId="167" fontId="31" fillId="0" borderId="0" xfId="0" applyNumberFormat="1" applyFont="1" applyAlignment="1">
      <alignment vertical="center"/>
    </xf>
    <xf numFmtId="0" fontId="31" fillId="0" borderId="94" xfId="0" applyFont="1" applyBorder="1" applyAlignment="1">
      <alignment horizontal="left" vertical="center"/>
    </xf>
    <xf numFmtId="0" fontId="31" fillId="0" borderId="3" xfId="0" applyFont="1" applyBorder="1" applyAlignment="1">
      <alignment horizontal="center" vertical="center"/>
    </xf>
    <xf numFmtId="180" fontId="31" fillId="0" borderId="3" xfId="0" applyNumberFormat="1" applyFont="1" applyBorder="1" applyAlignment="1">
      <alignment horizontal="center" vertical="center"/>
    </xf>
    <xf numFmtId="164" fontId="34" fillId="49" borderId="0" xfId="0" applyNumberFormat="1" applyFont="1" applyFill="1" applyAlignment="1">
      <alignment horizontal="center" vertical="center"/>
    </xf>
    <xf numFmtId="164" fontId="34" fillId="49" borderId="0" xfId="0" applyNumberFormat="1" applyFont="1" applyFill="1" applyAlignment="1">
      <alignment horizontal="center" vertical="center" wrapText="1"/>
    </xf>
    <xf numFmtId="180" fontId="104" fillId="0" borderId="7" xfId="0" applyNumberFormat="1" applyFont="1" applyBorder="1" applyAlignment="1">
      <alignment horizontal="center" vertical="center" wrapText="1"/>
    </xf>
    <xf numFmtId="0" fontId="31" fillId="18" borderId="0" xfId="0" applyFont="1" applyFill="1" applyAlignment="1">
      <alignment horizontal="center" vertical="center"/>
    </xf>
    <xf numFmtId="166" fontId="31" fillId="0" borderId="0" xfId="5" applyFont="1" applyBorder="1" applyAlignment="1">
      <alignment vertical="center"/>
    </xf>
    <xf numFmtId="164" fontId="34" fillId="49" borderId="53" xfId="0" applyNumberFormat="1" applyFont="1" applyFill="1" applyBorder="1" applyAlignment="1">
      <alignment horizontal="center" vertical="center" wrapText="1"/>
    </xf>
    <xf numFmtId="164" fontId="34" fillId="49" borderId="53" xfId="0" applyNumberFormat="1" applyFont="1" applyFill="1" applyBorder="1" applyAlignment="1">
      <alignment horizontal="center" vertical="center"/>
    </xf>
    <xf numFmtId="165" fontId="31" fillId="0" borderId="52" xfId="2" applyFont="1" applyBorder="1" applyAlignment="1">
      <alignment vertical="center"/>
    </xf>
    <xf numFmtId="0" fontId="31" fillId="0" borderId="1" xfId="0" applyFont="1" applyBorder="1" applyAlignment="1">
      <alignment horizontal="center" vertical="center" wrapText="1"/>
    </xf>
    <xf numFmtId="0" fontId="31" fillId="0" borderId="33" xfId="0" applyFont="1" applyBorder="1" applyAlignment="1">
      <alignment horizontal="left" vertical="center"/>
    </xf>
    <xf numFmtId="0" fontId="31" fillId="0" borderId="33" xfId="0" applyFont="1" applyBorder="1" applyAlignment="1">
      <alignment horizontal="left" vertical="center" wrapText="1"/>
    </xf>
    <xf numFmtId="0" fontId="33" fillId="7" borderId="41" xfId="0" applyFont="1" applyFill="1" applyBorder="1" applyAlignment="1">
      <alignment horizontal="center" vertical="center"/>
    </xf>
    <xf numFmtId="0" fontId="33" fillId="7" borderId="42" xfId="0" applyFont="1" applyFill="1" applyBorder="1" applyAlignment="1">
      <alignment horizontal="center" vertical="center" wrapText="1"/>
    </xf>
    <xf numFmtId="0" fontId="33" fillId="7" borderId="43" xfId="0" applyFont="1" applyFill="1" applyBorder="1" applyAlignment="1">
      <alignment horizontal="center" vertical="center" wrapText="1"/>
    </xf>
    <xf numFmtId="180" fontId="103" fillId="3" borderId="36" xfId="0" applyNumberFormat="1" applyFont="1" applyFill="1" applyBorder="1" applyAlignment="1">
      <alignment horizontal="center" vertical="center"/>
    </xf>
    <xf numFmtId="180" fontId="103" fillId="3" borderId="56" xfId="0" applyNumberFormat="1" applyFont="1" applyFill="1" applyBorder="1" applyAlignment="1">
      <alignment horizontal="center" vertical="center"/>
    </xf>
    <xf numFmtId="1" fontId="31" fillId="0" borderId="0" xfId="0" applyNumberFormat="1" applyFont="1" applyAlignment="1">
      <alignment vertical="center"/>
    </xf>
    <xf numFmtId="180" fontId="31" fillId="0" borderId="0" xfId="0" applyNumberFormat="1" applyFont="1" applyAlignment="1">
      <alignment vertical="center"/>
    </xf>
    <xf numFmtId="166" fontId="3" fillId="3" borderId="1" xfId="5" applyFont="1" applyFill="1" applyBorder="1"/>
    <xf numFmtId="0" fontId="31" fillId="5" borderId="0" xfId="0" applyFont="1" applyFill="1"/>
    <xf numFmtId="0" fontId="30" fillId="24" borderId="37" xfId="0" applyFont="1" applyFill="1" applyBorder="1" applyAlignment="1">
      <alignment horizontal="center" vertical="center"/>
    </xf>
    <xf numFmtId="0" fontId="31" fillId="5" borderId="6" xfId="0" applyFont="1" applyFill="1" applyBorder="1" applyAlignment="1">
      <alignment vertical="center"/>
    </xf>
    <xf numFmtId="9" fontId="31" fillId="5" borderId="0" xfId="3" applyFont="1" applyFill="1" applyBorder="1" applyAlignment="1">
      <alignment horizontal="center" vertical="center"/>
    </xf>
    <xf numFmtId="167" fontId="31" fillId="5" borderId="0" xfId="0" applyNumberFormat="1" applyFont="1" applyFill="1" applyAlignment="1">
      <alignment horizontal="center" vertical="center"/>
    </xf>
    <xf numFmtId="0" fontId="30" fillId="24" borderId="8" xfId="0" applyFont="1" applyFill="1" applyBorder="1"/>
    <xf numFmtId="0" fontId="103" fillId="11" borderId="13" xfId="0" applyFont="1" applyFill="1" applyBorder="1" applyAlignment="1">
      <alignment vertical="center"/>
    </xf>
    <xf numFmtId="3" fontId="103" fillId="11" borderId="14" xfId="0" applyNumberFormat="1" applyFont="1" applyFill="1" applyBorder="1" applyAlignment="1">
      <alignment horizontal="center" vertical="center"/>
    </xf>
    <xf numFmtId="0" fontId="13" fillId="3" borderId="1" xfId="0" applyFont="1" applyFill="1" applyBorder="1" applyAlignment="1">
      <alignment vertical="center" wrapText="1"/>
    </xf>
    <xf numFmtId="171" fontId="30" fillId="3" borderId="0" xfId="5" applyNumberFormat="1" applyFont="1" applyFill="1" applyAlignment="1">
      <alignment vertical="center"/>
    </xf>
    <xf numFmtId="187" fontId="102" fillId="38" borderId="1" xfId="5" applyNumberFormat="1" applyFont="1" applyFill="1" applyBorder="1"/>
    <xf numFmtId="173" fontId="31" fillId="0" borderId="0" xfId="0" applyNumberFormat="1" applyFont="1" applyAlignment="1">
      <alignment vertical="center"/>
    </xf>
    <xf numFmtId="166" fontId="0" fillId="0" borderId="0" xfId="5" applyFont="1"/>
    <xf numFmtId="10" fontId="0" fillId="0" borderId="0" xfId="0" applyNumberFormat="1"/>
    <xf numFmtId="165" fontId="0" fillId="3" borderId="0" xfId="0" applyNumberFormat="1" applyFill="1"/>
    <xf numFmtId="41" fontId="108" fillId="14" borderId="1" xfId="1" applyFont="1" applyFill="1" applyBorder="1"/>
    <xf numFmtId="167" fontId="43" fillId="17" borderId="1" xfId="0" applyNumberFormat="1" applyFont="1" applyFill="1" applyBorder="1" applyAlignment="1">
      <alignment horizontal="center" vertical="center"/>
    </xf>
    <xf numFmtId="0" fontId="0" fillId="0" borderId="0" xfId="0" applyAlignment="1">
      <alignment horizontal="center" vertical="center"/>
    </xf>
    <xf numFmtId="0" fontId="109" fillId="0" borderId="33" xfId="0" applyFont="1" applyBorder="1" applyAlignment="1">
      <alignment horizontal="center" vertical="center"/>
    </xf>
    <xf numFmtId="0" fontId="109" fillId="0" borderId="31" xfId="0" applyFont="1" applyBorder="1" applyAlignment="1">
      <alignment horizontal="center" vertical="center"/>
    </xf>
    <xf numFmtId="0" fontId="110" fillId="20" borderId="34" xfId="0" applyFont="1" applyFill="1" applyBorder="1" applyAlignment="1">
      <alignment horizontal="center" vertical="center"/>
    </xf>
    <xf numFmtId="0" fontId="110" fillId="20" borderId="35" xfId="0" applyFont="1" applyFill="1" applyBorder="1" applyAlignment="1">
      <alignment horizontal="center" vertical="center" wrapText="1"/>
    </xf>
    <xf numFmtId="0" fontId="110" fillId="20" borderId="36" xfId="0" applyFont="1" applyFill="1" applyBorder="1" applyAlignment="1">
      <alignment horizontal="center" vertical="center" wrapText="1"/>
    </xf>
    <xf numFmtId="0" fontId="57" fillId="0" borderId="0" xfId="0" applyFont="1" applyAlignment="1">
      <alignment vertical="center"/>
    </xf>
    <xf numFmtId="0" fontId="111" fillId="20" borderId="98" xfId="0" applyFont="1" applyFill="1" applyBorder="1" applyAlignment="1">
      <alignment horizontal="center" vertical="center" textRotation="90" wrapText="1"/>
    </xf>
    <xf numFmtId="0" fontId="110" fillId="20" borderId="44" xfId="0" applyFont="1" applyFill="1" applyBorder="1" applyAlignment="1">
      <alignment horizontal="center" vertical="center"/>
    </xf>
    <xf numFmtId="0" fontId="110" fillId="20" borderId="71" xfId="0" applyFont="1" applyFill="1" applyBorder="1" applyAlignment="1">
      <alignment horizontal="center" vertical="center"/>
    </xf>
    <xf numFmtId="0" fontId="115" fillId="20" borderId="55" xfId="0" applyFont="1" applyFill="1" applyBorder="1" applyAlignment="1">
      <alignment vertical="center"/>
    </xf>
    <xf numFmtId="0" fontId="116" fillId="0" borderId="1" xfId="0" applyFont="1" applyBorder="1" applyAlignment="1">
      <alignment horizontal="left" vertical="center"/>
    </xf>
    <xf numFmtId="0" fontId="116" fillId="0" borderId="32" xfId="0" applyFont="1" applyBorder="1" applyAlignment="1">
      <alignment horizontal="left" vertical="center"/>
    </xf>
    <xf numFmtId="0" fontId="114" fillId="0" borderId="31" xfId="0" applyFont="1" applyBorder="1" applyAlignment="1">
      <alignment vertical="center"/>
    </xf>
    <xf numFmtId="0" fontId="114" fillId="0" borderId="97" xfId="0" applyFont="1" applyBorder="1" applyAlignment="1">
      <alignment vertical="center" wrapText="1"/>
    </xf>
    <xf numFmtId="0" fontId="114" fillId="0" borderId="31" xfId="0" applyFont="1" applyBorder="1" applyAlignment="1">
      <alignment horizontal="center" vertical="center" textRotation="90" wrapText="1"/>
    </xf>
    <xf numFmtId="0" fontId="114" fillId="0" borderId="49" xfId="0" applyFont="1" applyBorder="1" applyAlignment="1">
      <alignment horizontal="center" vertical="center" textRotation="90" wrapText="1"/>
    </xf>
    <xf numFmtId="0" fontId="114" fillId="0" borderId="97" xfId="0" applyFont="1" applyBorder="1" applyAlignment="1">
      <alignment horizontal="center" vertical="center" textRotation="90" wrapText="1"/>
    </xf>
    <xf numFmtId="0" fontId="111" fillId="0" borderId="33" xfId="0" applyFont="1" applyBorder="1" applyAlignment="1">
      <alignment horizontal="center" vertical="center"/>
    </xf>
    <xf numFmtId="0" fontId="116" fillId="0" borderId="32" xfId="0" applyFont="1" applyBorder="1" applyAlignment="1">
      <alignment horizontal="left" vertical="center" wrapText="1"/>
    </xf>
    <xf numFmtId="0" fontId="116" fillId="0" borderId="33" xfId="0" applyFont="1" applyBorder="1" applyAlignment="1">
      <alignment vertical="center"/>
    </xf>
    <xf numFmtId="0" fontId="116" fillId="0" borderId="1" xfId="0" applyFont="1" applyBorder="1" applyAlignment="1">
      <alignment vertical="center"/>
    </xf>
    <xf numFmtId="0" fontId="116" fillId="0" borderId="32" xfId="0" applyFont="1" applyBorder="1" applyAlignment="1">
      <alignment vertical="center"/>
    </xf>
    <xf numFmtId="0" fontId="111" fillId="0" borderId="32" xfId="0" applyFont="1" applyBorder="1" applyAlignment="1">
      <alignment horizontal="center" vertical="center"/>
    </xf>
    <xf numFmtId="0" fontId="116" fillId="0" borderId="33" xfId="0" applyFont="1" applyBorder="1" applyAlignment="1">
      <alignment horizontal="center" vertical="center"/>
    </xf>
    <xf numFmtId="0" fontId="116" fillId="0" borderId="1" xfId="0" applyFont="1" applyBorder="1" applyAlignment="1">
      <alignment horizontal="center" vertical="center"/>
    </xf>
    <xf numFmtId="0" fontId="116" fillId="0" borderId="32" xfId="0" applyFont="1" applyBorder="1" applyAlignment="1">
      <alignment horizontal="center" vertical="center"/>
    </xf>
    <xf numFmtId="2" fontId="111" fillId="3" borderId="47" xfId="0" applyNumberFormat="1" applyFont="1" applyFill="1" applyBorder="1" applyAlignment="1">
      <alignment horizontal="center" vertical="center"/>
    </xf>
    <xf numFmtId="0" fontId="116" fillId="0" borderId="34" xfId="0" applyFont="1" applyBorder="1" applyAlignment="1">
      <alignment vertical="center"/>
    </xf>
    <xf numFmtId="0" fontId="116" fillId="0" borderId="36" xfId="0" applyFont="1" applyBorder="1" applyAlignment="1">
      <alignment vertical="center"/>
    </xf>
    <xf numFmtId="0" fontId="116" fillId="0" borderId="34" xfId="0" applyFont="1" applyBorder="1" applyAlignment="1">
      <alignment horizontal="center" vertical="center"/>
    </xf>
    <xf numFmtId="0" fontId="116" fillId="0" borderId="35" xfId="0" applyFont="1" applyBorder="1" applyAlignment="1">
      <alignment horizontal="center" vertical="center"/>
    </xf>
    <xf numFmtId="0" fontId="116" fillId="0" borderId="36" xfId="0" applyFont="1" applyBorder="1" applyAlignment="1">
      <alignment horizontal="center" vertical="center"/>
    </xf>
    <xf numFmtId="0" fontId="110" fillId="20" borderId="33" xfId="0" applyFont="1" applyFill="1" applyBorder="1" applyAlignment="1">
      <alignment vertical="center" wrapText="1"/>
    </xf>
    <xf numFmtId="0" fontId="118" fillId="20" borderId="35" xfId="0" applyFont="1" applyFill="1" applyBorder="1" applyAlignment="1">
      <alignment horizontal="center" vertical="center" wrapText="1"/>
    </xf>
    <xf numFmtId="0" fontId="118" fillId="20" borderId="36" xfId="0" applyFont="1" applyFill="1" applyBorder="1" applyAlignment="1">
      <alignment horizontal="center" vertical="center" wrapText="1"/>
    </xf>
    <xf numFmtId="0" fontId="116" fillId="0" borderId="42" xfId="0" applyFont="1" applyBorder="1" applyAlignment="1">
      <alignment vertical="center" wrapText="1"/>
    </xf>
    <xf numFmtId="0" fontId="116" fillId="0" borderId="43" xfId="0" applyFont="1" applyBorder="1" applyAlignment="1">
      <alignment vertical="center" wrapText="1"/>
    </xf>
    <xf numFmtId="0" fontId="116" fillId="0" borderId="32" xfId="0" applyFont="1" applyBorder="1" applyAlignment="1">
      <alignment vertical="center" wrapText="1"/>
    </xf>
    <xf numFmtId="0" fontId="116" fillId="0" borderId="1" xfId="0" applyFont="1" applyBorder="1" applyAlignment="1">
      <alignment vertical="center" wrapText="1"/>
    </xf>
    <xf numFmtId="0" fontId="116" fillId="0" borderId="35" xfId="0" applyFont="1" applyBorder="1" applyAlignment="1">
      <alignment vertical="center" wrapText="1"/>
    </xf>
    <xf numFmtId="0" fontId="116" fillId="0" borderId="36" xfId="0" applyFont="1" applyBorder="1" applyAlignment="1">
      <alignment vertical="center" wrapText="1"/>
    </xf>
    <xf numFmtId="0" fontId="116" fillId="0" borderId="97" xfId="0" applyFont="1" applyBorder="1" applyAlignment="1">
      <alignment vertical="center" wrapText="1"/>
    </xf>
    <xf numFmtId="0" fontId="111" fillId="0" borderId="32" xfId="0" applyFont="1" applyBorder="1" applyAlignment="1">
      <alignment vertical="center" wrapText="1"/>
    </xf>
    <xf numFmtId="0" fontId="75" fillId="7" borderId="1" xfId="0" applyFont="1" applyFill="1" applyBorder="1" applyAlignment="1">
      <alignment horizontal="center" vertical="center"/>
    </xf>
    <xf numFmtId="0" fontId="122" fillId="0" borderId="1" xfId="0" applyFont="1" applyBorder="1" applyAlignment="1">
      <alignment horizontal="left" vertical="center" wrapText="1" readingOrder="1"/>
    </xf>
    <xf numFmtId="0" fontId="116" fillId="0" borderId="0" xfId="0" applyFont="1" applyAlignment="1">
      <alignment vertical="center" wrapText="1"/>
    </xf>
    <xf numFmtId="0" fontId="75" fillId="7" borderId="41" xfId="0" applyFont="1" applyFill="1" applyBorder="1" applyAlignment="1">
      <alignment vertical="center" wrapText="1"/>
    </xf>
    <xf numFmtId="0" fontId="75" fillId="7" borderId="43" xfId="0" applyFont="1" applyFill="1" applyBorder="1" applyAlignment="1">
      <alignment vertical="center" wrapText="1"/>
    </xf>
    <xf numFmtId="0" fontId="7" fillId="0" borderId="1" xfId="0" applyFont="1" applyBorder="1" applyAlignment="1">
      <alignment vertical="center"/>
    </xf>
    <xf numFmtId="0" fontId="118" fillId="5" borderId="1" xfId="0" applyFont="1" applyFill="1" applyBorder="1" applyAlignment="1">
      <alignment vertical="center"/>
    </xf>
    <xf numFmtId="0" fontId="118" fillId="6" borderId="1" xfId="0" applyFont="1" applyFill="1" applyBorder="1" applyAlignment="1">
      <alignment horizontal="center" vertical="center"/>
    </xf>
    <xf numFmtId="0" fontId="75" fillId="7" borderId="51" xfId="0" applyFont="1" applyFill="1" applyBorder="1" applyAlignment="1">
      <alignment horizontal="center" vertical="center"/>
    </xf>
    <xf numFmtId="0" fontId="119" fillId="13" borderId="1" xfId="6" applyFont="1" applyFill="1" applyBorder="1" applyAlignment="1">
      <alignment horizontal="center" vertical="center" wrapText="1"/>
    </xf>
    <xf numFmtId="0" fontId="75" fillId="13"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48" xfId="0" applyFont="1" applyBorder="1" applyAlignment="1">
      <alignment vertical="center" wrapText="1"/>
    </xf>
    <xf numFmtId="0" fontId="118" fillId="6" borderId="47" xfId="0" applyFont="1" applyFill="1" applyBorder="1" applyAlignment="1">
      <alignment horizontal="center" vertical="center"/>
    </xf>
    <xf numFmtId="0" fontId="7" fillId="5" borderId="47" xfId="0" applyFont="1" applyFill="1" applyBorder="1" applyAlignment="1">
      <alignment vertical="center"/>
    </xf>
    <xf numFmtId="0" fontId="118" fillId="6" borderId="33" xfId="0" applyFont="1" applyFill="1" applyBorder="1" applyAlignment="1">
      <alignment horizontal="center" vertical="center"/>
    </xf>
    <xf numFmtId="0" fontId="118" fillId="6" borderId="32" xfId="0" applyFont="1" applyFill="1" applyBorder="1" applyAlignment="1">
      <alignment horizontal="center" vertical="center"/>
    </xf>
    <xf numFmtId="0" fontId="118" fillId="5" borderId="33" xfId="0" applyFont="1" applyFill="1" applyBorder="1" applyAlignment="1">
      <alignment vertical="center"/>
    </xf>
    <xf numFmtId="0" fontId="118" fillId="6" borderId="34" xfId="0" applyFont="1" applyFill="1" applyBorder="1" applyAlignment="1">
      <alignment horizontal="center" vertical="center"/>
    </xf>
    <xf numFmtId="9" fontId="118" fillId="6" borderId="36" xfId="0" applyNumberFormat="1" applyFont="1" applyFill="1" applyBorder="1" applyAlignment="1">
      <alignment horizontal="center" vertical="center"/>
    </xf>
    <xf numFmtId="9" fontId="7" fillId="0" borderId="32" xfId="0" applyNumberFormat="1" applyFont="1" applyBorder="1" applyAlignment="1">
      <alignment horizontal="center" vertical="center"/>
    </xf>
    <xf numFmtId="0" fontId="118" fillId="6" borderId="22" xfId="0" applyFont="1" applyFill="1" applyBorder="1" applyAlignment="1">
      <alignment horizontal="center" vertical="center"/>
    </xf>
    <xf numFmtId="0" fontId="7" fillId="5" borderId="22" xfId="0" applyFont="1" applyFill="1" applyBorder="1" applyAlignment="1">
      <alignment vertical="center"/>
    </xf>
    <xf numFmtId="0" fontId="7" fillId="5" borderId="33" xfId="0" applyFont="1" applyFill="1" applyBorder="1" applyAlignment="1">
      <alignment vertical="center"/>
    </xf>
    <xf numFmtId="0" fontId="7" fillId="5" borderId="32" xfId="0" applyFont="1" applyFill="1" applyBorder="1" applyAlignment="1">
      <alignment vertical="center"/>
    </xf>
    <xf numFmtId="0" fontId="118" fillId="6" borderId="36" xfId="0" applyFont="1" applyFill="1" applyBorder="1" applyAlignment="1">
      <alignment horizontal="center" vertical="center"/>
    </xf>
    <xf numFmtId="0" fontId="118" fillId="6" borderId="101" xfId="0" applyFont="1" applyFill="1" applyBorder="1" applyAlignment="1">
      <alignment horizontal="center" vertical="center"/>
    </xf>
    <xf numFmtId="0" fontId="118" fillId="6" borderId="93" xfId="0" applyFont="1" applyFill="1" applyBorder="1" applyAlignment="1">
      <alignment horizontal="center" vertical="center"/>
    </xf>
    <xf numFmtId="0" fontId="7" fillId="0" borderId="0" xfId="0" applyFont="1" applyAlignment="1">
      <alignment vertical="center"/>
    </xf>
    <xf numFmtId="0" fontId="7" fillId="5" borderId="0" xfId="0" applyFont="1" applyFill="1" applyAlignment="1">
      <alignment vertical="center"/>
    </xf>
    <xf numFmtId="0" fontId="118" fillId="5" borderId="0" xfId="0" applyFont="1" applyFill="1" applyAlignment="1">
      <alignment vertical="center"/>
    </xf>
    <xf numFmtId="0" fontId="51" fillId="5" borderId="0" xfId="0" applyFont="1" applyFill="1" applyAlignment="1">
      <alignment vertical="center"/>
    </xf>
    <xf numFmtId="0" fontId="118" fillId="5" borderId="0" xfId="0" applyFont="1" applyFill="1" applyAlignment="1">
      <alignment horizontal="center" vertical="center"/>
    </xf>
    <xf numFmtId="0" fontId="119" fillId="5" borderId="0" xfId="6" applyFont="1" applyFill="1" applyAlignment="1">
      <alignment vertical="center"/>
    </xf>
    <xf numFmtId="0" fontId="7" fillId="0" borderId="33" xfId="0" applyFont="1" applyBorder="1" applyAlignment="1">
      <alignment vertical="center"/>
    </xf>
    <xf numFmtId="0" fontId="7" fillId="0" borderId="34" xfId="0" applyFont="1" applyBorder="1" applyAlignment="1">
      <alignment vertical="center"/>
    </xf>
    <xf numFmtId="0" fontId="124" fillId="0" borderId="0" xfId="0" applyFont="1" applyAlignment="1">
      <alignment horizontal="right" vertical="center" wrapText="1" readingOrder="1"/>
    </xf>
    <xf numFmtId="0" fontId="125" fillId="0" borderId="0" xfId="0" applyFont="1" applyAlignment="1">
      <alignment horizontal="left" vertical="center" wrapText="1" readingOrder="1"/>
    </xf>
    <xf numFmtId="0" fontId="118" fillId="0" borderId="0" xfId="0" applyFont="1" applyAlignment="1">
      <alignment vertical="center"/>
    </xf>
    <xf numFmtId="0" fontId="119" fillId="0" borderId="0" xfId="6" applyFont="1" applyAlignment="1">
      <alignment vertical="center"/>
    </xf>
    <xf numFmtId="0" fontId="7" fillId="0" borderId="32" xfId="0" applyFont="1" applyBorder="1" applyAlignment="1">
      <alignment vertical="center"/>
    </xf>
    <xf numFmtId="0" fontId="7" fillId="0" borderId="36" xfId="0" applyFont="1" applyBorder="1" applyAlignment="1">
      <alignment vertical="center"/>
    </xf>
    <xf numFmtId="0" fontId="118" fillId="0" borderId="1" xfId="0" applyFont="1" applyBorder="1" applyAlignment="1">
      <alignment vertical="center"/>
    </xf>
    <xf numFmtId="0" fontId="7" fillId="13" borderId="1" xfId="0" applyFont="1" applyFill="1" applyBorder="1" applyAlignment="1">
      <alignment vertical="center"/>
    </xf>
    <xf numFmtId="16" fontId="7" fillId="5" borderId="0" xfId="1" applyNumberFormat="1" applyFont="1" applyFill="1" applyAlignment="1">
      <alignment vertical="center"/>
    </xf>
    <xf numFmtId="0" fontId="7" fillId="0" borderId="0" xfId="0" applyFont="1" applyAlignment="1">
      <alignment horizontal="center" vertical="center"/>
    </xf>
    <xf numFmtId="0" fontId="75" fillId="50" borderId="55" xfId="8" applyFont="1" applyFill="1" applyBorder="1" applyAlignment="1">
      <alignment horizontal="center" vertical="center" textRotation="90" wrapText="1"/>
    </xf>
    <xf numFmtId="0" fontId="73" fillId="44" borderId="55" xfId="8" applyFont="1" applyFill="1" applyBorder="1" applyAlignment="1">
      <alignment horizontal="center" vertical="center" textRotation="90" wrapText="1"/>
    </xf>
    <xf numFmtId="0" fontId="73" fillId="51" borderId="55" xfId="10" applyFont="1" applyFill="1" applyBorder="1" applyAlignment="1">
      <alignment horizontal="center" vertical="center" textRotation="90" wrapText="1"/>
    </xf>
    <xf numFmtId="0" fontId="7" fillId="5" borderId="0" xfId="0" applyFont="1" applyFill="1" applyAlignment="1">
      <alignment horizontal="center" vertical="center"/>
    </xf>
    <xf numFmtId="0" fontId="131" fillId="0" borderId="0" xfId="0" applyFont="1" applyAlignment="1">
      <alignment vertical="center"/>
    </xf>
    <xf numFmtId="0" fontId="131" fillId="5" borderId="0" xfId="0" applyFont="1" applyFill="1" applyAlignment="1">
      <alignment vertical="center"/>
    </xf>
    <xf numFmtId="0" fontId="136" fillId="13" borderId="49" xfId="0" applyFont="1" applyFill="1" applyBorder="1" applyAlignment="1">
      <alignment horizontal="center" vertical="center" wrapText="1"/>
    </xf>
    <xf numFmtId="0" fontId="136" fillId="13" borderId="49" xfId="0" applyFont="1" applyFill="1" applyBorder="1" applyAlignment="1">
      <alignment horizontal="left" vertical="center" wrapText="1"/>
    </xf>
    <xf numFmtId="0" fontId="136" fillId="13" borderId="49" xfId="0" applyFont="1" applyFill="1" applyBorder="1" applyAlignment="1">
      <alignment vertical="center"/>
    </xf>
    <xf numFmtId="0" fontId="136" fillId="13" borderId="1" xfId="0" applyFont="1" applyFill="1" applyBorder="1" applyAlignment="1">
      <alignment horizontal="center" vertical="center" wrapText="1"/>
    </xf>
    <xf numFmtId="0" fontId="136" fillId="13" borderId="1" xfId="0" applyFont="1" applyFill="1" applyBorder="1" applyAlignment="1">
      <alignment horizontal="left" vertical="center" wrapText="1"/>
    </xf>
    <xf numFmtId="0" fontId="136" fillId="13" borderId="1" xfId="0" applyFont="1" applyFill="1" applyBorder="1" applyAlignment="1">
      <alignment vertical="center"/>
    </xf>
    <xf numFmtId="0" fontId="136" fillId="13" borderId="48" xfId="0" applyFont="1" applyFill="1" applyBorder="1" applyAlignment="1">
      <alignment horizontal="center" vertical="center" wrapText="1"/>
    </xf>
    <xf numFmtId="0" fontId="136" fillId="13" borderId="48" xfId="0" applyFont="1" applyFill="1" applyBorder="1" applyAlignment="1">
      <alignment horizontal="left" vertical="center" wrapText="1"/>
    </xf>
    <xf numFmtId="0" fontId="136" fillId="13" borderId="48" xfId="0" applyFont="1" applyFill="1" applyBorder="1" applyAlignment="1">
      <alignment vertical="center"/>
    </xf>
    <xf numFmtId="0" fontId="137" fillId="10" borderId="42" xfId="0" applyFont="1" applyFill="1" applyBorder="1" applyAlignment="1">
      <alignment horizontal="center" vertical="center" wrapText="1"/>
    </xf>
    <xf numFmtId="0" fontId="137" fillId="10" borderId="42" xfId="0" applyFont="1" applyFill="1" applyBorder="1" applyAlignment="1">
      <alignment horizontal="left" vertical="center" wrapText="1"/>
    </xf>
    <xf numFmtId="0" fontId="137" fillId="10" borderId="42" xfId="0" applyFont="1" applyFill="1" applyBorder="1" applyAlignment="1">
      <alignment vertical="center"/>
    </xf>
    <xf numFmtId="0" fontId="137" fillId="10" borderId="1" xfId="0" applyFont="1" applyFill="1" applyBorder="1" applyAlignment="1">
      <alignment horizontal="center" vertical="center" wrapText="1"/>
    </xf>
    <xf numFmtId="0" fontId="137" fillId="10" borderId="1" xfId="0" applyFont="1" applyFill="1" applyBorder="1" applyAlignment="1">
      <alignment horizontal="left" vertical="center" wrapText="1"/>
    </xf>
    <xf numFmtId="0" fontId="137" fillId="10" borderId="1" xfId="0" applyFont="1" applyFill="1" applyBorder="1" applyAlignment="1">
      <alignment vertical="center"/>
    </xf>
    <xf numFmtId="0" fontId="137" fillId="10" borderId="35" xfId="0" applyFont="1" applyFill="1" applyBorder="1" applyAlignment="1">
      <alignment horizontal="center" vertical="center" wrapText="1"/>
    </xf>
    <xf numFmtId="0" fontId="137" fillId="10" borderId="35" xfId="0" applyFont="1" applyFill="1" applyBorder="1" applyAlignment="1">
      <alignment horizontal="left" vertical="center" wrapText="1"/>
    </xf>
    <xf numFmtId="0" fontId="137" fillId="10" borderId="35" xfId="0" applyFont="1" applyFill="1" applyBorder="1" applyAlignment="1">
      <alignment vertical="center"/>
    </xf>
    <xf numFmtId="0" fontId="136" fillId="13" borderId="97" xfId="0" applyFont="1" applyFill="1" applyBorder="1" applyAlignment="1">
      <alignment horizontal="center" vertical="center" wrapText="1"/>
    </xf>
    <xf numFmtId="0" fontId="136" fillId="13" borderId="32" xfId="0" applyFont="1" applyFill="1" applyBorder="1" applyAlignment="1">
      <alignment horizontal="center" vertical="center" wrapText="1"/>
    </xf>
    <xf numFmtId="0" fontId="136" fillId="13" borderId="103" xfId="0" applyFont="1" applyFill="1" applyBorder="1" applyAlignment="1">
      <alignment horizontal="center" vertical="center" wrapText="1"/>
    </xf>
    <xf numFmtId="0" fontId="137" fillId="10" borderId="43" xfId="0" applyFont="1" applyFill="1" applyBorder="1" applyAlignment="1">
      <alignment horizontal="center" vertical="center" wrapText="1"/>
    </xf>
    <xf numFmtId="0" fontId="137" fillId="10" borderId="32" xfId="0" applyFont="1" applyFill="1" applyBorder="1" applyAlignment="1">
      <alignment horizontal="center" vertical="center" wrapText="1"/>
    </xf>
    <xf numFmtId="0" fontId="137" fillId="10" borderId="36" xfId="0" applyFont="1" applyFill="1" applyBorder="1" applyAlignment="1">
      <alignment horizontal="center" vertical="center" wrapText="1"/>
    </xf>
    <xf numFmtId="0" fontId="135" fillId="20" borderId="35" xfId="0" applyFont="1" applyFill="1" applyBorder="1" applyAlignment="1">
      <alignment horizontal="center" vertical="center" wrapText="1"/>
    </xf>
    <xf numFmtId="0" fontId="135" fillId="20" borderId="36" xfId="0" applyFont="1" applyFill="1" applyBorder="1" applyAlignment="1">
      <alignment horizontal="center" vertical="center" wrapText="1"/>
    </xf>
    <xf numFmtId="0" fontId="137" fillId="10" borderId="43" xfId="0" applyFont="1" applyFill="1" applyBorder="1" applyAlignment="1">
      <alignment vertical="center"/>
    </xf>
    <xf numFmtId="0" fontId="137" fillId="10" borderId="32" xfId="0" applyFont="1" applyFill="1" applyBorder="1" applyAlignment="1">
      <alignment vertical="center"/>
    </xf>
    <xf numFmtId="0" fontId="137" fillId="10" borderId="36" xfId="0" applyFont="1" applyFill="1" applyBorder="1" applyAlignment="1">
      <alignment vertical="center"/>
    </xf>
    <xf numFmtId="0" fontId="136" fillId="13" borderId="42" xfId="0" applyFont="1" applyFill="1" applyBorder="1" applyAlignment="1">
      <alignment horizontal="center" vertical="center" wrapText="1"/>
    </xf>
    <xf numFmtId="0" fontId="136" fillId="13" borderId="42" xfId="0" applyFont="1" applyFill="1" applyBorder="1" applyAlignment="1">
      <alignment horizontal="left" vertical="center" wrapText="1"/>
    </xf>
    <xf numFmtId="0" fontId="136" fillId="13" borderId="43" xfId="0" applyFont="1" applyFill="1" applyBorder="1" applyAlignment="1">
      <alignment horizontal="center" vertical="center" wrapText="1"/>
    </xf>
    <xf numFmtId="0" fontId="136" fillId="13" borderId="42" xfId="0" applyFont="1" applyFill="1" applyBorder="1" applyAlignment="1">
      <alignment vertical="center"/>
    </xf>
    <xf numFmtId="0" fontId="7" fillId="13" borderId="42" xfId="0" applyFont="1" applyFill="1" applyBorder="1" applyAlignment="1">
      <alignment vertical="center"/>
    </xf>
    <xf numFmtId="0" fontId="7" fillId="13" borderId="43" xfId="0" applyFont="1" applyFill="1" applyBorder="1" applyAlignment="1">
      <alignment vertical="center"/>
    </xf>
    <xf numFmtId="0" fontId="7" fillId="13" borderId="32" xfId="0" applyFont="1" applyFill="1" applyBorder="1" applyAlignment="1">
      <alignment vertical="center"/>
    </xf>
    <xf numFmtId="0" fontId="136" fillId="13" borderId="35" xfId="0" applyFont="1" applyFill="1" applyBorder="1" applyAlignment="1">
      <alignment horizontal="center" vertical="center" wrapText="1"/>
    </xf>
    <xf numFmtId="0" fontId="136" fillId="13" borderId="35" xfId="0" applyFont="1" applyFill="1" applyBorder="1" applyAlignment="1">
      <alignment horizontal="left" vertical="center" wrapText="1"/>
    </xf>
    <xf numFmtId="0" fontId="136" fillId="13" borderId="36" xfId="0" applyFont="1" applyFill="1" applyBorder="1" applyAlignment="1">
      <alignment horizontal="center" vertical="center" wrapText="1"/>
    </xf>
    <xf numFmtId="0" fontId="136" fillId="13" borderId="35" xfId="0" applyFont="1" applyFill="1" applyBorder="1" applyAlignment="1">
      <alignment vertical="center"/>
    </xf>
    <xf numFmtId="0" fontId="7" fillId="13" borderId="35" xfId="0" applyFont="1" applyFill="1" applyBorder="1" applyAlignment="1">
      <alignment vertical="center"/>
    </xf>
    <xf numFmtId="0" fontId="7" fillId="13" borderId="36" xfId="0" applyFont="1" applyFill="1" applyBorder="1" applyAlignment="1">
      <alignment vertical="center"/>
    </xf>
    <xf numFmtId="0" fontId="130" fillId="13" borderId="31" xfId="0" applyFont="1" applyFill="1" applyBorder="1" applyAlignment="1">
      <alignment vertical="center" wrapText="1"/>
    </xf>
    <xf numFmtId="0" fontId="136" fillId="13" borderId="97" xfId="0" applyFont="1" applyFill="1" applyBorder="1" applyAlignment="1">
      <alignment vertical="center"/>
    </xf>
    <xf numFmtId="0" fontId="130" fillId="13" borderId="33" xfId="0" applyFont="1" applyFill="1" applyBorder="1" applyAlignment="1">
      <alignment vertical="center" wrapText="1"/>
    </xf>
    <xf numFmtId="0" fontId="136" fillId="13" borderId="32" xfId="0" applyFont="1" applyFill="1" applyBorder="1" applyAlignment="1">
      <alignment vertical="center"/>
    </xf>
    <xf numFmtId="0" fontId="136" fillId="13" borderId="102" xfId="0" applyFont="1" applyFill="1" applyBorder="1" applyAlignment="1">
      <alignment vertical="center"/>
    </xf>
    <xf numFmtId="0" fontId="136" fillId="13" borderId="103" xfId="0" applyFont="1" applyFill="1" applyBorder="1" applyAlignment="1">
      <alignment vertical="center"/>
    </xf>
    <xf numFmtId="0" fontId="138" fillId="10" borderId="41" xfId="0" applyFont="1" applyFill="1" applyBorder="1" applyAlignment="1">
      <alignment vertical="center" wrapText="1"/>
    </xf>
    <xf numFmtId="0" fontId="138" fillId="10" borderId="33" xfId="0" applyFont="1" applyFill="1" applyBorder="1" applyAlignment="1">
      <alignment vertical="center" wrapText="1"/>
    </xf>
    <xf numFmtId="0" fontId="136" fillId="13" borderId="31" xfId="0" applyFont="1" applyFill="1" applyBorder="1" applyAlignment="1">
      <alignment vertical="center"/>
    </xf>
    <xf numFmtId="0" fontId="130" fillId="13" borderId="102" xfId="0" applyFont="1" applyFill="1" applyBorder="1" applyAlignment="1">
      <alignment vertical="center" wrapText="1"/>
    </xf>
    <xf numFmtId="0" fontId="137" fillId="10" borderId="33" xfId="0" applyFont="1" applyFill="1" applyBorder="1" applyAlignment="1">
      <alignment vertical="center"/>
    </xf>
    <xf numFmtId="0" fontId="137" fillId="10" borderId="34" xfId="0" applyFont="1" applyFill="1" applyBorder="1" applyAlignment="1">
      <alignment vertical="center"/>
    </xf>
    <xf numFmtId="0" fontId="136" fillId="13" borderId="41" xfId="0" applyFont="1" applyFill="1" applyBorder="1" applyAlignment="1">
      <alignment vertical="center"/>
    </xf>
    <xf numFmtId="0" fontId="136" fillId="13" borderId="43" xfId="0" applyFont="1" applyFill="1" applyBorder="1" applyAlignment="1">
      <alignment vertical="center"/>
    </xf>
    <xf numFmtId="0" fontId="136" fillId="13" borderId="33" xfId="0" applyFont="1" applyFill="1" applyBorder="1" applyAlignment="1">
      <alignment vertical="center"/>
    </xf>
    <xf numFmtId="0" fontId="136" fillId="13" borderId="34" xfId="0" applyFont="1" applyFill="1" applyBorder="1" applyAlignment="1">
      <alignment vertical="center"/>
    </xf>
    <xf numFmtId="0" fontId="136" fillId="13" borderId="36" xfId="0" applyFont="1" applyFill="1" applyBorder="1" applyAlignment="1">
      <alignment vertical="center"/>
    </xf>
    <xf numFmtId="0" fontId="137" fillId="10" borderId="41" xfId="0" applyFont="1" applyFill="1" applyBorder="1" applyAlignment="1">
      <alignment vertical="center"/>
    </xf>
    <xf numFmtId="0" fontId="7" fillId="13" borderId="41" xfId="0" applyFont="1" applyFill="1" applyBorder="1" applyAlignment="1">
      <alignment vertical="center"/>
    </xf>
    <xf numFmtId="0" fontId="7" fillId="13" borderId="33" xfId="0" applyFont="1" applyFill="1" applyBorder="1" applyAlignment="1">
      <alignment vertical="center"/>
    </xf>
    <xf numFmtId="0" fontId="7" fillId="13" borderId="34" xfId="0" applyFont="1" applyFill="1" applyBorder="1" applyAlignment="1">
      <alignment vertical="center"/>
    </xf>
    <xf numFmtId="0" fontId="7" fillId="5" borderId="0" xfId="0" applyFont="1" applyFill="1" applyAlignment="1">
      <alignment horizontal="left" vertical="center" wrapText="1"/>
    </xf>
    <xf numFmtId="173" fontId="7" fillId="0" borderId="0" xfId="0" applyNumberFormat="1" applyFont="1" applyAlignment="1">
      <alignment vertical="center"/>
    </xf>
    <xf numFmtId="43" fontId="7" fillId="0" borderId="0" xfId="4" applyFont="1" applyAlignment="1">
      <alignment vertical="center"/>
    </xf>
    <xf numFmtId="173" fontId="7" fillId="5" borderId="0" xfId="0" applyNumberFormat="1" applyFont="1" applyFill="1" applyAlignment="1">
      <alignment vertical="center"/>
    </xf>
    <xf numFmtId="0" fontId="51" fillId="5" borderId="4" xfId="0" applyFont="1" applyFill="1" applyBorder="1" applyAlignment="1">
      <alignment vertical="center"/>
    </xf>
    <xf numFmtId="0" fontId="7" fillId="5" borderId="0" xfId="0" applyFont="1" applyFill="1" applyAlignment="1">
      <alignment horizontal="center" vertical="center" wrapText="1"/>
    </xf>
    <xf numFmtId="0" fontId="51" fillId="0" borderId="41" xfId="0" applyFont="1" applyBorder="1" applyAlignment="1">
      <alignment vertical="center"/>
    </xf>
    <xf numFmtId="0" fontId="51" fillId="0" borderId="33" xfId="0" applyFont="1" applyBorder="1" applyAlignment="1">
      <alignment vertical="center"/>
    </xf>
    <xf numFmtId="173" fontId="7" fillId="6" borderId="32" xfId="4" applyNumberFormat="1" applyFont="1" applyFill="1" applyBorder="1" applyAlignment="1">
      <alignment vertical="center"/>
    </xf>
    <xf numFmtId="3" fontId="7" fillId="6" borderId="7" xfId="0" applyNumberFormat="1" applyFont="1" applyFill="1" applyBorder="1" applyAlignment="1">
      <alignment horizontal="center" vertical="center"/>
    </xf>
    <xf numFmtId="0" fontId="7" fillId="5" borderId="2" xfId="0" applyFont="1" applyFill="1" applyBorder="1" applyAlignment="1">
      <alignment horizontal="left" vertical="center" wrapText="1"/>
    </xf>
    <xf numFmtId="0" fontId="51" fillId="5" borderId="4" xfId="0" applyFont="1" applyFill="1" applyBorder="1" applyAlignment="1">
      <alignment horizontal="left" vertical="center"/>
    </xf>
    <xf numFmtId="0" fontId="7" fillId="0" borderId="5" xfId="0" applyFont="1" applyBorder="1" applyAlignment="1">
      <alignment horizontal="center" vertical="center"/>
    </xf>
    <xf numFmtId="1" fontId="7" fillId="0" borderId="5" xfId="0" applyNumberFormat="1" applyFont="1" applyBorder="1" applyAlignment="1">
      <alignment horizontal="center" vertical="center"/>
    </xf>
    <xf numFmtId="0" fontId="7" fillId="0" borderId="9" xfId="0" applyFont="1" applyBorder="1" applyAlignment="1">
      <alignment horizontal="center" vertical="center"/>
    </xf>
    <xf numFmtId="1" fontId="7" fillId="0" borderId="9" xfId="0" applyNumberFormat="1" applyFont="1" applyBorder="1" applyAlignment="1">
      <alignment horizontal="center" vertical="center"/>
    </xf>
    <xf numFmtId="9" fontId="7" fillId="0" borderId="10" xfId="3" applyFont="1" applyFill="1" applyBorder="1" applyAlignment="1">
      <alignment horizontal="center" vertical="center"/>
    </xf>
    <xf numFmtId="1" fontId="7" fillId="0" borderId="0" xfId="0" applyNumberFormat="1" applyFont="1" applyAlignment="1">
      <alignment horizontal="center" vertical="center"/>
    </xf>
    <xf numFmtId="9" fontId="7" fillId="0" borderId="7" xfId="3" applyFont="1" applyFill="1" applyBorder="1" applyAlignment="1">
      <alignment horizontal="center" vertical="center"/>
    </xf>
    <xf numFmtId="0" fontId="7" fillId="0" borderId="14" xfId="0" applyFont="1" applyBorder="1" applyAlignment="1">
      <alignment vertical="center"/>
    </xf>
    <xf numFmtId="0" fontId="7" fillId="0" borderId="14" xfId="0" applyFont="1" applyBorder="1" applyAlignment="1">
      <alignment horizontal="center" vertical="center"/>
    </xf>
    <xf numFmtId="9" fontId="7" fillId="5" borderId="0" xfId="3" applyFont="1" applyFill="1" applyAlignment="1">
      <alignment vertical="center"/>
    </xf>
    <xf numFmtId="0" fontId="51" fillId="0" borderId="13" xfId="0" applyFont="1" applyBorder="1" applyAlignment="1">
      <alignment horizontal="center" vertical="center"/>
    </xf>
    <xf numFmtId="0" fontId="51" fillId="0" borderId="14" xfId="0" applyFont="1" applyBorder="1" applyAlignment="1">
      <alignment horizontal="left" vertical="center"/>
    </xf>
    <xf numFmtId="9" fontId="7" fillId="0" borderId="2" xfId="3" applyFont="1" applyFill="1" applyBorder="1" applyAlignment="1">
      <alignment horizontal="center" vertical="center"/>
    </xf>
    <xf numFmtId="43" fontId="7" fillId="5" borderId="0" xfId="4" applyFont="1" applyFill="1" applyAlignment="1">
      <alignment vertical="center"/>
    </xf>
    <xf numFmtId="43" fontId="7" fillId="0" borderId="32" xfId="4" applyFont="1" applyFill="1" applyBorder="1" applyAlignment="1">
      <alignment vertical="center"/>
    </xf>
    <xf numFmtId="0" fontId="7" fillId="0" borderId="41" xfId="0" applyFont="1" applyBorder="1" applyAlignment="1">
      <alignment vertical="center"/>
    </xf>
    <xf numFmtId="43" fontId="7" fillId="0" borderId="2" xfId="4" applyFont="1" applyBorder="1" applyAlignment="1">
      <alignment vertical="center"/>
    </xf>
    <xf numFmtId="0" fontId="51" fillId="5" borderId="13" xfId="0" applyFont="1" applyFill="1" applyBorder="1" applyAlignment="1">
      <alignment horizontal="center" vertical="center" wrapText="1"/>
    </xf>
    <xf numFmtId="9" fontId="51" fillId="5" borderId="15" xfId="0" applyNumberFormat="1" applyFont="1" applyFill="1" applyBorder="1" applyAlignment="1">
      <alignment vertical="center"/>
    </xf>
    <xf numFmtId="3" fontId="7" fillId="5" borderId="2" xfId="0" applyNumberFormat="1" applyFont="1" applyFill="1" applyBorder="1" applyAlignment="1">
      <alignment horizontal="center" vertical="center"/>
    </xf>
    <xf numFmtId="0" fontId="7" fillId="5" borderId="6" xfId="0" applyFont="1" applyFill="1" applyBorder="1" applyAlignment="1">
      <alignment vertical="center"/>
    </xf>
    <xf numFmtId="9" fontId="7" fillId="5" borderId="7" xfId="0" applyNumberFormat="1" applyFont="1" applyFill="1" applyBorder="1" applyAlignment="1">
      <alignment horizontal="center" vertical="center"/>
    </xf>
    <xf numFmtId="0" fontId="51" fillId="6" borderId="8" xfId="0" applyFont="1" applyFill="1" applyBorder="1" applyAlignment="1">
      <alignment horizontal="left" vertical="center"/>
    </xf>
    <xf numFmtId="3" fontId="51" fillId="6" borderId="10" xfId="0" applyNumberFormat="1" applyFont="1" applyFill="1" applyBorder="1" applyAlignment="1">
      <alignment horizontal="center" vertical="center"/>
    </xf>
    <xf numFmtId="0" fontId="7" fillId="5" borderId="4" xfId="0" applyFont="1" applyFill="1" applyBorder="1" applyAlignment="1">
      <alignment horizontal="left" vertical="center" wrapText="1"/>
    </xf>
    <xf numFmtId="9" fontId="7" fillId="5" borderId="2" xfId="0" applyNumberFormat="1" applyFont="1" applyFill="1" applyBorder="1" applyAlignment="1">
      <alignment horizontal="center" vertical="center"/>
    </xf>
    <xf numFmtId="0" fontId="51" fillId="6" borderId="8" xfId="0" applyFont="1" applyFill="1" applyBorder="1" applyAlignment="1">
      <alignment horizontal="left" vertical="center" wrapText="1"/>
    </xf>
    <xf numFmtId="1" fontId="51" fillId="6" borderId="36" xfId="0" applyNumberFormat="1" applyFont="1" applyFill="1" applyBorder="1" applyAlignment="1">
      <alignment horizontal="center" vertical="center"/>
    </xf>
    <xf numFmtId="0" fontId="51" fillId="6" borderId="6" xfId="0" applyFont="1" applyFill="1" applyBorder="1" applyAlignment="1">
      <alignment horizontal="left" vertical="center"/>
    </xf>
    <xf numFmtId="1" fontId="51" fillId="6" borderId="10" xfId="0" applyNumberFormat="1" applyFont="1" applyFill="1" applyBorder="1" applyAlignment="1">
      <alignment horizontal="center" vertical="center"/>
    </xf>
    <xf numFmtId="0" fontId="51" fillId="21" borderId="4" xfId="0" applyFont="1" applyFill="1" applyBorder="1" applyAlignment="1">
      <alignment horizontal="center" vertical="center"/>
    </xf>
    <xf numFmtId="0" fontId="51" fillId="21" borderId="5" xfId="0" applyFont="1" applyFill="1" applyBorder="1" applyAlignment="1">
      <alignment horizontal="center" vertical="center" wrapText="1"/>
    </xf>
    <xf numFmtId="9" fontId="51" fillId="21" borderId="5" xfId="3" applyFont="1" applyFill="1" applyBorder="1" applyAlignment="1">
      <alignment horizontal="center" vertical="center"/>
    </xf>
    <xf numFmtId="0" fontId="51" fillId="21" borderId="5" xfId="0" applyFont="1" applyFill="1" applyBorder="1" applyAlignment="1">
      <alignment horizontal="center" vertical="center"/>
    </xf>
    <xf numFmtId="0" fontId="51" fillId="21" borderId="2" xfId="0" applyFont="1" applyFill="1" applyBorder="1" applyAlignment="1">
      <alignment horizontal="center" vertical="center"/>
    </xf>
    <xf numFmtId="0" fontId="7" fillId="0" borderId="6" xfId="0" applyFont="1" applyBorder="1" applyAlignment="1">
      <alignment vertical="center"/>
    </xf>
    <xf numFmtId="9" fontId="7" fillId="0" borderId="0" xfId="0" applyNumberFormat="1" applyFont="1" applyAlignment="1">
      <alignment horizontal="center" vertical="center"/>
    </xf>
    <xf numFmtId="173" fontId="51" fillId="0" borderId="6" xfId="4" applyNumberFormat="1" applyFont="1" applyFill="1" applyBorder="1" applyAlignment="1">
      <alignment horizontal="center" vertical="center"/>
    </xf>
    <xf numFmtId="173" fontId="51" fillId="0" borderId="0" xfId="0" applyNumberFormat="1" applyFont="1" applyAlignment="1">
      <alignment horizontal="center" vertical="center"/>
    </xf>
    <xf numFmtId="173" fontId="51" fillId="0" borderId="7" xfId="0" applyNumberFormat="1" applyFont="1" applyBorder="1" applyAlignment="1">
      <alignment horizontal="center" vertical="center"/>
    </xf>
    <xf numFmtId="0" fontId="51" fillId="0" borderId="0" xfId="0" applyFont="1" applyAlignment="1">
      <alignment horizontal="center" vertical="center"/>
    </xf>
    <xf numFmtId="9" fontId="7" fillId="5" borderId="0" xfId="3" applyFont="1" applyFill="1" applyAlignment="1">
      <alignment horizontal="left" vertical="center" wrapText="1"/>
    </xf>
    <xf numFmtId="1" fontId="7" fillId="5" borderId="0" xfId="4" applyNumberFormat="1" applyFont="1" applyFill="1" applyBorder="1" applyAlignment="1">
      <alignment horizontal="center" vertical="center" wrapText="1"/>
    </xf>
    <xf numFmtId="1" fontId="7" fillId="5" borderId="7" xfId="4" applyNumberFormat="1" applyFont="1" applyFill="1" applyBorder="1" applyAlignment="1">
      <alignment horizontal="center" vertical="center" wrapText="1"/>
    </xf>
    <xf numFmtId="0" fontId="7" fillId="0" borderId="4" xfId="0" applyFont="1" applyBorder="1" applyAlignment="1">
      <alignment horizontal="center" vertical="center"/>
    </xf>
    <xf numFmtId="3" fontId="7" fillId="0" borderId="5" xfId="0" applyNumberFormat="1" applyFont="1" applyBorder="1" applyAlignment="1">
      <alignment horizontal="center" vertical="center"/>
    </xf>
    <xf numFmtId="0" fontId="7" fillId="0" borderId="2" xfId="0" applyFont="1" applyBorder="1" applyAlignment="1">
      <alignment horizontal="center" vertical="center"/>
    </xf>
    <xf numFmtId="181" fontId="7" fillId="0" borderId="0" xfId="4" applyNumberFormat="1" applyFont="1" applyBorder="1" applyAlignment="1">
      <alignment horizontal="center" vertical="center"/>
    </xf>
    <xf numFmtId="0" fontId="7" fillId="0" borderId="6" xfId="0" applyFont="1" applyBorder="1" applyAlignment="1">
      <alignment horizontal="center" vertical="center"/>
    </xf>
    <xf numFmtId="3" fontId="7" fillId="0" borderId="0" xfId="0" applyNumberFormat="1" applyFont="1" applyAlignment="1">
      <alignment horizontal="center" vertical="center"/>
    </xf>
    <xf numFmtId="10" fontId="7" fillId="0" borderId="7" xfId="3" applyNumberFormat="1" applyFont="1" applyBorder="1" applyAlignment="1">
      <alignment horizontal="center" vertical="center"/>
    </xf>
    <xf numFmtId="10" fontId="7" fillId="0" borderId="0" xfId="0" applyNumberFormat="1" applyFont="1" applyAlignment="1">
      <alignment vertical="center"/>
    </xf>
    <xf numFmtId="9" fontId="7" fillId="0" borderId="0" xfId="0" applyNumberFormat="1" applyFont="1" applyAlignment="1">
      <alignment vertical="center"/>
    </xf>
    <xf numFmtId="0" fontId="51" fillId="0" borderId="0" xfId="0" applyFont="1" applyAlignment="1">
      <alignment vertical="center"/>
    </xf>
    <xf numFmtId="181" fontId="51" fillId="0" borderId="0" xfId="4" applyNumberFormat="1" applyFont="1" applyBorder="1" applyAlignment="1">
      <alignment horizontal="center" vertical="center"/>
    </xf>
    <xf numFmtId="0" fontId="7" fillId="0" borderId="8" xfId="0" applyFont="1" applyBorder="1" applyAlignment="1">
      <alignment horizontal="center" vertical="center"/>
    </xf>
    <xf numFmtId="3" fontId="7" fillId="0" borderId="9" xfId="0" applyNumberFormat="1" applyFont="1" applyBorder="1" applyAlignment="1">
      <alignment horizontal="center" vertical="center"/>
    </xf>
    <xf numFmtId="10" fontId="7" fillId="0" borderId="10" xfId="3" applyNumberFormat="1" applyFont="1" applyBorder="1" applyAlignment="1">
      <alignment horizontal="center" vertical="center"/>
    </xf>
    <xf numFmtId="10" fontId="7" fillId="0" borderId="0" xfId="3" applyNumberFormat="1" applyFont="1" applyBorder="1" applyAlignment="1">
      <alignment horizontal="center" vertical="center"/>
    </xf>
    <xf numFmtId="10" fontId="7" fillId="0" borderId="0" xfId="3" applyNumberFormat="1" applyFont="1" applyAlignment="1">
      <alignment horizontal="center" vertical="center"/>
    </xf>
    <xf numFmtId="0" fontId="51" fillId="0" borderId="6" xfId="0" applyFont="1" applyBorder="1" applyAlignment="1">
      <alignment vertical="center"/>
    </xf>
    <xf numFmtId="43" fontId="7" fillId="0" borderId="0" xfId="0" applyNumberFormat="1" applyFont="1" applyAlignment="1">
      <alignment vertical="center"/>
    </xf>
    <xf numFmtId="0" fontId="51" fillId="0" borderId="8" xfId="0" applyFont="1" applyBorder="1" applyAlignment="1">
      <alignment vertical="center"/>
    </xf>
    <xf numFmtId="181" fontId="7" fillId="0" borderId="9" xfId="4" applyNumberFormat="1" applyFont="1" applyBorder="1" applyAlignment="1">
      <alignment horizontal="center" vertical="center"/>
    </xf>
    <xf numFmtId="181" fontId="7" fillId="0" borderId="10" xfId="4" applyNumberFormat="1" applyFont="1" applyBorder="1" applyAlignment="1">
      <alignment horizontal="center" vertical="center"/>
    </xf>
    <xf numFmtId="169" fontId="7" fillId="0" borderId="0" xfId="3" applyNumberFormat="1" applyFont="1" applyAlignment="1">
      <alignment horizontal="center" vertical="center"/>
    </xf>
    <xf numFmtId="0" fontId="7" fillId="6" borderId="4" xfId="0" applyFont="1" applyFill="1" applyBorder="1" applyAlignment="1">
      <alignment vertical="center"/>
    </xf>
    <xf numFmtId="0" fontId="51" fillId="6" borderId="5" xfId="0" applyFont="1" applyFill="1" applyBorder="1" applyAlignment="1">
      <alignment horizontal="center" vertical="center"/>
    </xf>
    <xf numFmtId="0" fontId="51" fillId="6" borderId="2" xfId="0" applyFont="1" applyFill="1" applyBorder="1" applyAlignment="1">
      <alignment horizontal="center" vertical="center"/>
    </xf>
    <xf numFmtId="0" fontId="7" fillId="6" borderId="8" xfId="0" applyFont="1" applyFill="1" applyBorder="1" applyAlignment="1">
      <alignment vertical="center"/>
    </xf>
    <xf numFmtId="0" fontId="51" fillId="6" borderId="9" xfId="0" applyFont="1" applyFill="1" applyBorder="1" applyAlignment="1">
      <alignment horizontal="center" vertical="center"/>
    </xf>
    <xf numFmtId="0" fontId="51" fillId="6" borderId="10" xfId="0" applyFont="1" applyFill="1" applyBorder="1" applyAlignment="1">
      <alignment horizontal="center" vertical="center"/>
    </xf>
    <xf numFmtId="0" fontId="116" fillId="0" borderId="1" xfId="0" applyFont="1" applyBorder="1" applyAlignment="1">
      <alignment horizontal="left" vertical="center" wrapText="1"/>
    </xf>
    <xf numFmtId="2" fontId="111" fillId="44" borderId="47" xfId="0" applyNumberFormat="1" applyFont="1" applyFill="1" applyBorder="1" applyAlignment="1">
      <alignment horizontal="center" vertical="center"/>
    </xf>
    <xf numFmtId="1" fontId="116" fillId="0" borderId="32" xfId="0" applyNumberFormat="1" applyFont="1" applyBorder="1" applyAlignment="1">
      <alignment vertical="center"/>
    </xf>
    <xf numFmtId="188" fontId="116" fillId="0" borderId="32" xfId="0" applyNumberFormat="1" applyFont="1" applyBorder="1" applyAlignment="1">
      <alignment vertical="center"/>
    </xf>
    <xf numFmtId="0" fontId="72" fillId="19" borderId="55" xfId="8" applyFill="1" applyBorder="1" applyAlignment="1" applyProtection="1">
      <alignment horizontal="center" vertical="center" wrapText="1"/>
      <protection locked="0"/>
    </xf>
    <xf numFmtId="0" fontId="0" fillId="0" borderId="0" xfId="0" applyAlignment="1">
      <alignment wrapText="1"/>
    </xf>
    <xf numFmtId="0" fontId="72" fillId="24" borderId="55" xfId="8" applyFill="1" applyBorder="1" applyAlignment="1" applyProtection="1">
      <alignment horizontal="center" vertical="center" wrapText="1"/>
      <protection locked="0"/>
    </xf>
    <xf numFmtId="0" fontId="72" fillId="0" borderId="0" xfId="8" applyAlignment="1" applyProtection="1">
      <alignment horizontal="center" vertical="center" wrapText="1"/>
      <protection locked="0"/>
    </xf>
    <xf numFmtId="0" fontId="72" fillId="5" borderId="0" xfId="8" applyFill="1" applyAlignment="1">
      <alignment horizontal="center"/>
    </xf>
    <xf numFmtId="0" fontId="57" fillId="5" borderId="0" xfId="9" applyFont="1" applyFill="1" applyAlignment="1">
      <alignment horizontal="center" vertical="center" wrapText="1"/>
    </xf>
    <xf numFmtId="0" fontId="36" fillId="5" borderId="0" xfId="8" applyFont="1" applyFill="1" applyAlignment="1">
      <alignment horizontal="center" vertical="center" wrapText="1"/>
    </xf>
    <xf numFmtId="0" fontId="72" fillId="0" borderId="0" xfId="8" applyAlignment="1">
      <alignment horizontal="center"/>
    </xf>
    <xf numFmtId="0" fontId="14" fillId="5" borderId="0" xfId="0" applyFont="1" applyFill="1" applyAlignment="1">
      <alignment horizontal="center"/>
    </xf>
    <xf numFmtId="0" fontId="140" fillId="0" borderId="0" xfId="0" applyFont="1" applyAlignment="1">
      <alignment wrapText="1"/>
    </xf>
    <xf numFmtId="0" fontId="72" fillId="5" borderId="0" xfId="8" applyFill="1" applyAlignment="1">
      <alignment wrapText="1"/>
    </xf>
    <xf numFmtId="0" fontId="72" fillId="0" borderId="0" xfId="8" applyAlignment="1">
      <alignment wrapText="1"/>
    </xf>
    <xf numFmtId="0" fontId="141" fillId="0" borderId="0" xfId="0" applyFont="1"/>
    <xf numFmtId="0" fontId="3" fillId="0" borderId="0" xfId="0" applyFont="1" applyAlignment="1">
      <alignment wrapText="1"/>
    </xf>
    <xf numFmtId="0" fontId="118" fillId="52" borderId="13" xfId="0" applyFont="1" applyFill="1" applyBorder="1" applyAlignment="1">
      <alignment wrapText="1"/>
    </xf>
    <xf numFmtId="0" fontId="143" fillId="42" borderId="8" xfId="0" applyFont="1" applyFill="1" applyBorder="1"/>
    <xf numFmtId="0" fontId="143" fillId="42" borderId="52" xfId="0" applyFont="1" applyFill="1" applyBorder="1"/>
    <xf numFmtId="0" fontId="143" fillId="42" borderId="10" xfId="0" applyFont="1" applyFill="1" applyBorder="1"/>
    <xf numFmtId="0" fontId="142" fillId="0" borderId="0" xfId="0" applyFont="1" applyAlignment="1">
      <alignment horizontal="left" vertical="center" wrapText="1"/>
    </xf>
    <xf numFmtId="0" fontId="122" fillId="0" borderId="94" xfId="0" applyFont="1" applyBorder="1" applyAlignment="1">
      <alignment horizontal="left" vertical="center" wrapText="1"/>
    </xf>
    <xf numFmtId="0" fontId="122" fillId="0" borderId="31" xfId="0" applyFont="1" applyBorder="1" applyAlignment="1">
      <alignment horizontal="left" vertical="center" wrapText="1" readingOrder="1"/>
    </xf>
    <xf numFmtId="0" fontId="122" fillId="0" borderId="21" xfId="0" applyFont="1" applyBorder="1" applyAlignment="1">
      <alignment horizontal="left" vertical="center" wrapText="1"/>
    </xf>
    <xf numFmtId="0" fontId="122" fillId="0" borderId="22" xfId="0" applyFont="1" applyBorder="1" applyAlignment="1">
      <alignment horizontal="left" vertical="center" wrapText="1" readingOrder="1"/>
    </xf>
    <xf numFmtId="0" fontId="122" fillId="0" borderId="47" xfId="0" applyFont="1" applyBorder="1" applyAlignment="1">
      <alignment horizontal="left" vertical="center" wrapText="1" readingOrder="1"/>
    </xf>
    <xf numFmtId="0" fontId="122" fillId="0" borderId="40" xfId="0" applyFont="1" applyBorder="1" applyAlignment="1">
      <alignment horizontal="left" vertical="center" wrapText="1" readingOrder="1"/>
    </xf>
    <xf numFmtId="0" fontId="74" fillId="0" borderId="47" xfId="0" applyFont="1" applyBorder="1" applyAlignment="1">
      <alignment horizontal="left" vertical="center" wrapText="1"/>
    </xf>
    <xf numFmtId="0" fontId="74" fillId="0" borderId="21" xfId="0" applyFont="1" applyBorder="1" applyAlignment="1">
      <alignment horizontal="left" vertical="center" wrapText="1"/>
    </xf>
    <xf numFmtId="0" fontId="122" fillId="0" borderId="106" xfId="0" applyFont="1" applyBorder="1" applyAlignment="1">
      <alignment horizontal="left" vertical="center" wrapText="1" readingOrder="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9" fontId="7" fillId="0" borderId="1" xfId="0" applyNumberFormat="1" applyFont="1" applyBorder="1" applyAlignment="1">
      <alignment vertical="center"/>
    </xf>
    <xf numFmtId="0" fontId="145" fillId="0" borderId="0" xfId="0" applyFont="1" applyAlignment="1">
      <alignment horizontal="center" vertical="center"/>
    </xf>
    <xf numFmtId="0" fontId="148" fillId="0" borderId="0" xfId="0" applyFont="1" applyAlignment="1">
      <alignment horizontal="center" vertical="center"/>
    </xf>
    <xf numFmtId="10" fontId="6" fillId="7" borderId="0" xfId="0" applyNumberFormat="1" applyFont="1" applyFill="1" applyProtection="1">
      <protection hidden="1"/>
    </xf>
    <xf numFmtId="10" fontId="5" fillId="7" borderId="0" xfId="0" applyNumberFormat="1" applyFont="1" applyFill="1" applyProtection="1">
      <protection locked="0"/>
    </xf>
    <xf numFmtId="9" fontId="5" fillId="7" borderId="0" xfId="0" applyNumberFormat="1" applyFont="1" applyFill="1" applyProtection="1">
      <protection hidden="1"/>
    </xf>
    <xf numFmtId="0" fontId="151" fillId="3" borderId="18" xfId="0" applyFont="1" applyFill="1" applyBorder="1" applyAlignment="1" applyProtection="1">
      <alignment horizontal="left" vertical="center" indent="1"/>
      <protection hidden="1"/>
    </xf>
    <xf numFmtId="0" fontId="16" fillId="3" borderId="0" xfId="0" applyFont="1" applyFill="1" applyProtection="1">
      <protection hidden="1"/>
    </xf>
    <xf numFmtId="10" fontId="16" fillId="3" borderId="0" xfId="0" applyNumberFormat="1" applyFont="1" applyFill="1" applyProtection="1">
      <protection hidden="1"/>
    </xf>
    <xf numFmtId="179" fontId="151" fillId="3" borderId="19" xfId="0" applyNumberFormat="1" applyFont="1" applyFill="1" applyBorder="1" applyAlignment="1" applyProtection="1">
      <alignment horizontal="right" vertical="center"/>
      <protection hidden="1"/>
    </xf>
    <xf numFmtId="0" fontId="137" fillId="10" borderId="48" xfId="0" applyFont="1" applyFill="1" applyBorder="1" applyAlignment="1">
      <alignment horizontal="center" vertical="center" wrapText="1"/>
    </xf>
    <xf numFmtId="0" fontId="137" fillId="10" borderId="48" xfId="0" applyFont="1" applyFill="1" applyBorder="1" applyAlignment="1">
      <alignment horizontal="left" vertical="center" wrapText="1"/>
    </xf>
    <xf numFmtId="0" fontId="137" fillId="10" borderId="103" xfId="0" applyFont="1" applyFill="1" applyBorder="1" applyAlignment="1">
      <alignment horizontal="center" vertical="center" wrapText="1"/>
    </xf>
    <xf numFmtId="0" fontId="138" fillId="10" borderId="102" xfId="0" applyFont="1" applyFill="1" applyBorder="1" applyAlignment="1">
      <alignment vertical="center" wrapText="1"/>
    </xf>
    <xf numFmtId="0" fontId="137" fillId="10" borderId="48" xfId="0" applyFont="1" applyFill="1" applyBorder="1" applyAlignment="1">
      <alignment vertical="center"/>
    </xf>
    <xf numFmtId="0" fontId="137" fillId="10" borderId="103" xfId="0" applyFont="1" applyFill="1" applyBorder="1" applyAlignment="1">
      <alignment vertical="center"/>
    </xf>
    <xf numFmtId="0" fontId="7" fillId="0" borderId="0" xfId="0" applyFont="1" applyAlignment="1">
      <alignment vertical="center" wrapText="1"/>
    </xf>
    <xf numFmtId="9" fontId="7" fillId="5" borderId="0" xfId="0" applyNumberFormat="1" applyFont="1" applyFill="1" applyAlignment="1">
      <alignment horizontal="left" vertical="center" wrapText="1"/>
    </xf>
    <xf numFmtId="0" fontId="7" fillId="5" borderId="108" xfId="0" applyFont="1" applyFill="1" applyBorder="1" applyAlignment="1">
      <alignment horizontal="left" vertical="center" wrapText="1"/>
    </xf>
    <xf numFmtId="0" fontId="7" fillId="5" borderId="109" xfId="0" applyFont="1" applyFill="1" applyBorder="1" applyAlignment="1">
      <alignment horizontal="left" vertical="center" wrapText="1"/>
    </xf>
    <xf numFmtId="173" fontId="7" fillId="5" borderId="110" xfId="4" applyNumberFormat="1" applyFont="1" applyFill="1" applyBorder="1" applyAlignment="1">
      <alignment horizontal="center" vertical="center" wrapText="1"/>
    </xf>
    <xf numFmtId="173" fontId="7" fillId="5" borderId="111" xfId="4" applyNumberFormat="1" applyFont="1" applyFill="1" applyBorder="1" applyAlignment="1">
      <alignment horizontal="center" vertical="center" wrapText="1"/>
    </xf>
    <xf numFmtId="0" fontId="51" fillId="5" borderId="113" xfId="0" applyFont="1" applyFill="1" applyBorder="1" applyAlignment="1">
      <alignment horizontal="left" vertical="center" wrapText="1"/>
    </xf>
    <xf numFmtId="9" fontId="51" fillId="5" borderId="114" xfId="3" applyFont="1" applyFill="1" applyBorder="1" applyAlignment="1">
      <alignment horizontal="center" vertical="center" wrapText="1"/>
    </xf>
    <xf numFmtId="0" fontId="51" fillId="5" borderId="115" xfId="0" applyFont="1" applyFill="1" applyBorder="1" applyAlignment="1">
      <alignment horizontal="center" vertical="center" wrapText="1"/>
    </xf>
    <xf numFmtId="0" fontId="7" fillId="5" borderId="114" xfId="0" applyFont="1" applyFill="1" applyBorder="1" applyAlignment="1">
      <alignment horizontal="center" vertical="center" wrapText="1"/>
    </xf>
    <xf numFmtId="0" fontId="7" fillId="5" borderId="116" xfId="0" applyFont="1" applyFill="1" applyBorder="1" applyAlignment="1">
      <alignment horizontal="center" vertical="center" wrapText="1"/>
    </xf>
    <xf numFmtId="0" fontId="7" fillId="5" borderId="112" xfId="0" applyFont="1" applyFill="1" applyBorder="1" applyAlignment="1">
      <alignment horizontal="center" vertical="center" wrapText="1"/>
    </xf>
    <xf numFmtId="0" fontId="7" fillId="5" borderId="110" xfId="0" applyFont="1" applyFill="1" applyBorder="1" applyAlignment="1">
      <alignment horizontal="center" vertical="center" wrapText="1"/>
    </xf>
    <xf numFmtId="0" fontId="7" fillId="5" borderId="90" xfId="0" applyFont="1" applyFill="1" applyBorder="1" applyAlignment="1">
      <alignment horizontal="center" vertical="center" wrapText="1"/>
    </xf>
    <xf numFmtId="0" fontId="144" fillId="0" borderId="0" xfId="0" applyFont="1" applyAlignment="1">
      <alignment vertical="center"/>
    </xf>
    <xf numFmtId="9" fontId="7" fillId="0" borderId="15" xfId="0" applyNumberFormat="1" applyFont="1" applyBorder="1" applyAlignment="1">
      <alignment horizontal="center" vertical="center"/>
    </xf>
    <xf numFmtId="168" fontId="7" fillId="5" borderId="0" xfId="3" applyNumberFormat="1" applyFont="1" applyFill="1" applyBorder="1" applyAlignment="1">
      <alignment horizontal="center" vertical="center"/>
    </xf>
    <xf numFmtId="43" fontId="7" fillId="5" borderId="0" xfId="0" applyNumberFormat="1" applyFont="1" applyFill="1" applyAlignment="1">
      <alignment vertical="center"/>
    </xf>
    <xf numFmtId="169" fontId="7" fillId="5" borderId="0" xfId="3" applyNumberFormat="1" applyFont="1" applyFill="1" applyBorder="1" applyAlignment="1">
      <alignment horizontal="center" vertical="center"/>
    </xf>
    <xf numFmtId="0" fontId="75" fillId="5" borderId="0" xfId="0" applyFont="1" applyFill="1" applyAlignment="1">
      <alignment horizontal="center" vertical="center"/>
    </xf>
    <xf numFmtId="169" fontId="7" fillId="0" borderId="0" xfId="3" applyNumberFormat="1" applyFont="1" applyBorder="1" applyAlignment="1">
      <alignment horizontal="center" vertical="center"/>
    </xf>
    <xf numFmtId="0" fontId="121" fillId="5" borderId="0" xfId="0" applyFont="1" applyFill="1" applyAlignment="1">
      <alignment horizontal="center" vertical="center" wrapText="1"/>
    </xf>
    <xf numFmtId="0" fontId="121" fillId="5" borderId="0" xfId="0" applyFont="1" applyFill="1" applyAlignment="1">
      <alignment vertical="center"/>
    </xf>
    <xf numFmtId="168" fontId="7" fillId="5" borderId="0" xfId="0" applyNumberFormat="1" applyFont="1" applyFill="1" applyAlignment="1">
      <alignment vertical="center"/>
    </xf>
    <xf numFmtId="168" fontId="51" fillId="0" borderId="0" xfId="0" applyNumberFormat="1" applyFont="1" applyAlignment="1">
      <alignment horizontal="center" vertical="center"/>
    </xf>
    <xf numFmtId="168" fontId="7" fillId="0" borderId="0" xfId="0" applyNumberFormat="1" applyFont="1" applyAlignment="1">
      <alignment horizontal="center" vertical="center"/>
    </xf>
    <xf numFmtId="0" fontId="147" fillId="0" borderId="0" xfId="0" applyFont="1" applyAlignment="1">
      <alignment horizontal="center" vertical="center"/>
    </xf>
    <xf numFmtId="0" fontId="147" fillId="0" borderId="0" xfId="0" applyFont="1" applyAlignment="1">
      <alignment horizontal="center" vertical="center" wrapText="1"/>
    </xf>
    <xf numFmtId="10" fontId="154" fillId="0" borderId="0" xfId="0" applyNumberFormat="1" applyFont="1" applyAlignment="1">
      <alignment horizontal="center" vertical="center"/>
    </xf>
    <xf numFmtId="0" fontId="142" fillId="0" borderId="0" xfId="0" applyFont="1" applyAlignment="1">
      <alignment horizontal="center" vertical="center"/>
    </xf>
    <xf numFmtId="3" fontId="148" fillId="0" borderId="0" xfId="0" applyNumberFormat="1" applyFont="1" applyAlignment="1">
      <alignment horizontal="center" vertical="center"/>
    </xf>
    <xf numFmtId="0" fontId="150" fillId="0" borderId="0" xfId="0" applyFont="1" applyAlignment="1">
      <alignment horizontal="center" vertical="center" wrapText="1"/>
    </xf>
    <xf numFmtId="0" fontId="149" fillId="0" borderId="0" xfId="0" applyFont="1" applyAlignment="1">
      <alignment horizontal="center" vertical="center"/>
    </xf>
    <xf numFmtId="0" fontId="148" fillId="0" borderId="0" xfId="0" applyFont="1" applyAlignment="1">
      <alignment horizontal="center" vertical="center" wrapText="1"/>
    </xf>
    <xf numFmtId="3" fontId="145" fillId="0" borderId="0" xfId="0" applyNumberFormat="1" applyFont="1" applyAlignment="1">
      <alignment horizontal="center" vertical="center"/>
    </xf>
    <xf numFmtId="0" fontId="142" fillId="0" borderId="0" xfId="0" applyFont="1" applyAlignment="1">
      <alignment vertical="center" wrapText="1"/>
    </xf>
    <xf numFmtId="0" fontId="153" fillId="0" borderId="0" xfId="0" applyFont="1" applyAlignment="1">
      <alignment vertical="center"/>
    </xf>
    <xf numFmtId="0" fontId="145" fillId="0" borderId="0" xfId="0" applyFont="1" applyAlignment="1">
      <alignment horizontal="center" vertical="center" wrapText="1"/>
    </xf>
    <xf numFmtId="0" fontId="155" fillId="7" borderId="0" xfId="0" applyFont="1" applyFill="1" applyAlignment="1">
      <alignment horizontal="center" vertical="center"/>
    </xf>
    <xf numFmtId="0" fontId="155" fillId="7" borderId="0" xfId="0" applyFont="1" applyFill="1" applyAlignment="1">
      <alignment horizontal="center" vertical="center" wrapText="1"/>
    </xf>
    <xf numFmtId="0" fontId="122" fillId="0" borderId="0" xfId="0" applyFont="1" applyAlignment="1">
      <alignment horizontal="left" vertical="center" indent="3" readingOrder="1"/>
    </xf>
    <xf numFmtId="0" fontId="151" fillId="0" borderId="0" xfId="0" applyFont="1" applyAlignment="1">
      <alignment wrapText="1"/>
    </xf>
    <xf numFmtId="0" fontId="157" fillId="0" borderId="0" xfId="0" applyFont="1" applyAlignment="1">
      <alignment wrapText="1"/>
    </xf>
    <xf numFmtId="0" fontId="31" fillId="0" borderId="0" xfId="0" applyFont="1" applyAlignment="1">
      <alignment horizontal="center" vertical="center" wrapText="1"/>
    </xf>
    <xf numFmtId="0" fontId="151" fillId="0" borderId="117" xfId="0" applyFont="1" applyBorder="1" applyAlignment="1">
      <alignment horizontal="center" vertical="center" wrapText="1"/>
    </xf>
    <xf numFmtId="0" fontId="16" fillId="0" borderId="117" xfId="0" applyFont="1" applyBorder="1" applyAlignment="1">
      <alignment horizontal="center" vertical="center" wrapText="1"/>
    </xf>
    <xf numFmtId="0" fontId="16" fillId="0" borderId="117" xfId="0" applyFont="1" applyBorder="1" applyAlignment="1">
      <alignment horizontal="left" vertical="center" wrapText="1"/>
    </xf>
    <xf numFmtId="0" fontId="0" fillId="0" borderId="117" xfId="0" applyBorder="1" applyAlignment="1">
      <alignment horizontal="center"/>
    </xf>
    <xf numFmtId="0" fontId="0" fillId="0" borderId="117" xfId="0" applyBorder="1" applyAlignment="1">
      <alignment horizontal="left" wrapText="1"/>
    </xf>
    <xf numFmtId="189" fontId="16" fillId="0" borderId="117" xfId="0" applyNumberFormat="1" applyFont="1" applyBorder="1" applyAlignment="1">
      <alignment horizontal="center" vertical="center" wrapText="1"/>
    </xf>
    <xf numFmtId="189" fontId="0" fillId="0" borderId="117" xfId="0" applyNumberFormat="1" applyBorder="1" applyAlignment="1">
      <alignment horizontal="center"/>
    </xf>
    <xf numFmtId="189" fontId="0" fillId="3" borderId="117" xfId="0" applyNumberFormat="1" applyFill="1" applyBorder="1" applyAlignment="1">
      <alignment horizontal="center"/>
    </xf>
    <xf numFmtId="0" fontId="3" fillId="3" borderId="117" xfId="0" applyFont="1" applyFill="1" applyBorder="1"/>
    <xf numFmtId="189" fontId="0" fillId="0" borderId="118" xfId="0" applyNumberFormat="1" applyBorder="1" applyAlignment="1">
      <alignment horizontal="center"/>
    </xf>
    <xf numFmtId="189" fontId="13" fillId="5" borderId="1" xfId="0" applyNumberFormat="1" applyFont="1" applyFill="1" applyBorder="1" applyAlignment="1">
      <alignment vertical="center" wrapText="1"/>
    </xf>
    <xf numFmtId="189" fontId="13" fillId="3" borderId="1" xfId="0" applyNumberFormat="1" applyFont="1" applyFill="1" applyBorder="1" applyAlignment="1">
      <alignment vertical="center" wrapText="1"/>
    </xf>
    <xf numFmtId="165" fontId="3" fillId="24" borderId="1" xfId="0" applyNumberFormat="1" applyFont="1" applyFill="1" applyBorder="1"/>
    <xf numFmtId="0" fontId="31" fillId="0" borderId="119" xfId="0" applyFont="1" applyBorder="1" applyAlignment="1">
      <alignment horizontal="left" vertical="center"/>
    </xf>
    <xf numFmtId="1" fontId="31" fillId="0" borderId="0" xfId="0" applyNumberFormat="1" applyFont="1" applyAlignment="1">
      <alignment horizontal="center" vertical="center" wrapText="1"/>
    </xf>
    <xf numFmtId="1" fontId="31" fillId="0" borderId="107" xfId="0" applyNumberFormat="1" applyFont="1" applyBorder="1" applyAlignment="1">
      <alignment horizontal="center" vertical="center" wrapText="1"/>
    </xf>
    <xf numFmtId="0" fontId="31" fillId="0" borderId="107" xfId="0" applyFont="1" applyBorder="1" applyAlignment="1">
      <alignment vertical="center"/>
    </xf>
    <xf numFmtId="0" fontId="31" fillId="0" borderId="121" xfId="0" applyFont="1" applyBorder="1" applyAlignment="1">
      <alignment horizontal="left" vertical="center"/>
    </xf>
    <xf numFmtId="0" fontId="31" fillId="0" borderId="122" xfId="0" applyFont="1" applyBorder="1" applyAlignment="1">
      <alignment vertical="center"/>
    </xf>
    <xf numFmtId="189" fontId="31" fillId="0" borderId="123" xfId="0" applyNumberFormat="1" applyFont="1" applyBorder="1" applyAlignment="1">
      <alignment vertical="center"/>
    </xf>
    <xf numFmtId="190" fontId="31" fillId="0" borderId="124" xfId="0" applyNumberFormat="1" applyFont="1" applyBorder="1" applyAlignment="1">
      <alignment vertical="center"/>
    </xf>
    <xf numFmtId="0" fontId="30" fillId="0" borderId="4"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2" xfId="0" applyFont="1" applyBorder="1" applyAlignment="1">
      <alignment horizontal="center" vertical="center"/>
    </xf>
    <xf numFmtId="0" fontId="31" fillId="0" borderId="125" xfId="0" applyFont="1" applyBorder="1" applyAlignment="1">
      <alignment horizontal="left" vertical="center"/>
    </xf>
    <xf numFmtId="1" fontId="31" fillId="0" borderId="114" xfId="0" applyNumberFormat="1" applyFont="1" applyBorder="1" applyAlignment="1">
      <alignment horizontal="center" vertical="center" wrapText="1"/>
    </xf>
    <xf numFmtId="180" fontId="31" fillId="0" borderId="126" xfId="3" applyNumberFormat="1" applyFont="1" applyBorder="1" applyAlignment="1">
      <alignment horizontal="center" vertical="center"/>
    </xf>
    <xf numFmtId="180" fontId="105" fillId="13" borderId="0" xfId="0" applyNumberFormat="1" applyFont="1" applyFill="1" applyAlignment="1">
      <alignment horizontal="center" vertical="center" wrapText="1"/>
    </xf>
    <xf numFmtId="0" fontId="31" fillId="3" borderId="6" xfId="0" applyFont="1" applyFill="1" applyBorder="1" applyAlignment="1">
      <alignment vertical="center"/>
    </xf>
    <xf numFmtId="0" fontId="31" fillId="3" borderId="6" xfId="0" applyFont="1" applyFill="1" applyBorder="1" applyAlignment="1">
      <alignment horizontal="left" vertical="center"/>
    </xf>
    <xf numFmtId="0" fontId="31" fillId="3" borderId="94" xfId="0" applyFont="1" applyFill="1" applyBorder="1" applyAlignment="1">
      <alignment horizontal="left" vertical="center"/>
    </xf>
    <xf numFmtId="0" fontId="31" fillId="3" borderId="0" xfId="0" applyFont="1" applyFill="1" applyAlignment="1">
      <alignment horizontal="center" vertical="center"/>
    </xf>
    <xf numFmtId="180" fontId="31" fillId="3" borderId="0" xfId="0" applyNumberFormat="1" applyFont="1" applyFill="1" applyAlignment="1">
      <alignment horizontal="center" vertical="center"/>
    </xf>
    <xf numFmtId="0" fontId="31" fillId="3" borderId="3" xfId="0" applyFont="1" applyFill="1" applyBorder="1" applyAlignment="1">
      <alignment horizontal="center" vertical="center"/>
    </xf>
    <xf numFmtId="180" fontId="31" fillId="3" borderId="3" xfId="0" applyNumberFormat="1" applyFont="1" applyFill="1" applyBorder="1" applyAlignment="1">
      <alignment horizontal="center" vertical="center"/>
    </xf>
    <xf numFmtId="189" fontId="31" fillId="0" borderId="0" xfId="3" applyNumberFormat="1" applyFont="1" applyBorder="1" applyAlignment="1">
      <alignment horizontal="center" vertical="center"/>
    </xf>
    <xf numFmtId="189" fontId="31" fillId="0" borderId="3" xfId="3" applyNumberFormat="1" applyFont="1" applyBorder="1" applyAlignment="1">
      <alignment horizontal="center" vertical="center"/>
    </xf>
    <xf numFmtId="189" fontId="31" fillId="0" borderId="1" xfId="3" applyNumberFormat="1" applyFont="1" applyBorder="1" applyAlignment="1">
      <alignment horizontal="center" vertical="center"/>
    </xf>
    <xf numFmtId="0" fontId="31" fillId="0" borderId="117" xfId="0" applyFont="1" applyBorder="1" applyAlignment="1">
      <alignment horizontal="left" vertical="center"/>
    </xf>
    <xf numFmtId="0" fontId="31" fillId="0" borderId="117" xfId="0" applyFont="1" applyBorder="1" applyAlignment="1">
      <alignment horizontal="center" vertical="center"/>
    </xf>
    <xf numFmtId="180" fontId="31" fillId="0" borderId="117" xfId="0" applyNumberFormat="1" applyFont="1" applyBorder="1" applyAlignment="1">
      <alignment horizontal="center" vertical="center"/>
    </xf>
    <xf numFmtId="0" fontId="31" fillId="0" borderId="117" xfId="0" applyFont="1" applyBorder="1" applyAlignment="1">
      <alignment vertical="center"/>
    </xf>
    <xf numFmtId="0" fontId="31" fillId="0" borderId="117" xfId="0" applyFont="1" applyBorder="1" applyAlignment="1">
      <alignment horizontal="left" vertical="center" wrapText="1"/>
    </xf>
    <xf numFmtId="180" fontId="30" fillId="3" borderId="117" xfId="0" applyNumberFormat="1" applyFont="1" applyFill="1" applyBorder="1" applyAlignment="1">
      <alignment horizontal="center" vertical="center"/>
    </xf>
    <xf numFmtId="0" fontId="31" fillId="0" borderId="47" xfId="0" applyFont="1" applyBorder="1" applyAlignment="1">
      <alignment vertical="center"/>
    </xf>
    <xf numFmtId="0" fontId="30" fillId="0" borderId="4" xfId="0" applyFont="1" applyBorder="1" applyAlignment="1">
      <alignment horizontal="center" vertical="center"/>
    </xf>
    <xf numFmtId="0" fontId="30" fillId="0" borderId="5" xfId="0" applyFont="1" applyBorder="1" applyAlignment="1">
      <alignment vertical="center"/>
    </xf>
    <xf numFmtId="0" fontId="30" fillId="0" borderId="2" xfId="0" applyFont="1" applyBorder="1" applyAlignment="1">
      <alignment horizontal="center" vertical="center" wrapText="1"/>
    </xf>
    <xf numFmtId="165" fontId="31" fillId="5" borderId="0" xfId="2" applyFont="1" applyFill="1" applyBorder="1" applyAlignment="1">
      <alignment vertical="center"/>
    </xf>
    <xf numFmtId="1" fontId="31" fillId="5" borderId="0" xfId="0" applyNumberFormat="1" applyFont="1" applyFill="1" applyAlignment="1">
      <alignment vertical="center"/>
    </xf>
    <xf numFmtId="171" fontId="30" fillId="5" borderId="0" xfId="5" applyNumberFormat="1" applyFont="1" applyFill="1" applyBorder="1" applyAlignment="1">
      <alignment vertical="center"/>
    </xf>
    <xf numFmtId="0" fontId="106" fillId="7" borderId="37" xfId="0" applyFont="1" applyFill="1" applyBorder="1" applyAlignment="1">
      <alignment horizontal="center" vertical="center"/>
    </xf>
    <xf numFmtId="0" fontId="106" fillId="5" borderId="0" xfId="0" applyFont="1" applyFill="1" applyAlignment="1">
      <alignment horizontal="center" vertical="center"/>
    </xf>
    <xf numFmtId="1" fontId="31" fillId="24" borderId="0" xfId="0" applyNumberFormat="1" applyFont="1" applyFill="1" applyAlignment="1">
      <alignment vertical="center"/>
    </xf>
    <xf numFmtId="0" fontId="31" fillId="0" borderId="0" xfId="0" applyFont="1" applyAlignment="1">
      <alignment vertical="center" wrapText="1"/>
    </xf>
    <xf numFmtId="0" fontId="0" fillId="0" borderId="1" xfId="0" applyBorder="1" applyAlignment="1">
      <alignment wrapText="1"/>
    </xf>
    <xf numFmtId="0" fontId="0" fillId="3" borderId="1" xfId="0" applyFill="1" applyBorder="1" applyAlignment="1">
      <alignment wrapText="1"/>
    </xf>
    <xf numFmtId="171" fontId="0" fillId="5" borderId="1" xfId="0" applyNumberFormat="1" applyFill="1" applyBorder="1"/>
    <xf numFmtId="173" fontId="0" fillId="0" borderId="1" xfId="4" applyNumberFormat="1" applyFont="1" applyBorder="1"/>
    <xf numFmtId="0" fontId="30" fillId="3" borderId="0" xfId="0" applyFont="1" applyFill="1" applyAlignment="1">
      <alignment horizontal="center"/>
    </xf>
    <xf numFmtId="9" fontId="30" fillId="3" borderId="0" xfId="0" applyNumberFormat="1" applyFont="1" applyFill="1" applyAlignment="1">
      <alignment horizontal="center"/>
    </xf>
    <xf numFmtId="181" fontId="7" fillId="0" borderId="0" xfId="4" applyNumberFormat="1" applyFont="1" applyAlignment="1">
      <alignment horizontal="center" vertical="center"/>
    </xf>
    <xf numFmtId="2" fontId="145" fillId="0" borderId="0" xfId="0" applyNumberFormat="1" applyFont="1" applyAlignment="1">
      <alignment horizontal="center" vertical="center" wrapText="1"/>
    </xf>
    <xf numFmtId="10" fontId="145" fillId="0" borderId="0" xfId="0" applyNumberFormat="1" applyFont="1" applyAlignment="1">
      <alignment horizontal="center" vertical="center"/>
    </xf>
    <xf numFmtId="10" fontId="148" fillId="0" borderId="0" xfId="0" applyNumberFormat="1" applyFont="1" applyAlignment="1">
      <alignment horizontal="center" vertical="center"/>
    </xf>
    <xf numFmtId="9" fontId="31" fillId="5" borderId="0" xfId="3" applyFont="1" applyFill="1" applyAlignment="1">
      <alignment horizontal="center" vertical="center"/>
    </xf>
    <xf numFmtId="181" fontId="30" fillId="24" borderId="9" xfId="0" applyNumberFormat="1" applyFont="1" applyFill="1" applyBorder="1" applyAlignment="1">
      <alignment horizontal="center" vertical="center"/>
    </xf>
    <xf numFmtId="166" fontId="65" fillId="5" borderId="1" xfId="5" applyFont="1" applyFill="1" applyBorder="1"/>
    <xf numFmtId="166" fontId="6" fillId="7" borderId="1" xfId="5" applyFont="1" applyFill="1" applyBorder="1"/>
    <xf numFmtId="10" fontId="37" fillId="5" borderId="1" xfId="3" applyNumberFormat="1" applyFont="1" applyFill="1" applyBorder="1" applyAlignment="1">
      <alignment horizontal="center" vertical="center"/>
    </xf>
    <xf numFmtId="168" fontId="37" fillId="5" borderId="1" xfId="3" applyNumberFormat="1" applyFont="1" applyFill="1" applyBorder="1" applyAlignment="1">
      <alignment horizontal="center" vertical="center"/>
    </xf>
    <xf numFmtId="170" fontId="0" fillId="0" borderId="1" xfId="5" applyNumberFormat="1" applyFont="1" applyBorder="1" applyAlignment="1">
      <alignment wrapText="1"/>
    </xf>
    <xf numFmtId="166" fontId="39" fillId="12" borderId="1" xfId="5" applyFont="1" applyFill="1" applyBorder="1" applyAlignment="1">
      <alignment horizontal="center" vertical="center"/>
    </xf>
    <xf numFmtId="190" fontId="31" fillId="0" borderId="120" xfId="3" applyNumberFormat="1" applyFont="1" applyBorder="1" applyAlignment="1">
      <alignment horizontal="center" vertical="center"/>
    </xf>
    <xf numFmtId="164" fontId="161" fillId="53" borderId="1" xfId="0" applyNumberFormat="1" applyFont="1" applyFill="1" applyBorder="1" applyAlignment="1">
      <alignment vertical="center" wrapText="1"/>
    </xf>
    <xf numFmtId="164" fontId="37" fillId="5" borderId="33" xfId="0" applyNumberFormat="1" applyFont="1" applyFill="1" applyBorder="1" applyAlignment="1">
      <alignment vertical="center"/>
    </xf>
    <xf numFmtId="166" fontId="31" fillId="0" borderId="1" xfId="5" applyFont="1" applyBorder="1" applyAlignment="1">
      <alignment vertical="center"/>
    </xf>
    <xf numFmtId="2" fontId="39" fillId="5" borderId="7" xfId="0" applyNumberFormat="1" applyFont="1" applyFill="1" applyBorder="1" applyAlignment="1">
      <alignment horizontal="center" vertical="center"/>
    </xf>
    <xf numFmtId="2" fontId="37" fillId="5" borderId="1" xfId="0" applyNumberFormat="1" applyFont="1" applyFill="1" applyBorder="1"/>
    <xf numFmtId="0" fontId="112" fillId="7" borderId="41" xfId="0" applyFont="1" applyFill="1" applyBorder="1" applyAlignment="1">
      <alignment horizontal="center" vertical="center"/>
    </xf>
    <xf numFmtId="0" fontId="112" fillId="7" borderId="42" xfId="0" applyFont="1" applyFill="1" applyBorder="1" applyAlignment="1">
      <alignment horizontal="center" vertical="center"/>
    </xf>
    <xf numFmtId="0" fontId="112" fillId="7" borderId="43" xfId="0" applyFont="1" applyFill="1" applyBorder="1" applyAlignment="1">
      <alignment horizontal="center" vertical="center"/>
    </xf>
    <xf numFmtId="0" fontId="110" fillId="20" borderId="95" xfId="0" applyFont="1" applyFill="1" applyBorder="1" applyAlignment="1">
      <alignment horizontal="center" vertical="center"/>
    </xf>
    <xf numFmtId="0" fontId="110" fillId="20" borderId="12" xfId="0" applyFont="1" applyFill="1" applyBorder="1" applyAlignment="1">
      <alignment horizontal="center" vertical="center"/>
    </xf>
    <xf numFmtId="0" fontId="110" fillId="20" borderId="96" xfId="0" applyFont="1" applyFill="1" applyBorder="1" applyAlignment="1">
      <alignment horizontal="center" vertical="center"/>
    </xf>
    <xf numFmtId="0" fontId="111" fillId="0" borderId="49" xfId="0" applyFont="1" applyBorder="1" applyAlignment="1">
      <alignment horizontal="center" vertical="center"/>
    </xf>
    <xf numFmtId="0" fontId="111" fillId="0" borderId="1" xfId="0" applyFont="1" applyBorder="1" applyAlignment="1">
      <alignment horizontal="center" vertical="center"/>
    </xf>
    <xf numFmtId="0" fontId="110" fillId="20" borderId="34" xfId="0" applyFont="1" applyFill="1" applyBorder="1" applyAlignment="1">
      <alignment horizontal="center" vertical="center"/>
    </xf>
    <xf numFmtId="0" fontId="110" fillId="20" borderId="35" xfId="0" applyFont="1" applyFill="1" applyBorder="1" applyAlignment="1">
      <alignment horizontal="center" vertical="center"/>
    </xf>
    <xf numFmtId="0" fontId="110" fillId="20" borderId="36" xfId="0" applyFont="1" applyFill="1" applyBorder="1" applyAlignment="1">
      <alignment horizontal="center" vertical="center"/>
    </xf>
    <xf numFmtId="0" fontId="110" fillId="20" borderId="44" xfId="0" applyFont="1" applyFill="1" applyBorder="1" applyAlignment="1">
      <alignment horizontal="center" vertical="center"/>
    </xf>
    <xf numFmtId="0" fontId="110" fillId="20" borderId="99" xfId="0" applyFont="1" applyFill="1" applyBorder="1" applyAlignment="1">
      <alignment horizontal="center" vertical="center"/>
    </xf>
    <xf numFmtId="0" fontId="110" fillId="20" borderId="71" xfId="0" applyFont="1" applyFill="1" applyBorder="1" applyAlignment="1">
      <alignment horizontal="center" vertical="center"/>
    </xf>
    <xf numFmtId="0" fontId="116" fillId="0" borderId="32" xfId="0" applyFont="1" applyBorder="1" applyAlignment="1">
      <alignment horizontal="left" vertical="center" wrapText="1"/>
    </xf>
    <xf numFmtId="0" fontId="111" fillId="0" borderId="31" xfId="0" applyFont="1" applyBorder="1" applyAlignment="1">
      <alignment horizontal="center" vertical="center" wrapText="1"/>
    </xf>
    <xf numFmtId="0" fontId="111" fillId="0" borderId="33" xfId="0" applyFont="1" applyBorder="1" applyAlignment="1">
      <alignment horizontal="center" vertical="center" wrapText="1"/>
    </xf>
    <xf numFmtId="0" fontId="111" fillId="0" borderId="34" xfId="0" applyFont="1" applyBorder="1" applyAlignment="1">
      <alignment horizontal="center" vertical="center" wrapText="1"/>
    </xf>
    <xf numFmtId="0" fontId="116" fillId="0" borderId="49" xfId="0" applyFont="1" applyBorder="1" applyAlignment="1">
      <alignment horizontal="left" vertical="center"/>
    </xf>
    <xf numFmtId="0" fontId="116" fillId="0" borderId="1" xfId="0" applyFont="1" applyBorder="1" applyAlignment="1">
      <alignment horizontal="left" vertical="center"/>
    </xf>
    <xf numFmtId="0" fontId="116" fillId="0" borderId="49" xfId="0" applyFont="1" applyBorder="1" applyAlignment="1">
      <alignment horizontal="left" vertical="center" wrapText="1"/>
    </xf>
    <xf numFmtId="0" fontId="116" fillId="0" borderId="1" xfId="0" applyFont="1" applyBorder="1" applyAlignment="1">
      <alignment horizontal="left" vertical="center" wrapText="1"/>
    </xf>
    <xf numFmtId="0" fontId="116" fillId="0" borderId="35" xfId="0" applyFont="1" applyBorder="1" applyAlignment="1">
      <alignment horizontal="left" vertical="center"/>
    </xf>
    <xf numFmtId="0" fontId="115" fillId="20" borderId="1" xfId="0" applyFont="1" applyFill="1" applyBorder="1" applyAlignment="1">
      <alignment horizontal="left" vertical="center" wrapText="1"/>
    </xf>
    <xf numFmtId="0" fontId="115" fillId="20" borderId="32" xfId="0" applyFont="1" applyFill="1" applyBorder="1" applyAlignment="1">
      <alignment horizontal="left" vertical="center" wrapText="1"/>
    </xf>
    <xf numFmtId="0" fontId="118" fillId="20" borderId="34" xfId="0" applyFont="1" applyFill="1" applyBorder="1" applyAlignment="1">
      <alignment horizontal="center" vertical="center"/>
    </xf>
    <xf numFmtId="0" fontId="118" fillId="20" borderId="35" xfId="0" applyFont="1" applyFill="1" applyBorder="1" applyAlignment="1">
      <alignment horizontal="center" vertical="center"/>
    </xf>
    <xf numFmtId="0" fontId="111" fillId="0" borderId="41" xfId="0" applyFont="1" applyBorder="1" applyAlignment="1">
      <alignment horizontal="center" vertical="center" wrapText="1"/>
    </xf>
    <xf numFmtId="0" fontId="116" fillId="0" borderId="42" xfId="0" applyFont="1" applyBorder="1" applyAlignment="1">
      <alignment horizontal="left" vertical="center"/>
    </xf>
    <xf numFmtId="0" fontId="117" fillId="0" borderId="0" xfId="0" applyFont="1" applyAlignment="1">
      <alignment horizontal="center" vertical="center" wrapText="1"/>
    </xf>
    <xf numFmtId="0" fontId="72" fillId="19" borderId="13" xfId="8" applyFill="1" applyBorder="1" applyAlignment="1" applyProtection="1">
      <alignment horizontal="center" vertical="center" wrapText="1"/>
      <protection locked="0"/>
    </xf>
    <xf numFmtId="0" fontId="72" fillId="19" borderId="14" xfId="8" applyFill="1" applyBorder="1" applyAlignment="1" applyProtection="1">
      <alignment horizontal="center" vertical="center" wrapText="1"/>
      <protection locked="0"/>
    </xf>
    <xf numFmtId="0" fontId="72" fillId="19" borderId="15" xfId="8" applyFill="1" applyBorder="1" applyAlignment="1" applyProtection="1">
      <alignment horizontal="center" vertical="center" wrapText="1"/>
      <protection locked="0"/>
    </xf>
    <xf numFmtId="0" fontId="112" fillId="43" borderId="13" xfId="8" applyFont="1" applyFill="1" applyBorder="1" applyAlignment="1">
      <alignment horizontal="center" vertical="center"/>
    </xf>
    <xf numFmtId="0" fontId="112" fillId="43" borderId="14" xfId="8" applyFont="1" applyFill="1" applyBorder="1" applyAlignment="1">
      <alignment horizontal="center" vertical="center"/>
    </xf>
    <xf numFmtId="0" fontId="112" fillId="43" borderId="15" xfId="8" applyFont="1" applyFill="1" applyBorder="1" applyAlignment="1">
      <alignment horizontal="center" vertical="center"/>
    </xf>
    <xf numFmtId="0" fontId="72" fillId="24" borderId="13" xfId="8" applyFill="1" applyBorder="1" applyAlignment="1" applyProtection="1">
      <alignment horizontal="center" vertical="center" wrapText="1"/>
      <protection locked="0"/>
    </xf>
    <xf numFmtId="0" fontId="72" fillId="24" borderId="14" xfId="8" applyFill="1" applyBorder="1" applyAlignment="1" applyProtection="1">
      <alignment horizontal="center" vertical="center" wrapText="1"/>
      <protection locked="0"/>
    </xf>
    <xf numFmtId="0" fontId="72" fillId="24" borderId="15" xfId="8" applyFill="1" applyBorder="1" applyAlignment="1" applyProtection="1">
      <alignment horizontal="center" vertical="center" wrapText="1"/>
      <protection locked="0"/>
    </xf>
    <xf numFmtId="0" fontId="73" fillId="21" borderId="13" xfId="8" applyFont="1" applyFill="1" applyBorder="1" applyAlignment="1" applyProtection="1">
      <alignment horizontal="center" vertical="center" wrapText="1"/>
      <protection locked="0"/>
    </xf>
    <xf numFmtId="0" fontId="73" fillId="21" borderId="14" xfId="8" applyFont="1" applyFill="1" applyBorder="1" applyAlignment="1" applyProtection="1">
      <alignment horizontal="center" vertical="center" wrapText="1"/>
      <protection locked="0"/>
    </xf>
    <xf numFmtId="0" fontId="73" fillId="21" borderId="15" xfId="8" applyFont="1" applyFill="1" applyBorder="1" applyAlignment="1" applyProtection="1">
      <alignment horizontal="center" vertical="center" wrapText="1"/>
      <protection locked="0"/>
    </xf>
    <xf numFmtId="0" fontId="118" fillId="13" borderId="1" xfId="0" applyFont="1" applyFill="1" applyBorder="1" applyAlignment="1">
      <alignment horizontal="center" vertical="center" wrapText="1"/>
    </xf>
    <xf numFmtId="0" fontId="122" fillId="0" borderId="1" xfId="0" applyFont="1" applyBorder="1" applyAlignment="1">
      <alignment horizontal="center" vertical="center" wrapText="1" readingOrder="1"/>
    </xf>
    <xf numFmtId="0" fontId="122" fillId="0" borderId="32" xfId="0" applyFont="1" applyBorder="1" applyAlignment="1">
      <alignment horizontal="center" vertical="center" wrapText="1" readingOrder="1"/>
    </xf>
    <xf numFmtId="0" fontId="75" fillId="7" borderId="20" xfId="0" applyFont="1" applyFill="1" applyBorder="1" applyAlignment="1">
      <alignment horizontal="center" vertical="center" wrapText="1"/>
    </xf>
    <xf numFmtId="0" fontId="75" fillId="7" borderId="21" xfId="0" applyFont="1" applyFill="1" applyBorder="1" applyAlignment="1">
      <alignment horizontal="center" vertical="center" wrapText="1"/>
    </xf>
    <xf numFmtId="0" fontId="75" fillId="7" borderId="54" xfId="0" applyFont="1" applyFill="1" applyBorder="1" applyAlignment="1">
      <alignment horizontal="center" vertical="center"/>
    </xf>
    <xf numFmtId="0" fontId="75" fillId="7" borderId="49" xfId="0" applyFont="1" applyFill="1" applyBorder="1" applyAlignment="1">
      <alignment horizontal="center" vertical="center"/>
    </xf>
    <xf numFmtId="0" fontId="75" fillId="7" borderId="54" xfId="0" applyFont="1" applyFill="1" applyBorder="1" applyAlignment="1">
      <alignment horizontal="center" vertical="center" wrapText="1"/>
    </xf>
    <xf numFmtId="0" fontId="75" fillId="7" borderId="49" xfId="0" applyFont="1" applyFill="1" applyBorder="1" applyAlignment="1">
      <alignment horizontal="center" vertical="center" wrapText="1"/>
    </xf>
    <xf numFmtId="0" fontId="121" fillId="32" borderId="0" xfId="0" applyFont="1" applyFill="1" applyAlignment="1">
      <alignment horizontal="center" vertical="center"/>
    </xf>
    <xf numFmtId="0" fontId="118" fillId="5" borderId="0" xfId="0" applyFont="1" applyFill="1" applyAlignment="1">
      <alignment horizontal="left" vertical="center"/>
    </xf>
    <xf numFmtId="0" fontId="75" fillId="7" borderId="100" xfId="0" applyFont="1" applyFill="1" applyBorder="1" applyAlignment="1">
      <alignment horizontal="center" vertical="center" wrapText="1"/>
    </xf>
    <xf numFmtId="0" fontId="75" fillId="7" borderId="50" xfId="0" applyFont="1" applyFill="1" applyBorder="1" applyAlignment="1">
      <alignment horizontal="center" vertical="center" wrapText="1"/>
    </xf>
    <xf numFmtId="0" fontId="75" fillId="7" borderId="41" xfId="0" applyFont="1" applyFill="1" applyBorder="1" applyAlignment="1">
      <alignment horizontal="center" vertical="center" wrapText="1"/>
    </xf>
    <xf numFmtId="0" fontId="75" fillId="7" borderId="43" xfId="0" applyFont="1" applyFill="1" applyBorder="1" applyAlignment="1">
      <alignment horizontal="center" vertical="center" wrapText="1"/>
    </xf>
    <xf numFmtId="0" fontId="75" fillId="7" borderId="28" xfId="0" applyFont="1" applyFill="1" applyBorder="1" applyAlignment="1">
      <alignment horizontal="center" vertical="center"/>
    </xf>
    <xf numFmtId="0" fontId="75" fillId="7" borderId="31" xfId="0" applyFont="1" applyFill="1" applyBorder="1" applyAlignment="1">
      <alignment horizontal="center" vertical="center"/>
    </xf>
    <xf numFmtId="0" fontId="75" fillId="7" borderId="30" xfId="0" applyFont="1" applyFill="1" applyBorder="1" applyAlignment="1">
      <alignment horizontal="center" vertical="center" wrapText="1"/>
    </xf>
    <xf numFmtId="0" fontId="75" fillId="7" borderId="97" xfId="0" applyFont="1" applyFill="1" applyBorder="1" applyAlignment="1">
      <alignment horizontal="center" vertical="center" wrapText="1"/>
    </xf>
    <xf numFmtId="0" fontId="129" fillId="7" borderId="0" xfId="0" applyFont="1" applyFill="1" applyAlignment="1">
      <alignment horizontal="center" vertical="center"/>
    </xf>
    <xf numFmtId="0" fontId="119" fillId="13" borderId="1" xfId="6" applyFont="1" applyFill="1" applyBorder="1" applyAlignment="1">
      <alignment horizontal="center" vertical="center" wrapText="1"/>
    </xf>
    <xf numFmtId="0" fontId="7" fillId="0" borderId="1" xfId="0" applyFont="1" applyBorder="1" applyAlignment="1">
      <alignment horizontal="center" vertical="center" wrapText="1"/>
    </xf>
    <xf numFmtId="0" fontId="125" fillId="11" borderId="16" xfId="0" applyFont="1" applyFill="1" applyBorder="1" applyAlignment="1">
      <alignment horizontal="center" vertical="center" wrapText="1" readingOrder="1"/>
    </xf>
    <xf numFmtId="0" fontId="125" fillId="11" borderId="17" xfId="0" applyFont="1" applyFill="1" applyBorder="1" applyAlignment="1">
      <alignment horizontal="center" vertical="center" wrapText="1" readingOrder="1"/>
    </xf>
    <xf numFmtId="0" fontId="125" fillId="11" borderId="18" xfId="0" applyFont="1" applyFill="1" applyBorder="1" applyAlignment="1">
      <alignment horizontal="center" vertical="center" wrapText="1" readingOrder="1"/>
    </xf>
    <xf numFmtId="0" fontId="125" fillId="11" borderId="19" xfId="0" applyFont="1" applyFill="1" applyBorder="1" applyAlignment="1">
      <alignment horizontal="center" vertical="center" wrapText="1" readingOrder="1"/>
    </xf>
    <xf numFmtId="0" fontId="125" fillId="11" borderId="20" xfId="0" applyFont="1" applyFill="1" applyBorder="1" applyAlignment="1">
      <alignment horizontal="center" vertical="center" wrapText="1" readingOrder="1"/>
    </xf>
    <xf numFmtId="0" fontId="125" fillId="11" borderId="21" xfId="0" applyFont="1" applyFill="1" applyBorder="1" applyAlignment="1">
      <alignment horizontal="center" vertical="center" wrapText="1" readingOrder="1"/>
    </xf>
    <xf numFmtId="0" fontId="118" fillId="6" borderId="4" xfId="0" applyFont="1" applyFill="1" applyBorder="1" applyAlignment="1">
      <alignment horizontal="center" vertical="center" wrapText="1"/>
    </xf>
    <xf numFmtId="0" fontId="118" fillId="6" borderId="5" xfId="0" applyFont="1" applyFill="1" applyBorder="1" applyAlignment="1">
      <alignment horizontal="center" vertical="center" wrapText="1"/>
    </xf>
    <xf numFmtId="0" fontId="118" fillId="6" borderId="2" xfId="0" applyFont="1" applyFill="1" applyBorder="1" applyAlignment="1">
      <alignment horizontal="center" vertical="center" wrapText="1"/>
    </xf>
    <xf numFmtId="0" fontId="118" fillId="6" borderId="6" xfId="0" applyFont="1" applyFill="1" applyBorder="1" applyAlignment="1">
      <alignment horizontal="center" vertical="center" wrapText="1"/>
    </xf>
    <xf numFmtId="0" fontId="118" fillId="6" borderId="0" xfId="0" applyFont="1" applyFill="1" applyAlignment="1">
      <alignment horizontal="center" vertical="center" wrapText="1"/>
    </xf>
    <xf numFmtId="0" fontId="118" fillId="6" borderId="7" xfId="0" applyFont="1" applyFill="1" applyBorder="1" applyAlignment="1">
      <alignment horizontal="center" vertical="center" wrapText="1"/>
    </xf>
    <xf numFmtId="0" fontId="118" fillId="6" borderId="8" xfId="0" applyFont="1" applyFill="1" applyBorder="1" applyAlignment="1">
      <alignment horizontal="center" vertical="center" wrapText="1"/>
    </xf>
    <xf numFmtId="0" fontId="118" fillId="6" borderId="9" xfId="0" applyFont="1" applyFill="1" applyBorder="1" applyAlignment="1">
      <alignment horizontal="center" vertical="center" wrapText="1"/>
    </xf>
    <xf numFmtId="0" fontId="118" fillId="6" borderId="10" xfId="0" applyFont="1" applyFill="1" applyBorder="1" applyAlignment="1">
      <alignment horizontal="center" vertical="center" wrapText="1"/>
    </xf>
    <xf numFmtId="0" fontId="51" fillId="5" borderId="0" xfId="0" applyFont="1" applyFill="1" applyAlignment="1">
      <alignment horizontal="center" vertical="center"/>
    </xf>
    <xf numFmtId="0" fontId="75" fillId="7" borderId="4" xfId="0" applyFont="1" applyFill="1" applyBorder="1" applyAlignment="1">
      <alignment horizontal="center" vertical="center"/>
    </xf>
    <xf numFmtId="0" fontId="75" fillId="7" borderId="5" xfId="0" applyFont="1" applyFill="1" applyBorder="1" applyAlignment="1">
      <alignment horizontal="center" vertical="center"/>
    </xf>
    <xf numFmtId="0" fontId="75" fillId="7" borderId="2" xfId="0" applyFont="1" applyFill="1" applyBorder="1" applyAlignment="1">
      <alignment horizontal="center" vertical="center"/>
    </xf>
    <xf numFmtId="0" fontId="118" fillId="8" borderId="0" xfId="0" applyFont="1" applyFill="1" applyAlignment="1">
      <alignment horizontal="left" vertical="center" wrapText="1"/>
    </xf>
    <xf numFmtId="0" fontId="118" fillId="13" borderId="1" xfId="0" applyFont="1" applyFill="1" applyBorder="1" applyAlignment="1">
      <alignment horizontal="center" vertical="center"/>
    </xf>
    <xf numFmtId="0" fontId="7" fillId="8" borderId="0" xfId="0" applyFont="1" applyFill="1" applyAlignment="1">
      <alignment horizontal="center" vertical="center" wrapText="1"/>
    </xf>
    <xf numFmtId="0" fontId="75" fillId="7" borderId="47" xfId="0" applyFont="1" applyFill="1" applyBorder="1" applyAlignment="1">
      <alignment horizontal="center" vertical="center" wrapText="1"/>
    </xf>
    <xf numFmtId="0" fontId="126" fillId="39" borderId="0" xfId="0" applyFont="1" applyFill="1" applyAlignment="1">
      <alignment horizontal="center" vertical="center" wrapText="1" readingOrder="1"/>
    </xf>
    <xf numFmtId="0" fontId="7" fillId="17" borderId="16" xfId="0" applyFont="1" applyFill="1" applyBorder="1" applyAlignment="1">
      <alignment horizontal="center" vertical="center" wrapText="1"/>
    </xf>
    <xf numFmtId="0" fontId="7" fillId="17" borderId="17" xfId="0" applyFont="1" applyFill="1" applyBorder="1" applyAlignment="1">
      <alignment horizontal="center" vertical="center" wrapText="1"/>
    </xf>
    <xf numFmtId="0" fontId="7" fillId="17" borderId="18" xfId="0" applyFont="1" applyFill="1" applyBorder="1" applyAlignment="1">
      <alignment horizontal="center" vertical="center" wrapText="1"/>
    </xf>
    <xf numFmtId="0" fontId="7" fillId="17" borderId="19" xfId="0" applyFont="1" applyFill="1" applyBorder="1" applyAlignment="1">
      <alignment horizontal="center" vertical="center" wrapText="1"/>
    </xf>
    <xf numFmtId="0" fontId="7" fillId="17" borderId="20" xfId="0" applyFont="1" applyFill="1" applyBorder="1" applyAlignment="1">
      <alignment horizontal="center" vertical="center" wrapText="1"/>
    </xf>
    <xf numFmtId="0" fontId="7" fillId="17" borderId="21" xfId="0" applyFont="1" applyFill="1" applyBorder="1" applyAlignment="1">
      <alignment horizontal="center" vertical="center" wrapText="1"/>
    </xf>
    <xf numFmtId="0" fontId="7" fillId="13" borderId="16" xfId="0" applyFont="1" applyFill="1" applyBorder="1" applyAlignment="1">
      <alignment horizontal="center" vertical="center" wrapText="1"/>
    </xf>
    <xf numFmtId="0" fontId="7" fillId="13" borderId="17" xfId="0" applyFont="1" applyFill="1" applyBorder="1" applyAlignment="1">
      <alignment horizontal="center" vertical="center" wrapText="1"/>
    </xf>
    <xf numFmtId="0" fontId="7" fillId="13" borderId="18" xfId="0" applyFont="1" applyFill="1" applyBorder="1" applyAlignment="1">
      <alignment horizontal="center" vertical="center" wrapText="1"/>
    </xf>
    <xf numFmtId="0" fontId="7" fillId="13" borderId="19"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7" fillId="37" borderId="16" xfId="0" applyFont="1" applyFill="1" applyBorder="1" applyAlignment="1">
      <alignment horizontal="center" vertical="center"/>
    </xf>
    <xf numFmtId="0" fontId="7" fillId="37" borderId="17" xfId="0" applyFont="1" applyFill="1" applyBorder="1" applyAlignment="1">
      <alignment horizontal="center" vertical="center"/>
    </xf>
    <xf numFmtId="0" fontId="7" fillId="37" borderId="18" xfId="0" applyFont="1" applyFill="1" applyBorder="1" applyAlignment="1">
      <alignment horizontal="center" vertical="center"/>
    </xf>
    <xf numFmtId="0" fontId="7" fillId="37" borderId="19" xfId="0" applyFont="1" applyFill="1" applyBorder="1" applyAlignment="1">
      <alignment horizontal="center" vertical="center"/>
    </xf>
    <xf numFmtId="0" fontId="7" fillId="37" borderId="20" xfId="0" applyFont="1" applyFill="1" applyBorder="1" applyAlignment="1">
      <alignment horizontal="center" vertical="center"/>
    </xf>
    <xf numFmtId="0" fontId="7" fillId="37" borderId="21" xfId="0" applyFont="1" applyFill="1" applyBorder="1" applyAlignment="1">
      <alignment horizontal="center" vertical="center"/>
    </xf>
    <xf numFmtId="0" fontId="123" fillId="6" borderId="0" xfId="0" applyFont="1" applyFill="1" applyAlignment="1">
      <alignment horizontal="center" vertical="center" textRotation="90" wrapText="1" readingOrder="1"/>
    </xf>
    <xf numFmtId="0" fontId="124" fillId="0" borderId="11" xfId="0" applyFont="1" applyBorder="1" applyAlignment="1">
      <alignment horizontal="center" vertical="center" wrapText="1" readingOrder="1"/>
    </xf>
    <xf numFmtId="0" fontId="136" fillId="13" borderId="42" xfId="0" applyFont="1" applyFill="1" applyBorder="1" applyAlignment="1">
      <alignment horizontal="center" vertical="center"/>
    </xf>
    <xf numFmtId="0" fontId="136" fillId="13" borderId="43" xfId="0" applyFont="1" applyFill="1" applyBorder="1" applyAlignment="1">
      <alignment horizontal="center" vertical="center"/>
    </xf>
    <xf numFmtId="0" fontId="137" fillId="10" borderId="41" xfId="0" applyFont="1" applyFill="1" applyBorder="1" applyAlignment="1">
      <alignment horizontal="center" vertical="center"/>
    </xf>
    <xf numFmtId="0" fontId="137" fillId="10" borderId="42" xfId="0" applyFont="1" applyFill="1" applyBorder="1" applyAlignment="1">
      <alignment horizontal="center" vertical="center"/>
    </xf>
    <xf numFmtId="0" fontId="133" fillId="44" borderId="13" xfId="0" applyFont="1" applyFill="1" applyBorder="1" applyAlignment="1">
      <alignment horizontal="center" vertical="center"/>
    </xf>
    <xf numFmtId="0" fontId="134" fillId="21" borderId="13" xfId="0" applyFont="1" applyFill="1" applyBorder="1" applyAlignment="1">
      <alignment horizontal="center" vertical="center" wrapText="1"/>
    </xf>
    <xf numFmtId="0" fontId="51" fillId="24" borderId="41" xfId="0" applyFont="1" applyFill="1" applyBorder="1" applyAlignment="1">
      <alignment horizontal="center" vertical="center" wrapText="1"/>
    </xf>
    <xf numFmtId="0" fontId="51" fillId="24" borderId="42" xfId="0" applyFont="1" applyFill="1" applyBorder="1" applyAlignment="1">
      <alignment horizontal="center" vertical="center" wrapText="1"/>
    </xf>
    <xf numFmtId="0" fontId="51" fillId="24" borderId="43" xfId="0" applyFont="1" applyFill="1" applyBorder="1" applyAlignment="1">
      <alignment horizontal="center" vertical="center" wrapText="1"/>
    </xf>
    <xf numFmtId="0" fontId="51" fillId="20" borderId="4" xfId="0" applyFont="1" applyFill="1" applyBorder="1" applyAlignment="1">
      <alignment horizontal="center" vertical="center" wrapText="1"/>
    </xf>
    <xf numFmtId="0" fontId="51" fillId="20" borderId="104" xfId="0" applyFont="1" applyFill="1" applyBorder="1" applyAlignment="1">
      <alignment horizontal="center" vertical="center" wrapText="1"/>
    </xf>
    <xf numFmtId="0" fontId="51" fillId="20" borderId="30" xfId="0" applyFont="1" applyFill="1" applyBorder="1" applyAlignment="1">
      <alignment horizontal="center" vertical="center" wrapText="1"/>
    </xf>
    <xf numFmtId="0" fontId="137" fillId="10" borderId="43" xfId="0" applyFont="1" applyFill="1" applyBorder="1" applyAlignment="1">
      <alignment horizontal="center" vertical="center"/>
    </xf>
    <xf numFmtId="0" fontId="112" fillId="7" borderId="0" xfId="0" applyFont="1" applyFill="1" applyAlignment="1">
      <alignment horizontal="center" vertical="center"/>
    </xf>
    <xf numFmtId="0" fontId="130" fillId="20" borderId="42" xfId="0" applyFont="1" applyFill="1" applyBorder="1" applyAlignment="1">
      <alignment horizontal="center" vertical="center" wrapText="1"/>
    </xf>
    <xf numFmtId="0" fontId="130" fillId="20" borderId="41" xfId="0" applyFont="1" applyFill="1" applyBorder="1" applyAlignment="1">
      <alignment horizontal="center" vertical="center" wrapText="1"/>
    </xf>
    <xf numFmtId="0" fontId="132" fillId="21" borderId="13" xfId="0" applyFont="1" applyFill="1" applyBorder="1" applyAlignment="1">
      <alignment horizontal="center" vertical="center" wrapText="1"/>
    </xf>
    <xf numFmtId="0" fontId="136" fillId="13" borderId="41" xfId="0" applyFont="1" applyFill="1" applyBorder="1" applyAlignment="1">
      <alignment horizontal="center" vertical="center"/>
    </xf>
    <xf numFmtId="0" fontId="137" fillId="10" borderId="41" xfId="0" applyFont="1" applyFill="1" applyBorder="1" applyAlignment="1">
      <alignment horizontal="left" vertical="center" wrapText="1"/>
    </xf>
    <xf numFmtId="0" fontId="137" fillId="10" borderId="42" xfId="0" applyFont="1" applyFill="1" applyBorder="1" applyAlignment="1">
      <alignment horizontal="left" vertical="center" wrapText="1"/>
    </xf>
    <xf numFmtId="0" fontId="137" fillId="10" borderId="33" xfId="0" applyFont="1" applyFill="1" applyBorder="1" applyAlignment="1">
      <alignment horizontal="left" vertical="center" wrapText="1"/>
    </xf>
    <xf numFmtId="0" fontId="137" fillId="10" borderId="1" xfId="0" applyFont="1" applyFill="1" applyBorder="1" applyAlignment="1">
      <alignment horizontal="left" vertical="center" wrapText="1"/>
    </xf>
    <xf numFmtId="0" fontId="138" fillId="10" borderId="42" xfId="0" applyFont="1" applyFill="1" applyBorder="1" applyAlignment="1">
      <alignment horizontal="center" vertical="center" textRotation="90" wrapText="1"/>
    </xf>
    <xf numFmtId="0" fontId="138" fillId="10" borderId="1" xfId="0" applyFont="1" applyFill="1" applyBorder="1" applyAlignment="1">
      <alignment horizontal="center" vertical="center" textRotation="90" wrapText="1"/>
    </xf>
    <xf numFmtId="0" fontId="130" fillId="13" borderId="42" xfId="0" applyFont="1" applyFill="1" applyBorder="1" applyAlignment="1">
      <alignment horizontal="center" vertical="center" textRotation="90" wrapText="1"/>
    </xf>
    <xf numFmtId="0" fontId="136" fillId="13" borderId="41" xfId="0" applyFont="1" applyFill="1" applyBorder="1" applyAlignment="1">
      <alignment horizontal="left" vertical="center" wrapText="1"/>
    </xf>
    <xf numFmtId="0" fontId="130" fillId="13" borderId="49" xfId="0" applyFont="1" applyFill="1" applyBorder="1" applyAlignment="1">
      <alignment horizontal="center" vertical="center" textRotation="90" wrapText="1"/>
    </xf>
    <xf numFmtId="0" fontId="136" fillId="13" borderId="31" xfId="0" applyFont="1" applyFill="1" applyBorder="1" applyAlignment="1">
      <alignment horizontal="left" vertical="center" wrapText="1"/>
    </xf>
    <xf numFmtId="0" fontId="56" fillId="0" borderId="1" xfId="0" applyFont="1" applyBorder="1" applyAlignment="1">
      <alignment horizontal="center" vertical="center" textRotation="90" wrapText="1"/>
    </xf>
    <xf numFmtId="0" fontId="52" fillId="5" borderId="12" xfId="0" applyFont="1" applyFill="1" applyBorder="1" applyAlignment="1">
      <alignment horizontal="center" vertical="center" wrapText="1"/>
    </xf>
    <xf numFmtId="0" fontId="52" fillId="5" borderId="47" xfId="0" applyFont="1" applyFill="1" applyBorder="1" applyAlignment="1">
      <alignment horizontal="center" vertical="center" wrapText="1"/>
    </xf>
    <xf numFmtId="0" fontId="53" fillId="31" borderId="16" xfId="0" applyFont="1" applyFill="1" applyBorder="1" applyAlignment="1">
      <alignment horizontal="center" vertical="center" wrapText="1"/>
    </xf>
    <xf numFmtId="0" fontId="53" fillId="31" borderId="17" xfId="0" applyFont="1" applyFill="1" applyBorder="1" applyAlignment="1">
      <alignment horizontal="center" vertical="center" wrapText="1"/>
    </xf>
    <xf numFmtId="0" fontId="53" fillId="31" borderId="18" xfId="0" applyFont="1" applyFill="1" applyBorder="1" applyAlignment="1">
      <alignment horizontal="center" vertical="center" wrapText="1"/>
    </xf>
    <xf numFmtId="0" fontId="53" fillId="31" borderId="19" xfId="0" applyFont="1" applyFill="1" applyBorder="1" applyAlignment="1">
      <alignment horizontal="center" vertical="center" wrapText="1"/>
    </xf>
    <xf numFmtId="0" fontId="53" fillId="31" borderId="48" xfId="0" applyFont="1" applyFill="1" applyBorder="1" applyAlignment="1">
      <alignment horizontal="center" vertical="center" wrapText="1"/>
    </xf>
    <xf numFmtId="0" fontId="53" fillId="31" borderId="54" xfId="0" applyFont="1" applyFill="1" applyBorder="1" applyAlignment="1">
      <alignment horizontal="center" vertical="center" wrapText="1"/>
    </xf>
    <xf numFmtId="0" fontId="54" fillId="31" borderId="0" xfId="0" applyFont="1" applyFill="1" applyAlignment="1">
      <alignment horizontal="center" vertical="center" wrapText="1"/>
    </xf>
    <xf numFmtId="9" fontId="139" fillId="5" borderId="0" xfId="4" applyNumberFormat="1" applyFont="1" applyFill="1" applyBorder="1" applyAlignment="1">
      <alignment horizontal="center" vertical="center"/>
    </xf>
    <xf numFmtId="0" fontId="122" fillId="21" borderId="13" xfId="0" applyFont="1" applyFill="1" applyBorder="1" applyAlignment="1">
      <alignment horizontal="left" vertical="center" wrapText="1"/>
    </xf>
    <xf numFmtId="0" fontId="7" fillId="21" borderId="14" xfId="0" applyFont="1" applyFill="1" applyBorder="1" applyAlignment="1">
      <alignment horizontal="left" vertical="center" wrapText="1"/>
    </xf>
    <xf numFmtId="0" fontId="7" fillId="21" borderId="15" xfId="0" applyFont="1" applyFill="1" applyBorder="1" applyAlignment="1">
      <alignment horizontal="left" vertical="center" wrapText="1"/>
    </xf>
    <xf numFmtId="0" fontId="51" fillId="0" borderId="4" xfId="0" applyFont="1" applyBorder="1" applyAlignment="1">
      <alignment horizontal="center" vertical="center"/>
    </xf>
    <xf numFmtId="0" fontId="51" fillId="0" borderId="8" xfId="0" applyFont="1" applyBorder="1" applyAlignment="1">
      <alignment horizontal="center" vertical="center"/>
    </xf>
    <xf numFmtId="0" fontId="51" fillId="0" borderId="5" xfId="0" applyFont="1" applyBorder="1" applyAlignment="1">
      <alignment horizontal="left" vertical="center"/>
    </xf>
    <xf numFmtId="0" fontId="51" fillId="0" borderId="9" xfId="0" applyFont="1" applyBorder="1" applyAlignment="1">
      <alignment horizontal="left" vertical="center"/>
    </xf>
    <xf numFmtId="0" fontId="51" fillId="0" borderId="6" xfId="0" applyFont="1" applyBorder="1" applyAlignment="1">
      <alignment horizontal="center" vertical="center"/>
    </xf>
    <xf numFmtId="0" fontId="51" fillId="0" borderId="0" xfId="0" applyFont="1" applyAlignment="1">
      <alignment horizontal="left" vertical="center"/>
    </xf>
    <xf numFmtId="0" fontId="51" fillId="21" borderId="13" xfId="0" applyFont="1" applyFill="1" applyBorder="1" applyAlignment="1">
      <alignment horizontal="center" vertical="center"/>
    </xf>
    <xf numFmtId="0" fontId="51" fillId="21" borderId="14" xfId="0" applyFont="1" applyFill="1" applyBorder="1" applyAlignment="1">
      <alignment horizontal="center" vertical="center"/>
    </xf>
    <xf numFmtId="0" fontId="51" fillId="21" borderId="15" xfId="0" applyFont="1" applyFill="1" applyBorder="1" applyAlignment="1">
      <alignment horizontal="center" vertical="center"/>
    </xf>
    <xf numFmtId="0" fontId="51" fillId="21" borderId="4" xfId="0" applyFont="1" applyFill="1" applyBorder="1" applyAlignment="1">
      <alignment horizontal="center" vertical="center"/>
    </xf>
    <xf numFmtId="0" fontId="51" fillId="21" borderId="5" xfId="0" applyFont="1" applyFill="1" applyBorder="1" applyAlignment="1">
      <alignment horizontal="center" vertical="center"/>
    </xf>
    <xf numFmtId="0" fontId="51" fillId="21" borderId="0" xfId="0" applyFont="1" applyFill="1" applyAlignment="1">
      <alignment horizontal="center" vertical="center"/>
    </xf>
    <xf numFmtId="0" fontId="51" fillId="6" borderId="34" xfId="0" applyFont="1" applyFill="1" applyBorder="1" applyAlignment="1">
      <alignment horizontal="center" vertical="center"/>
    </xf>
    <xf numFmtId="0" fontId="51" fillId="6" borderId="35" xfId="0" applyFont="1" applyFill="1" applyBorder="1" applyAlignment="1">
      <alignment horizontal="center" vertical="center"/>
    </xf>
    <xf numFmtId="0" fontId="7" fillId="5" borderId="4"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8" xfId="0" applyFont="1" applyFill="1" applyBorder="1" applyAlignment="1">
      <alignment horizontal="left" vertical="center" wrapText="1"/>
    </xf>
    <xf numFmtId="0" fontId="7" fillId="5" borderId="9" xfId="0" applyFont="1" applyFill="1" applyBorder="1" applyAlignment="1">
      <alignment horizontal="left" vertical="center" wrapText="1"/>
    </xf>
    <xf numFmtId="0" fontId="7" fillId="5" borderId="10" xfId="0" applyFont="1" applyFill="1" applyBorder="1" applyAlignment="1">
      <alignment horizontal="left" vertical="center" wrapText="1"/>
    </xf>
    <xf numFmtId="0" fontId="146" fillId="42" borderId="16" xfId="0" applyFont="1" applyFill="1" applyBorder="1" applyAlignment="1">
      <alignment horizontal="center" vertical="center" wrapText="1"/>
    </xf>
    <xf numFmtId="0" fontId="146" fillId="42" borderId="11" xfId="0" applyFont="1" applyFill="1" applyBorder="1" applyAlignment="1">
      <alignment horizontal="center" vertical="center" wrapText="1"/>
    </xf>
    <xf numFmtId="0" fontId="146" fillId="42" borderId="0" xfId="0" applyFont="1" applyFill="1" applyAlignment="1">
      <alignment horizontal="center" vertical="center" wrapText="1"/>
    </xf>
    <xf numFmtId="0" fontId="146" fillId="42" borderId="107" xfId="0" applyFont="1" applyFill="1" applyBorder="1" applyAlignment="1">
      <alignment horizontal="center" vertical="center" wrapText="1"/>
    </xf>
    <xf numFmtId="0" fontId="148" fillId="0" borderId="0" xfId="0" applyFont="1" applyAlignment="1">
      <alignment horizontal="center" vertical="center"/>
    </xf>
    <xf numFmtId="0" fontId="84" fillId="7" borderId="0" xfId="0" applyFont="1" applyFill="1" applyAlignment="1">
      <alignment horizontal="center"/>
    </xf>
    <xf numFmtId="0" fontId="15" fillId="22" borderId="1" xfId="0" applyFont="1" applyFill="1" applyBorder="1" applyAlignment="1">
      <alignment horizontal="center"/>
    </xf>
    <xf numFmtId="0" fontId="16" fillId="0" borderId="1" xfId="0" applyFont="1" applyBorder="1" applyAlignment="1">
      <alignment horizontal="left" vertical="center" wrapText="1"/>
    </xf>
    <xf numFmtId="0" fontId="16" fillId="0" borderId="1" xfId="0" applyFont="1" applyBorder="1" applyAlignment="1">
      <alignment horizontal="left" wrapText="1"/>
    </xf>
    <xf numFmtId="0" fontId="6" fillId="7" borderId="1" xfId="0" applyFont="1" applyFill="1" applyBorder="1" applyAlignment="1">
      <alignment horizontal="center" vertical="center"/>
    </xf>
    <xf numFmtId="0" fontId="6" fillId="42" borderId="1" xfId="0" applyFont="1" applyFill="1" applyBorder="1" applyAlignment="1">
      <alignment horizontal="center"/>
    </xf>
    <xf numFmtId="0" fontId="61" fillId="33" borderId="59" xfId="0" applyFont="1" applyFill="1" applyBorder="1" applyAlignment="1">
      <alignment horizontal="left" vertical="center" wrapText="1" indent="6" readingOrder="1"/>
    </xf>
    <xf numFmtId="0" fontId="61" fillId="33" borderId="60" xfId="0" applyFont="1" applyFill="1" applyBorder="1" applyAlignment="1">
      <alignment horizontal="left" vertical="center" wrapText="1" indent="6" readingOrder="1"/>
    </xf>
    <xf numFmtId="0" fontId="61" fillId="33" borderId="61" xfId="0" applyFont="1" applyFill="1" applyBorder="1" applyAlignment="1">
      <alignment horizontal="left" vertical="center" wrapText="1" indent="6" readingOrder="1"/>
    </xf>
    <xf numFmtId="0" fontId="61" fillId="33" borderId="68" xfId="0" applyFont="1" applyFill="1" applyBorder="1" applyAlignment="1">
      <alignment horizontal="left" vertical="center" wrapText="1" indent="5" readingOrder="1"/>
    </xf>
    <xf numFmtId="0" fontId="61" fillId="33" borderId="69" xfId="0" applyFont="1" applyFill="1" applyBorder="1" applyAlignment="1">
      <alignment horizontal="left" vertical="center" wrapText="1" indent="5" readingOrder="1"/>
    </xf>
    <xf numFmtId="0" fontId="61" fillId="33" borderId="70" xfId="0" applyFont="1" applyFill="1" applyBorder="1" applyAlignment="1">
      <alignment horizontal="left" vertical="center" wrapText="1" indent="5" readingOrder="1"/>
    </xf>
    <xf numFmtId="0" fontId="61" fillId="33" borderId="62" xfId="0" applyFont="1" applyFill="1" applyBorder="1" applyAlignment="1">
      <alignment horizontal="left" vertical="center" wrapText="1" indent="9" readingOrder="1"/>
    </xf>
    <xf numFmtId="0" fontId="61" fillId="33" borderId="63" xfId="0" applyFont="1" applyFill="1" applyBorder="1" applyAlignment="1">
      <alignment horizontal="left" vertical="center" wrapText="1" indent="9" readingOrder="1"/>
    </xf>
    <xf numFmtId="0" fontId="61" fillId="33" borderId="62" xfId="0" applyFont="1" applyFill="1" applyBorder="1" applyAlignment="1">
      <alignment horizontal="left" vertical="center" wrapText="1" indent="8" readingOrder="1"/>
    </xf>
    <xf numFmtId="0" fontId="61" fillId="33" borderId="63" xfId="0" applyFont="1" applyFill="1" applyBorder="1" applyAlignment="1">
      <alignment horizontal="left" vertical="center" wrapText="1" indent="8" readingOrder="1"/>
    </xf>
    <xf numFmtId="0" fontId="62" fillId="34" borderId="66" xfId="0" applyFont="1" applyFill="1" applyBorder="1" applyAlignment="1">
      <alignment horizontal="center" vertical="center" wrapText="1" readingOrder="1"/>
    </xf>
    <xf numFmtId="0" fontId="62" fillId="34" borderId="67" xfId="0" applyFont="1" applyFill="1" applyBorder="1" applyAlignment="1">
      <alignment horizontal="center" vertical="center" wrapText="1" readingOrder="1"/>
    </xf>
    <xf numFmtId="0" fontId="8" fillId="7" borderId="41" xfId="0" applyFont="1" applyFill="1" applyBorder="1" applyAlignment="1">
      <alignment horizontal="center"/>
    </xf>
    <xf numFmtId="0" fontId="8" fillId="7" borderId="42" xfId="0" applyFont="1" applyFill="1" applyBorder="1" applyAlignment="1">
      <alignment horizontal="center"/>
    </xf>
    <xf numFmtId="0" fontId="86" fillId="7" borderId="0" xfId="0" applyFont="1" applyFill="1" applyAlignment="1">
      <alignment horizontal="center"/>
    </xf>
    <xf numFmtId="0" fontId="86" fillId="7" borderId="3" xfId="0" applyFont="1" applyFill="1" applyBorder="1" applyAlignment="1">
      <alignment horizontal="center"/>
    </xf>
    <xf numFmtId="0" fontId="2" fillId="6" borderId="0" xfId="0" applyFont="1" applyFill="1" applyAlignment="1">
      <alignment horizontal="center"/>
    </xf>
    <xf numFmtId="0" fontId="10" fillId="25" borderId="22" xfId="0" applyFont="1" applyFill="1" applyBorder="1" applyAlignment="1">
      <alignment horizontal="center"/>
    </xf>
    <xf numFmtId="0" fontId="10" fillId="25" borderId="12" xfId="0" applyFont="1" applyFill="1" applyBorder="1" applyAlignment="1">
      <alignment horizontal="center"/>
    </xf>
    <xf numFmtId="0" fontId="10" fillId="25" borderId="47" xfId="0" applyFont="1" applyFill="1" applyBorder="1" applyAlignment="1">
      <alignment horizontal="center"/>
    </xf>
    <xf numFmtId="0" fontId="78" fillId="7" borderId="0" xfId="0" applyFont="1" applyFill="1" applyAlignment="1">
      <alignment horizontal="center" vertical="center"/>
    </xf>
    <xf numFmtId="0" fontId="78" fillId="14" borderId="0" xfId="0" applyFont="1" applyFill="1" applyAlignment="1">
      <alignment horizontal="center" vertical="center"/>
    </xf>
    <xf numFmtId="170" fontId="159" fillId="9" borderId="0" xfId="5" applyNumberFormat="1" applyFont="1" applyFill="1" applyBorder="1" applyAlignment="1">
      <alignment horizontal="center"/>
    </xf>
    <xf numFmtId="170" fontId="159" fillId="9" borderId="19" xfId="5" applyNumberFormat="1" applyFont="1" applyFill="1" applyBorder="1" applyAlignment="1">
      <alignment horizontal="center"/>
    </xf>
    <xf numFmtId="170" fontId="9" fillId="9" borderId="0" xfId="5" applyNumberFormat="1" applyFont="1" applyFill="1" applyBorder="1" applyAlignment="1">
      <alignment horizontal="center"/>
    </xf>
    <xf numFmtId="170" fontId="9" fillId="9" borderId="19" xfId="5" applyNumberFormat="1" applyFont="1" applyFill="1" applyBorder="1" applyAlignment="1">
      <alignment horizontal="center"/>
    </xf>
    <xf numFmtId="0" fontId="33" fillId="7" borderId="0" xfId="0" applyFont="1" applyFill="1" applyAlignment="1">
      <alignment horizontal="center" vertical="center"/>
    </xf>
    <xf numFmtId="0" fontId="30" fillId="6" borderId="9" xfId="0" applyFont="1" applyFill="1" applyBorder="1" applyAlignment="1">
      <alignment horizontal="center" vertical="center"/>
    </xf>
    <xf numFmtId="0" fontId="31" fillId="0" borderId="128" xfId="0" applyFont="1" applyBorder="1" applyAlignment="1">
      <alignment horizontal="center" vertical="center"/>
    </xf>
    <xf numFmtId="0" fontId="31" fillId="0" borderId="129" xfId="0" applyFont="1" applyBorder="1" applyAlignment="1">
      <alignment horizontal="center" vertical="center"/>
    </xf>
    <xf numFmtId="0" fontId="30" fillId="6" borderId="34" xfId="0" applyFont="1" applyFill="1" applyBorder="1" applyAlignment="1">
      <alignment horizontal="center" vertical="center"/>
    </xf>
    <xf numFmtId="0" fontId="30" fillId="6" borderId="35" xfId="0" applyFont="1" applyFill="1" applyBorder="1" applyAlignment="1">
      <alignment horizontal="center" vertical="center"/>
    </xf>
    <xf numFmtId="0" fontId="30" fillId="13" borderId="117" xfId="0" applyFont="1" applyFill="1" applyBorder="1" applyAlignment="1">
      <alignment horizontal="center" vertical="center"/>
    </xf>
    <xf numFmtId="0" fontId="160" fillId="13" borderId="0" xfId="0" applyFont="1" applyFill="1" applyAlignment="1">
      <alignment horizontal="center" vertical="center"/>
    </xf>
    <xf numFmtId="0" fontId="31" fillId="0" borderId="4" xfId="0" applyFont="1" applyBorder="1" applyAlignment="1">
      <alignment horizontal="center" vertical="center"/>
    </xf>
    <xf numFmtId="0" fontId="31" fillId="0" borderId="8" xfId="0" applyFont="1" applyBorder="1" applyAlignment="1">
      <alignment horizontal="center" vertical="center"/>
    </xf>
    <xf numFmtId="9" fontId="31" fillId="0" borderId="2" xfId="0" applyNumberFormat="1" applyFont="1" applyBorder="1" applyAlignment="1">
      <alignment horizontal="center" vertical="center"/>
    </xf>
    <xf numFmtId="9" fontId="31" fillId="0" borderId="10" xfId="0" applyNumberFormat="1" applyFont="1" applyBorder="1" applyAlignment="1">
      <alignment horizontal="center" vertical="center"/>
    </xf>
    <xf numFmtId="0" fontId="30" fillId="6" borderId="8" xfId="0" applyFont="1" applyFill="1" applyBorder="1" applyAlignment="1">
      <alignment horizontal="center" vertical="center"/>
    </xf>
    <xf numFmtId="0" fontId="30" fillId="6" borderId="127" xfId="0" applyFont="1" applyFill="1" applyBorder="1" applyAlignment="1">
      <alignment horizontal="center" vertical="center"/>
    </xf>
    <xf numFmtId="0" fontId="30" fillId="0" borderId="5" xfId="0" applyFont="1" applyBorder="1" applyAlignment="1">
      <alignment horizontal="center" vertical="center"/>
    </xf>
    <xf numFmtId="0" fontId="31" fillId="0" borderId="117" xfId="0" applyFont="1" applyBorder="1" applyAlignment="1">
      <alignment horizontal="center" vertical="center"/>
    </xf>
    <xf numFmtId="0" fontId="6" fillId="7" borderId="1" xfId="0" applyFont="1" applyFill="1" applyBorder="1" applyAlignment="1">
      <alignment horizontal="center"/>
    </xf>
    <xf numFmtId="0" fontId="6" fillId="7" borderId="0" xfId="0" applyFont="1" applyFill="1" applyAlignment="1">
      <alignment horizontal="center"/>
    </xf>
    <xf numFmtId="0" fontId="78" fillId="26" borderId="18" xfId="0" applyFont="1" applyFill="1" applyBorder="1" applyAlignment="1">
      <alignment horizontal="center" vertical="center"/>
    </xf>
    <xf numFmtId="0" fontId="78" fillId="26" borderId="0" xfId="0" applyFont="1" applyFill="1" applyAlignment="1">
      <alignment horizontal="center" vertical="center"/>
    </xf>
    <xf numFmtId="0" fontId="87" fillId="7" borderId="0" xfId="0" applyFont="1" applyFill="1" applyAlignment="1">
      <alignment horizontal="center"/>
    </xf>
    <xf numFmtId="0" fontId="18" fillId="23" borderId="48" xfId="0" applyFont="1" applyFill="1" applyBorder="1" applyAlignment="1">
      <alignment horizontal="center" vertical="center" wrapText="1"/>
    </xf>
    <xf numFmtId="0" fontId="18" fillId="23" borderId="1" xfId="0" applyFont="1" applyFill="1" applyBorder="1" applyAlignment="1">
      <alignment horizontal="center" vertical="center" wrapText="1"/>
    </xf>
    <xf numFmtId="0" fontId="18" fillId="10" borderId="37" xfId="0" applyFont="1" applyFill="1" applyBorder="1" applyAlignment="1">
      <alignment horizontal="center" vertical="center" wrapText="1"/>
    </xf>
    <xf numFmtId="0" fontId="18" fillId="10" borderId="38" xfId="0" applyFont="1" applyFill="1" applyBorder="1" applyAlignment="1">
      <alignment horizontal="center" vertical="center" wrapText="1"/>
    </xf>
    <xf numFmtId="0" fontId="18" fillId="10" borderId="39" xfId="0" applyFont="1" applyFill="1" applyBorder="1" applyAlignment="1">
      <alignment horizontal="center" vertical="center" wrapText="1"/>
    </xf>
    <xf numFmtId="0" fontId="18" fillId="15" borderId="37" xfId="0" applyFont="1" applyFill="1" applyBorder="1" applyAlignment="1">
      <alignment horizontal="center" vertical="center" wrapText="1"/>
    </xf>
    <xf numFmtId="0" fontId="18" fillId="15" borderId="38" xfId="0" applyFont="1" applyFill="1" applyBorder="1" applyAlignment="1">
      <alignment horizontal="center" vertical="center" wrapText="1"/>
    </xf>
    <xf numFmtId="0" fontId="18" fillId="15" borderId="39" xfId="0" applyFont="1" applyFill="1" applyBorder="1" applyAlignment="1">
      <alignment horizontal="center" vertical="center" wrapText="1"/>
    </xf>
    <xf numFmtId="0" fontId="21" fillId="7" borderId="37" xfId="0" applyFont="1" applyFill="1" applyBorder="1" applyAlignment="1">
      <alignment horizontal="center" vertical="center" wrapText="1"/>
    </xf>
    <xf numFmtId="0" fontId="21" fillId="7" borderId="38" xfId="0" applyFont="1" applyFill="1" applyBorder="1" applyAlignment="1">
      <alignment horizontal="center" vertical="center" wrapText="1"/>
    </xf>
    <xf numFmtId="0" fontId="21" fillId="7" borderId="39" xfId="0" applyFont="1" applyFill="1" applyBorder="1" applyAlignment="1">
      <alignment horizontal="center" vertical="center" wrapText="1"/>
    </xf>
    <xf numFmtId="0" fontId="77" fillId="7" borderId="0" xfId="0" applyFont="1" applyFill="1" applyAlignment="1" applyProtection="1">
      <alignment horizontal="center" vertical="center"/>
      <protection locked="0"/>
    </xf>
    <xf numFmtId="0" fontId="80" fillId="7" borderId="0" xfId="0" applyFont="1" applyFill="1" applyAlignment="1" applyProtection="1">
      <alignment horizontal="center"/>
      <protection locked="0"/>
    </xf>
    <xf numFmtId="0" fontId="3" fillId="5" borderId="1" xfId="0" applyFont="1" applyFill="1" applyBorder="1" applyAlignment="1" applyProtection="1">
      <alignment horizontal="center"/>
      <protection locked="0"/>
    </xf>
    <xf numFmtId="175" fontId="3" fillId="5" borderId="1" xfId="0" applyNumberFormat="1" applyFont="1" applyFill="1" applyBorder="1" applyAlignment="1" applyProtection="1">
      <alignment horizontal="center"/>
      <protection locked="0"/>
    </xf>
    <xf numFmtId="0" fontId="81" fillId="7" borderId="18" xfId="0" applyFont="1" applyFill="1" applyBorder="1" applyAlignment="1" applyProtection="1">
      <alignment horizontal="center" vertical="center"/>
      <protection hidden="1"/>
    </xf>
    <xf numFmtId="0" fontId="81" fillId="7" borderId="0" xfId="0" applyFont="1" applyFill="1" applyAlignment="1" applyProtection="1">
      <alignment horizontal="center" vertical="center"/>
      <protection hidden="1"/>
    </xf>
    <xf numFmtId="0" fontId="5" fillId="7" borderId="25" xfId="0" applyFont="1" applyFill="1" applyBorder="1" applyAlignment="1" applyProtection="1">
      <alignment horizontal="center" vertical="center"/>
      <protection hidden="1"/>
    </xf>
    <xf numFmtId="0" fontId="5" fillId="7" borderId="26" xfId="0" applyFont="1" applyFill="1" applyBorder="1" applyAlignment="1" applyProtection="1">
      <alignment horizontal="center" vertical="center"/>
      <protection hidden="1"/>
    </xf>
    <xf numFmtId="0" fontId="5" fillId="7" borderId="27" xfId="0" applyFont="1" applyFill="1" applyBorder="1" applyAlignment="1" applyProtection="1">
      <alignment horizontal="center" vertical="center"/>
      <protection hidden="1"/>
    </xf>
    <xf numFmtId="0" fontId="24" fillId="13" borderId="18" xfId="0" applyFont="1" applyFill="1" applyBorder="1" applyAlignment="1" applyProtection="1">
      <alignment horizontal="left" vertical="center" wrapText="1" indent="1"/>
      <protection hidden="1"/>
    </xf>
    <xf numFmtId="0" fontId="24" fillId="13" borderId="0" xfId="0" applyFont="1" applyFill="1" applyAlignment="1" applyProtection="1">
      <alignment horizontal="left" vertical="center" wrapText="1" indent="1"/>
      <protection hidden="1"/>
    </xf>
    <xf numFmtId="0" fontId="24" fillId="13" borderId="19" xfId="0" applyFont="1" applyFill="1" applyBorder="1" applyAlignment="1" applyProtection="1">
      <alignment horizontal="left" vertical="center" wrapText="1" indent="1"/>
      <protection hidden="1"/>
    </xf>
    <xf numFmtId="0" fontId="24" fillId="6" borderId="18" xfId="0" applyFont="1" applyFill="1" applyBorder="1" applyAlignment="1" applyProtection="1">
      <alignment horizontal="left" vertical="center" wrapText="1" indent="1"/>
      <protection hidden="1"/>
    </xf>
    <xf numFmtId="0" fontId="24" fillId="6" borderId="0" xfId="0" applyFont="1" applyFill="1" applyAlignment="1" applyProtection="1">
      <alignment horizontal="left" vertical="center" wrapText="1" indent="1"/>
      <protection hidden="1"/>
    </xf>
    <xf numFmtId="0" fontId="24" fillId="6" borderId="19" xfId="0" applyFont="1" applyFill="1" applyBorder="1" applyAlignment="1" applyProtection="1">
      <alignment horizontal="left" vertical="center" wrapText="1" indent="1"/>
      <protection hidden="1"/>
    </xf>
    <xf numFmtId="177" fontId="6" fillId="7" borderId="0" xfId="0" applyNumberFormat="1" applyFont="1" applyFill="1" applyAlignment="1" applyProtection="1">
      <alignment horizontal="right" vertical="center" indent="2"/>
      <protection hidden="1"/>
    </xf>
    <xf numFmtId="177" fontId="6" fillId="7" borderId="19" xfId="0" applyNumberFormat="1" applyFont="1" applyFill="1" applyBorder="1" applyAlignment="1" applyProtection="1">
      <alignment horizontal="right" vertical="center" indent="2"/>
      <protection hidden="1"/>
    </xf>
    <xf numFmtId="177" fontId="0" fillId="5" borderId="0" xfId="0" applyNumberFormat="1" applyFill="1" applyAlignment="1" applyProtection="1">
      <alignment horizontal="right" vertical="center" indent="2"/>
      <protection hidden="1"/>
    </xf>
    <xf numFmtId="177" fontId="0" fillId="5" borderId="19" xfId="0" applyNumberFormat="1" applyFill="1" applyBorder="1" applyAlignment="1" applyProtection="1">
      <alignment horizontal="right" vertical="center" indent="2"/>
      <protection hidden="1"/>
    </xf>
    <xf numFmtId="0" fontId="23" fillId="11" borderId="18" xfId="0" applyFont="1" applyFill="1" applyBorder="1" applyAlignment="1" applyProtection="1">
      <alignment horizontal="center" vertical="center"/>
      <protection hidden="1"/>
    </xf>
    <xf numFmtId="0" fontId="23" fillId="11" borderId="0" xfId="0" applyFont="1" applyFill="1" applyAlignment="1" applyProtection="1">
      <alignment horizontal="center" vertical="center"/>
      <protection hidden="1"/>
    </xf>
    <xf numFmtId="179" fontId="4" fillId="13" borderId="0" xfId="0" applyNumberFormat="1" applyFont="1" applyFill="1" applyAlignment="1" applyProtection="1">
      <alignment horizontal="right" vertical="center" indent="2"/>
      <protection hidden="1"/>
    </xf>
    <xf numFmtId="179" fontId="4" fillId="13" borderId="19" xfId="0" applyNumberFormat="1" applyFont="1" applyFill="1" applyBorder="1" applyAlignment="1" applyProtection="1">
      <alignment horizontal="right" vertical="center" indent="2"/>
      <protection hidden="1"/>
    </xf>
    <xf numFmtId="177" fontId="65" fillId="5" borderId="0" xfId="0" applyNumberFormat="1" applyFont="1" applyFill="1" applyAlignment="1" applyProtection="1">
      <alignment horizontal="right" vertical="center" indent="2"/>
      <protection hidden="1"/>
    </xf>
    <xf numFmtId="177" fontId="65" fillId="5" borderId="19" xfId="0" applyNumberFormat="1" applyFont="1" applyFill="1" applyBorder="1" applyAlignment="1" applyProtection="1">
      <alignment horizontal="right" vertical="center" indent="2"/>
      <protection hidden="1"/>
    </xf>
    <xf numFmtId="177" fontId="3" fillId="5" borderId="0" xfId="0" applyNumberFormat="1" applyFont="1" applyFill="1" applyAlignment="1" applyProtection="1">
      <alignment horizontal="right" vertical="center" indent="2"/>
      <protection hidden="1"/>
    </xf>
    <xf numFmtId="177" fontId="3" fillId="5" borderId="19" xfId="0" applyNumberFormat="1" applyFont="1" applyFill="1" applyBorder="1" applyAlignment="1" applyProtection="1">
      <alignment horizontal="right" vertical="center" indent="2"/>
      <protection hidden="1"/>
    </xf>
    <xf numFmtId="177" fontId="6" fillId="5" borderId="0" xfId="0" applyNumberFormat="1" applyFont="1" applyFill="1" applyAlignment="1" applyProtection="1">
      <alignment horizontal="right" vertical="center" indent="2"/>
      <protection hidden="1"/>
    </xf>
    <xf numFmtId="177" fontId="6" fillId="5" borderId="19" xfId="0" applyNumberFormat="1" applyFont="1" applyFill="1" applyBorder="1" applyAlignment="1" applyProtection="1">
      <alignment horizontal="right" vertical="center" indent="2"/>
      <protection hidden="1"/>
    </xf>
    <xf numFmtId="0" fontId="23" fillId="5" borderId="18" xfId="0" applyFont="1" applyFill="1" applyBorder="1" applyAlignment="1" applyProtection="1">
      <alignment horizontal="left" vertical="center" wrapText="1" indent="1"/>
      <protection hidden="1"/>
    </xf>
    <xf numFmtId="0" fontId="23" fillId="5" borderId="0" xfId="0" applyFont="1" applyFill="1" applyAlignment="1" applyProtection="1">
      <alignment horizontal="left" vertical="center" wrapText="1" indent="1"/>
      <protection hidden="1"/>
    </xf>
    <xf numFmtId="177" fontId="0" fillId="5" borderId="0" xfId="0" applyNumberFormat="1" applyFill="1" applyAlignment="1" applyProtection="1">
      <alignment horizontal="right" vertical="center" indent="2"/>
      <protection locked="0"/>
    </xf>
    <xf numFmtId="177" fontId="0" fillId="5" borderId="19" xfId="0" applyNumberFormat="1" applyFill="1" applyBorder="1" applyAlignment="1" applyProtection="1">
      <alignment horizontal="right" vertical="center" indent="2"/>
      <protection locked="0"/>
    </xf>
    <xf numFmtId="177" fontId="5" fillId="5" borderId="3" xfId="0" applyNumberFormat="1" applyFont="1" applyFill="1" applyBorder="1" applyAlignment="1" applyProtection="1">
      <alignment horizontal="right" vertical="center" indent="2"/>
      <protection hidden="1"/>
    </xf>
    <xf numFmtId="177" fontId="5" fillId="5" borderId="21" xfId="0" applyNumberFormat="1" applyFont="1" applyFill="1" applyBorder="1" applyAlignment="1" applyProtection="1">
      <alignment horizontal="right" vertical="center" indent="2"/>
      <protection hidden="1"/>
    </xf>
    <xf numFmtId="0" fontId="25" fillId="0" borderId="0" xfId="0" applyFont="1" applyAlignment="1">
      <alignment horizontal="left" vertical="center" wrapText="1"/>
    </xf>
    <xf numFmtId="0" fontId="26" fillId="0" borderId="0" xfId="0" applyFont="1" applyAlignment="1">
      <alignment horizontal="left" vertical="center" wrapText="1"/>
    </xf>
    <xf numFmtId="0" fontId="8" fillId="7" borderId="0" xfId="0" applyFont="1" applyFill="1" applyAlignment="1" applyProtection="1">
      <alignment horizontal="center"/>
      <protection locked="0"/>
    </xf>
    <xf numFmtId="0" fontId="59" fillId="12" borderId="0" xfId="0" applyFont="1" applyFill="1" applyAlignment="1">
      <alignment horizontal="left" wrapText="1"/>
    </xf>
    <xf numFmtId="0" fontId="84" fillId="44" borderId="0" xfId="0" applyFont="1" applyFill="1" applyAlignment="1">
      <alignment horizontal="center"/>
    </xf>
    <xf numFmtId="0" fontId="89" fillId="28" borderId="37" xfId="0" applyFont="1" applyFill="1" applyBorder="1" applyAlignment="1">
      <alignment horizontal="center" vertical="center" wrapText="1" readingOrder="1"/>
    </xf>
    <xf numFmtId="0" fontId="89" fillId="28" borderId="39" xfId="0" applyFont="1" applyFill="1" applyBorder="1" applyAlignment="1">
      <alignment horizontal="center" vertical="center" wrapText="1" readingOrder="1"/>
    </xf>
    <xf numFmtId="0" fontId="89" fillId="28" borderId="13" xfId="0" applyFont="1" applyFill="1" applyBorder="1" applyAlignment="1">
      <alignment horizontal="center" vertical="center" wrapText="1" readingOrder="1"/>
    </xf>
    <xf numFmtId="0" fontId="89" fillId="28" borderId="15" xfId="0" applyFont="1" applyFill="1" applyBorder="1" applyAlignment="1">
      <alignment horizontal="center" vertical="center" wrapText="1" readingOrder="1"/>
    </xf>
    <xf numFmtId="0" fontId="90" fillId="10" borderId="0" xfId="0" applyFont="1" applyFill="1" applyAlignment="1">
      <alignment horizontal="center"/>
    </xf>
    <xf numFmtId="0" fontId="9" fillId="43" borderId="1" xfId="0" applyFont="1" applyFill="1" applyBorder="1" applyAlignment="1">
      <alignment horizontal="center" vertical="center" wrapText="1" readingOrder="1"/>
    </xf>
    <xf numFmtId="0" fontId="88" fillId="28" borderId="1" xfId="0" applyFont="1" applyFill="1" applyBorder="1" applyAlignment="1">
      <alignment horizontal="center" vertical="center" wrapText="1" readingOrder="1"/>
    </xf>
    <xf numFmtId="0" fontId="89" fillId="28" borderId="1" xfId="0" applyFont="1" applyFill="1" applyBorder="1" applyAlignment="1">
      <alignment horizontal="left" vertical="center" wrapText="1" indent="1" readingOrder="1"/>
    </xf>
    <xf numFmtId="0" fontId="89" fillId="28" borderId="1" xfId="0" applyFont="1" applyFill="1" applyBorder="1" applyAlignment="1">
      <alignment horizontal="left" vertical="center" wrapText="1" indent="3" readingOrder="1"/>
    </xf>
    <xf numFmtId="0" fontId="88" fillId="28" borderId="48" xfId="0" applyFont="1" applyFill="1" applyBorder="1" applyAlignment="1">
      <alignment horizontal="center" vertical="center" wrapText="1" readingOrder="1"/>
    </xf>
    <xf numFmtId="0" fontId="89" fillId="28" borderId="1" xfId="0" applyFont="1" applyFill="1" applyBorder="1" applyAlignment="1">
      <alignment horizontal="center" vertical="center" wrapText="1" readingOrder="1"/>
    </xf>
    <xf numFmtId="0" fontId="89" fillId="28" borderId="38" xfId="0" applyFont="1" applyFill="1" applyBorder="1" applyAlignment="1">
      <alignment horizontal="center" vertical="center" wrapText="1" readingOrder="1"/>
    </xf>
    <xf numFmtId="0" fontId="92" fillId="46" borderId="79" xfId="0" applyFont="1" applyFill="1" applyBorder="1" applyAlignment="1">
      <alignment horizontal="center" vertical="center" wrapText="1"/>
    </xf>
    <xf numFmtId="0" fontId="92" fillId="46" borderId="72" xfId="0" applyFont="1" applyFill="1" applyBorder="1" applyAlignment="1">
      <alignment horizontal="center" vertical="center" wrapText="1"/>
    </xf>
    <xf numFmtId="0" fontId="92" fillId="46" borderId="78" xfId="0" applyFont="1" applyFill="1" applyBorder="1" applyAlignment="1">
      <alignment horizontal="center" vertical="center" wrapText="1"/>
    </xf>
    <xf numFmtId="0" fontId="92" fillId="49" borderId="0" xfId="0" applyFont="1" applyFill="1" applyAlignment="1">
      <alignment vertical="center" wrapText="1"/>
    </xf>
    <xf numFmtId="0" fontId="92" fillId="49" borderId="90" xfId="0" applyFont="1" applyFill="1" applyBorder="1" applyAlignment="1">
      <alignment vertical="center" wrapText="1"/>
    </xf>
    <xf numFmtId="0" fontId="92" fillId="49" borderId="91" xfId="0" applyFont="1" applyFill="1" applyBorder="1" applyAlignment="1">
      <alignment vertical="center" wrapText="1"/>
    </xf>
    <xf numFmtId="0" fontId="92" fillId="49" borderId="92" xfId="0" applyFont="1" applyFill="1" applyBorder="1" applyAlignment="1">
      <alignment vertical="center" wrapText="1"/>
    </xf>
    <xf numFmtId="0" fontId="83" fillId="43" borderId="0" xfId="0" applyFont="1" applyFill="1" applyAlignment="1">
      <alignment horizontal="center"/>
    </xf>
    <xf numFmtId="0" fontId="92" fillId="48" borderId="79" xfId="0" applyFont="1" applyFill="1" applyBorder="1" applyAlignment="1">
      <alignment horizontal="center" vertical="center" wrapText="1"/>
    </xf>
    <xf numFmtId="0" fontId="92" fillId="48" borderId="72" xfId="0" applyFont="1" applyFill="1" applyBorder="1" applyAlignment="1">
      <alignment horizontal="center" vertical="center" wrapText="1"/>
    </xf>
    <xf numFmtId="0" fontId="92" fillId="48" borderId="78" xfId="0" applyFont="1" applyFill="1" applyBorder="1" applyAlignment="1">
      <alignment horizontal="center" vertical="center" wrapText="1"/>
    </xf>
    <xf numFmtId="0" fontId="92" fillId="46" borderId="82" xfId="0" applyFont="1" applyFill="1" applyBorder="1" applyAlignment="1">
      <alignment horizontal="center" vertical="center" wrapText="1"/>
    </xf>
    <xf numFmtId="0" fontId="92" fillId="46" borderId="83" xfId="0" applyFont="1" applyFill="1" applyBorder="1" applyAlignment="1">
      <alignment horizontal="center" vertical="center" wrapText="1"/>
    </xf>
    <xf numFmtId="0" fontId="92" fillId="46" borderId="6" xfId="0" applyFont="1" applyFill="1" applyBorder="1" applyAlignment="1">
      <alignment horizontal="center" vertical="center" wrapText="1"/>
    </xf>
    <xf numFmtId="0" fontId="92" fillId="46" borderId="84" xfId="0" applyFont="1" applyFill="1" applyBorder="1" applyAlignment="1">
      <alignment horizontal="center" vertical="center" wrapText="1"/>
    </xf>
    <xf numFmtId="0" fontId="92" fillId="46" borderId="85" xfId="0" applyFont="1" applyFill="1" applyBorder="1" applyAlignment="1">
      <alignment horizontal="center" vertical="center" wrapText="1"/>
    </xf>
    <xf numFmtId="0" fontId="92" fillId="46" borderId="86" xfId="0" applyFont="1" applyFill="1" applyBorder="1" applyAlignment="1">
      <alignment horizontal="center" vertical="center" wrapText="1"/>
    </xf>
    <xf numFmtId="0" fontId="92" fillId="46" borderId="8" xfId="0" applyFont="1" applyFill="1" applyBorder="1" applyAlignment="1">
      <alignment horizontal="center" vertical="center" wrapText="1"/>
    </xf>
    <xf numFmtId="0" fontId="92" fillId="46" borderId="87" xfId="0" applyFont="1" applyFill="1" applyBorder="1" applyAlignment="1">
      <alignment horizontal="center" vertical="center" wrapText="1"/>
    </xf>
    <xf numFmtId="0" fontId="92" fillId="46" borderId="81" xfId="0" applyFont="1" applyFill="1" applyBorder="1" applyAlignment="1">
      <alignment horizontal="center" vertical="center" wrapText="1"/>
    </xf>
    <xf numFmtId="0" fontId="92" fillId="46" borderId="74" xfId="0" applyFont="1" applyFill="1" applyBorder="1" applyAlignment="1">
      <alignment horizontal="center" vertical="center" wrapText="1"/>
    </xf>
    <xf numFmtId="0" fontId="92" fillId="46" borderId="80" xfId="0" applyFont="1" applyFill="1" applyBorder="1" applyAlignment="1">
      <alignment horizontal="center" vertical="center" wrapText="1"/>
    </xf>
    <xf numFmtId="0" fontId="91" fillId="45" borderId="1" xfId="0" applyFont="1" applyFill="1" applyBorder="1" applyAlignment="1">
      <alignment horizontal="center" vertical="center" wrapText="1"/>
    </xf>
    <xf numFmtId="0" fontId="83" fillId="7" borderId="1" xfId="0" applyFont="1" applyFill="1" applyBorder="1" applyAlignment="1">
      <alignment horizontal="left"/>
    </xf>
    <xf numFmtId="0" fontId="79" fillId="7" borderId="0" xfId="0" applyFont="1" applyFill="1" applyAlignment="1">
      <alignment horizontal="center"/>
    </xf>
    <xf numFmtId="0" fontId="93" fillId="7" borderId="4" xfId="0" applyFont="1" applyFill="1" applyBorder="1" applyAlignment="1">
      <alignment horizontal="center" vertical="center" wrapText="1"/>
    </xf>
    <xf numFmtId="0" fontId="93" fillId="7" borderId="5" xfId="0" applyFont="1" applyFill="1" applyBorder="1" applyAlignment="1">
      <alignment horizontal="center" vertical="center" wrapText="1"/>
    </xf>
    <xf numFmtId="0" fontId="93" fillId="7" borderId="2" xfId="0" applyFont="1" applyFill="1" applyBorder="1" applyAlignment="1">
      <alignment horizontal="center" vertical="center" wrapText="1"/>
    </xf>
    <xf numFmtId="0" fontId="93" fillId="7" borderId="8" xfId="0" applyFont="1" applyFill="1" applyBorder="1" applyAlignment="1">
      <alignment horizontal="center" vertical="center" wrapText="1"/>
    </xf>
    <xf numFmtId="0" fontId="93" fillId="7" borderId="9" xfId="0" applyFont="1" applyFill="1" applyBorder="1" applyAlignment="1">
      <alignment horizontal="center" vertical="center" wrapText="1"/>
    </xf>
    <xf numFmtId="0" fontId="93" fillId="7" borderId="10" xfId="0" applyFont="1" applyFill="1" applyBorder="1" applyAlignment="1">
      <alignment horizontal="center" vertical="center" wrapText="1"/>
    </xf>
    <xf numFmtId="0" fontId="77" fillId="26" borderId="1" xfId="0" applyFont="1" applyFill="1" applyBorder="1" applyAlignment="1">
      <alignment horizontal="center" vertical="center"/>
    </xf>
    <xf numFmtId="0" fontId="49" fillId="26" borderId="18" xfId="0" applyFont="1" applyFill="1" applyBorder="1" applyAlignment="1">
      <alignment horizontal="center" vertical="center"/>
    </xf>
    <xf numFmtId="0" fontId="49" fillId="26" borderId="0" xfId="0" applyFont="1" applyFill="1" applyAlignment="1">
      <alignment horizontal="center" vertical="center"/>
    </xf>
    <xf numFmtId="0" fontId="50" fillId="10" borderId="18" xfId="0" applyFont="1" applyFill="1" applyBorder="1" applyAlignment="1">
      <alignment horizontal="center" vertical="center"/>
    </xf>
    <xf numFmtId="0" fontId="50" fillId="10" borderId="0" xfId="0" applyFont="1" applyFill="1" applyAlignment="1">
      <alignment horizontal="center" vertical="center"/>
    </xf>
    <xf numFmtId="3" fontId="94" fillId="7" borderId="0" xfId="0" applyNumberFormat="1" applyFont="1" applyFill="1" applyAlignment="1">
      <alignment horizontal="center" vertical="center"/>
    </xf>
    <xf numFmtId="0" fontId="40" fillId="7" borderId="0" xfId="0" applyFont="1" applyFill="1" applyAlignment="1">
      <alignment horizontal="center" vertical="center"/>
    </xf>
    <xf numFmtId="0" fontId="38" fillId="13" borderId="18" xfId="0" applyFont="1" applyFill="1" applyBorder="1" applyAlignment="1">
      <alignment horizontal="center" vertical="center"/>
    </xf>
    <xf numFmtId="0" fontId="38" fillId="13" borderId="0" xfId="0" applyFont="1" applyFill="1" applyAlignment="1">
      <alignment horizontal="center" vertical="center"/>
    </xf>
    <xf numFmtId="0" fontId="39" fillId="5" borderId="0" xfId="0" applyFont="1" applyFill="1" applyAlignment="1">
      <alignment horizontal="center"/>
    </xf>
    <xf numFmtId="0" fontId="95" fillId="7" borderId="18" xfId="0" applyFont="1" applyFill="1" applyBorder="1" applyAlignment="1">
      <alignment horizontal="center" vertical="center"/>
    </xf>
    <xf numFmtId="0" fontId="95" fillId="7" borderId="0" xfId="0" applyFont="1" applyFill="1" applyAlignment="1">
      <alignment horizontal="center" vertical="center"/>
    </xf>
    <xf numFmtId="0" fontId="99" fillId="19" borderId="0" xfId="0" applyFont="1" applyFill="1" applyAlignment="1">
      <alignment horizontal="center"/>
    </xf>
    <xf numFmtId="0" fontId="39" fillId="13" borderId="1" xfId="0" applyFont="1" applyFill="1" applyBorder="1" applyAlignment="1">
      <alignment horizontal="center"/>
    </xf>
    <xf numFmtId="184" fontId="40" fillId="7" borderId="0" xfId="0" applyNumberFormat="1" applyFont="1" applyFill="1" applyAlignment="1">
      <alignment horizontal="center" vertical="center"/>
    </xf>
    <xf numFmtId="184" fontId="100" fillId="13" borderId="1" xfId="0" applyNumberFormat="1" applyFont="1" applyFill="1" applyBorder="1" applyAlignment="1">
      <alignment horizontal="center" vertical="center"/>
    </xf>
    <xf numFmtId="0" fontId="39" fillId="28" borderId="13" xfId="0" applyFont="1" applyFill="1" applyBorder="1" applyAlignment="1">
      <alignment horizontal="center" vertical="center"/>
    </xf>
    <xf numFmtId="0" fontId="39" fillId="28" borderId="14" xfId="0" applyFont="1" applyFill="1" applyBorder="1" applyAlignment="1">
      <alignment horizontal="center" vertical="center"/>
    </xf>
    <xf numFmtId="0" fontId="39" fillId="28" borderId="5" xfId="0" applyFont="1" applyFill="1" applyBorder="1" applyAlignment="1">
      <alignment horizontal="center" vertical="center"/>
    </xf>
    <xf numFmtId="0" fontId="39" fillId="28" borderId="15" xfId="0" applyFont="1" applyFill="1" applyBorder="1" applyAlignment="1">
      <alignment horizontal="center" vertical="center"/>
    </xf>
    <xf numFmtId="0" fontId="39" fillId="5" borderId="45" xfId="0" applyFont="1" applyFill="1" applyBorder="1" applyAlignment="1">
      <alignment horizontal="center" vertical="center"/>
    </xf>
    <xf numFmtId="0" fontId="39" fillId="5" borderId="46"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95" fillId="7" borderId="6" xfId="0" applyFont="1" applyFill="1" applyBorder="1" applyAlignment="1">
      <alignment horizontal="center" vertical="center"/>
    </xf>
    <xf numFmtId="0" fontId="118" fillId="52" borderId="14" xfId="0" applyFont="1" applyFill="1" applyBorder="1" applyAlignment="1"/>
    <xf numFmtId="0" fontId="118" fillId="52" borderId="105" xfId="0" applyFont="1" applyFill="1" applyBorder="1" applyAlignment="1"/>
    <xf numFmtId="0" fontId="143" fillId="42" borderId="37" xfId="0" applyFont="1" applyFill="1" applyBorder="1" applyAlignment="1"/>
    <xf numFmtId="0" fontId="143" fillId="42" borderId="38" xfId="0" applyFont="1" applyFill="1" applyBorder="1" applyAlignment="1"/>
  </cellXfs>
  <cellStyles count="11">
    <cellStyle name="40% - Énfasis4 2" xfId="9" xr:uid="{277CE64C-1338-4CF7-BBB9-B0D2B0EE94AC}"/>
    <cellStyle name="Comma" xfId="4" builtinId="3"/>
    <cellStyle name="Comma [0]" xfId="1" builtinId="6"/>
    <cellStyle name="Currency" xfId="5" builtinId="4"/>
    <cellStyle name="Currency [0]" xfId="2" builtinId="7"/>
    <cellStyle name="Énfasis3 2" xfId="10" xr:uid="{376B9119-FF9D-4D9D-8D83-2ACC6E85CD1A}"/>
    <cellStyle name="Hyperlink" xfId="6" builtinId="8"/>
    <cellStyle name="Millares 2" xfId="7" xr:uid="{00000000-0005-0000-0000-000003000000}"/>
    <cellStyle name="Normal" xfId="0" builtinId="0"/>
    <cellStyle name="Normal 3 2" xfId="8" xr:uid="{77415716-4972-46D1-BC90-5A6EB4EB31AC}"/>
    <cellStyle name="Percent" xfId="3" builtinId="5"/>
  </cellStyles>
  <dxfs count="0"/>
  <tableStyles count="0" defaultTableStyle="TableStyleMedium2" defaultPivotStyle="PivotStyleLight16"/>
  <colors>
    <mruColors>
      <color rgb="FF5B9BD5"/>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2.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iagrams/colors1.xml><?xml version="1.0" encoding="utf-8"?>
<dgm:colorsDef xmlns:dgm="http://schemas.openxmlformats.org/drawingml/2006/diagram" xmlns:a="http://schemas.openxmlformats.org/drawingml/2006/main" uniqueId="urn:microsoft.com/office/officeart/2005/8/colors/accent1_1">
  <dgm:title val=""/>
  <dgm:desc val=""/>
  <dgm:catLst>
    <dgm:cat type="accent1" pri="11100"/>
  </dgm:catLst>
  <dgm:styleLbl name="node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1">
        <a:shade val="80000"/>
      </a:schemeClr>
    </dgm:linClrLst>
    <dgm:effectClrLst/>
    <dgm:txLinClrLst/>
    <dgm:txFillClrLst/>
    <dgm:txEffectClrLst/>
  </dgm:styleLbl>
  <dgm:styleLbl name="node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f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align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b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dgm:txEffectClrLst/>
  </dgm:styleLbl>
  <dgm:styleLbl name="parChTrans2D2">
    <dgm:fillClrLst meth="repeat">
      <a:schemeClr val="accent1"/>
    </dgm:fillClrLst>
    <dgm:linClrLst meth="repeat">
      <a:schemeClr val="accent1"/>
    </dgm:linClrLst>
    <dgm:effectClrLst/>
    <dgm:txLinClrLst/>
    <dgm:txFillClrLst/>
    <dgm:txEffectClrLst/>
  </dgm:styleLbl>
  <dgm:styleLbl name="parChTrans2D3">
    <dgm:fillClrLst meth="repeat">
      <a:schemeClr val="accent1"/>
    </dgm:fillClrLst>
    <dgm:linClrLst meth="repeat">
      <a:schemeClr val="accent1"/>
    </dgm:linClrLst>
    <dgm:effectClrLst/>
    <dgm:txLinClrLst/>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con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align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trAlignAcc1">
    <dgm:fillClrLst meth="repeat">
      <a:schemeClr val="accent1">
        <a:alpha val="40000"/>
        <a:tint val="40000"/>
      </a:schemeClr>
    </dgm:fillClrLst>
    <dgm:linClrLst meth="repeat">
      <a:schemeClr val="accent1"/>
    </dgm:linClrLst>
    <dgm:effectClrLst/>
    <dgm:txLinClrLst/>
    <dgm:txFillClrLst meth="repeat">
      <a:schemeClr val="dk1"/>
    </dgm:txFillClrLst>
    <dgm:txEffectClrLst/>
  </dgm:styleLbl>
  <dgm:styleLbl name="b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fgAcc0">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2">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3">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4">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72B89A1-8B24-4958-A26B-B9A8257148ED}" type="doc">
      <dgm:prSet loTypeId="urn:microsoft.com/office/officeart/2005/8/layout/process2" loCatId="process" qsTypeId="urn:microsoft.com/office/officeart/2005/8/quickstyle/simple1" qsCatId="simple" csTypeId="urn:microsoft.com/office/officeart/2005/8/colors/accent1_1" csCatId="accent1" phldr="1"/>
      <dgm:spPr/>
      <dgm:t>
        <a:bodyPr/>
        <a:lstStyle/>
        <a:p>
          <a:endParaRPr lang="es-ES"/>
        </a:p>
      </dgm:t>
    </dgm:pt>
    <dgm:pt modelId="{1935CA49-4FA2-4C65-870A-B3FF45726384}">
      <dgm:prSet phldrT="[Texto]" custT="1"/>
      <dgm:spPr>
        <a:ln>
          <a:solidFill>
            <a:srgbClr val="92D050"/>
          </a:solidFill>
        </a:ln>
      </dgm:spPr>
      <dgm:t>
        <a:bodyPr/>
        <a:lstStyle/>
        <a:p>
          <a:pPr algn="ctr"/>
          <a:r>
            <a:rPr lang="es-ES" sz="1200" b="1" dirty="0"/>
            <a:t>Resultados del estudio de mercado</a:t>
          </a:r>
        </a:p>
      </dgm:t>
    </dgm:pt>
    <dgm:pt modelId="{6A3EDCCF-71B1-478A-8A46-5E7D51779041}" type="parTrans" cxnId="{13E9D3AD-A646-4B27-BD3B-8E5F33370052}">
      <dgm:prSet/>
      <dgm:spPr/>
      <dgm:t>
        <a:bodyPr/>
        <a:lstStyle/>
        <a:p>
          <a:pPr algn="ctr"/>
          <a:endParaRPr lang="es-ES" sz="1400" b="1"/>
        </a:p>
      </dgm:t>
    </dgm:pt>
    <dgm:pt modelId="{13BF2FD1-4775-40EF-AB22-4A0B10D58800}" type="sibTrans" cxnId="{13E9D3AD-A646-4B27-BD3B-8E5F33370052}">
      <dgm:prSet/>
      <dgm:spPr/>
      <dgm:t>
        <a:bodyPr/>
        <a:lstStyle/>
        <a:p>
          <a:pPr algn="ctr"/>
          <a:endParaRPr lang="es-ES" sz="1400" b="1"/>
        </a:p>
      </dgm:t>
    </dgm:pt>
    <dgm:pt modelId="{F006A217-F7D7-47DE-92D7-E48BBBEE90D9}">
      <dgm:prSet custT="1"/>
      <dgm:spPr/>
      <dgm:t>
        <a:bodyPr/>
        <a:lstStyle/>
        <a:p>
          <a:pPr algn="ctr"/>
          <a:r>
            <a:rPr lang="es-ES" sz="1200" b="1"/>
            <a:t>Resultados del estudio técnico </a:t>
          </a:r>
          <a:endParaRPr lang="es-ES" sz="1200" b="1" dirty="0"/>
        </a:p>
      </dgm:t>
    </dgm:pt>
    <dgm:pt modelId="{A0336F21-72A0-4C41-A422-83BC7A2D94C5}" type="parTrans" cxnId="{A341C9B0-F8C8-40C4-8645-06405B8A76FC}">
      <dgm:prSet/>
      <dgm:spPr/>
      <dgm:t>
        <a:bodyPr/>
        <a:lstStyle/>
        <a:p>
          <a:pPr algn="ctr"/>
          <a:endParaRPr lang="es-ES" sz="1400" b="1"/>
        </a:p>
      </dgm:t>
    </dgm:pt>
    <dgm:pt modelId="{1E277731-A9ED-46C6-AA1E-9A1E37E47B28}" type="sibTrans" cxnId="{A341C9B0-F8C8-40C4-8645-06405B8A76FC}">
      <dgm:prSet/>
      <dgm:spPr/>
      <dgm:t>
        <a:bodyPr/>
        <a:lstStyle/>
        <a:p>
          <a:pPr algn="ctr"/>
          <a:endParaRPr lang="es-ES" sz="1400" b="1"/>
        </a:p>
      </dgm:t>
    </dgm:pt>
    <dgm:pt modelId="{EAEC6F4B-2173-4716-886F-DFB443154AFA}">
      <dgm:prSet custT="1"/>
      <dgm:spPr>
        <a:ln>
          <a:solidFill>
            <a:schemeClr val="accent4">
              <a:lumMod val="60000"/>
              <a:lumOff val="40000"/>
            </a:schemeClr>
          </a:solidFill>
        </a:ln>
      </dgm:spPr>
      <dgm:t>
        <a:bodyPr/>
        <a:lstStyle/>
        <a:p>
          <a:pPr algn="ctr"/>
          <a:r>
            <a:rPr lang="es-ES" sz="1200" b="1"/>
            <a:t>Resultados del estudio ambiental </a:t>
          </a:r>
          <a:endParaRPr lang="es-ES" sz="1200" b="1" dirty="0"/>
        </a:p>
      </dgm:t>
    </dgm:pt>
    <dgm:pt modelId="{DCC9DB7A-952D-4BFA-8477-E30D6DCC7C2D}" type="parTrans" cxnId="{D4E45B8F-7FE4-4477-A027-A1B49E667F6B}">
      <dgm:prSet/>
      <dgm:spPr/>
      <dgm:t>
        <a:bodyPr/>
        <a:lstStyle/>
        <a:p>
          <a:pPr algn="ctr"/>
          <a:endParaRPr lang="es-ES" sz="1400" b="1"/>
        </a:p>
      </dgm:t>
    </dgm:pt>
    <dgm:pt modelId="{E001501F-C58D-4522-A0B2-69B4001085A5}" type="sibTrans" cxnId="{D4E45B8F-7FE4-4477-A027-A1B49E667F6B}">
      <dgm:prSet/>
      <dgm:spPr/>
      <dgm:t>
        <a:bodyPr/>
        <a:lstStyle/>
        <a:p>
          <a:pPr algn="ctr"/>
          <a:endParaRPr lang="es-ES" sz="1400" b="1"/>
        </a:p>
      </dgm:t>
    </dgm:pt>
    <dgm:pt modelId="{CE9754ED-8AE3-4DA3-85A3-DF1647BC5476}">
      <dgm:prSet custT="1"/>
      <dgm:spPr>
        <a:ln>
          <a:solidFill>
            <a:srgbClr val="FFFF00"/>
          </a:solidFill>
        </a:ln>
      </dgm:spPr>
      <dgm:t>
        <a:bodyPr/>
        <a:lstStyle/>
        <a:p>
          <a:pPr algn="ctr"/>
          <a:r>
            <a:rPr lang="es-ES" sz="1200" b="1" dirty="0"/>
            <a:t>Resultados del estudio  Organizacional</a:t>
          </a:r>
        </a:p>
      </dgm:t>
    </dgm:pt>
    <dgm:pt modelId="{B5BE637E-55CF-43B3-91EE-E56226EFAEEA}" type="parTrans" cxnId="{95F76A86-7E22-4E1C-976F-8770395E29F2}">
      <dgm:prSet/>
      <dgm:spPr/>
      <dgm:t>
        <a:bodyPr/>
        <a:lstStyle/>
        <a:p>
          <a:pPr algn="ctr"/>
          <a:endParaRPr lang="es-ES" sz="1400" b="1"/>
        </a:p>
      </dgm:t>
    </dgm:pt>
    <dgm:pt modelId="{565670E1-6725-4820-A507-A2ED04E7BD1B}" type="sibTrans" cxnId="{95F76A86-7E22-4E1C-976F-8770395E29F2}">
      <dgm:prSet/>
      <dgm:spPr/>
      <dgm:t>
        <a:bodyPr/>
        <a:lstStyle/>
        <a:p>
          <a:pPr algn="ctr"/>
          <a:endParaRPr lang="es-ES" sz="1400" b="1"/>
        </a:p>
      </dgm:t>
    </dgm:pt>
    <dgm:pt modelId="{0FAC5463-6FC1-45B5-8AE3-C4C03F3351C9}">
      <dgm:prSet custT="1"/>
      <dgm:spPr>
        <a:ln>
          <a:solidFill>
            <a:schemeClr val="accent2"/>
          </a:solidFill>
        </a:ln>
      </dgm:spPr>
      <dgm:t>
        <a:bodyPr/>
        <a:lstStyle/>
        <a:p>
          <a:pPr algn="ctr"/>
          <a:r>
            <a:rPr lang="es-ES" sz="1200" b="1" dirty="0"/>
            <a:t>Resultados del estudio  Legal</a:t>
          </a:r>
        </a:p>
      </dgm:t>
    </dgm:pt>
    <dgm:pt modelId="{B83F1561-8533-4288-A969-69FF1D64F4BE}" type="parTrans" cxnId="{2DAD0CBB-3540-4F2D-8073-AC3B29FDF1E4}">
      <dgm:prSet/>
      <dgm:spPr/>
      <dgm:t>
        <a:bodyPr/>
        <a:lstStyle/>
        <a:p>
          <a:pPr algn="ctr"/>
          <a:endParaRPr lang="es-ES" sz="1400" b="1"/>
        </a:p>
      </dgm:t>
    </dgm:pt>
    <dgm:pt modelId="{40B1A68B-29FD-48A2-B862-6415EF1AD113}" type="sibTrans" cxnId="{2DAD0CBB-3540-4F2D-8073-AC3B29FDF1E4}">
      <dgm:prSet/>
      <dgm:spPr/>
      <dgm:t>
        <a:bodyPr/>
        <a:lstStyle/>
        <a:p>
          <a:pPr algn="ctr"/>
          <a:endParaRPr lang="es-ES" sz="1400" b="1"/>
        </a:p>
      </dgm:t>
    </dgm:pt>
    <dgm:pt modelId="{3AB035EE-A0DE-4DE4-A9DD-44A53D395974}" type="pres">
      <dgm:prSet presAssocID="{472B89A1-8B24-4958-A26B-B9A8257148ED}" presName="linearFlow" presStyleCnt="0">
        <dgm:presLayoutVars>
          <dgm:resizeHandles val="exact"/>
        </dgm:presLayoutVars>
      </dgm:prSet>
      <dgm:spPr/>
    </dgm:pt>
    <dgm:pt modelId="{752425F9-96C9-4BD1-A213-260801180381}" type="pres">
      <dgm:prSet presAssocID="{1935CA49-4FA2-4C65-870A-B3FF45726384}" presName="node" presStyleLbl="node1" presStyleIdx="0" presStyleCnt="5" custScaleY="113935">
        <dgm:presLayoutVars>
          <dgm:bulletEnabled val="1"/>
        </dgm:presLayoutVars>
      </dgm:prSet>
      <dgm:spPr/>
    </dgm:pt>
    <dgm:pt modelId="{C5130897-EAB3-4011-A75B-E69A739A8F28}" type="pres">
      <dgm:prSet presAssocID="{13BF2FD1-4775-40EF-AB22-4A0B10D58800}" presName="sibTrans" presStyleLbl="sibTrans2D1" presStyleIdx="0" presStyleCnt="4"/>
      <dgm:spPr/>
    </dgm:pt>
    <dgm:pt modelId="{849D49F7-323C-4E66-B1A5-C313F2047508}" type="pres">
      <dgm:prSet presAssocID="{13BF2FD1-4775-40EF-AB22-4A0B10D58800}" presName="connectorText" presStyleLbl="sibTrans2D1" presStyleIdx="0" presStyleCnt="4"/>
      <dgm:spPr/>
    </dgm:pt>
    <dgm:pt modelId="{4AF0960C-F83C-43E9-A123-BBDBBE34A579}" type="pres">
      <dgm:prSet presAssocID="{F006A217-F7D7-47DE-92D7-E48BBBEE90D9}" presName="node" presStyleLbl="node1" presStyleIdx="1" presStyleCnt="5" custScaleY="126512">
        <dgm:presLayoutVars>
          <dgm:bulletEnabled val="1"/>
        </dgm:presLayoutVars>
      </dgm:prSet>
      <dgm:spPr/>
    </dgm:pt>
    <dgm:pt modelId="{51715635-4D97-4E97-8270-9438279B78EB}" type="pres">
      <dgm:prSet presAssocID="{1E277731-A9ED-46C6-AA1E-9A1E37E47B28}" presName="sibTrans" presStyleLbl="sibTrans2D1" presStyleIdx="1" presStyleCnt="4"/>
      <dgm:spPr/>
    </dgm:pt>
    <dgm:pt modelId="{54555C49-5144-400E-B128-ED022E36FEB8}" type="pres">
      <dgm:prSet presAssocID="{1E277731-A9ED-46C6-AA1E-9A1E37E47B28}" presName="connectorText" presStyleLbl="sibTrans2D1" presStyleIdx="1" presStyleCnt="4"/>
      <dgm:spPr/>
    </dgm:pt>
    <dgm:pt modelId="{4CAC2BE2-5E5B-42E1-A24B-4EF9BD3FE641}" type="pres">
      <dgm:prSet presAssocID="{EAEC6F4B-2173-4716-886F-DFB443154AFA}" presName="node" presStyleLbl="node1" presStyleIdx="2" presStyleCnt="5" custScaleY="108374">
        <dgm:presLayoutVars>
          <dgm:bulletEnabled val="1"/>
        </dgm:presLayoutVars>
      </dgm:prSet>
      <dgm:spPr/>
    </dgm:pt>
    <dgm:pt modelId="{D4D0536F-6F34-4A4B-92CC-706375C7CE74}" type="pres">
      <dgm:prSet presAssocID="{E001501F-C58D-4522-A0B2-69B4001085A5}" presName="sibTrans" presStyleLbl="sibTrans2D1" presStyleIdx="2" presStyleCnt="4"/>
      <dgm:spPr/>
    </dgm:pt>
    <dgm:pt modelId="{9B209A76-293C-42EA-8EC4-E3A971E8F487}" type="pres">
      <dgm:prSet presAssocID="{E001501F-C58D-4522-A0B2-69B4001085A5}" presName="connectorText" presStyleLbl="sibTrans2D1" presStyleIdx="2" presStyleCnt="4"/>
      <dgm:spPr/>
    </dgm:pt>
    <dgm:pt modelId="{F4986B44-8521-4458-925D-37D35DEC776A}" type="pres">
      <dgm:prSet presAssocID="{CE9754ED-8AE3-4DA3-85A3-DF1647BC5476}" presName="node" presStyleLbl="node1" presStyleIdx="3" presStyleCnt="5" custScaleX="94702" custScaleY="134357" custLinFactNeighborX="4292" custLinFactNeighborY="-12608">
        <dgm:presLayoutVars>
          <dgm:bulletEnabled val="1"/>
        </dgm:presLayoutVars>
      </dgm:prSet>
      <dgm:spPr/>
    </dgm:pt>
    <dgm:pt modelId="{9F483F96-A742-45D3-87B7-0ABF7D5B927B}" type="pres">
      <dgm:prSet presAssocID="{565670E1-6725-4820-A507-A2ED04E7BD1B}" presName="sibTrans" presStyleLbl="sibTrans2D1" presStyleIdx="3" presStyleCnt="4"/>
      <dgm:spPr/>
    </dgm:pt>
    <dgm:pt modelId="{84FC63C9-6CE4-4D20-982D-6C5E0746A5C6}" type="pres">
      <dgm:prSet presAssocID="{565670E1-6725-4820-A507-A2ED04E7BD1B}" presName="connectorText" presStyleLbl="sibTrans2D1" presStyleIdx="3" presStyleCnt="4"/>
      <dgm:spPr/>
    </dgm:pt>
    <dgm:pt modelId="{19C0D206-2EFF-4F41-842D-5A0747593F7D}" type="pres">
      <dgm:prSet presAssocID="{0FAC5463-6FC1-45B5-8AE3-C4C03F3351C9}" presName="node" presStyleLbl="node1" presStyleIdx="4" presStyleCnt="5" custScaleX="98256" custScaleY="66375" custLinFactNeighborX="3816" custLinFactNeighborY="-30011">
        <dgm:presLayoutVars>
          <dgm:bulletEnabled val="1"/>
        </dgm:presLayoutVars>
      </dgm:prSet>
      <dgm:spPr/>
    </dgm:pt>
  </dgm:ptLst>
  <dgm:cxnLst>
    <dgm:cxn modelId="{EB78A501-A996-427C-A179-CF872B6E8A96}" type="presOf" srcId="{13BF2FD1-4775-40EF-AB22-4A0B10D58800}" destId="{C5130897-EAB3-4011-A75B-E69A739A8F28}" srcOrd="0" destOrd="0" presId="urn:microsoft.com/office/officeart/2005/8/layout/process2"/>
    <dgm:cxn modelId="{8869B419-C536-4671-9CD7-EAC6DA3DB1F3}" type="presOf" srcId="{F006A217-F7D7-47DE-92D7-E48BBBEE90D9}" destId="{4AF0960C-F83C-43E9-A123-BBDBBE34A579}" srcOrd="0" destOrd="0" presId="urn:microsoft.com/office/officeart/2005/8/layout/process2"/>
    <dgm:cxn modelId="{A30BA35F-E53B-4063-AF6D-D24BF9C0C87E}" type="presOf" srcId="{EAEC6F4B-2173-4716-886F-DFB443154AFA}" destId="{4CAC2BE2-5E5B-42E1-A24B-4EF9BD3FE641}" srcOrd="0" destOrd="0" presId="urn:microsoft.com/office/officeart/2005/8/layout/process2"/>
    <dgm:cxn modelId="{38A68543-6379-4072-9F32-E455D8B62E0A}" type="presOf" srcId="{1E277731-A9ED-46C6-AA1E-9A1E37E47B28}" destId="{54555C49-5144-400E-B128-ED022E36FEB8}" srcOrd="1" destOrd="0" presId="urn:microsoft.com/office/officeart/2005/8/layout/process2"/>
    <dgm:cxn modelId="{D844826E-466A-4298-BD4A-C73B149CF04F}" type="presOf" srcId="{E001501F-C58D-4522-A0B2-69B4001085A5}" destId="{D4D0536F-6F34-4A4B-92CC-706375C7CE74}" srcOrd="0" destOrd="0" presId="urn:microsoft.com/office/officeart/2005/8/layout/process2"/>
    <dgm:cxn modelId="{D63F3974-102B-4E03-AAF1-70A3112AB6CD}" type="presOf" srcId="{E001501F-C58D-4522-A0B2-69B4001085A5}" destId="{9B209A76-293C-42EA-8EC4-E3A971E8F487}" srcOrd="1" destOrd="0" presId="urn:microsoft.com/office/officeart/2005/8/layout/process2"/>
    <dgm:cxn modelId="{C650F074-59F5-4D88-9476-372062A930E6}" type="presOf" srcId="{0FAC5463-6FC1-45B5-8AE3-C4C03F3351C9}" destId="{19C0D206-2EFF-4F41-842D-5A0747593F7D}" srcOrd="0" destOrd="0" presId="urn:microsoft.com/office/officeart/2005/8/layout/process2"/>
    <dgm:cxn modelId="{7B059983-B18E-418A-959B-224E1838EF93}" type="presOf" srcId="{13BF2FD1-4775-40EF-AB22-4A0B10D58800}" destId="{849D49F7-323C-4E66-B1A5-C313F2047508}" srcOrd="1" destOrd="0" presId="urn:microsoft.com/office/officeart/2005/8/layout/process2"/>
    <dgm:cxn modelId="{95F76A86-7E22-4E1C-976F-8770395E29F2}" srcId="{472B89A1-8B24-4958-A26B-B9A8257148ED}" destId="{CE9754ED-8AE3-4DA3-85A3-DF1647BC5476}" srcOrd="3" destOrd="0" parTransId="{B5BE637E-55CF-43B3-91EE-E56226EFAEEA}" sibTransId="{565670E1-6725-4820-A507-A2ED04E7BD1B}"/>
    <dgm:cxn modelId="{9CAD9788-7BC6-4A7B-8442-41AF3E8D16DB}" type="presOf" srcId="{CE9754ED-8AE3-4DA3-85A3-DF1647BC5476}" destId="{F4986B44-8521-4458-925D-37D35DEC776A}" srcOrd="0" destOrd="0" presId="urn:microsoft.com/office/officeart/2005/8/layout/process2"/>
    <dgm:cxn modelId="{D4E45B8F-7FE4-4477-A027-A1B49E667F6B}" srcId="{472B89A1-8B24-4958-A26B-B9A8257148ED}" destId="{EAEC6F4B-2173-4716-886F-DFB443154AFA}" srcOrd="2" destOrd="0" parTransId="{DCC9DB7A-952D-4BFA-8477-E30D6DCC7C2D}" sibTransId="{E001501F-C58D-4522-A0B2-69B4001085A5}"/>
    <dgm:cxn modelId="{57684A96-A9DF-4014-98BB-59573D033068}" type="presOf" srcId="{565670E1-6725-4820-A507-A2ED04E7BD1B}" destId="{9F483F96-A742-45D3-87B7-0ABF7D5B927B}" srcOrd="0" destOrd="0" presId="urn:microsoft.com/office/officeart/2005/8/layout/process2"/>
    <dgm:cxn modelId="{69D88099-CBFB-458D-926B-6792F628F1A1}" type="presOf" srcId="{1935CA49-4FA2-4C65-870A-B3FF45726384}" destId="{752425F9-96C9-4BD1-A213-260801180381}" srcOrd="0" destOrd="0" presId="urn:microsoft.com/office/officeart/2005/8/layout/process2"/>
    <dgm:cxn modelId="{235939A4-193C-4B86-B85C-E9C66EC95753}" type="presOf" srcId="{565670E1-6725-4820-A507-A2ED04E7BD1B}" destId="{84FC63C9-6CE4-4D20-982D-6C5E0746A5C6}" srcOrd="1" destOrd="0" presId="urn:microsoft.com/office/officeart/2005/8/layout/process2"/>
    <dgm:cxn modelId="{13E9D3AD-A646-4B27-BD3B-8E5F33370052}" srcId="{472B89A1-8B24-4958-A26B-B9A8257148ED}" destId="{1935CA49-4FA2-4C65-870A-B3FF45726384}" srcOrd="0" destOrd="0" parTransId="{6A3EDCCF-71B1-478A-8A46-5E7D51779041}" sibTransId="{13BF2FD1-4775-40EF-AB22-4A0B10D58800}"/>
    <dgm:cxn modelId="{A341C9B0-F8C8-40C4-8645-06405B8A76FC}" srcId="{472B89A1-8B24-4958-A26B-B9A8257148ED}" destId="{F006A217-F7D7-47DE-92D7-E48BBBEE90D9}" srcOrd="1" destOrd="0" parTransId="{A0336F21-72A0-4C41-A422-83BC7A2D94C5}" sibTransId="{1E277731-A9ED-46C6-AA1E-9A1E37E47B28}"/>
    <dgm:cxn modelId="{2DAD0CBB-3540-4F2D-8073-AC3B29FDF1E4}" srcId="{472B89A1-8B24-4958-A26B-B9A8257148ED}" destId="{0FAC5463-6FC1-45B5-8AE3-C4C03F3351C9}" srcOrd="4" destOrd="0" parTransId="{B83F1561-8533-4288-A969-69FF1D64F4BE}" sibTransId="{40B1A68B-29FD-48A2-B862-6415EF1AD113}"/>
    <dgm:cxn modelId="{F113F3D7-7326-4569-8763-B3482E5480B4}" type="presOf" srcId="{472B89A1-8B24-4958-A26B-B9A8257148ED}" destId="{3AB035EE-A0DE-4DE4-A9DD-44A53D395974}" srcOrd="0" destOrd="0" presId="urn:microsoft.com/office/officeart/2005/8/layout/process2"/>
    <dgm:cxn modelId="{EB4F60E9-D4BD-4E2D-B8C2-3300556554B0}" type="presOf" srcId="{1E277731-A9ED-46C6-AA1E-9A1E37E47B28}" destId="{51715635-4D97-4E97-8270-9438279B78EB}" srcOrd="0" destOrd="0" presId="urn:microsoft.com/office/officeart/2005/8/layout/process2"/>
    <dgm:cxn modelId="{8A590E02-095C-42B7-86A0-5AE6CED9E9AC}" type="presParOf" srcId="{3AB035EE-A0DE-4DE4-A9DD-44A53D395974}" destId="{752425F9-96C9-4BD1-A213-260801180381}" srcOrd="0" destOrd="0" presId="urn:microsoft.com/office/officeart/2005/8/layout/process2"/>
    <dgm:cxn modelId="{879E57FC-1854-4DCE-B88D-70A54325B4C9}" type="presParOf" srcId="{3AB035EE-A0DE-4DE4-A9DD-44A53D395974}" destId="{C5130897-EAB3-4011-A75B-E69A739A8F28}" srcOrd="1" destOrd="0" presId="urn:microsoft.com/office/officeart/2005/8/layout/process2"/>
    <dgm:cxn modelId="{AC099A49-3D14-435C-A0A4-32D4D53CBB1F}" type="presParOf" srcId="{C5130897-EAB3-4011-A75B-E69A739A8F28}" destId="{849D49F7-323C-4E66-B1A5-C313F2047508}" srcOrd="0" destOrd="0" presId="urn:microsoft.com/office/officeart/2005/8/layout/process2"/>
    <dgm:cxn modelId="{3198724B-8657-4333-82DE-03B2BED5587C}" type="presParOf" srcId="{3AB035EE-A0DE-4DE4-A9DD-44A53D395974}" destId="{4AF0960C-F83C-43E9-A123-BBDBBE34A579}" srcOrd="2" destOrd="0" presId="urn:microsoft.com/office/officeart/2005/8/layout/process2"/>
    <dgm:cxn modelId="{F68C2D5A-93CD-4116-ADAB-1764FA392212}" type="presParOf" srcId="{3AB035EE-A0DE-4DE4-A9DD-44A53D395974}" destId="{51715635-4D97-4E97-8270-9438279B78EB}" srcOrd="3" destOrd="0" presId="urn:microsoft.com/office/officeart/2005/8/layout/process2"/>
    <dgm:cxn modelId="{CA70762B-7517-44F4-B7CD-4498075505B2}" type="presParOf" srcId="{51715635-4D97-4E97-8270-9438279B78EB}" destId="{54555C49-5144-400E-B128-ED022E36FEB8}" srcOrd="0" destOrd="0" presId="urn:microsoft.com/office/officeart/2005/8/layout/process2"/>
    <dgm:cxn modelId="{EFE07411-1166-4D78-B27A-348AB5DBA7DB}" type="presParOf" srcId="{3AB035EE-A0DE-4DE4-A9DD-44A53D395974}" destId="{4CAC2BE2-5E5B-42E1-A24B-4EF9BD3FE641}" srcOrd="4" destOrd="0" presId="urn:microsoft.com/office/officeart/2005/8/layout/process2"/>
    <dgm:cxn modelId="{05F052B5-53EE-4E2B-8DA9-E44DBB12AD58}" type="presParOf" srcId="{3AB035EE-A0DE-4DE4-A9DD-44A53D395974}" destId="{D4D0536F-6F34-4A4B-92CC-706375C7CE74}" srcOrd="5" destOrd="0" presId="urn:microsoft.com/office/officeart/2005/8/layout/process2"/>
    <dgm:cxn modelId="{385690E1-2198-41E1-83FB-DA5DB84C90CF}" type="presParOf" srcId="{D4D0536F-6F34-4A4B-92CC-706375C7CE74}" destId="{9B209A76-293C-42EA-8EC4-E3A971E8F487}" srcOrd="0" destOrd="0" presId="urn:microsoft.com/office/officeart/2005/8/layout/process2"/>
    <dgm:cxn modelId="{3BE43841-9A24-4348-95D0-A9286631DF05}" type="presParOf" srcId="{3AB035EE-A0DE-4DE4-A9DD-44A53D395974}" destId="{F4986B44-8521-4458-925D-37D35DEC776A}" srcOrd="6" destOrd="0" presId="urn:microsoft.com/office/officeart/2005/8/layout/process2"/>
    <dgm:cxn modelId="{931763F6-F394-46C4-ABF3-9B2289AF3FE2}" type="presParOf" srcId="{3AB035EE-A0DE-4DE4-A9DD-44A53D395974}" destId="{9F483F96-A742-45D3-87B7-0ABF7D5B927B}" srcOrd="7" destOrd="0" presId="urn:microsoft.com/office/officeart/2005/8/layout/process2"/>
    <dgm:cxn modelId="{44FA03FA-EBAE-4864-BF8A-E613B4AB9D0F}" type="presParOf" srcId="{9F483F96-A742-45D3-87B7-0ABF7D5B927B}" destId="{84FC63C9-6CE4-4D20-982D-6C5E0746A5C6}" srcOrd="0" destOrd="0" presId="urn:microsoft.com/office/officeart/2005/8/layout/process2"/>
    <dgm:cxn modelId="{AC131883-71B6-43B2-9684-61BDBC1D8052}" type="presParOf" srcId="{3AB035EE-A0DE-4DE4-A9DD-44A53D395974}" destId="{19C0D206-2EFF-4F41-842D-5A0747593F7D}" srcOrd="8" destOrd="0" presId="urn:microsoft.com/office/officeart/2005/8/layout/process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52425F9-96C9-4BD1-A213-260801180381}">
      <dsp:nvSpPr>
        <dsp:cNvPr id="0" name=""/>
        <dsp:cNvSpPr/>
      </dsp:nvSpPr>
      <dsp:spPr>
        <a:xfrm>
          <a:off x="43457" y="3789"/>
          <a:ext cx="2164640" cy="1370157"/>
        </a:xfrm>
        <a:prstGeom prst="roundRect">
          <a:avLst>
            <a:gd name="adj" fmla="val 10000"/>
          </a:avLst>
        </a:prstGeom>
        <a:solidFill>
          <a:schemeClr val="lt1">
            <a:hueOff val="0"/>
            <a:satOff val="0"/>
            <a:lumOff val="0"/>
            <a:alphaOff val="0"/>
          </a:schemeClr>
        </a:solidFill>
        <a:ln w="12700" cap="flat" cmpd="sng" algn="ctr">
          <a:solidFill>
            <a:srgbClr val="92D05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s-ES" sz="1200" b="1" kern="1200" dirty="0"/>
            <a:t>Resultados del estudio de mercado</a:t>
          </a:r>
        </a:p>
      </dsp:txBody>
      <dsp:txXfrm>
        <a:off x="83588" y="43920"/>
        <a:ext cx="2084378" cy="1289895"/>
      </dsp:txXfrm>
    </dsp:sp>
    <dsp:sp modelId="{C5130897-EAB3-4011-A75B-E69A739A8F28}">
      <dsp:nvSpPr>
        <dsp:cNvPr id="0" name=""/>
        <dsp:cNvSpPr/>
      </dsp:nvSpPr>
      <dsp:spPr>
        <a:xfrm rot="5400000">
          <a:off x="900294" y="1404010"/>
          <a:ext cx="450966" cy="54116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977900">
            <a:lnSpc>
              <a:spcPct val="90000"/>
            </a:lnSpc>
            <a:spcBef>
              <a:spcPct val="0"/>
            </a:spcBef>
            <a:spcAft>
              <a:spcPct val="35000"/>
            </a:spcAft>
            <a:buNone/>
          </a:pPr>
          <a:endParaRPr lang="es-ES" sz="2200" b="1" kern="1200"/>
        </a:p>
      </dsp:txBody>
      <dsp:txXfrm rot="-5400000">
        <a:off x="963429" y="1449107"/>
        <a:ext cx="324696" cy="315676"/>
      </dsp:txXfrm>
    </dsp:sp>
    <dsp:sp modelId="{4AF0960C-F83C-43E9-A123-BBDBBE34A579}">
      <dsp:nvSpPr>
        <dsp:cNvPr id="0" name=""/>
        <dsp:cNvSpPr/>
      </dsp:nvSpPr>
      <dsp:spPr>
        <a:xfrm>
          <a:off x="43457" y="1975234"/>
          <a:ext cx="2164640" cy="1521405"/>
        </a:xfrm>
        <a:prstGeom prst="roundRect">
          <a:avLst>
            <a:gd name="adj" fmla="val 10000"/>
          </a:avLst>
        </a:prstGeom>
        <a:solidFill>
          <a:schemeClr val="lt1">
            <a:hueOff val="0"/>
            <a:satOff val="0"/>
            <a:lumOff val="0"/>
            <a:alphaOff val="0"/>
          </a:schemeClr>
        </a:solid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s-ES" sz="1200" b="1" kern="1200"/>
            <a:t>Resultados del estudio técnico </a:t>
          </a:r>
          <a:endParaRPr lang="es-ES" sz="1200" b="1" kern="1200" dirty="0"/>
        </a:p>
      </dsp:txBody>
      <dsp:txXfrm>
        <a:off x="88017" y="2019794"/>
        <a:ext cx="2075520" cy="1432285"/>
      </dsp:txXfrm>
    </dsp:sp>
    <dsp:sp modelId="{51715635-4D97-4E97-8270-9438279B78EB}">
      <dsp:nvSpPr>
        <dsp:cNvPr id="0" name=""/>
        <dsp:cNvSpPr/>
      </dsp:nvSpPr>
      <dsp:spPr>
        <a:xfrm rot="5400000">
          <a:off x="900294" y="3526704"/>
          <a:ext cx="450966" cy="54116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977900">
            <a:lnSpc>
              <a:spcPct val="90000"/>
            </a:lnSpc>
            <a:spcBef>
              <a:spcPct val="0"/>
            </a:spcBef>
            <a:spcAft>
              <a:spcPct val="35000"/>
            </a:spcAft>
            <a:buNone/>
          </a:pPr>
          <a:endParaRPr lang="es-ES" sz="2200" b="1" kern="1200"/>
        </a:p>
      </dsp:txBody>
      <dsp:txXfrm rot="-5400000">
        <a:off x="963429" y="3571801"/>
        <a:ext cx="324696" cy="315676"/>
      </dsp:txXfrm>
    </dsp:sp>
    <dsp:sp modelId="{4CAC2BE2-5E5B-42E1-A24B-4EF9BD3FE641}">
      <dsp:nvSpPr>
        <dsp:cNvPr id="0" name=""/>
        <dsp:cNvSpPr/>
      </dsp:nvSpPr>
      <dsp:spPr>
        <a:xfrm>
          <a:off x="43457" y="4097929"/>
          <a:ext cx="2164640" cy="1303281"/>
        </a:xfrm>
        <a:prstGeom prst="roundRect">
          <a:avLst>
            <a:gd name="adj" fmla="val 10000"/>
          </a:avLst>
        </a:prstGeom>
        <a:solidFill>
          <a:schemeClr val="lt1">
            <a:hueOff val="0"/>
            <a:satOff val="0"/>
            <a:lumOff val="0"/>
            <a:alphaOff val="0"/>
          </a:schemeClr>
        </a:solidFill>
        <a:ln w="12700" cap="flat" cmpd="sng" algn="ctr">
          <a:solidFill>
            <a:schemeClr val="accent4">
              <a:lumMod val="60000"/>
              <a:lumOff val="4000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s-ES" sz="1200" b="1" kern="1200"/>
            <a:t>Resultados del estudio ambiental </a:t>
          </a:r>
          <a:endParaRPr lang="es-ES" sz="1200" b="1" kern="1200" dirty="0"/>
        </a:p>
      </dsp:txBody>
      <dsp:txXfrm>
        <a:off x="81629" y="4136101"/>
        <a:ext cx="2088296" cy="1226937"/>
      </dsp:txXfrm>
    </dsp:sp>
    <dsp:sp modelId="{D4D0536F-6F34-4A4B-92CC-706375C7CE74}">
      <dsp:nvSpPr>
        <dsp:cNvPr id="0" name=""/>
        <dsp:cNvSpPr/>
      </dsp:nvSpPr>
      <dsp:spPr>
        <a:xfrm rot="5239216">
          <a:off x="971304" y="5393369"/>
          <a:ext cx="394540" cy="54116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44550">
            <a:lnSpc>
              <a:spcPct val="90000"/>
            </a:lnSpc>
            <a:spcBef>
              <a:spcPct val="0"/>
            </a:spcBef>
            <a:spcAft>
              <a:spcPct val="35000"/>
            </a:spcAft>
            <a:buNone/>
          </a:pPr>
          <a:endParaRPr lang="es-ES" sz="1900" b="1" kern="1200"/>
        </a:p>
      </dsp:txBody>
      <dsp:txXfrm rot="-5400000">
        <a:off x="1003459" y="5466744"/>
        <a:ext cx="324696" cy="276178"/>
      </dsp:txXfrm>
    </dsp:sp>
    <dsp:sp modelId="{F4986B44-8521-4458-925D-37D35DEC776A}">
      <dsp:nvSpPr>
        <dsp:cNvPr id="0" name=""/>
        <dsp:cNvSpPr/>
      </dsp:nvSpPr>
      <dsp:spPr>
        <a:xfrm>
          <a:off x="193705" y="5926689"/>
          <a:ext cx="2049957" cy="1615747"/>
        </a:xfrm>
        <a:prstGeom prst="roundRect">
          <a:avLst>
            <a:gd name="adj" fmla="val 10000"/>
          </a:avLst>
        </a:prstGeom>
        <a:solidFill>
          <a:schemeClr val="lt1">
            <a:hueOff val="0"/>
            <a:satOff val="0"/>
            <a:lumOff val="0"/>
            <a:alphaOff val="0"/>
          </a:schemeClr>
        </a:solidFill>
        <a:ln w="12700" cap="flat" cmpd="sng" algn="ctr">
          <a:solidFill>
            <a:srgbClr val="FFFF0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s-ES" sz="1200" b="1" kern="1200" dirty="0"/>
            <a:t>Resultados del estudio  Organizacional</a:t>
          </a:r>
        </a:p>
      </dsp:txBody>
      <dsp:txXfrm>
        <a:off x="241029" y="5974013"/>
        <a:ext cx="1955309" cy="1521099"/>
      </dsp:txXfrm>
    </dsp:sp>
    <dsp:sp modelId="{9F483F96-A742-45D3-87B7-0ABF7D5B927B}">
      <dsp:nvSpPr>
        <dsp:cNvPr id="0" name=""/>
        <dsp:cNvSpPr/>
      </dsp:nvSpPr>
      <dsp:spPr>
        <a:xfrm rot="5461686">
          <a:off x="1013457" y="7520179"/>
          <a:ext cx="372544" cy="54116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s-ES" sz="1800" b="1" kern="1200"/>
        </a:p>
      </dsp:txBody>
      <dsp:txXfrm rot="-5400000">
        <a:off x="1038384" y="7604495"/>
        <a:ext cx="324696" cy="260781"/>
      </dsp:txXfrm>
    </dsp:sp>
    <dsp:sp modelId="{19C0D206-2EFF-4F41-842D-5A0747593F7D}">
      <dsp:nvSpPr>
        <dsp:cNvPr id="0" name=""/>
        <dsp:cNvSpPr/>
      </dsp:nvSpPr>
      <dsp:spPr>
        <a:xfrm>
          <a:off x="124667" y="8039083"/>
          <a:ext cx="2126888" cy="798211"/>
        </a:xfrm>
        <a:prstGeom prst="roundRect">
          <a:avLst>
            <a:gd name="adj" fmla="val 10000"/>
          </a:avLst>
        </a:prstGeom>
        <a:solidFill>
          <a:schemeClr val="lt1">
            <a:hueOff val="0"/>
            <a:satOff val="0"/>
            <a:lumOff val="0"/>
            <a:alphaOff val="0"/>
          </a:schemeClr>
        </a:solidFill>
        <a:ln w="12700" cap="flat" cmpd="sng" algn="ctr">
          <a:solidFill>
            <a:schemeClr val="accent2"/>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s-ES" sz="1200" b="1" kern="1200" dirty="0"/>
            <a:t>Resultados del estudio  Legal</a:t>
          </a:r>
        </a:p>
      </dsp:txBody>
      <dsp:txXfrm>
        <a:off x="148046" y="8062462"/>
        <a:ext cx="2080130" cy="751453"/>
      </dsp:txXfrm>
    </dsp:sp>
  </dsp:spTree>
</dsp:drawing>
</file>

<file path=xl/diagrams/layout1.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77158</xdr:colOff>
      <xdr:row>8</xdr:row>
      <xdr:rowOff>36854</xdr:rowOff>
    </xdr:from>
    <xdr:to>
      <xdr:col>4</xdr:col>
      <xdr:colOff>35158</xdr:colOff>
      <xdr:row>8</xdr:row>
      <xdr:rowOff>216854</xdr:rowOff>
    </xdr:to>
    <xdr:sp macro="" textlink="">
      <xdr:nvSpPr>
        <xdr:cNvPr id="6" name="28 Flecha arriba">
          <a:extLst>
            <a:ext uri="{FF2B5EF4-FFF2-40B4-BE49-F238E27FC236}">
              <a16:creationId xmlns:a16="http://schemas.microsoft.com/office/drawing/2014/main" id="{F26241BF-4A89-40AF-8AFF-85BCED9B6908}"/>
            </a:ext>
          </a:extLst>
        </xdr:cNvPr>
        <xdr:cNvSpPr/>
      </xdr:nvSpPr>
      <xdr:spPr>
        <a:xfrm>
          <a:off x="1162180" y="1983267"/>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algn="ctr"/>
          <a:endParaRPr lang="es-CO" sz="1100"/>
        </a:p>
      </xdr:txBody>
    </xdr:sp>
    <xdr:clientData/>
  </xdr:twoCellAnchor>
  <xdr:twoCellAnchor>
    <xdr:from>
      <xdr:col>5</xdr:col>
      <xdr:colOff>80470</xdr:colOff>
      <xdr:row>8</xdr:row>
      <xdr:rowOff>48449</xdr:rowOff>
    </xdr:from>
    <xdr:to>
      <xdr:col>6</xdr:col>
      <xdr:colOff>38470</xdr:colOff>
      <xdr:row>8</xdr:row>
      <xdr:rowOff>228449</xdr:rowOff>
    </xdr:to>
    <xdr:sp macro="" textlink="">
      <xdr:nvSpPr>
        <xdr:cNvPr id="14" name="28 Flecha arriba">
          <a:extLst>
            <a:ext uri="{FF2B5EF4-FFF2-40B4-BE49-F238E27FC236}">
              <a16:creationId xmlns:a16="http://schemas.microsoft.com/office/drawing/2014/main" id="{7C7AA4DB-556D-4802-9771-9CC0880EE447}"/>
            </a:ext>
          </a:extLst>
        </xdr:cNvPr>
        <xdr:cNvSpPr/>
      </xdr:nvSpPr>
      <xdr:spPr>
        <a:xfrm>
          <a:off x="2689492" y="1994862"/>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50652</xdr:colOff>
      <xdr:row>8</xdr:row>
      <xdr:rowOff>35197</xdr:rowOff>
    </xdr:from>
    <xdr:to>
      <xdr:col>13</xdr:col>
      <xdr:colOff>8652</xdr:colOff>
      <xdr:row>8</xdr:row>
      <xdr:rowOff>215197</xdr:rowOff>
    </xdr:to>
    <xdr:sp macro="" textlink="">
      <xdr:nvSpPr>
        <xdr:cNvPr id="15" name="28 Flecha arriba">
          <a:extLst>
            <a:ext uri="{FF2B5EF4-FFF2-40B4-BE49-F238E27FC236}">
              <a16:creationId xmlns:a16="http://schemas.microsoft.com/office/drawing/2014/main" id="{C722E34E-AC24-4B8D-88DA-F918A12754F5}"/>
            </a:ext>
          </a:extLst>
        </xdr:cNvPr>
        <xdr:cNvSpPr/>
      </xdr:nvSpPr>
      <xdr:spPr>
        <a:xfrm>
          <a:off x="6743000" y="2569675"/>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714918</xdr:colOff>
      <xdr:row>10</xdr:row>
      <xdr:rowOff>69985</xdr:rowOff>
    </xdr:from>
    <xdr:to>
      <xdr:col>4</xdr:col>
      <xdr:colOff>672918</xdr:colOff>
      <xdr:row>10</xdr:row>
      <xdr:rowOff>249985</xdr:rowOff>
    </xdr:to>
    <xdr:sp macro="" textlink="">
      <xdr:nvSpPr>
        <xdr:cNvPr id="16" name="28 Flecha arriba">
          <a:extLst>
            <a:ext uri="{FF2B5EF4-FFF2-40B4-BE49-F238E27FC236}">
              <a16:creationId xmlns:a16="http://schemas.microsoft.com/office/drawing/2014/main" id="{C2FF70E7-9F08-4BEB-B61B-594FAB938370}"/>
            </a:ext>
          </a:extLst>
        </xdr:cNvPr>
        <xdr:cNvSpPr/>
      </xdr:nvSpPr>
      <xdr:spPr>
        <a:xfrm>
          <a:off x="1799940" y="4145028"/>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47341</xdr:colOff>
      <xdr:row>10</xdr:row>
      <xdr:rowOff>40167</xdr:rowOff>
    </xdr:from>
    <xdr:to>
      <xdr:col>8</xdr:col>
      <xdr:colOff>5341</xdr:colOff>
      <xdr:row>10</xdr:row>
      <xdr:rowOff>220167</xdr:rowOff>
    </xdr:to>
    <xdr:sp macro="" textlink="">
      <xdr:nvSpPr>
        <xdr:cNvPr id="17" name="28 Flecha arriba">
          <a:extLst>
            <a:ext uri="{FF2B5EF4-FFF2-40B4-BE49-F238E27FC236}">
              <a16:creationId xmlns:a16="http://schemas.microsoft.com/office/drawing/2014/main" id="{D08A471F-675A-40E6-BCDC-6F5A546CD574}"/>
            </a:ext>
          </a:extLst>
        </xdr:cNvPr>
        <xdr:cNvSpPr/>
      </xdr:nvSpPr>
      <xdr:spPr>
        <a:xfrm>
          <a:off x="3550884" y="3717645"/>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125196</xdr:colOff>
      <xdr:row>10</xdr:row>
      <xdr:rowOff>43480</xdr:rowOff>
    </xdr:from>
    <xdr:to>
      <xdr:col>13</xdr:col>
      <xdr:colOff>83196</xdr:colOff>
      <xdr:row>10</xdr:row>
      <xdr:rowOff>223480</xdr:rowOff>
    </xdr:to>
    <xdr:sp macro="" textlink="">
      <xdr:nvSpPr>
        <xdr:cNvPr id="18" name="28 Flecha arriba">
          <a:extLst>
            <a:ext uri="{FF2B5EF4-FFF2-40B4-BE49-F238E27FC236}">
              <a16:creationId xmlns:a16="http://schemas.microsoft.com/office/drawing/2014/main" id="{2C16F42D-43B5-4B86-B14E-7F4DF03770F2}"/>
            </a:ext>
          </a:extLst>
        </xdr:cNvPr>
        <xdr:cNvSpPr/>
      </xdr:nvSpPr>
      <xdr:spPr>
        <a:xfrm>
          <a:off x="6817544" y="4118523"/>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14209</xdr:colOff>
      <xdr:row>12</xdr:row>
      <xdr:rowOff>15319</xdr:rowOff>
    </xdr:from>
    <xdr:to>
      <xdr:col>3</xdr:col>
      <xdr:colOff>734209</xdr:colOff>
      <xdr:row>12</xdr:row>
      <xdr:rowOff>195319</xdr:rowOff>
    </xdr:to>
    <xdr:sp macro="" textlink="">
      <xdr:nvSpPr>
        <xdr:cNvPr id="19" name="28 Flecha arriba">
          <a:extLst>
            <a:ext uri="{FF2B5EF4-FFF2-40B4-BE49-F238E27FC236}">
              <a16:creationId xmlns:a16="http://schemas.microsoft.com/office/drawing/2014/main" id="{D73E8EF2-72C0-4BC3-A410-EB3A07530A69}"/>
            </a:ext>
          </a:extLst>
        </xdr:cNvPr>
        <xdr:cNvSpPr/>
      </xdr:nvSpPr>
      <xdr:spPr>
        <a:xfrm>
          <a:off x="1099231" y="5423862"/>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5</xdr:col>
      <xdr:colOff>50653</xdr:colOff>
      <xdr:row>12</xdr:row>
      <xdr:rowOff>43480</xdr:rowOff>
    </xdr:from>
    <xdr:to>
      <xdr:col>6</xdr:col>
      <xdr:colOff>8653</xdr:colOff>
      <xdr:row>12</xdr:row>
      <xdr:rowOff>223480</xdr:rowOff>
    </xdr:to>
    <xdr:sp macro="" textlink="">
      <xdr:nvSpPr>
        <xdr:cNvPr id="20" name="28 Flecha arriba">
          <a:extLst>
            <a:ext uri="{FF2B5EF4-FFF2-40B4-BE49-F238E27FC236}">
              <a16:creationId xmlns:a16="http://schemas.microsoft.com/office/drawing/2014/main" id="{F4011971-EB02-4C25-B5D0-633ABDBF9F89}"/>
            </a:ext>
          </a:extLst>
        </xdr:cNvPr>
        <xdr:cNvSpPr/>
      </xdr:nvSpPr>
      <xdr:spPr>
        <a:xfrm>
          <a:off x="2659675" y="5452023"/>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37401</xdr:colOff>
      <xdr:row>12</xdr:row>
      <xdr:rowOff>55075</xdr:rowOff>
    </xdr:from>
    <xdr:to>
      <xdr:col>12</xdr:col>
      <xdr:colOff>757401</xdr:colOff>
      <xdr:row>12</xdr:row>
      <xdr:rowOff>235075</xdr:rowOff>
    </xdr:to>
    <xdr:sp macro="" textlink="">
      <xdr:nvSpPr>
        <xdr:cNvPr id="21" name="28 Flecha arriba">
          <a:extLst>
            <a:ext uri="{FF2B5EF4-FFF2-40B4-BE49-F238E27FC236}">
              <a16:creationId xmlns:a16="http://schemas.microsoft.com/office/drawing/2014/main" id="{AA77F904-8C89-4B3A-ADB8-57F5781B8431}"/>
            </a:ext>
          </a:extLst>
        </xdr:cNvPr>
        <xdr:cNvSpPr/>
      </xdr:nvSpPr>
      <xdr:spPr>
        <a:xfrm>
          <a:off x="6729749" y="5861184"/>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48997</xdr:colOff>
      <xdr:row>14</xdr:row>
      <xdr:rowOff>41823</xdr:rowOff>
    </xdr:from>
    <xdr:to>
      <xdr:col>4</xdr:col>
      <xdr:colOff>6997</xdr:colOff>
      <xdr:row>14</xdr:row>
      <xdr:rowOff>221823</xdr:rowOff>
    </xdr:to>
    <xdr:sp macro="" textlink="">
      <xdr:nvSpPr>
        <xdr:cNvPr id="22" name="28 Flecha arriba">
          <a:extLst>
            <a:ext uri="{FF2B5EF4-FFF2-40B4-BE49-F238E27FC236}">
              <a16:creationId xmlns:a16="http://schemas.microsoft.com/office/drawing/2014/main" id="{95ECF1D8-12C9-4610-9841-51194DF719A6}"/>
            </a:ext>
          </a:extLst>
        </xdr:cNvPr>
        <xdr:cNvSpPr/>
      </xdr:nvSpPr>
      <xdr:spPr>
        <a:xfrm>
          <a:off x="1134019" y="7065475"/>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5</xdr:col>
      <xdr:colOff>52309</xdr:colOff>
      <xdr:row>14</xdr:row>
      <xdr:rowOff>69984</xdr:rowOff>
    </xdr:from>
    <xdr:to>
      <xdr:col>6</xdr:col>
      <xdr:colOff>10309</xdr:colOff>
      <xdr:row>14</xdr:row>
      <xdr:rowOff>249984</xdr:rowOff>
    </xdr:to>
    <xdr:sp macro="" textlink="">
      <xdr:nvSpPr>
        <xdr:cNvPr id="23" name="28 Flecha arriba">
          <a:extLst>
            <a:ext uri="{FF2B5EF4-FFF2-40B4-BE49-F238E27FC236}">
              <a16:creationId xmlns:a16="http://schemas.microsoft.com/office/drawing/2014/main" id="{01DD9B89-4626-4C50-9B08-E90FF190D912}"/>
            </a:ext>
          </a:extLst>
        </xdr:cNvPr>
        <xdr:cNvSpPr/>
      </xdr:nvSpPr>
      <xdr:spPr>
        <a:xfrm>
          <a:off x="2661331" y="7093636"/>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113601</xdr:colOff>
      <xdr:row>14</xdr:row>
      <xdr:rowOff>56732</xdr:rowOff>
    </xdr:from>
    <xdr:to>
      <xdr:col>13</xdr:col>
      <xdr:colOff>71601</xdr:colOff>
      <xdr:row>14</xdr:row>
      <xdr:rowOff>236732</xdr:rowOff>
    </xdr:to>
    <xdr:sp macro="" textlink="">
      <xdr:nvSpPr>
        <xdr:cNvPr id="24" name="28 Flecha arriba">
          <a:extLst>
            <a:ext uri="{FF2B5EF4-FFF2-40B4-BE49-F238E27FC236}">
              <a16:creationId xmlns:a16="http://schemas.microsoft.com/office/drawing/2014/main" id="{11DD7D86-9ACB-4120-B600-F6E05B83E281}"/>
            </a:ext>
          </a:extLst>
        </xdr:cNvPr>
        <xdr:cNvSpPr/>
      </xdr:nvSpPr>
      <xdr:spPr>
        <a:xfrm>
          <a:off x="6805949" y="7477949"/>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8</xdr:col>
      <xdr:colOff>738110</xdr:colOff>
      <xdr:row>10</xdr:row>
      <xdr:rowOff>51763</xdr:rowOff>
    </xdr:from>
    <xdr:to>
      <xdr:col>9</xdr:col>
      <xdr:colOff>696110</xdr:colOff>
      <xdr:row>10</xdr:row>
      <xdr:rowOff>231763</xdr:rowOff>
    </xdr:to>
    <xdr:sp macro="" textlink="">
      <xdr:nvSpPr>
        <xdr:cNvPr id="25" name="28 Flecha arriba">
          <a:extLst>
            <a:ext uri="{FF2B5EF4-FFF2-40B4-BE49-F238E27FC236}">
              <a16:creationId xmlns:a16="http://schemas.microsoft.com/office/drawing/2014/main" id="{172CE403-E019-4029-93DA-BC8EF31844FA}"/>
            </a:ext>
          </a:extLst>
        </xdr:cNvPr>
        <xdr:cNvSpPr/>
      </xdr:nvSpPr>
      <xdr:spPr>
        <a:xfrm>
          <a:off x="5003653" y="3729241"/>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958</xdr:colOff>
      <xdr:row>8</xdr:row>
      <xdr:rowOff>35197</xdr:rowOff>
    </xdr:from>
    <xdr:to>
      <xdr:col>7</xdr:col>
      <xdr:colOff>720958</xdr:colOff>
      <xdr:row>8</xdr:row>
      <xdr:rowOff>215197</xdr:rowOff>
    </xdr:to>
    <xdr:sp macro="" textlink="">
      <xdr:nvSpPr>
        <xdr:cNvPr id="26" name="28 Flecha arriba">
          <a:extLst>
            <a:ext uri="{FF2B5EF4-FFF2-40B4-BE49-F238E27FC236}">
              <a16:creationId xmlns:a16="http://schemas.microsoft.com/office/drawing/2014/main" id="{5538E959-1E6D-4F20-B0A4-FAD2CBFEB529}"/>
            </a:ext>
          </a:extLst>
        </xdr:cNvPr>
        <xdr:cNvSpPr/>
      </xdr:nvSpPr>
      <xdr:spPr>
        <a:xfrm>
          <a:off x="3504501" y="1981610"/>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8</xdr:col>
      <xdr:colOff>691727</xdr:colOff>
      <xdr:row>8</xdr:row>
      <xdr:rowOff>46793</xdr:rowOff>
    </xdr:from>
    <xdr:to>
      <xdr:col>9</xdr:col>
      <xdr:colOff>649727</xdr:colOff>
      <xdr:row>8</xdr:row>
      <xdr:rowOff>226793</xdr:rowOff>
    </xdr:to>
    <xdr:sp macro="" textlink="">
      <xdr:nvSpPr>
        <xdr:cNvPr id="27" name="28 Flecha arriba">
          <a:extLst>
            <a:ext uri="{FF2B5EF4-FFF2-40B4-BE49-F238E27FC236}">
              <a16:creationId xmlns:a16="http://schemas.microsoft.com/office/drawing/2014/main" id="{680AC8A4-8038-497A-87D3-DD4457BFF045}"/>
            </a:ext>
          </a:extLst>
        </xdr:cNvPr>
        <xdr:cNvSpPr/>
      </xdr:nvSpPr>
      <xdr:spPr>
        <a:xfrm>
          <a:off x="4957270" y="1993206"/>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700010</xdr:colOff>
      <xdr:row>12</xdr:row>
      <xdr:rowOff>38510</xdr:rowOff>
    </xdr:from>
    <xdr:to>
      <xdr:col>8</xdr:col>
      <xdr:colOff>658010</xdr:colOff>
      <xdr:row>12</xdr:row>
      <xdr:rowOff>218510</xdr:rowOff>
    </xdr:to>
    <xdr:sp macro="" textlink="">
      <xdr:nvSpPr>
        <xdr:cNvPr id="28" name="28 Flecha arriba">
          <a:extLst>
            <a:ext uri="{FF2B5EF4-FFF2-40B4-BE49-F238E27FC236}">
              <a16:creationId xmlns:a16="http://schemas.microsoft.com/office/drawing/2014/main" id="{329728D5-8D62-4AB0-8353-4A18AC603ACA}"/>
            </a:ext>
          </a:extLst>
        </xdr:cNvPr>
        <xdr:cNvSpPr/>
      </xdr:nvSpPr>
      <xdr:spPr>
        <a:xfrm>
          <a:off x="4203553" y="5447053"/>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52311</xdr:colOff>
      <xdr:row>14</xdr:row>
      <xdr:rowOff>45136</xdr:rowOff>
    </xdr:from>
    <xdr:to>
      <xdr:col>8</xdr:col>
      <xdr:colOff>10311</xdr:colOff>
      <xdr:row>14</xdr:row>
      <xdr:rowOff>225136</xdr:rowOff>
    </xdr:to>
    <xdr:sp macro="" textlink="">
      <xdr:nvSpPr>
        <xdr:cNvPr id="29" name="28 Flecha arriba">
          <a:extLst>
            <a:ext uri="{FF2B5EF4-FFF2-40B4-BE49-F238E27FC236}">
              <a16:creationId xmlns:a16="http://schemas.microsoft.com/office/drawing/2014/main" id="{D75A32A2-899E-41FE-B87F-28A4A015892E}"/>
            </a:ext>
          </a:extLst>
        </xdr:cNvPr>
        <xdr:cNvSpPr/>
      </xdr:nvSpPr>
      <xdr:spPr>
        <a:xfrm>
          <a:off x="3555854" y="7068788"/>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9</xdr:col>
      <xdr:colOff>55623</xdr:colOff>
      <xdr:row>14</xdr:row>
      <xdr:rowOff>73297</xdr:rowOff>
    </xdr:from>
    <xdr:to>
      <xdr:col>10</xdr:col>
      <xdr:colOff>13623</xdr:colOff>
      <xdr:row>14</xdr:row>
      <xdr:rowOff>253297</xdr:rowOff>
    </xdr:to>
    <xdr:sp macro="" textlink="">
      <xdr:nvSpPr>
        <xdr:cNvPr id="30" name="28 Flecha arriba">
          <a:extLst>
            <a:ext uri="{FF2B5EF4-FFF2-40B4-BE49-F238E27FC236}">
              <a16:creationId xmlns:a16="http://schemas.microsoft.com/office/drawing/2014/main" id="{4894898B-C429-4859-9B1C-AE9DB0452CE4}"/>
            </a:ext>
          </a:extLst>
        </xdr:cNvPr>
        <xdr:cNvSpPr/>
      </xdr:nvSpPr>
      <xdr:spPr>
        <a:xfrm>
          <a:off x="5083166" y="7096949"/>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1559152</xdr:colOff>
      <xdr:row>3</xdr:row>
      <xdr:rowOff>170464</xdr:rowOff>
    </xdr:to>
    <xdr:pic>
      <xdr:nvPicPr>
        <xdr:cNvPr id="2" name="Imagen 1">
          <a:extLst>
            <a:ext uri="{FF2B5EF4-FFF2-40B4-BE49-F238E27FC236}">
              <a16:creationId xmlns:a16="http://schemas.microsoft.com/office/drawing/2014/main" id="{A5DFCD65-0F4B-4305-A52A-89A969830B1E}"/>
            </a:ext>
          </a:extLst>
        </xdr:cNvPr>
        <xdr:cNvPicPr>
          <a:picLocks noChangeAspect="1"/>
        </xdr:cNvPicPr>
      </xdr:nvPicPr>
      <xdr:blipFill>
        <a:blip xmlns:r="http://schemas.openxmlformats.org/officeDocument/2006/relationships" r:embed="rId1"/>
        <a:stretch>
          <a:fillRect/>
        </a:stretch>
      </xdr:blipFill>
      <xdr:spPr>
        <a:xfrm>
          <a:off x="0" y="0"/>
          <a:ext cx="1559152" cy="5324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77158</xdr:colOff>
      <xdr:row>8</xdr:row>
      <xdr:rowOff>36854</xdr:rowOff>
    </xdr:from>
    <xdr:to>
      <xdr:col>4</xdr:col>
      <xdr:colOff>35158</xdr:colOff>
      <xdr:row>8</xdr:row>
      <xdr:rowOff>216854</xdr:rowOff>
    </xdr:to>
    <xdr:sp macro="" textlink="">
      <xdr:nvSpPr>
        <xdr:cNvPr id="2" name="28 Flecha arriba">
          <a:extLst>
            <a:ext uri="{FF2B5EF4-FFF2-40B4-BE49-F238E27FC236}">
              <a16:creationId xmlns:a16="http://schemas.microsoft.com/office/drawing/2014/main" id="{A2C5E7A3-B2D2-4198-850C-52BECDDAABEB}"/>
            </a:ext>
          </a:extLst>
        </xdr:cNvPr>
        <xdr:cNvSpPr/>
      </xdr:nvSpPr>
      <xdr:spPr>
        <a:xfrm>
          <a:off x="1153483" y="5313704"/>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algn="ctr"/>
          <a:endParaRPr lang="es-CO" sz="1100"/>
        </a:p>
      </xdr:txBody>
    </xdr:sp>
    <xdr:clientData/>
  </xdr:twoCellAnchor>
  <xdr:twoCellAnchor>
    <xdr:from>
      <xdr:col>5</xdr:col>
      <xdr:colOff>80470</xdr:colOff>
      <xdr:row>8</xdr:row>
      <xdr:rowOff>48449</xdr:rowOff>
    </xdr:from>
    <xdr:to>
      <xdr:col>6</xdr:col>
      <xdr:colOff>38470</xdr:colOff>
      <xdr:row>8</xdr:row>
      <xdr:rowOff>228449</xdr:rowOff>
    </xdr:to>
    <xdr:sp macro="" textlink="">
      <xdr:nvSpPr>
        <xdr:cNvPr id="3" name="28 Flecha arriba">
          <a:extLst>
            <a:ext uri="{FF2B5EF4-FFF2-40B4-BE49-F238E27FC236}">
              <a16:creationId xmlns:a16="http://schemas.microsoft.com/office/drawing/2014/main" id="{1205DFCD-183F-402B-BE1B-4C867D9EB89C}"/>
            </a:ext>
            <a:ext uri="{147F2762-F138-4A5C-976F-8EAC2B608ADB}">
              <a16:predDERef xmlns:a16="http://schemas.microsoft.com/office/drawing/2014/main" pred="{A2C5E7A3-B2D2-4198-850C-52BECDDAABEB}"/>
            </a:ext>
          </a:extLst>
        </xdr:cNvPr>
        <xdr:cNvSpPr/>
      </xdr:nvSpPr>
      <xdr:spPr>
        <a:xfrm>
          <a:off x="2680795" y="5325299"/>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50652</xdr:colOff>
      <xdr:row>8</xdr:row>
      <xdr:rowOff>35197</xdr:rowOff>
    </xdr:from>
    <xdr:to>
      <xdr:col>13</xdr:col>
      <xdr:colOff>8652</xdr:colOff>
      <xdr:row>8</xdr:row>
      <xdr:rowOff>215197</xdr:rowOff>
    </xdr:to>
    <xdr:sp macro="" textlink="">
      <xdr:nvSpPr>
        <xdr:cNvPr id="4" name="28 Flecha arriba">
          <a:extLst>
            <a:ext uri="{FF2B5EF4-FFF2-40B4-BE49-F238E27FC236}">
              <a16:creationId xmlns:a16="http://schemas.microsoft.com/office/drawing/2014/main" id="{F3349C1D-07A3-4C68-A948-D7F45210F5A9}"/>
            </a:ext>
            <a:ext uri="{147F2762-F138-4A5C-976F-8EAC2B608ADB}">
              <a16:predDERef xmlns:a16="http://schemas.microsoft.com/office/drawing/2014/main" pred="{1205DFCD-183F-402B-BE1B-4C867D9EB89C}"/>
            </a:ext>
          </a:extLst>
        </xdr:cNvPr>
        <xdr:cNvSpPr/>
      </xdr:nvSpPr>
      <xdr:spPr>
        <a:xfrm>
          <a:off x="6737202" y="5312047"/>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714918</xdr:colOff>
      <xdr:row>10</xdr:row>
      <xdr:rowOff>69985</xdr:rowOff>
    </xdr:from>
    <xdr:to>
      <xdr:col>4</xdr:col>
      <xdr:colOff>672918</xdr:colOff>
      <xdr:row>10</xdr:row>
      <xdr:rowOff>249985</xdr:rowOff>
    </xdr:to>
    <xdr:sp macro="" textlink="">
      <xdr:nvSpPr>
        <xdr:cNvPr id="5" name="28 Flecha arriba">
          <a:extLst>
            <a:ext uri="{FF2B5EF4-FFF2-40B4-BE49-F238E27FC236}">
              <a16:creationId xmlns:a16="http://schemas.microsoft.com/office/drawing/2014/main" id="{6D1FD3B1-C3E1-4254-8D5A-E41C6B8341F8}"/>
            </a:ext>
            <a:ext uri="{147F2762-F138-4A5C-976F-8EAC2B608ADB}">
              <a16:predDERef xmlns:a16="http://schemas.microsoft.com/office/drawing/2014/main" pred="{F3349C1D-07A3-4C68-A948-D7F45210F5A9}"/>
            </a:ext>
          </a:extLst>
        </xdr:cNvPr>
        <xdr:cNvSpPr/>
      </xdr:nvSpPr>
      <xdr:spPr>
        <a:xfrm>
          <a:off x="1791243" y="7070860"/>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47341</xdr:colOff>
      <xdr:row>10</xdr:row>
      <xdr:rowOff>40167</xdr:rowOff>
    </xdr:from>
    <xdr:to>
      <xdr:col>8</xdr:col>
      <xdr:colOff>5341</xdr:colOff>
      <xdr:row>10</xdr:row>
      <xdr:rowOff>220167</xdr:rowOff>
    </xdr:to>
    <xdr:sp macro="" textlink="">
      <xdr:nvSpPr>
        <xdr:cNvPr id="6" name="28 Flecha arriba">
          <a:extLst>
            <a:ext uri="{FF2B5EF4-FFF2-40B4-BE49-F238E27FC236}">
              <a16:creationId xmlns:a16="http://schemas.microsoft.com/office/drawing/2014/main" id="{7EDF3D93-386A-4BD8-BF05-5124E5060D6E}"/>
            </a:ext>
            <a:ext uri="{147F2762-F138-4A5C-976F-8EAC2B608ADB}">
              <a16:predDERef xmlns:a16="http://schemas.microsoft.com/office/drawing/2014/main" pred="{6D1FD3B1-C3E1-4254-8D5A-E41C6B8341F8}"/>
            </a:ext>
          </a:extLst>
        </xdr:cNvPr>
        <xdr:cNvSpPr/>
      </xdr:nvSpPr>
      <xdr:spPr>
        <a:xfrm>
          <a:off x="3543016" y="7041042"/>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125196</xdr:colOff>
      <xdr:row>10</xdr:row>
      <xdr:rowOff>43480</xdr:rowOff>
    </xdr:from>
    <xdr:to>
      <xdr:col>13</xdr:col>
      <xdr:colOff>83196</xdr:colOff>
      <xdr:row>10</xdr:row>
      <xdr:rowOff>223480</xdr:rowOff>
    </xdr:to>
    <xdr:sp macro="" textlink="">
      <xdr:nvSpPr>
        <xdr:cNvPr id="7" name="28 Flecha arriba">
          <a:extLst>
            <a:ext uri="{FF2B5EF4-FFF2-40B4-BE49-F238E27FC236}">
              <a16:creationId xmlns:a16="http://schemas.microsoft.com/office/drawing/2014/main" id="{B3092FFC-346C-4A03-B17A-E2B524E4D4A1}"/>
            </a:ext>
            <a:ext uri="{147F2762-F138-4A5C-976F-8EAC2B608ADB}">
              <a16:predDERef xmlns:a16="http://schemas.microsoft.com/office/drawing/2014/main" pred="{7EDF3D93-386A-4BD8-BF05-5124E5060D6E}"/>
            </a:ext>
          </a:extLst>
        </xdr:cNvPr>
        <xdr:cNvSpPr/>
      </xdr:nvSpPr>
      <xdr:spPr>
        <a:xfrm>
          <a:off x="6811746" y="7044355"/>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14209</xdr:colOff>
      <xdr:row>12</xdr:row>
      <xdr:rowOff>15319</xdr:rowOff>
    </xdr:from>
    <xdr:to>
      <xdr:col>3</xdr:col>
      <xdr:colOff>734209</xdr:colOff>
      <xdr:row>12</xdr:row>
      <xdr:rowOff>195319</xdr:rowOff>
    </xdr:to>
    <xdr:sp macro="" textlink="">
      <xdr:nvSpPr>
        <xdr:cNvPr id="8" name="28 Flecha arriba">
          <a:extLst>
            <a:ext uri="{FF2B5EF4-FFF2-40B4-BE49-F238E27FC236}">
              <a16:creationId xmlns:a16="http://schemas.microsoft.com/office/drawing/2014/main" id="{3951FF0D-6AC6-4DE5-B6AF-05E1E3CFC3EA}"/>
            </a:ext>
            <a:ext uri="{147F2762-F138-4A5C-976F-8EAC2B608ADB}">
              <a16:predDERef xmlns:a16="http://schemas.microsoft.com/office/drawing/2014/main" pred="{B3092FFC-346C-4A03-B17A-E2B524E4D4A1}"/>
            </a:ext>
          </a:extLst>
        </xdr:cNvPr>
        <xdr:cNvSpPr/>
      </xdr:nvSpPr>
      <xdr:spPr>
        <a:xfrm>
          <a:off x="1090534" y="8740219"/>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5</xdr:col>
      <xdr:colOff>50653</xdr:colOff>
      <xdr:row>12</xdr:row>
      <xdr:rowOff>43480</xdr:rowOff>
    </xdr:from>
    <xdr:to>
      <xdr:col>6</xdr:col>
      <xdr:colOff>8653</xdr:colOff>
      <xdr:row>12</xdr:row>
      <xdr:rowOff>223480</xdr:rowOff>
    </xdr:to>
    <xdr:sp macro="" textlink="">
      <xdr:nvSpPr>
        <xdr:cNvPr id="9" name="28 Flecha arriba">
          <a:extLst>
            <a:ext uri="{FF2B5EF4-FFF2-40B4-BE49-F238E27FC236}">
              <a16:creationId xmlns:a16="http://schemas.microsoft.com/office/drawing/2014/main" id="{7426C674-D41F-495A-B1DD-0116140BC9DB}"/>
            </a:ext>
            <a:ext uri="{147F2762-F138-4A5C-976F-8EAC2B608ADB}">
              <a16:predDERef xmlns:a16="http://schemas.microsoft.com/office/drawing/2014/main" pred="{3951FF0D-6AC6-4DE5-B6AF-05E1E3CFC3EA}"/>
            </a:ext>
          </a:extLst>
        </xdr:cNvPr>
        <xdr:cNvSpPr/>
      </xdr:nvSpPr>
      <xdr:spPr>
        <a:xfrm>
          <a:off x="2650978" y="8768380"/>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37401</xdr:colOff>
      <xdr:row>12</xdr:row>
      <xdr:rowOff>55075</xdr:rowOff>
    </xdr:from>
    <xdr:to>
      <xdr:col>12</xdr:col>
      <xdr:colOff>757401</xdr:colOff>
      <xdr:row>12</xdr:row>
      <xdr:rowOff>235075</xdr:rowOff>
    </xdr:to>
    <xdr:sp macro="" textlink="">
      <xdr:nvSpPr>
        <xdr:cNvPr id="10" name="28 Flecha arriba">
          <a:extLst>
            <a:ext uri="{FF2B5EF4-FFF2-40B4-BE49-F238E27FC236}">
              <a16:creationId xmlns:a16="http://schemas.microsoft.com/office/drawing/2014/main" id="{F6F9841E-0FCE-4F14-844B-CE311FE54F7F}"/>
            </a:ext>
            <a:ext uri="{147F2762-F138-4A5C-976F-8EAC2B608ADB}">
              <a16:predDERef xmlns:a16="http://schemas.microsoft.com/office/drawing/2014/main" pred="{7426C674-D41F-495A-B1DD-0116140BC9DB}"/>
            </a:ext>
          </a:extLst>
        </xdr:cNvPr>
        <xdr:cNvSpPr/>
      </xdr:nvSpPr>
      <xdr:spPr>
        <a:xfrm>
          <a:off x="6723951" y="8779975"/>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3</xdr:col>
      <xdr:colOff>48997</xdr:colOff>
      <xdr:row>14</xdr:row>
      <xdr:rowOff>41823</xdr:rowOff>
    </xdr:from>
    <xdr:to>
      <xdr:col>4</xdr:col>
      <xdr:colOff>6997</xdr:colOff>
      <xdr:row>14</xdr:row>
      <xdr:rowOff>221823</xdr:rowOff>
    </xdr:to>
    <xdr:sp macro="" textlink="">
      <xdr:nvSpPr>
        <xdr:cNvPr id="11" name="28 Flecha arriba">
          <a:extLst>
            <a:ext uri="{FF2B5EF4-FFF2-40B4-BE49-F238E27FC236}">
              <a16:creationId xmlns:a16="http://schemas.microsoft.com/office/drawing/2014/main" id="{D37E9AB0-A94B-4802-9548-547C4A81C725}"/>
            </a:ext>
            <a:ext uri="{147F2762-F138-4A5C-976F-8EAC2B608ADB}">
              <a16:predDERef xmlns:a16="http://schemas.microsoft.com/office/drawing/2014/main" pred="{F6F9841E-0FCE-4F14-844B-CE311FE54F7F}"/>
            </a:ext>
          </a:extLst>
        </xdr:cNvPr>
        <xdr:cNvSpPr/>
      </xdr:nvSpPr>
      <xdr:spPr>
        <a:xfrm>
          <a:off x="1125322" y="10376448"/>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5</xdr:col>
      <xdr:colOff>52309</xdr:colOff>
      <xdr:row>14</xdr:row>
      <xdr:rowOff>69984</xdr:rowOff>
    </xdr:from>
    <xdr:to>
      <xdr:col>6</xdr:col>
      <xdr:colOff>10309</xdr:colOff>
      <xdr:row>14</xdr:row>
      <xdr:rowOff>249984</xdr:rowOff>
    </xdr:to>
    <xdr:sp macro="" textlink="">
      <xdr:nvSpPr>
        <xdr:cNvPr id="12" name="28 Flecha arriba">
          <a:extLst>
            <a:ext uri="{FF2B5EF4-FFF2-40B4-BE49-F238E27FC236}">
              <a16:creationId xmlns:a16="http://schemas.microsoft.com/office/drawing/2014/main" id="{EFD43A97-A435-4481-A24B-4DE2590A20DB}"/>
            </a:ext>
            <a:ext uri="{147F2762-F138-4A5C-976F-8EAC2B608ADB}">
              <a16:predDERef xmlns:a16="http://schemas.microsoft.com/office/drawing/2014/main" pred="{D37E9AB0-A94B-4802-9548-547C4A81C725}"/>
            </a:ext>
          </a:extLst>
        </xdr:cNvPr>
        <xdr:cNvSpPr/>
      </xdr:nvSpPr>
      <xdr:spPr>
        <a:xfrm>
          <a:off x="2652634" y="10404609"/>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12</xdr:col>
      <xdr:colOff>113601</xdr:colOff>
      <xdr:row>14</xdr:row>
      <xdr:rowOff>56732</xdr:rowOff>
    </xdr:from>
    <xdr:to>
      <xdr:col>13</xdr:col>
      <xdr:colOff>71601</xdr:colOff>
      <xdr:row>14</xdr:row>
      <xdr:rowOff>236732</xdr:rowOff>
    </xdr:to>
    <xdr:sp macro="" textlink="">
      <xdr:nvSpPr>
        <xdr:cNvPr id="13" name="28 Flecha arriba">
          <a:extLst>
            <a:ext uri="{FF2B5EF4-FFF2-40B4-BE49-F238E27FC236}">
              <a16:creationId xmlns:a16="http://schemas.microsoft.com/office/drawing/2014/main" id="{CA328E06-E46D-4DBB-B6CF-6CC14D9487E3}"/>
            </a:ext>
            <a:ext uri="{147F2762-F138-4A5C-976F-8EAC2B608ADB}">
              <a16:predDERef xmlns:a16="http://schemas.microsoft.com/office/drawing/2014/main" pred="{EFD43A97-A435-4481-A24B-4DE2590A20DB}"/>
            </a:ext>
          </a:extLst>
        </xdr:cNvPr>
        <xdr:cNvSpPr/>
      </xdr:nvSpPr>
      <xdr:spPr>
        <a:xfrm>
          <a:off x="6800151" y="10391357"/>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8</xdr:col>
      <xdr:colOff>738110</xdr:colOff>
      <xdr:row>10</xdr:row>
      <xdr:rowOff>51763</xdr:rowOff>
    </xdr:from>
    <xdr:to>
      <xdr:col>9</xdr:col>
      <xdr:colOff>696110</xdr:colOff>
      <xdr:row>10</xdr:row>
      <xdr:rowOff>231763</xdr:rowOff>
    </xdr:to>
    <xdr:sp macro="" textlink="">
      <xdr:nvSpPr>
        <xdr:cNvPr id="14" name="28 Flecha arriba">
          <a:extLst>
            <a:ext uri="{FF2B5EF4-FFF2-40B4-BE49-F238E27FC236}">
              <a16:creationId xmlns:a16="http://schemas.microsoft.com/office/drawing/2014/main" id="{FA49BF8C-BB67-44AD-B57C-E62AC163F7E6}"/>
            </a:ext>
            <a:ext uri="{147F2762-F138-4A5C-976F-8EAC2B608ADB}">
              <a16:predDERef xmlns:a16="http://schemas.microsoft.com/office/drawing/2014/main" pred="{CA328E06-E46D-4DBB-B6CF-6CC14D9487E3}"/>
            </a:ext>
          </a:extLst>
        </xdr:cNvPr>
        <xdr:cNvSpPr/>
      </xdr:nvSpPr>
      <xdr:spPr>
        <a:xfrm>
          <a:off x="4995785" y="7052638"/>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958</xdr:colOff>
      <xdr:row>8</xdr:row>
      <xdr:rowOff>35197</xdr:rowOff>
    </xdr:from>
    <xdr:to>
      <xdr:col>7</xdr:col>
      <xdr:colOff>720958</xdr:colOff>
      <xdr:row>8</xdr:row>
      <xdr:rowOff>215197</xdr:rowOff>
    </xdr:to>
    <xdr:sp macro="" textlink="">
      <xdr:nvSpPr>
        <xdr:cNvPr id="15" name="28 Flecha arriba">
          <a:extLst>
            <a:ext uri="{FF2B5EF4-FFF2-40B4-BE49-F238E27FC236}">
              <a16:creationId xmlns:a16="http://schemas.microsoft.com/office/drawing/2014/main" id="{FE3984CA-4FC9-4CDC-B460-6ABAC202E29B}"/>
            </a:ext>
            <a:ext uri="{147F2762-F138-4A5C-976F-8EAC2B608ADB}">
              <a16:predDERef xmlns:a16="http://schemas.microsoft.com/office/drawing/2014/main" pred="{FA49BF8C-BB67-44AD-B57C-E62AC163F7E6}"/>
            </a:ext>
          </a:extLst>
        </xdr:cNvPr>
        <xdr:cNvSpPr/>
      </xdr:nvSpPr>
      <xdr:spPr>
        <a:xfrm>
          <a:off x="3496633" y="5312047"/>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8</xdr:col>
      <xdr:colOff>691727</xdr:colOff>
      <xdr:row>8</xdr:row>
      <xdr:rowOff>46793</xdr:rowOff>
    </xdr:from>
    <xdr:to>
      <xdr:col>9</xdr:col>
      <xdr:colOff>649727</xdr:colOff>
      <xdr:row>8</xdr:row>
      <xdr:rowOff>226793</xdr:rowOff>
    </xdr:to>
    <xdr:sp macro="" textlink="">
      <xdr:nvSpPr>
        <xdr:cNvPr id="16" name="28 Flecha arriba">
          <a:extLst>
            <a:ext uri="{FF2B5EF4-FFF2-40B4-BE49-F238E27FC236}">
              <a16:creationId xmlns:a16="http://schemas.microsoft.com/office/drawing/2014/main" id="{6EE8D065-82BF-4CB5-9E73-5119D99F17A4}"/>
            </a:ext>
            <a:ext uri="{147F2762-F138-4A5C-976F-8EAC2B608ADB}">
              <a16:predDERef xmlns:a16="http://schemas.microsoft.com/office/drawing/2014/main" pred="{FE3984CA-4FC9-4CDC-B460-6ABAC202E29B}"/>
            </a:ext>
          </a:extLst>
        </xdr:cNvPr>
        <xdr:cNvSpPr/>
      </xdr:nvSpPr>
      <xdr:spPr>
        <a:xfrm>
          <a:off x="4949402" y="5323643"/>
          <a:ext cx="720000" cy="180000"/>
        </a:xfrm>
        <a:prstGeom prst="up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700010</xdr:colOff>
      <xdr:row>12</xdr:row>
      <xdr:rowOff>38510</xdr:rowOff>
    </xdr:from>
    <xdr:to>
      <xdr:col>8</xdr:col>
      <xdr:colOff>658010</xdr:colOff>
      <xdr:row>12</xdr:row>
      <xdr:rowOff>218510</xdr:rowOff>
    </xdr:to>
    <xdr:sp macro="" textlink="">
      <xdr:nvSpPr>
        <xdr:cNvPr id="17" name="28 Flecha arriba">
          <a:extLst>
            <a:ext uri="{FF2B5EF4-FFF2-40B4-BE49-F238E27FC236}">
              <a16:creationId xmlns:a16="http://schemas.microsoft.com/office/drawing/2014/main" id="{0D8EF8FC-D0EE-4B0B-BDA4-06B763A27C39}"/>
            </a:ext>
            <a:ext uri="{147F2762-F138-4A5C-976F-8EAC2B608ADB}">
              <a16:predDERef xmlns:a16="http://schemas.microsoft.com/office/drawing/2014/main" pred="{6EE8D065-82BF-4CB5-9E73-5119D99F17A4}"/>
            </a:ext>
          </a:extLst>
        </xdr:cNvPr>
        <xdr:cNvSpPr/>
      </xdr:nvSpPr>
      <xdr:spPr>
        <a:xfrm>
          <a:off x="4195685" y="8763410"/>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7</xdr:col>
      <xdr:colOff>52311</xdr:colOff>
      <xdr:row>14</xdr:row>
      <xdr:rowOff>45136</xdr:rowOff>
    </xdr:from>
    <xdr:to>
      <xdr:col>8</xdr:col>
      <xdr:colOff>10311</xdr:colOff>
      <xdr:row>14</xdr:row>
      <xdr:rowOff>225136</xdr:rowOff>
    </xdr:to>
    <xdr:sp macro="" textlink="">
      <xdr:nvSpPr>
        <xdr:cNvPr id="18" name="28 Flecha arriba">
          <a:extLst>
            <a:ext uri="{FF2B5EF4-FFF2-40B4-BE49-F238E27FC236}">
              <a16:creationId xmlns:a16="http://schemas.microsoft.com/office/drawing/2014/main" id="{D3016211-83FB-42B4-B34B-DC7DD26B2A26}"/>
            </a:ext>
            <a:ext uri="{147F2762-F138-4A5C-976F-8EAC2B608ADB}">
              <a16:predDERef xmlns:a16="http://schemas.microsoft.com/office/drawing/2014/main" pred="{0D8EF8FC-D0EE-4B0B-BDA4-06B763A27C39}"/>
            </a:ext>
          </a:extLst>
        </xdr:cNvPr>
        <xdr:cNvSpPr/>
      </xdr:nvSpPr>
      <xdr:spPr>
        <a:xfrm>
          <a:off x="3547986" y="10379761"/>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twoCellAnchor>
    <xdr:from>
      <xdr:col>9</xdr:col>
      <xdr:colOff>55623</xdr:colOff>
      <xdr:row>14</xdr:row>
      <xdr:rowOff>73297</xdr:rowOff>
    </xdr:from>
    <xdr:to>
      <xdr:col>10</xdr:col>
      <xdr:colOff>13623</xdr:colOff>
      <xdr:row>14</xdr:row>
      <xdr:rowOff>253297</xdr:rowOff>
    </xdr:to>
    <xdr:sp macro="" textlink="">
      <xdr:nvSpPr>
        <xdr:cNvPr id="19" name="28 Flecha arriba">
          <a:extLst>
            <a:ext uri="{FF2B5EF4-FFF2-40B4-BE49-F238E27FC236}">
              <a16:creationId xmlns:a16="http://schemas.microsoft.com/office/drawing/2014/main" id="{8E4BC030-8FE7-4CA0-B924-9B72A536092A}"/>
            </a:ext>
            <a:ext uri="{147F2762-F138-4A5C-976F-8EAC2B608ADB}">
              <a16:predDERef xmlns:a16="http://schemas.microsoft.com/office/drawing/2014/main" pred="{D3016211-83FB-42B4-B34B-DC7DD26B2A26}"/>
            </a:ext>
          </a:extLst>
        </xdr:cNvPr>
        <xdr:cNvSpPr/>
      </xdr:nvSpPr>
      <xdr:spPr>
        <a:xfrm>
          <a:off x="5075298" y="10407922"/>
          <a:ext cx="720000" cy="180000"/>
        </a:xfrm>
        <a:prstGeom prst="upArrow">
          <a:avLst/>
        </a:prstGeom>
        <a:solidFill>
          <a:schemeClr val="accent2">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rtlCol="0" anchor="ctr"/>
        <a:lstStyle/>
        <a:p>
          <a:pPr marL="0" indent="0" algn="ctr"/>
          <a:endParaRPr lang="es-CO" sz="1100">
            <a:solidFill>
              <a:schemeClr val="dk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1200150</xdr:colOff>
      <xdr:row>72</xdr:row>
      <xdr:rowOff>152400</xdr:rowOff>
    </xdr:from>
    <xdr:to>
      <xdr:col>8</xdr:col>
      <xdr:colOff>657225</xdr:colOff>
      <xdr:row>72</xdr:row>
      <xdr:rowOff>152402</xdr:rowOff>
    </xdr:to>
    <xdr:cxnSp macro="">
      <xdr:nvCxnSpPr>
        <xdr:cNvPr id="6" name="Conector recto de flecha 5">
          <a:extLst>
            <a:ext uri="{FF2B5EF4-FFF2-40B4-BE49-F238E27FC236}">
              <a16:creationId xmlns:a16="http://schemas.microsoft.com/office/drawing/2014/main" id="{A52A0FDE-3484-4471-9239-5291C5825552}"/>
            </a:ext>
          </a:extLst>
        </xdr:cNvPr>
        <xdr:cNvCxnSpPr/>
      </xdr:nvCxnSpPr>
      <xdr:spPr>
        <a:xfrm flipV="1">
          <a:off x="13992225" y="19507200"/>
          <a:ext cx="657225" cy="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733425</xdr:colOff>
      <xdr:row>72</xdr:row>
      <xdr:rowOff>28575</xdr:rowOff>
    </xdr:from>
    <xdr:ext cx="3045449" cy="320280"/>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23D8B7C7-6025-4869-AF80-463146A35167}"/>
                </a:ext>
              </a:extLst>
            </xdr:cNvPr>
            <xdr:cNvSpPr txBox="1"/>
          </xdr:nvSpPr>
          <xdr:spPr>
            <a:xfrm>
              <a:off x="14725650" y="19383375"/>
              <a:ext cx="3045449"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𝑃𝑎𝑟𝑡𝑖𝑐𝑖𝑝𝑎𝑐𝑖</m:t>
                    </m:r>
                    <m:r>
                      <a:rPr lang="es-CO" sz="1100" b="0" i="1">
                        <a:latin typeface="Cambria Math" panose="02040503050406030204" pitchFamily="18" charset="0"/>
                      </a:rPr>
                      <m:t>ó</m:t>
                    </m:r>
                    <m:r>
                      <a:rPr lang="es-CO" sz="1100" b="0" i="1">
                        <a:latin typeface="Cambria Math" panose="02040503050406030204" pitchFamily="18" charset="0"/>
                      </a:rPr>
                      <m:t>𝑛</m:t>
                    </m:r>
                    <m:r>
                      <a:rPr lang="es-CO" sz="1100" b="0" i="1">
                        <a:latin typeface="Cambria Math" panose="02040503050406030204" pitchFamily="18" charset="0"/>
                      </a:rPr>
                      <m:t> </m:t>
                    </m:r>
                    <m:sSub>
                      <m:sSubPr>
                        <m:ctrlPr>
                          <a:rPr lang="es-CO" sz="1100" b="0" i="1">
                            <a:latin typeface="Cambria Math" panose="02040503050406030204" pitchFamily="18" charset="0"/>
                          </a:rPr>
                        </m:ctrlPr>
                      </m:sSubPr>
                      <m:e>
                        <m:r>
                          <a:rPr lang="es-CO" sz="1100" b="0" i="1">
                            <a:latin typeface="Cambria Math" panose="02040503050406030204" pitchFamily="18" charset="0"/>
                          </a:rPr>
                          <m:t>𝑃𝑟𝑜𝑑𝑢𝑐𝑡𝑜</m:t>
                        </m:r>
                        <m:r>
                          <a:rPr lang="es-CO" sz="1100" b="0" i="1">
                            <a:latin typeface="Cambria Math" panose="02040503050406030204" pitchFamily="18" charset="0"/>
                          </a:rPr>
                          <m:t> </m:t>
                        </m:r>
                      </m:e>
                      <m:sub>
                        <m:r>
                          <a:rPr lang="es-CO" sz="1100" b="0" i="1">
                            <a:latin typeface="Cambria Math" panose="02040503050406030204" pitchFamily="18" charset="0"/>
                          </a:rPr>
                          <m:t>𝑖</m:t>
                        </m:r>
                      </m:sub>
                    </m:sSub>
                    <m:r>
                      <a:rPr lang="es-CO" sz="1100" b="0" i="1">
                        <a:latin typeface="Cambria Math" panose="02040503050406030204" pitchFamily="18" charset="0"/>
                      </a:rPr>
                      <m:t>=</m:t>
                    </m:r>
                    <m:f>
                      <m:fPr>
                        <m:ctrlPr>
                          <a:rPr lang="es-CO" sz="1100" b="0" i="1">
                            <a:latin typeface="Cambria Math" panose="02040503050406030204" pitchFamily="18" charset="0"/>
                          </a:rPr>
                        </m:ctrlPr>
                      </m:fPr>
                      <m:num>
                        <m:sSub>
                          <m:sSubPr>
                            <m:ctrlPr>
                              <a:rPr lang="es-CO" sz="1100" b="0" i="1">
                                <a:latin typeface="Cambria Math" panose="02040503050406030204" pitchFamily="18" charset="0"/>
                              </a:rPr>
                            </m:ctrlPr>
                          </m:sSubPr>
                          <m:e>
                            <m:r>
                              <a:rPr lang="es-CO" sz="1100" b="0" i="1">
                                <a:latin typeface="Cambria Math" panose="02040503050406030204" pitchFamily="18" charset="0"/>
                              </a:rPr>
                              <m:t>𝑈𝑛𝑖𝑑𝑎𝑑𝑒𝑠</m:t>
                            </m:r>
                            <m:r>
                              <a:rPr lang="es-CO" sz="1100" b="0" i="1">
                                <a:latin typeface="Cambria Math" panose="02040503050406030204" pitchFamily="18" charset="0"/>
                              </a:rPr>
                              <m:t> </m:t>
                            </m:r>
                            <m:r>
                              <a:rPr lang="es-CO" sz="1100" b="0" i="1">
                                <a:latin typeface="Cambria Math" panose="02040503050406030204" pitchFamily="18" charset="0"/>
                              </a:rPr>
                              <m:t>𝑃𝑟𝑜𝑑𝑢𝑐𝑡𝑜</m:t>
                            </m:r>
                          </m:e>
                          <m:sub>
                            <m:r>
                              <a:rPr lang="es-CO" sz="1100" b="0" i="1">
                                <a:latin typeface="Cambria Math" panose="02040503050406030204" pitchFamily="18" charset="0"/>
                              </a:rPr>
                              <m:t>𝑖</m:t>
                            </m:r>
                          </m:sub>
                        </m:sSub>
                      </m:num>
                      <m:den>
                        <m:r>
                          <a:rPr lang="es-CO" sz="1100" b="0" i="1">
                            <a:latin typeface="Cambria Math" panose="02040503050406030204" pitchFamily="18" charset="0"/>
                          </a:rPr>
                          <m:t>𝑈𝑛𝑖𝑑𝑎𝑑𝑒𝑠</m:t>
                        </m:r>
                        <m:r>
                          <a:rPr lang="es-CO" sz="1100" b="0" i="1">
                            <a:latin typeface="Cambria Math" panose="02040503050406030204" pitchFamily="18" charset="0"/>
                          </a:rPr>
                          <m:t> </m:t>
                        </m:r>
                        <m:r>
                          <a:rPr lang="es-CO" sz="1100" b="0" i="1">
                            <a:latin typeface="Cambria Math" panose="02040503050406030204" pitchFamily="18" charset="0"/>
                          </a:rPr>
                          <m:t>𝑇𝑂𝑇𝐴𝐿𝐸𝑆</m:t>
                        </m:r>
                      </m:den>
                    </m:f>
                  </m:oMath>
                </m:oMathPara>
              </a14:m>
              <a:endParaRPr lang="es-CO" sz="1100"/>
            </a:p>
          </xdr:txBody>
        </xdr:sp>
      </mc:Choice>
      <mc:Fallback xmlns="">
        <xdr:sp macro="" textlink="">
          <xdr:nvSpPr>
            <xdr:cNvPr id="7" name="CuadroTexto 6">
              <a:extLst>
                <a:ext uri="{FF2B5EF4-FFF2-40B4-BE49-F238E27FC236}">
                  <a16:creationId xmlns:a16="http://schemas.microsoft.com/office/drawing/2014/main" id="{23D8B7C7-6025-4869-AF80-463146A35167}"/>
                </a:ext>
              </a:extLst>
            </xdr:cNvPr>
            <xdr:cNvSpPr txBox="1"/>
          </xdr:nvSpPr>
          <xdr:spPr>
            <a:xfrm>
              <a:off x="14725650" y="19383375"/>
              <a:ext cx="3045449"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𝑃𝑎𝑟𝑡𝑖𝑐𝑖𝑝𝑎𝑐𝑖ó𝑛 〖𝑃𝑟𝑜𝑑𝑢𝑐𝑡𝑜 〗_𝑖=〖𝑈𝑛𝑖𝑑𝑎𝑑𝑒𝑠 𝑃𝑟𝑜𝑑𝑢𝑐𝑡𝑜〗_𝑖/(𝑈𝑛𝑖𝑑𝑎𝑑𝑒𝑠 𝑇𝑂𝑇𝐴𝐿𝐸𝑆)</a:t>
              </a:r>
              <a:endParaRPr lang="es-CO" sz="1100"/>
            </a:p>
          </xdr:txBody>
        </xdr:sp>
      </mc:Fallback>
    </mc:AlternateContent>
    <xdr:clientData/>
  </xdr:oneCellAnchor>
  <xdr:twoCellAnchor editAs="oneCell">
    <xdr:from>
      <xdr:col>5</xdr:col>
      <xdr:colOff>558053</xdr:colOff>
      <xdr:row>4</xdr:row>
      <xdr:rowOff>38099</xdr:rowOff>
    </xdr:from>
    <xdr:to>
      <xdr:col>7</xdr:col>
      <xdr:colOff>538830</xdr:colOff>
      <xdr:row>8</xdr:row>
      <xdr:rowOff>25212</xdr:rowOff>
    </xdr:to>
    <xdr:pic>
      <xdr:nvPicPr>
        <xdr:cNvPr id="8" name="Imagen 7">
          <a:extLst>
            <a:ext uri="{FF2B5EF4-FFF2-40B4-BE49-F238E27FC236}">
              <a16:creationId xmlns:a16="http://schemas.microsoft.com/office/drawing/2014/main" id="{6EF0FFCD-205C-4D1A-9492-4689FE16A917}"/>
            </a:ext>
            <a:ext uri="{147F2762-F138-4A5C-976F-8EAC2B608ADB}">
              <a16:predDERef xmlns:a16="http://schemas.microsoft.com/office/drawing/2014/main" pred="{23D8B7C7-6025-4869-AF80-463146A35167}"/>
            </a:ext>
          </a:extLst>
        </xdr:cNvPr>
        <xdr:cNvPicPr>
          <a:picLocks noChangeAspect="1"/>
        </xdr:cNvPicPr>
      </xdr:nvPicPr>
      <xdr:blipFill>
        <a:blip xmlns:r="http://schemas.openxmlformats.org/officeDocument/2006/relationships" r:embed="rId1"/>
        <a:stretch>
          <a:fillRect/>
        </a:stretch>
      </xdr:blipFill>
      <xdr:spPr>
        <a:xfrm>
          <a:off x="11140328" y="1828799"/>
          <a:ext cx="3362152" cy="9681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2838450</xdr:colOff>
      <xdr:row>5</xdr:row>
      <xdr:rowOff>542925</xdr:rowOff>
    </xdr:from>
    <xdr:to>
      <xdr:col>8</xdr:col>
      <xdr:colOff>371475</xdr:colOff>
      <xdr:row>9</xdr:row>
      <xdr:rowOff>171450</xdr:rowOff>
    </xdr:to>
    <xdr:pic>
      <xdr:nvPicPr>
        <xdr:cNvPr id="25" name="Imagen 13">
          <a:extLst>
            <a:ext uri="{FF2B5EF4-FFF2-40B4-BE49-F238E27FC236}">
              <a16:creationId xmlns:a16="http://schemas.microsoft.com/office/drawing/2014/main" id="{D5602D36-3373-609A-E55B-7B761CAEC03E}"/>
            </a:ext>
          </a:extLst>
        </xdr:cNvPr>
        <xdr:cNvPicPr>
          <a:picLocks noChangeAspect="1"/>
        </xdr:cNvPicPr>
      </xdr:nvPicPr>
      <xdr:blipFill>
        <a:blip xmlns:r="http://schemas.openxmlformats.org/officeDocument/2006/relationships" r:embed="rId1"/>
        <a:stretch>
          <a:fillRect/>
        </a:stretch>
      </xdr:blipFill>
      <xdr:spPr>
        <a:xfrm>
          <a:off x="10687050" y="1495425"/>
          <a:ext cx="2819400"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66675</xdr:colOff>
      <xdr:row>30</xdr:row>
      <xdr:rowOff>9525</xdr:rowOff>
    </xdr:to>
    <xdr:pic>
      <xdr:nvPicPr>
        <xdr:cNvPr id="2" name="Picture 1">
          <a:extLst>
            <a:ext uri="{FF2B5EF4-FFF2-40B4-BE49-F238E27FC236}">
              <a16:creationId xmlns:a16="http://schemas.microsoft.com/office/drawing/2014/main" id="{CFEDB24C-CA72-D777-33E7-3162AB4DB032}"/>
            </a:ext>
          </a:extLst>
        </xdr:cNvPr>
        <xdr:cNvPicPr>
          <a:picLocks noChangeAspect="1"/>
        </xdr:cNvPicPr>
      </xdr:nvPicPr>
      <xdr:blipFill>
        <a:blip xmlns:r="http://schemas.openxmlformats.org/officeDocument/2006/relationships" r:embed="rId1"/>
        <a:stretch>
          <a:fillRect/>
        </a:stretch>
      </xdr:blipFill>
      <xdr:spPr>
        <a:xfrm>
          <a:off x="609600" y="190500"/>
          <a:ext cx="7381875" cy="55340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333375</xdr:colOff>
      <xdr:row>2</xdr:row>
      <xdr:rowOff>47625</xdr:rowOff>
    </xdr:from>
    <xdr:to>
      <xdr:col>0</xdr:col>
      <xdr:colOff>2584931</xdr:colOff>
      <xdr:row>47</xdr:row>
      <xdr:rowOff>28575</xdr:rowOff>
    </xdr:to>
    <xdr:graphicFrame macro="">
      <xdr:nvGraphicFramePr>
        <xdr:cNvPr id="2" name="Diagrama 1">
          <a:extLst>
            <a:ext uri="{FF2B5EF4-FFF2-40B4-BE49-F238E27FC236}">
              <a16:creationId xmlns:a16="http://schemas.microsoft.com/office/drawing/2014/main" id="{7B2F7E70-8540-4975-A290-A8102242926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145675</xdr:rowOff>
    </xdr:from>
    <xdr:to>
      <xdr:col>2</xdr:col>
      <xdr:colOff>818029</xdr:colOff>
      <xdr:row>17</xdr:row>
      <xdr:rowOff>107202</xdr:rowOff>
    </xdr:to>
    <xdr:pic>
      <xdr:nvPicPr>
        <xdr:cNvPr id="3" name="Imagen 2">
          <a:extLst>
            <a:ext uri="{FF2B5EF4-FFF2-40B4-BE49-F238E27FC236}">
              <a16:creationId xmlns:a16="http://schemas.microsoft.com/office/drawing/2014/main" id="{A5BF889C-48B7-ED04-BC4B-93ADF60E8910}"/>
            </a:ext>
          </a:extLst>
        </xdr:cNvPr>
        <xdr:cNvPicPr>
          <a:picLocks noChangeAspect="1"/>
        </xdr:cNvPicPr>
      </xdr:nvPicPr>
      <xdr:blipFill>
        <a:blip xmlns:r="http://schemas.openxmlformats.org/officeDocument/2006/relationships" r:embed="rId1"/>
        <a:stretch>
          <a:fillRect/>
        </a:stretch>
      </xdr:blipFill>
      <xdr:spPr>
        <a:xfrm>
          <a:off x="0" y="336175"/>
          <a:ext cx="5715000" cy="3009527"/>
        </a:xfrm>
        <a:prstGeom prst="rect">
          <a:avLst/>
        </a:prstGeom>
      </xdr:spPr>
    </xdr:pic>
    <xdr:clientData/>
  </xdr:twoCellAnchor>
  <xdr:twoCellAnchor editAs="oneCell">
    <xdr:from>
      <xdr:col>0</xdr:col>
      <xdr:colOff>22411</xdr:colOff>
      <xdr:row>17</xdr:row>
      <xdr:rowOff>0</xdr:rowOff>
    </xdr:from>
    <xdr:to>
      <xdr:col>2</xdr:col>
      <xdr:colOff>829235</xdr:colOff>
      <xdr:row>32</xdr:row>
      <xdr:rowOff>172475</xdr:rowOff>
    </xdr:to>
    <xdr:pic>
      <xdr:nvPicPr>
        <xdr:cNvPr id="4" name="Imagen 3">
          <a:extLst>
            <a:ext uri="{FF2B5EF4-FFF2-40B4-BE49-F238E27FC236}">
              <a16:creationId xmlns:a16="http://schemas.microsoft.com/office/drawing/2014/main" id="{9B55CD89-168A-9FFC-E207-8B61D2BD4A30}"/>
            </a:ext>
          </a:extLst>
        </xdr:cNvPr>
        <xdr:cNvPicPr>
          <a:picLocks noChangeAspect="1"/>
        </xdr:cNvPicPr>
      </xdr:nvPicPr>
      <xdr:blipFill>
        <a:blip xmlns:r="http://schemas.openxmlformats.org/officeDocument/2006/relationships" r:embed="rId2"/>
        <a:stretch>
          <a:fillRect/>
        </a:stretch>
      </xdr:blipFill>
      <xdr:spPr>
        <a:xfrm>
          <a:off x="22411" y="3384176"/>
          <a:ext cx="5703795" cy="30299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2899</xdr:colOff>
      <xdr:row>27</xdr:row>
      <xdr:rowOff>137076</xdr:rowOff>
    </xdr:from>
    <xdr:to>
      <xdr:col>4</xdr:col>
      <xdr:colOff>554702</xdr:colOff>
      <xdr:row>53</xdr:row>
      <xdr:rowOff>3123</xdr:rowOff>
    </xdr:to>
    <xdr:pic>
      <xdr:nvPicPr>
        <xdr:cNvPr id="2" name="Imagen 1">
          <a:extLst>
            <a:ext uri="{FF2B5EF4-FFF2-40B4-BE49-F238E27FC236}">
              <a16:creationId xmlns:a16="http://schemas.microsoft.com/office/drawing/2014/main" id="{362F8E06-4D05-4ABD-955F-61BFD32334EF}"/>
            </a:ext>
          </a:extLst>
        </xdr:cNvPr>
        <xdr:cNvPicPr>
          <a:picLocks noChangeAspect="1"/>
        </xdr:cNvPicPr>
      </xdr:nvPicPr>
      <xdr:blipFill>
        <a:blip xmlns:r="http://schemas.openxmlformats.org/officeDocument/2006/relationships" r:embed="rId1"/>
        <a:stretch>
          <a:fillRect/>
        </a:stretch>
      </xdr:blipFill>
      <xdr:spPr>
        <a:xfrm>
          <a:off x="2899" y="9300126"/>
          <a:ext cx="6971653" cy="48190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219075</xdr:colOff>
      <xdr:row>43</xdr:row>
      <xdr:rowOff>69659</xdr:rowOff>
    </xdr:from>
    <xdr:to>
      <xdr:col>9</xdr:col>
      <xdr:colOff>782292</xdr:colOff>
      <xdr:row>60</xdr:row>
      <xdr:rowOff>28017</xdr:rowOff>
    </xdr:to>
    <xdr:pic>
      <xdr:nvPicPr>
        <xdr:cNvPr id="2" name="Imagen 1">
          <a:extLst>
            <a:ext uri="{FF2B5EF4-FFF2-40B4-BE49-F238E27FC236}">
              <a16:creationId xmlns:a16="http://schemas.microsoft.com/office/drawing/2014/main" id="{59625529-2F29-4DFD-B073-160FD422A574}"/>
            </a:ext>
          </a:extLst>
        </xdr:cNvPr>
        <xdr:cNvPicPr>
          <a:picLocks noChangeAspect="1"/>
        </xdr:cNvPicPr>
      </xdr:nvPicPr>
      <xdr:blipFill>
        <a:blip xmlns:r="http://schemas.openxmlformats.org/officeDocument/2006/relationships" r:embed="rId1"/>
        <a:stretch>
          <a:fillRect/>
        </a:stretch>
      </xdr:blipFill>
      <xdr:spPr>
        <a:xfrm>
          <a:off x="219075" y="9908984"/>
          <a:ext cx="4362450" cy="3196858"/>
        </a:xfrm>
        <a:prstGeom prst="rect">
          <a:avLst/>
        </a:prstGeom>
      </xdr:spPr>
    </xdr:pic>
    <xdr:clientData/>
  </xdr:twoCellAnchor>
  <xdr:twoCellAnchor editAs="oneCell">
    <xdr:from>
      <xdr:col>10</xdr:col>
      <xdr:colOff>222388</xdr:colOff>
      <xdr:row>34</xdr:row>
      <xdr:rowOff>26228</xdr:rowOff>
    </xdr:from>
    <xdr:to>
      <xdr:col>13</xdr:col>
      <xdr:colOff>546128</xdr:colOff>
      <xdr:row>36</xdr:row>
      <xdr:rowOff>211620</xdr:rowOff>
    </xdr:to>
    <xdr:pic>
      <xdr:nvPicPr>
        <xdr:cNvPr id="5" name="Imagen 4">
          <a:extLst>
            <a:ext uri="{FF2B5EF4-FFF2-40B4-BE49-F238E27FC236}">
              <a16:creationId xmlns:a16="http://schemas.microsoft.com/office/drawing/2014/main" id="{F67D34B5-9957-AA68-DC9F-EC628B5126DF}"/>
            </a:ext>
            <a:ext uri="{147F2762-F138-4A5C-976F-8EAC2B608ADB}">
              <a16:predDERef xmlns:a16="http://schemas.microsoft.com/office/drawing/2014/main" pred="{59625529-2F29-4DFD-B073-160FD422A574}"/>
            </a:ext>
          </a:extLst>
        </xdr:cNvPr>
        <xdr:cNvPicPr>
          <a:picLocks noChangeAspect="1"/>
        </xdr:cNvPicPr>
      </xdr:nvPicPr>
      <xdr:blipFill>
        <a:blip xmlns:r="http://schemas.openxmlformats.org/officeDocument/2006/relationships" r:embed="rId2"/>
        <a:stretch>
          <a:fillRect/>
        </a:stretch>
      </xdr:blipFill>
      <xdr:spPr>
        <a:xfrm>
          <a:off x="5518288" y="8484428"/>
          <a:ext cx="3381265" cy="6330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820616</xdr:colOff>
      <xdr:row>8</xdr:row>
      <xdr:rowOff>14654</xdr:rowOff>
    </xdr:from>
    <xdr:to>
      <xdr:col>15</xdr:col>
      <xdr:colOff>102577</xdr:colOff>
      <xdr:row>15</xdr:row>
      <xdr:rowOff>73269</xdr:rowOff>
    </xdr:to>
    <xdr:cxnSp macro="">
      <xdr:nvCxnSpPr>
        <xdr:cNvPr id="2" name="Conector recto de flecha 1">
          <a:extLst>
            <a:ext uri="{FF2B5EF4-FFF2-40B4-BE49-F238E27FC236}">
              <a16:creationId xmlns:a16="http://schemas.microsoft.com/office/drawing/2014/main" id="{4E56EC8D-EA5E-4036-AA77-4964C59058A7}"/>
            </a:ext>
          </a:extLst>
        </xdr:cNvPr>
        <xdr:cNvCxnSpPr/>
      </xdr:nvCxnSpPr>
      <xdr:spPr>
        <a:xfrm flipV="1">
          <a:off x="11079041" y="1567229"/>
          <a:ext cx="4901711" cy="11920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1629630</xdr:colOff>
      <xdr:row>68</xdr:row>
      <xdr:rowOff>29177</xdr:rowOff>
    </xdr:from>
    <xdr:ext cx="2563715" cy="321883"/>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80BCF350-B76E-4547-97EA-346878991FF4}"/>
                </a:ext>
              </a:extLst>
            </xdr:cNvPr>
            <xdr:cNvSpPr txBox="1"/>
          </xdr:nvSpPr>
          <xdr:spPr>
            <a:xfrm>
              <a:off x="2039205" y="30071027"/>
              <a:ext cx="2563715" cy="3218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1" i="1">
                        <a:latin typeface="Cambria Math" panose="02040503050406030204" pitchFamily="18" charset="0"/>
                      </a:rPr>
                      <m:t>𝑲𝑻</m:t>
                    </m:r>
                    <m:r>
                      <a:rPr lang="es-CO" sz="1100" b="1" i="1">
                        <a:latin typeface="Cambria Math" panose="02040503050406030204" pitchFamily="18" charset="0"/>
                      </a:rPr>
                      <m:t>=</m:t>
                    </m:r>
                    <m:f>
                      <m:fPr>
                        <m:ctrlPr>
                          <a:rPr lang="es-CO" sz="1100" b="1" i="1">
                            <a:latin typeface="Cambria Math" panose="02040503050406030204" pitchFamily="18" charset="0"/>
                          </a:rPr>
                        </m:ctrlPr>
                      </m:fPr>
                      <m:num>
                        <m:r>
                          <a:rPr lang="es-CO" sz="1100" b="1" i="1">
                            <a:latin typeface="Cambria Math" panose="02040503050406030204" pitchFamily="18" charset="0"/>
                          </a:rPr>
                          <m:t>𝑪𝒐𝒔𝒕𝒐</m:t>
                        </m:r>
                        <m:r>
                          <a:rPr lang="es-CO" sz="1100" b="1" i="1">
                            <a:latin typeface="Cambria Math" panose="02040503050406030204" pitchFamily="18" charset="0"/>
                          </a:rPr>
                          <m:t> </m:t>
                        </m:r>
                        <m:r>
                          <a:rPr lang="es-CO" sz="1100" b="1" i="1">
                            <a:latin typeface="Cambria Math" panose="02040503050406030204" pitchFamily="18" charset="0"/>
                          </a:rPr>
                          <m:t>𝑻𝑶𝑻𝑨𝑳</m:t>
                        </m:r>
                        <m:r>
                          <a:rPr lang="es-CO" sz="1100" b="1" i="1">
                            <a:latin typeface="Cambria Math" panose="02040503050406030204" pitchFamily="18" charset="0"/>
                          </a:rPr>
                          <m:t>∗</m:t>
                        </m:r>
                        <m:r>
                          <a:rPr lang="es-CO" sz="1100" b="1" i="1">
                            <a:latin typeface="Cambria Math" panose="02040503050406030204" pitchFamily="18" charset="0"/>
                          </a:rPr>
                          <m:t>𝑷𝒆𝒓𝒊𝒐𝒅𝒐</m:t>
                        </m:r>
                        <m:r>
                          <a:rPr lang="es-CO" sz="1100" b="1" i="1">
                            <a:latin typeface="Cambria Math" panose="02040503050406030204" pitchFamily="18" charset="0"/>
                          </a:rPr>
                          <m:t> </m:t>
                        </m:r>
                        <m:r>
                          <a:rPr lang="es-CO" sz="1100" b="1" i="1">
                            <a:latin typeface="Cambria Math" panose="02040503050406030204" pitchFamily="18" charset="0"/>
                          </a:rPr>
                          <m:t>𝑫𝒆𝒔𝒇𝒂𝒔𝒆</m:t>
                        </m:r>
                      </m:num>
                      <m:den>
                        <m:r>
                          <a:rPr lang="es-CO" sz="1100" b="1" i="1">
                            <a:latin typeface="Cambria Math" panose="02040503050406030204" pitchFamily="18" charset="0"/>
                          </a:rPr>
                          <m:t>𝟑𝟔𝟎</m:t>
                        </m:r>
                        <m:r>
                          <a:rPr lang="es-CO" sz="1100" b="1" i="1">
                            <a:latin typeface="Cambria Math" panose="02040503050406030204" pitchFamily="18" charset="0"/>
                          </a:rPr>
                          <m:t> </m:t>
                        </m:r>
                        <m:r>
                          <a:rPr lang="es-CO" sz="1100" b="1" i="1">
                            <a:latin typeface="Cambria Math" panose="02040503050406030204" pitchFamily="18" charset="0"/>
                          </a:rPr>
                          <m:t>𝒅</m:t>
                        </m:r>
                        <m:r>
                          <a:rPr lang="es-CO" sz="1100" b="1" i="1">
                            <a:latin typeface="Cambria Math" panose="02040503050406030204" pitchFamily="18" charset="0"/>
                          </a:rPr>
                          <m:t>í</m:t>
                        </m:r>
                        <m:r>
                          <a:rPr lang="es-CO" sz="1100" b="1" i="1">
                            <a:latin typeface="Cambria Math" panose="02040503050406030204" pitchFamily="18" charset="0"/>
                          </a:rPr>
                          <m:t>𝒂𝒔</m:t>
                        </m:r>
                      </m:den>
                    </m:f>
                  </m:oMath>
                </m:oMathPara>
              </a14:m>
              <a:endParaRPr lang="es-CO" sz="1100" b="1"/>
            </a:p>
          </xdr:txBody>
        </xdr:sp>
      </mc:Choice>
      <mc:Fallback xmlns="">
        <xdr:sp macro="" textlink="">
          <xdr:nvSpPr>
            <xdr:cNvPr id="2" name="CuadroTexto 1">
              <a:extLst>
                <a:ext uri="{FF2B5EF4-FFF2-40B4-BE49-F238E27FC236}">
                  <a16:creationId xmlns:a16="http://schemas.microsoft.com/office/drawing/2014/main" id="{80BCF350-B76E-4547-97EA-346878991FF4}"/>
                </a:ext>
              </a:extLst>
            </xdr:cNvPr>
            <xdr:cNvSpPr txBox="1"/>
          </xdr:nvSpPr>
          <xdr:spPr>
            <a:xfrm>
              <a:off x="2039205" y="30071027"/>
              <a:ext cx="2563715" cy="3218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lIns="0" tIns="0" rIns="0" bIns="0" rtlCol="0" anchor="t">
              <a:spAutoFit/>
            </a:bodyPr>
            <a:lstStyle/>
            <a:p>
              <a:pPr/>
              <a:r>
                <a:rPr lang="es-CO" sz="1100" b="1" i="0">
                  <a:latin typeface="Cambria Math" panose="02040503050406030204" pitchFamily="18" charset="0"/>
                </a:rPr>
                <a:t>𝑲𝑻=(𝑪𝒐𝒔𝒕𝒐 𝑻𝑶𝑻𝑨𝑳∗𝑷𝒆𝒓𝒊𝒐𝒅𝒐 𝑫𝒆𝒔𝒇𝒂𝒔𝒆)/(𝟑𝟔𝟎 𝒅í𝒂𝒔)</a:t>
              </a:r>
              <a:endParaRPr lang="es-CO" sz="1100" b="1"/>
            </a:p>
          </xdr:txBody>
        </xdr:sp>
      </mc:Fallback>
    </mc:AlternateContent>
    <xdr:clientData/>
  </xdr:oneCellAnchor>
  <xdr:oneCellAnchor>
    <xdr:from>
      <xdr:col>1</xdr:col>
      <xdr:colOff>2937427</xdr:colOff>
      <xdr:row>69</xdr:row>
      <xdr:rowOff>62534</xdr:rowOff>
    </xdr:from>
    <xdr:ext cx="1291059" cy="172227"/>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234E4F54-F41D-4487-8DAB-BE78C967BAD8}"/>
                </a:ext>
              </a:extLst>
            </xdr:cNvPr>
            <xdr:cNvSpPr txBox="1"/>
          </xdr:nvSpPr>
          <xdr:spPr>
            <a:xfrm>
              <a:off x="3347002" y="36162284"/>
              <a:ext cx="1291059" cy="17222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1" i="1">
                        <a:latin typeface="Cambria Math" panose="02040503050406030204" pitchFamily="18" charset="0"/>
                        <a:ea typeface="Cambria Math" panose="02040503050406030204" pitchFamily="18" charset="0"/>
                      </a:rPr>
                      <m:t>∆</m:t>
                    </m:r>
                    <m:r>
                      <a:rPr lang="es-CO" sz="1100" b="1" i="1">
                        <a:latin typeface="Cambria Math" panose="02040503050406030204" pitchFamily="18" charset="0"/>
                        <a:ea typeface="Cambria Math" panose="02040503050406030204" pitchFamily="18" charset="0"/>
                      </a:rPr>
                      <m:t>𝑲𝑻</m:t>
                    </m:r>
                    <m:r>
                      <a:rPr lang="es-CO" sz="1100" b="1" i="1">
                        <a:latin typeface="Cambria Math" panose="02040503050406030204" pitchFamily="18" charset="0"/>
                        <a:ea typeface="Cambria Math" panose="02040503050406030204" pitchFamily="18" charset="0"/>
                      </a:rPr>
                      <m:t>=</m:t>
                    </m:r>
                    <m:sSub>
                      <m:sSubPr>
                        <m:ctrlPr>
                          <a:rPr lang="es-CO" sz="1100" b="1" i="1">
                            <a:latin typeface="Cambria Math" panose="02040503050406030204" pitchFamily="18" charset="0"/>
                            <a:ea typeface="Cambria Math" panose="02040503050406030204" pitchFamily="18" charset="0"/>
                          </a:rPr>
                        </m:ctrlPr>
                      </m:sSubPr>
                      <m:e>
                        <m:r>
                          <a:rPr lang="es-CO" sz="1100" b="1" i="1">
                            <a:latin typeface="Cambria Math" panose="02040503050406030204" pitchFamily="18" charset="0"/>
                            <a:ea typeface="Cambria Math" panose="02040503050406030204" pitchFamily="18" charset="0"/>
                          </a:rPr>
                          <m:t>𝑲𝑻</m:t>
                        </m:r>
                      </m:e>
                      <m:sub>
                        <m:r>
                          <a:rPr lang="es-CO" sz="1100" b="1" i="1">
                            <a:latin typeface="Cambria Math" panose="02040503050406030204" pitchFamily="18" charset="0"/>
                            <a:ea typeface="Cambria Math" panose="02040503050406030204" pitchFamily="18" charset="0"/>
                          </a:rPr>
                          <m:t>𝒕</m:t>
                        </m:r>
                        <m:r>
                          <a:rPr lang="es-CO" sz="1100" b="1" i="1">
                            <a:latin typeface="Cambria Math" panose="02040503050406030204" pitchFamily="18" charset="0"/>
                            <a:ea typeface="Cambria Math" panose="02040503050406030204" pitchFamily="18" charset="0"/>
                          </a:rPr>
                          <m:t>−</m:t>
                        </m:r>
                        <m:r>
                          <a:rPr lang="es-CO" sz="1100" b="1" i="1">
                            <a:latin typeface="Cambria Math" panose="02040503050406030204" pitchFamily="18" charset="0"/>
                            <a:ea typeface="Cambria Math" panose="02040503050406030204" pitchFamily="18" charset="0"/>
                          </a:rPr>
                          <m:t>𝟏</m:t>
                        </m:r>
                      </m:sub>
                    </m:sSub>
                    <m:r>
                      <a:rPr lang="es-CO" sz="1100" b="1" i="1">
                        <a:latin typeface="Cambria Math" panose="02040503050406030204" pitchFamily="18" charset="0"/>
                        <a:ea typeface="Cambria Math" panose="02040503050406030204" pitchFamily="18" charset="0"/>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𝑲𝑻</m:t>
                        </m:r>
                      </m:e>
                      <m:sub>
                        <m:r>
                          <a:rPr lang="es-CO" sz="1100" b="1" i="1">
                            <a:solidFill>
                              <a:schemeClr val="tx1"/>
                            </a:solidFill>
                            <a:effectLst/>
                            <a:latin typeface="Cambria Math" panose="02040503050406030204" pitchFamily="18" charset="0"/>
                            <a:ea typeface="+mn-ea"/>
                            <a:cs typeface="+mn-cs"/>
                          </a:rPr>
                          <m:t>𝒕</m:t>
                        </m:r>
                      </m:sub>
                    </m:sSub>
                  </m:oMath>
                </m:oMathPara>
              </a14:m>
              <a:endParaRPr lang="es-CO" sz="1100" b="1"/>
            </a:p>
          </xdr:txBody>
        </xdr:sp>
      </mc:Choice>
      <mc:Fallback xmlns="">
        <xdr:sp macro="" textlink="">
          <xdr:nvSpPr>
            <xdr:cNvPr id="3" name="CuadroTexto 2">
              <a:extLst>
                <a:ext uri="{FF2B5EF4-FFF2-40B4-BE49-F238E27FC236}">
                  <a16:creationId xmlns:a16="http://schemas.microsoft.com/office/drawing/2014/main" id="{234E4F54-F41D-4487-8DAB-BE78C967BAD8}"/>
                </a:ext>
              </a:extLst>
            </xdr:cNvPr>
            <xdr:cNvSpPr txBox="1"/>
          </xdr:nvSpPr>
          <xdr:spPr>
            <a:xfrm>
              <a:off x="3347002" y="36162284"/>
              <a:ext cx="1291059" cy="17222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lIns="0" tIns="0" rIns="0" bIns="0" rtlCol="0" anchor="t">
              <a:spAutoFit/>
            </a:bodyPr>
            <a:lstStyle/>
            <a:p>
              <a:pPr/>
              <a:r>
                <a:rPr lang="es-CO" sz="1100" b="1" i="0">
                  <a:latin typeface="Cambria Math" panose="02040503050406030204" pitchFamily="18" charset="0"/>
                  <a:ea typeface="Cambria Math" panose="02040503050406030204" pitchFamily="18" charset="0"/>
                </a:rPr>
                <a:t>∆𝑲𝑻=〖𝑲𝑻〗_(𝒕−𝟏)−</a:t>
              </a:r>
              <a:r>
                <a:rPr lang="es-CO" sz="1100" b="1" i="0">
                  <a:solidFill>
                    <a:schemeClr val="tx1"/>
                  </a:solidFill>
                  <a:effectLst/>
                  <a:latin typeface="Cambria Math" panose="02040503050406030204" pitchFamily="18" charset="0"/>
                  <a:ea typeface="+mn-ea"/>
                  <a:cs typeface="+mn-cs"/>
                </a:rPr>
                <a:t>〖𝑲𝑻〗_𝒕</a:t>
              </a:r>
              <a:endParaRPr lang="es-CO" sz="1100" b="1"/>
            </a:p>
          </xdr:txBody>
        </xdr:sp>
      </mc:Fallback>
    </mc:AlternateContent>
    <xdr:clientData/>
  </xdr:oneCellAnchor>
  <xdr:oneCellAnchor>
    <xdr:from>
      <xdr:col>1</xdr:col>
      <xdr:colOff>1787655</xdr:colOff>
      <xdr:row>20</xdr:row>
      <xdr:rowOff>55935</xdr:rowOff>
    </xdr:from>
    <xdr:ext cx="1789913" cy="420115"/>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218BF74F-B68F-45BC-A919-4FFD48DFEA1D}"/>
                </a:ext>
              </a:extLst>
            </xdr:cNvPr>
            <xdr:cNvSpPr txBox="1"/>
          </xdr:nvSpPr>
          <xdr:spPr>
            <a:xfrm>
              <a:off x="2193503" y="4404305"/>
              <a:ext cx="1789913" cy="420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00" b="0" i="1">
                        <a:latin typeface="Cambria Math" panose="02040503050406030204" pitchFamily="18" charset="0"/>
                      </a:rPr>
                      <m:t>= </m:t>
                    </m:r>
                    <m:nary>
                      <m:naryPr>
                        <m:chr m:val="∑"/>
                        <m:ctrlPr>
                          <a:rPr lang="es-CO" sz="1000" b="0" i="1">
                            <a:latin typeface="Cambria Math" panose="02040503050406030204" pitchFamily="18" charset="0"/>
                          </a:rPr>
                        </m:ctrlPr>
                      </m:naryPr>
                      <m:sub>
                        <m:r>
                          <m:rPr>
                            <m:brk m:alnAt="23"/>
                          </m:rPr>
                          <a:rPr lang="es-CO" sz="1000" b="0" i="1">
                            <a:latin typeface="Cambria Math" panose="02040503050406030204" pitchFamily="18" charset="0"/>
                          </a:rPr>
                          <m:t>𝑖</m:t>
                        </m:r>
                        <m:r>
                          <a:rPr lang="es-CO" sz="1000" b="0" i="1">
                            <a:latin typeface="Cambria Math" panose="02040503050406030204" pitchFamily="18" charset="0"/>
                          </a:rPr>
                          <m:t>=1</m:t>
                        </m:r>
                      </m:sub>
                      <m:sup>
                        <m:r>
                          <a:rPr lang="es-CO" sz="1000" b="0" i="1">
                            <a:latin typeface="Cambria Math" panose="02040503050406030204" pitchFamily="18" charset="0"/>
                          </a:rPr>
                          <m:t>𝑝</m:t>
                        </m:r>
                      </m:sup>
                      <m:e>
                        <m:sSub>
                          <m:sSubPr>
                            <m:ctrlPr>
                              <a:rPr lang="es-CO" sz="1000" b="0" i="1">
                                <a:latin typeface="Cambria Math" panose="02040503050406030204" pitchFamily="18" charset="0"/>
                              </a:rPr>
                            </m:ctrlPr>
                          </m:sSubPr>
                          <m:e>
                            <m:r>
                              <a:rPr lang="es-CO" sz="1000" b="0" i="1">
                                <a:latin typeface="Cambria Math" panose="02040503050406030204" pitchFamily="18" charset="0"/>
                              </a:rPr>
                              <m:t>𝑃𝑟𝑒𝑐𝑖𝑜</m:t>
                            </m:r>
                          </m:e>
                          <m:sub>
                            <m:r>
                              <a:rPr lang="es-CO" sz="1000" b="0" i="1">
                                <a:latin typeface="Cambria Math" panose="02040503050406030204" pitchFamily="18" charset="0"/>
                              </a:rPr>
                              <m:t>𝑖</m:t>
                            </m:r>
                          </m:sub>
                        </m:sSub>
                        <m:r>
                          <a:rPr lang="es-CO" sz="1000" b="0" i="1">
                            <a:latin typeface="Cambria Math" panose="02040503050406030204" pitchFamily="18" charset="0"/>
                          </a:rPr>
                          <m:t>∗</m:t>
                        </m:r>
                        <m:sSub>
                          <m:sSubPr>
                            <m:ctrlPr>
                              <a:rPr lang="es-CO" sz="1000" b="0" i="1">
                                <a:latin typeface="Cambria Math" panose="02040503050406030204" pitchFamily="18" charset="0"/>
                              </a:rPr>
                            </m:ctrlPr>
                          </m:sSubPr>
                          <m:e>
                            <m:r>
                              <a:rPr lang="es-CO" sz="1000" b="0" i="1">
                                <a:latin typeface="Cambria Math" panose="02040503050406030204" pitchFamily="18" charset="0"/>
                              </a:rPr>
                              <m:t>𝐶𝑎𝑛𝑡𝑖𝑑𝑎𝑑𝑒𝑠</m:t>
                            </m:r>
                          </m:e>
                          <m:sub>
                            <m:r>
                              <a:rPr lang="es-CO" sz="1000" b="0" i="1">
                                <a:latin typeface="Cambria Math" panose="02040503050406030204" pitchFamily="18" charset="0"/>
                              </a:rPr>
                              <m:t>𝑖</m:t>
                            </m:r>
                          </m:sub>
                        </m:sSub>
                        <m:r>
                          <a:rPr lang="es-CO" sz="1000" b="0" i="1">
                            <a:latin typeface="Cambria Math" panose="02040503050406030204" pitchFamily="18" charset="0"/>
                          </a:rPr>
                          <m:t>= </m:t>
                        </m:r>
                      </m:e>
                    </m:nary>
                    <m:r>
                      <a:rPr lang="es-CO" sz="1000" b="0" i="1">
                        <a:latin typeface="Cambria Math" panose="02040503050406030204" pitchFamily="18" charset="0"/>
                      </a:rPr>
                      <m:t> </m:t>
                    </m:r>
                  </m:oMath>
                </m:oMathPara>
              </a14:m>
              <a:endParaRPr lang="es-CO" sz="1100"/>
            </a:p>
          </xdr:txBody>
        </xdr:sp>
      </mc:Choice>
      <mc:Fallback xmlns="">
        <xdr:sp macro="" textlink="">
          <xdr:nvSpPr>
            <xdr:cNvPr id="4" name="CuadroTexto 3">
              <a:extLst>
                <a:ext uri="{FF2B5EF4-FFF2-40B4-BE49-F238E27FC236}">
                  <a16:creationId xmlns:a16="http://schemas.microsoft.com/office/drawing/2014/main" id="{218BF74F-B68F-45BC-A919-4FFD48DFEA1D}"/>
                </a:ext>
              </a:extLst>
            </xdr:cNvPr>
            <xdr:cNvSpPr txBox="1"/>
          </xdr:nvSpPr>
          <xdr:spPr>
            <a:xfrm>
              <a:off x="2193503" y="4404305"/>
              <a:ext cx="1789913" cy="420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0" i="0">
                  <a:latin typeface="Cambria Math" panose="02040503050406030204" pitchFamily="18" charset="0"/>
                </a:rPr>
                <a:t>= ∑_(𝑖=1)^𝑝▒〖〖𝑃𝑟𝑒𝑐𝑖𝑜〗_𝑖∗〖𝐶𝑎𝑛𝑡𝑖𝑑𝑎𝑑𝑒𝑠〗_𝑖= 〗  </a:t>
              </a:r>
              <a:endParaRPr lang="es-CO" sz="1100"/>
            </a:p>
          </xdr:txBody>
        </xdr:sp>
      </mc:Fallback>
    </mc:AlternateContent>
    <xdr:clientData/>
  </xdr:oneCellAnchor>
  <xdr:twoCellAnchor>
    <xdr:from>
      <xdr:col>3</xdr:col>
      <xdr:colOff>31234</xdr:colOff>
      <xdr:row>103</xdr:row>
      <xdr:rowOff>6145</xdr:rowOff>
    </xdr:from>
    <xdr:to>
      <xdr:col>4</xdr:col>
      <xdr:colOff>119003</xdr:colOff>
      <xdr:row>104</xdr:row>
      <xdr:rowOff>21267</xdr:rowOff>
    </xdr:to>
    <xdr:sp macro="" textlink="">
      <xdr:nvSpPr>
        <xdr:cNvPr id="8" name="CuadroTexto 7">
          <a:extLst>
            <a:ext uri="{FF2B5EF4-FFF2-40B4-BE49-F238E27FC236}">
              <a16:creationId xmlns:a16="http://schemas.microsoft.com/office/drawing/2014/main" id="{F4390683-1520-4DAB-BF16-50C8A00B39F1}"/>
            </a:ext>
          </a:extLst>
        </xdr:cNvPr>
        <xdr:cNvSpPr txBox="1"/>
      </xdr:nvSpPr>
      <xdr:spPr>
        <a:xfrm>
          <a:off x="7432159" y="36372595"/>
          <a:ext cx="1945144" cy="329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solidFill>
                <a:srgbClr val="FF0000"/>
              </a:solidFill>
              <a:latin typeface="MS Reference Sans Serif" panose="020B0604030504040204" pitchFamily="34" charset="0"/>
            </a:rPr>
            <a:t>Función pago de Excel</a:t>
          </a:r>
        </a:p>
      </xdr:txBody>
    </xdr:sp>
    <xdr:clientData/>
  </xdr:twoCellAnchor>
  <xdr:oneCellAnchor>
    <xdr:from>
      <xdr:col>10</xdr:col>
      <xdr:colOff>1516770</xdr:colOff>
      <xdr:row>4</xdr:row>
      <xdr:rowOff>0</xdr:rowOff>
    </xdr:from>
    <xdr:ext cx="2697020" cy="172227"/>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BE4940FA-C812-4947-9BF3-BAA7EABBD4C5}"/>
                </a:ext>
              </a:extLst>
            </xdr:cNvPr>
            <xdr:cNvSpPr txBox="1"/>
          </xdr:nvSpPr>
          <xdr:spPr>
            <a:xfrm>
              <a:off x="18595095" y="4495800"/>
              <a:ext cx="26970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1" i="1">
                            <a:latin typeface="Cambria Math" panose="02040503050406030204" pitchFamily="18" charset="0"/>
                          </a:rPr>
                        </m:ctrlPr>
                      </m:sSubPr>
                      <m:e>
                        <m:r>
                          <a:rPr lang="es-CO" sz="1100" b="1" i="1">
                            <a:latin typeface="Cambria Math" panose="02040503050406030204" pitchFamily="18" charset="0"/>
                          </a:rPr>
                          <m:t>𝑪𝑭</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sSub>
                      <m:sSubPr>
                        <m:ctrlPr>
                          <a:rPr lang="es-CO" sz="1100" b="1" i="1">
                            <a:latin typeface="Cambria Math" panose="02040503050406030204" pitchFamily="18" charset="0"/>
                          </a:rPr>
                        </m:ctrlPr>
                      </m:sSubPr>
                      <m:e>
                        <m:r>
                          <a:rPr lang="es-CO" sz="1100" b="1" i="1">
                            <a:latin typeface="Cambria Math" panose="02040503050406030204" pitchFamily="18" charset="0"/>
                          </a:rPr>
                          <m:t>𝑪𝑭</m:t>
                        </m:r>
                      </m:e>
                      <m:sub>
                        <m:r>
                          <a:rPr lang="es-CO" sz="1100" b="1" i="1">
                            <a:latin typeface="Cambria Math" panose="02040503050406030204" pitchFamily="18" charset="0"/>
                          </a:rPr>
                          <m:t>𝑻𝑶𝑻𝑨𝑳</m:t>
                        </m:r>
                      </m:sub>
                    </m:sSub>
                    <m:r>
                      <a:rPr lang="es-CO" sz="1100" b="1" i="1">
                        <a:latin typeface="Cambria Math" panose="02040503050406030204" pitchFamily="18" charset="0"/>
                      </a:rPr>
                      <m:t>∗%</m:t>
                    </m:r>
                    <m:sSub>
                      <m:sSubPr>
                        <m:ctrlPr>
                          <a:rPr lang="es-CO" sz="1100" b="1" i="1">
                            <a:latin typeface="Cambria Math" panose="02040503050406030204" pitchFamily="18" charset="0"/>
                          </a:rPr>
                        </m:ctrlPr>
                      </m:sSubPr>
                      <m:e>
                        <m:r>
                          <a:rPr lang="es-CO" sz="1100" b="1" i="1">
                            <a:latin typeface="Cambria Math" panose="02040503050406030204" pitchFamily="18" charset="0"/>
                          </a:rPr>
                          <m:t>𝑷𝒂𝒓𝒕𝒊𝒄𝒊𝒑𝒂𝒄𝒊</m:t>
                        </m:r>
                        <m:r>
                          <a:rPr lang="es-CO" sz="1100" b="1" i="1">
                            <a:latin typeface="Cambria Math" panose="02040503050406030204" pitchFamily="18" charset="0"/>
                          </a:rPr>
                          <m:t>ó</m:t>
                        </m:r>
                        <m:r>
                          <a:rPr lang="es-CO" sz="1100" b="1" i="1">
                            <a:latin typeface="Cambria Math" panose="02040503050406030204" pitchFamily="18" charset="0"/>
                          </a:rPr>
                          <m:t>𝒏</m:t>
                        </m:r>
                      </m:e>
                      <m:sub>
                        <m:r>
                          <a:rPr lang="es-CO" sz="1100" b="1" i="1">
                            <a:latin typeface="Cambria Math" panose="02040503050406030204" pitchFamily="18" charset="0"/>
                          </a:rPr>
                          <m:t>𝑷𝑨𝑵𝑬𝑺</m:t>
                        </m:r>
                      </m:sub>
                    </m:sSub>
                  </m:oMath>
                </m:oMathPara>
              </a14:m>
              <a:endParaRPr lang="es-CO" sz="1100" b="1"/>
            </a:p>
          </xdr:txBody>
        </xdr:sp>
      </mc:Choice>
      <mc:Fallback xmlns="">
        <xdr:sp macro="" textlink="">
          <xdr:nvSpPr>
            <xdr:cNvPr id="12" name="CuadroTexto 11">
              <a:extLst>
                <a:ext uri="{FF2B5EF4-FFF2-40B4-BE49-F238E27FC236}">
                  <a16:creationId xmlns:a16="http://schemas.microsoft.com/office/drawing/2014/main" id="{BE4940FA-C812-4947-9BF3-BAA7EABBD4C5}"/>
                </a:ext>
              </a:extLst>
            </xdr:cNvPr>
            <xdr:cNvSpPr txBox="1"/>
          </xdr:nvSpPr>
          <xdr:spPr>
            <a:xfrm>
              <a:off x="18595095" y="4495800"/>
              <a:ext cx="269702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1" i="0">
                  <a:latin typeface="Cambria Math" panose="02040503050406030204" pitchFamily="18" charset="0"/>
                </a:rPr>
                <a:t>〖𝑪𝑭〗_𝑷𝑨𝑵=〖𝑪𝑭〗_𝑻𝑶𝑻𝑨𝑳∗%〖𝑷𝒂𝒓𝒕𝒊𝒄𝒊𝒑𝒂𝒄𝒊ó𝒏〗_𝑷𝑨𝑵𝑬𝑺</a:t>
              </a:r>
              <a:endParaRPr lang="es-CO" sz="1100" b="1"/>
            </a:p>
          </xdr:txBody>
        </xdr:sp>
      </mc:Fallback>
    </mc:AlternateContent>
    <xdr:clientData/>
  </xdr:oneCellAnchor>
  <xdr:oneCellAnchor>
    <xdr:from>
      <xdr:col>15</xdr:col>
      <xdr:colOff>46450</xdr:colOff>
      <xdr:row>4</xdr:row>
      <xdr:rowOff>0</xdr:rowOff>
    </xdr:from>
    <xdr:ext cx="4291496" cy="172227"/>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D15633FE-AA78-46AF-B40F-686D04ADFA0E}"/>
                </a:ext>
              </a:extLst>
            </xdr:cNvPr>
            <xdr:cNvSpPr txBox="1"/>
          </xdr:nvSpPr>
          <xdr:spPr>
            <a:xfrm>
              <a:off x="22563550" y="7343774"/>
              <a:ext cx="429149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1" i="1">
                            <a:latin typeface="Cambria Math" panose="02040503050406030204" pitchFamily="18" charset="0"/>
                          </a:rPr>
                        </m:ctrlPr>
                      </m:sSubPr>
                      <m:e>
                        <m:r>
                          <a:rPr lang="es-CO" sz="1100" b="1" i="1">
                            <a:latin typeface="Cambria Math" panose="02040503050406030204" pitchFamily="18" charset="0"/>
                          </a:rPr>
                          <m:t>𝑪𝑻</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sSub>
                      <m:sSubPr>
                        <m:ctrlPr>
                          <a:rPr lang="es-CO" sz="1100" b="1" i="1">
                            <a:latin typeface="Cambria Math" panose="02040503050406030204" pitchFamily="18" charset="0"/>
                          </a:rPr>
                        </m:ctrlPr>
                      </m:sSubPr>
                      <m:e>
                        <m:r>
                          <a:rPr lang="es-CO" sz="1100" b="1" i="1">
                            <a:latin typeface="Cambria Math" panose="02040503050406030204" pitchFamily="18" charset="0"/>
                          </a:rPr>
                          <m:t>𝑪𝑭𝑻𝒐𝒕𝒂𝒍</m:t>
                        </m:r>
                      </m:e>
                      <m:sub>
                        <m:r>
                          <a:rPr lang="es-CO" sz="1100" b="1" i="1">
                            <a:latin typeface="Cambria Math" panose="02040503050406030204" pitchFamily="18" charset="0"/>
                          </a:rPr>
                          <m:t>𝑷𝒂𝒏</m:t>
                        </m:r>
                      </m:sub>
                    </m:sSub>
                    <m:r>
                      <a:rPr lang="es-CO" sz="1100" b="1" i="1">
                        <a:latin typeface="Cambria Math" panose="02040503050406030204" pitchFamily="18" charset="0"/>
                      </a:rPr>
                      <m:t>+</m:t>
                    </m:r>
                    <m:sSub>
                      <m:sSubPr>
                        <m:ctrlPr>
                          <a:rPr lang="es-CO" sz="1100" b="1" i="1">
                            <a:latin typeface="Cambria Math" panose="02040503050406030204" pitchFamily="18" charset="0"/>
                          </a:rPr>
                        </m:ctrlPr>
                      </m:sSubPr>
                      <m:e>
                        <m:r>
                          <a:rPr lang="es-CO" sz="1100" b="1" i="1">
                            <a:latin typeface="Cambria Math" panose="02040503050406030204" pitchFamily="18" charset="0"/>
                          </a:rPr>
                          <m:t>𝑪𝑽𝑻𝒐𝒕𝒂𝒍</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r>
                      <a:rPr lang="es-CO" sz="1100" b="1" i="1">
                        <a:latin typeface="Cambria Math" panose="02040503050406030204" pitchFamily="18" charset="0"/>
                      </a:rPr>
                      <m:t>𝟑𝟎𝟓</m:t>
                    </m:r>
                    <m:r>
                      <a:rPr lang="es-CO" sz="1100" b="1" i="1">
                        <a:latin typeface="Cambria Math" panose="02040503050406030204" pitchFamily="18" charset="0"/>
                      </a:rPr>
                      <m:t>.</m:t>
                    </m:r>
                    <m:r>
                      <a:rPr lang="es-CO" sz="1100" b="1" i="1">
                        <a:latin typeface="Cambria Math" panose="02040503050406030204" pitchFamily="18" charset="0"/>
                      </a:rPr>
                      <m:t>𝟕𝟓𝟕</m:t>
                    </m:r>
                    <m:r>
                      <a:rPr lang="es-CO" sz="1100" b="1" i="1">
                        <a:latin typeface="Cambria Math" panose="02040503050406030204" pitchFamily="18" charset="0"/>
                      </a:rPr>
                      <m:t>.</m:t>
                    </m:r>
                    <m:r>
                      <a:rPr lang="es-CO" sz="1100" b="1" i="1">
                        <a:latin typeface="Cambria Math" panose="02040503050406030204" pitchFamily="18" charset="0"/>
                      </a:rPr>
                      <m:t>𝟗𝟎𝟖</m:t>
                    </m:r>
                    <m:r>
                      <a:rPr lang="es-CO" sz="1100" b="1" i="1">
                        <a:latin typeface="Cambria Math" panose="02040503050406030204" pitchFamily="18" charset="0"/>
                      </a:rPr>
                      <m:t>+$</m:t>
                    </m:r>
                    <m:r>
                      <a:rPr lang="es-CO" sz="1100" b="1" i="1">
                        <a:latin typeface="Cambria Math" panose="02040503050406030204" pitchFamily="18" charset="0"/>
                      </a:rPr>
                      <m:t>𝟔</m:t>
                    </m:r>
                    <m:r>
                      <a:rPr lang="es-CO" sz="1100" b="1" i="1">
                        <a:latin typeface="Cambria Math" panose="02040503050406030204" pitchFamily="18" charset="0"/>
                      </a:rPr>
                      <m:t>.</m:t>
                    </m:r>
                    <m:r>
                      <a:rPr lang="es-CO" sz="1100" b="1" i="1">
                        <a:latin typeface="Cambria Math" panose="02040503050406030204" pitchFamily="18" charset="0"/>
                      </a:rPr>
                      <m:t>𝟑𝟗𝟔</m:t>
                    </m:r>
                    <m:r>
                      <a:rPr lang="es-CO" sz="1100" b="1" i="1">
                        <a:latin typeface="Cambria Math" panose="02040503050406030204" pitchFamily="18" charset="0"/>
                      </a:rPr>
                      <m:t>∗</m:t>
                    </m:r>
                    <m:r>
                      <a:rPr lang="es-CO" sz="1100" b="1" i="1">
                        <a:latin typeface="Cambria Math" panose="02040503050406030204" pitchFamily="18" charset="0"/>
                      </a:rPr>
                      <m:t>𝑸</m:t>
                    </m:r>
                  </m:oMath>
                </m:oMathPara>
              </a14:m>
              <a:endParaRPr lang="es-CO" sz="1100" b="1"/>
            </a:p>
          </xdr:txBody>
        </xdr:sp>
      </mc:Choice>
      <mc:Fallback xmlns="">
        <xdr:sp macro="" textlink="">
          <xdr:nvSpPr>
            <xdr:cNvPr id="16" name="CuadroTexto 15">
              <a:extLst>
                <a:ext uri="{FF2B5EF4-FFF2-40B4-BE49-F238E27FC236}">
                  <a16:creationId xmlns:a16="http://schemas.microsoft.com/office/drawing/2014/main" id="{D15633FE-AA78-46AF-B40F-686D04ADFA0E}"/>
                </a:ext>
              </a:extLst>
            </xdr:cNvPr>
            <xdr:cNvSpPr txBox="1"/>
          </xdr:nvSpPr>
          <xdr:spPr>
            <a:xfrm>
              <a:off x="22563550" y="7343774"/>
              <a:ext cx="429149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1" i="0">
                  <a:latin typeface="Cambria Math" panose="02040503050406030204" pitchFamily="18" charset="0"/>
                </a:rPr>
                <a:t>〖𝑪𝑻〗_𝑷𝑨𝑵=〖𝑪𝑭𝑻𝒐𝒕𝒂𝒍〗_𝑷𝒂𝒏+〖𝑪𝑽𝑻𝒐𝒕𝒂𝒍〗_𝑷𝑨𝑵=$𝟑𝟎𝟓.𝟕𝟓𝟕.𝟗𝟎𝟖+$𝟔.𝟑𝟗𝟔∗𝑸</a:t>
              </a:r>
              <a:endParaRPr lang="es-CO" sz="1100" b="1"/>
            </a:p>
          </xdr:txBody>
        </xdr:sp>
      </mc:Fallback>
    </mc:AlternateContent>
    <xdr:clientData/>
  </xdr:oneCellAnchor>
  <xdr:oneCellAnchor>
    <xdr:from>
      <xdr:col>15</xdr:col>
      <xdr:colOff>46450</xdr:colOff>
      <xdr:row>4</xdr:row>
      <xdr:rowOff>0</xdr:rowOff>
    </xdr:from>
    <xdr:ext cx="3006913" cy="172227"/>
    <mc:AlternateContent xmlns:mc="http://schemas.openxmlformats.org/markup-compatibility/2006" xmlns:a14="http://schemas.microsoft.com/office/drawing/2010/main">
      <mc:Choice Requires="a14">
        <xdr:sp macro="" textlink="">
          <xdr:nvSpPr>
            <xdr:cNvPr id="19" name="CuadroTexto 18">
              <a:extLst>
                <a:ext uri="{FF2B5EF4-FFF2-40B4-BE49-F238E27FC236}">
                  <a16:creationId xmlns:a16="http://schemas.microsoft.com/office/drawing/2014/main" id="{7DDDEFC1-3F01-4570-B1B8-D2B334A5B020}"/>
                </a:ext>
              </a:extLst>
            </xdr:cNvPr>
            <xdr:cNvSpPr txBox="1"/>
          </xdr:nvSpPr>
          <xdr:spPr>
            <a:xfrm>
              <a:off x="22563550" y="7725858"/>
              <a:ext cx="300691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1" i="1">
                            <a:latin typeface="Cambria Math" panose="02040503050406030204" pitchFamily="18" charset="0"/>
                          </a:rPr>
                        </m:ctrlPr>
                      </m:sSubPr>
                      <m:e>
                        <m:r>
                          <a:rPr lang="es-CO" sz="1100" b="1" i="1">
                            <a:latin typeface="Cambria Math" panose="02040503050406030204" pitchFamily="18" charset="0"/>
                          </a:rPr>
                          <m:t>𝑪𝑽𝑻</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sSub>
                      <m:sSubPr>
                        <m:ctrlPr>
                          <a:rPr lang="es-CO" sz="1100" b="1" i="1">
                            <a:latin typeface="Cambria Math" panose="02040503050406030204" pitchFamily="18" charset="0"/>
                          </a:rPr>
                        </m:ctrlPr>
                      </m:sSubPr>
                      <m:e>
                        <m:r>
                          <a:rPr lang="es-CO" sz="1100" b="1" i="1">
                            <a:latin typeface="Cambria Math" panose="02040503050406030204" pitchFamily="18" charset="0"/>
                          </a:rPr>
                          <m:t>𝑪𝑽𝒖</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r>
                      <a:rPr lang="es-CO" sz="1100" b="1" i="1">
                        <a:latin typeface="Cambria Math" panose="02040503050406030204" pitchFamily="18" charset="0"/>
                      </a:rPr>
                      <m:t>𝑪𝒂𝒏𝒕𝒊𝒅𝒂𝒅𝒆𝒔</m:t>
                    </m:r>
                    <m:r>
                      <a:rPr lang="es-CO" sz="1100" b="1" i="1">
                        <a:latin typeface="Cambria Math" panose="02040503050406030204" pitchFamily="18" charset="0"/>
                      </a:rPr>
                      <m:t>=$</m:t>
                    </m:r>
                    <m:r>
                      <a:rPr lang="es-CO" sz="1100" b="1" i="1">
                        <a:latin typeface="Cambria Math" panose="02040503050406030204" pitchFamily="18" charset="0"/>
                      </a:rPr>
                      <m:t>𝟔</m:t>
                    </m:r>
                    <m:r>
                      <a:rPr lang="es-CO" sz="1100" b="1" i="1">
                        <a:latin typeface="Cambria Math" panose="02040503050406030204" pitchFamily="18" charset="0"/>
                      </a:rPr>
                      <m:t>.</m:t>
                    </m:r>
                    <m:r>
                      <a:rPr lang="es-CO" sz="1100" b="1" i="1">
                        <a:latin typeface="Cambria Math" panose="02040503050406030204" pitchFamily="18" charset="0"/>
                      </a:rPr>
                      <m:t>𝟑𝟗𝟔</m:t>
                    </m:r>
                    <m:r>
                      <a:rPr lang="es-CO" sz="1100" b="1" i="1">
                        <a:latin typeface="Cambria Math" panose="02040503050406030204" pitchFamily="18" charset="0"/>
                      </a:rPr>
                      <m:t>∗</m:t>
                    </m:r>
                    <m:r>
                      <a:rPr lang="es-CO" sz="1100" b="1" i="1">
                        <a:latin typeface="Cambria Math" panose="02040503050406030204" pitchFamily="18" charset="0"/>
                      </a:rPr>
                      <m:t>𝑸</m:t>
                    </m:r>
                  </m:oMath>
                </m:oMathPara>
              </a14:m>
              <a:endParaRPr lang="es-CO" sz="1100" b="1"/>
            </a:p>
          </xdr:txBody>
        </xdr:sp>
      </mc:Choice>
      <mc:Fallback xmlns="">
        <xdr:sp macro="" textlink="">
          <xdr:nvSpPr>
            <xdr:cNvPr id="19" name="CuadroTexto 18">
              <a:extLst>
                <a:ext uri="{FF2B5EF4-FFF2-40B4-BE49-F238E27FC236}">
                  <a16:creationId xmlns:a16="http://schemas.microsoft.com/office/drawing/2014/main" id="{7DDDEFC1-3F01-4570-B1B8-D2B334A5B020}"/>
                </a:ext>
              </a:extLst>
            </xdr:cNvPr>
            <xdr:cNvSpPr txBox="1"/>
          </xdr:nvSpPr>
          <xdr:spPr>
            <a:xfrm>
              <a:off x="22563550" y="7725858"/>
              <a:ext cx="300691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1" i="0">
                  <a:latin typeface="Cambria Math" panose="02040503050406030204" pitchFamily="18" charset="0"/>
                </a:rPr>
                <a:t>〖𝑪𝑽𝑻〗_𝑷𝑨𝑵=〖𝑪𝑽𝒖〗_𝑷𝑨𝑵∗𝑪𝒂𝒏𝒕𝒊𝒅𝒂𝒅𝒆𝒔=$𝟔.𝟑𝟗𝟔∗𝑸</a:t>
              </a:r>
              <a:endParaRPr lang="es-CO" sz="1100" b="1"/>
            </a:p>
          </xdr:txBody>
        </xdr:sp>
      </mc:Fallback>
    </mc:AlternateContent>
    <xdr:clientData/>
  </xdr:oneCellAnchor>
  <xdr:oneCellAnchor>
    <xdr:from>
      <xdr:col>15</xdr:col>
      <xdr:colOff>19050</xdr:colOff>
      <xdr:row>4</xdr:row>
      <xdr:rowOff>0</xdr:rowOff>
    </xdr:from>
    <xdr:ext cx="5546262" cy="328231"/>
    <mc:AlternateContent xmlns:mc="http://schemas.openxmlformats.org/markup-compatibility/2006" xmlns:a14="http://schemas.microsoft.com/office/drawing/2010/main">
      <mc:Choice Requires="a14">
        <xdr:sp macro="" textlink="">
          <xdr:nvSpPr>
            <xdr:cNvPr id="21" name="CuadroTexto 20">
              <a:extLst>
                <a:ext uri="{FF2B5EF4-FFF2-40B4-BE49-F238E27FC236}">
                  <a16:creationId xmlns:a16="http://schemas.microsoft.com/office/drawing/2014/main" id="{AE5C356C-3107-4BBD-8692-882A0F0530F9}"/>
                </a:ext>
              </a:extLst>
            </xdr:cNvPr>
            <xdr:cNvSpPr txBox="1"/>
          </xdr:nvSpPr>
          <xdr:spPr>
            <a:xfrm>
              <a:off x="22536150" y="8172450"/>
              <a:ext cx="5546262"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O" sz="1100" b="1" i="1">
                            <a:latin typeface="Cambria Math" panose="02040503050406030204" pitchFamily="18" charset="0"/>
                          </a:rPr>
                        </m:ctrlPr>
                      </m:sSubPr>
                      <m:e>
                        <m:r>
                          <a:rPr lang="es-CO" sz="1100" b="1" i="1">
                            <a:latin typeface="Cambria Math" panose="02040503050406030204" pitchFamily="18" charset="0"/>
                          </a:rPr>
                          <m:t>𝑪𝑻𝑴𝒆</m:t>
                        </m:r>
                      </m:e>
                      <m:sub>
                        <m:r>
                          <a:rPr lang="es-CO" sz="1100" b="1" i="1">
                            <a:latin typeface="Cambria Math" panose="02040503050406030204" pitchFamily="18" charset="0"/>
                          </a:rPr>
                          <m:t>𝑷𝑨𝑵</m:t>
                        </m:r>
                      </m:sub>
                    </m:sSub>
                    <m:r>
                      <a:rPr lang="es-CO" sz="1100" b="1" i="1">
                        <a:latin typeface="Cambria Math" panose="02040503050406030204" pitchFamily="18" charset="0"/>
                      </a:rPr>
                      <m:t>=</m:t>
                    </m:r>
                    <m:f>
                      <m:fPr>
                        <m:ctrlPr>
                          <a:rPr lang="es-CO" sz="1100" b="1" i="1">
                            <a:latin typeface="Cambria Math" panose="02040503050406030204" pitchFamily="18" charset="0"/>
                          </a:rPr>
                        </m:ctrlPr>
                      </m:fPr>
                      <m:num>
                        <m:sSub>
                          <m:sSubPr>
                            <m:ctrlPr>
                              <a:rPr lang="es-CO" sz="1100" b="1" i="1">
                                <a:latin typeface="Cambria Math" panose="02040503050406030204" pitchFamily="18" charset="0"/>
                              </a:rPr>
                            </m:ctrlPr>
                          </m:sSubPr>
                          <m:e>
                            <m:r>
                              <a:rPr lang="es-CO" sz="1100" b="1" i="1">
                                <a:latin typeface="Cambria Math" panose="02040503050406030204" pitchFamily="18" charset="0"/>
                              </a:rPr>
                              <m:t>𝑪𝑻</m:t>
                            </m:r>
                          </m:e>
                          <m:sub>
                            <m:r>
                              <a:rPr lang="es-CO" sz="1100" b="1" i="1">
                                <a:latin typeface="Cambria Math" panose="02040503050406030204" pitchFamily="18" charset="0"/>
                              </a:rPr>
                              <m:t>𝑷𝑨𝑵</m:t>
                            </m:r>
                          </m:sub>
                        </m:sSub>
                      </m:num>
                      <m:den>
                        <m:r>
                          <a:rPr lang="es-CO" sz="1100" b="1" i="1">
                            <a:latin typeface="Cambria Math" panose="02040503050406030204" pitchFamily="18" charset="0"/>
                          </a:rPr>
                          <m:t>𝑪𝒂𝒏𝒕𝒊𝒅𝒂𝒅𝒆𝒔</m:t>
                        </m:r>
                      </m:den>
                    </m:f>
                    <m:r>
                      <a:rPr lang="es-CO" sz="1100" b="1" i="1">
                        <a:latin typeface="Cambria Math" panose="02040503050406030204" pitchFamily="18" charset="0"/>
                      </a:rPr>
                      <m:t>= </m:t>
                    </m:r>
                    <m:f>
                      <m:fPr>
                        <m:ctrlPr>
                          <a:rPr lang="es-CO" sz="1100" b="1" i="1">
                            <a:latin typeface="Cambria Math" panose="02040503050406030204" pitchFamily="18" charset="0"/>
                          </a:rPr>
                        </m:ctrlPr>
                      </m:fPr>
                      <m:num>
                        <m:r>
                          <a:rPr lang="es-CO" sz="1100" b="1" i="1">
                            <a:latin typeface="Cambria Math" panose="02040503050406030204" pitchFamily="18" charset="0"/>
                          </a:rPr>
                          <m:t>𝑪𝑭𝑻</m:t>
                        </m:r>
                      </m:num>
                      <m:den>
                        <m:r>
                          <a:rPr lang="es-CO" sz="1100" b="1" i="1">
                            <a:latin typeface="Cambria Math" panose="02040503050406030204" pitchFamily="18" charset="0"/>
                          </a:rPr>
                          <m:t>𝑪𝒂𝒏𝒕𝒊𝒅𝒂𝒅𝒆𝒔</m:t>
                        </m:r>
                      </m:den>
                    </m:f>
                    <m:r>
                      <a:rPr lang="es-CO" sz="1100" b="1" i="1">
                        <a:latin typeface="Cambria Math" panose="02040503050406030204" pitchFamily="18" charset="0"/>
                      </a:rPr>
                      <m:t>+</m:t>
                    </m:r>
                    <m:r>
                      <a:rPr lang="es-CO" sz="1100" b="1" i="1">
                        <a:latin typeface="Cambria Math" panose="02040503050406030204" pitchFamily="18" charset="0"/>
                      </a:rPr>
                      <m:t>𝑪𝑽𝒖</m:t>
                    </m:r>
                    <m:r>
                      <a:rPr lang="es-CO" sz="1100" b="1" i="0">
                        <a:latin typeface="Cambria Math" panose="02040503050406030204" pitchFamily="18" charset="0"/>
                      </a:rPr>
                      <m:t>=</m:t>
                    </m:r>
                    <m:f>
                      <m:fPr>
                        <m:ctrlPr>
                          <a:rPr lang="es-CO" sz="1100" b="1" i="1">
                            <a:solidFill>
                              <a:srgbClr val="FF0000"/>
                            </a:solidFill>
                            <a:effectLst/>
                            <a:latin typeface="Cambria Math" panose="02040503050406030204" pitchFamily="18" charset="0"/>
                            <a:ea typeface="+mn-ea"/>
                            <a:cs typeface="+mn-cs"/>
                          </a:rPr>
                        </m:ctrlPr>
                      </m:fPr>
                      <m:num>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𝟑𝟎𝟓</m:t>
                        </m:r>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𝟕𝟓𝟕</m:t>
                        </m:r>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𝟗𝟎𝟖</m:t>
                        </m:r>
                      </m:num>
                      <m:den>
                        <m:r>
                          <a:rPr lang="es-CO" sz="1100" b="1" i="1">
                            <a:solidFill>
                              <a:srgbClr val="FF0000"/>
                            </a:solidFill>
                            <a:effectLst/>
                            <a:latin typeface="Cambria Math" panose="02040503050406030204" pitchFamily="18" charset="0"/>
                            <a:ea typeface="+mn-ea"/>
                            <a:cs typeface="+mn-cs"/>
                          </a:rPr>
                          <m:t>𝟑𝟓</m:t>
                        </m:r>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𝟑𝟏𝟗</m:t>
                        </m:r>
                      </m:den>
                    </m:f>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𝟔</m:t>
                    </m:r>
                    <m:r>
                      <a:rPr lang="es-CO" sz="1100" b="1" i="1">
                        <a:solidFill>
                          <a:srgbClr val="FF0000"/>
                        </a:solidFill>
                        <a:effectLst/>
                        <a:latin typeface="Cambria Math" panose="02040503050406030204" pitchFamily="18" charset="0"/>
                        <a:ea typeface="+mn-ea"/>
                        <a:cs typeface="+mn-cs"/>
                      </a:rPr>
                      <m:t>.</m:t>
                    </m:r>
                    <m:r>
                      <a:rPr lang="es-CO" sz="1100" b="1" i="1">
                        <a:solidFill>
                          <a:srgbClr val="FF0000"/>
                        </a:solidFill>
                        <a:effectLst/>
                        <a:latin typeface="Cambria Math" panose="02040503050406030204" pitchFamily="18" charset="0"/>
                        <a:ea typeface="+mn-ea"/>
                        <a:cs typeface="+mn-cs"/>
                      </a:rPr>
                      <m:t>𝟑𝟗𝟔</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𝟏𝟓</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𝟎𝟓𝟑</m:t>
                    </m:r>
                  </m:oMath>
                </m:oMathPara>
              </a14:m>
              <a:endParaRPr lang="es-CO" sz="1100" b="1"/>
            </a:p>
          </xdr:txBody>
        </xdr:sp>
      </mc:Choice>
      <mc:Fallback xmlns="">
        <xdr:sp macro="" textlink="">
          <xdr:nvSpPr>
            <xdr:cNvPr id="21" name="CuadroTexto 20">
              <a:extLst>
                <a:ext uri="{FF2B5EF4-FFF2-40B4-BE49-F238E27FC236}">
                  <a16:creationId xmlns:a16="http://schemas.microsoft.com/office/drawing/2014/main" id="{AE5C356C-3107-4BBD-8692-882A0F0530F9}"/>
                </a:ext>
              </a:extLst>
            </xdr:cNvPr>
            <xdr:cNvSpPr txBox="1"/>
          </xdr:nvSpPr>
          <xdr:spPr>
            <a:xfrm>
              <a:off x="22536150" y="8172450"/>
              <a:ext cx="5546262"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1" i="0">
                  <a:latin typeface="Cambria Math" panose="02040503050406030204" pitchFamily="18" charset="0"/>
                </a:rPr>
                <a:t>〖𝑪𝑻𝑴𝒆〗_𝑷𝑨𝑵=〖𝑪𝑻〗_𝑷𝑨𝑵/𝑪𝒂𝒏𝒕𝒊𝒅𝒂𝒅𝒆𝒔=  𝑪𝑭𝑻/𝑪𝒂𝒏𝒕𝒊𝒅𝒂𝒅𝒆𝒔+𝑪𝑽𝒖=</a:t>
              </a:r>
              <a:r>
                <a:rPr lang="es-CO" sz="1100" b="1" i="0">
                  <a:solidFill>
                    <a:srgbClr val="FF0000"/>
                  </a:solidFill>
                  <a:effectLst/>
                  <a:latin typeface="Cambria Math" panose="02040503050406030204" pitchFamily="18" charset="0"/>
                  <a:ea typeface="+mn-ea"/>
                  <a:cs typeface="+mn-cs"/>
                </a:rPr>
                <a:t>($𝟑𝟎𝟓.𝟕𝟓𝟕.𝟗𝟎𝟖)/(𝟑𝟓.𝟑𝟏𝟗)+$𝟔.𝟑𝟗𝟔</a:t>
              </a:r>
              <a:r>
                <a:rPr lang="es-CO" sz="1100" b="1" i="0">
                  <a:solidFill>
                    <a:schemeClr val="tx1"/>
                  </a:solidFill>
                  <a:effectLst/>
                  <a:latin typeface="Cambria Math" panose="02040503050406030204" pitchFamily="18" charset="0"/>
                  <a:ea typeface="+mn-ea"/>
                  <a:cs typeface="+mn-cs"/>
                </a:rPr>
                <a:t>=$𝟏𝟓.𝟎𝟓𝟑</a:t>
              </a:r>
              <a:endParaRPr lang="es-CO" sz="1100" b="1"/>
            </a:p>
          </xdr:txBody>
        </xdr:sp>
      </mc:Fallback>
    </mc:AlternateContent>
    <xdr:clientData/>
  </xdr:oneCellAnchor>
  <xdr:oneCellAnchor>
    <xdr:from>
      <xdr:col>3</xdr:col>
      <xdr:colOff>161925</xdr:colOff>
      <xdr:row>50</xdr:row>
      <xdr:rowOff>333375</xdr:rowOff>
    </xdr:from>
    <xdr:ext cx="1436618" cy="477375"/>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B9F583E6-3A94-4AFE-BE71-2E41C946A708}"/>
                </a:ext>
              </a:extLst>
            </xdr:cNvPr>
            <xdr:cNvSpPr txBox="1"/>
          </xdr:nvSpPr>
          <xdr:spPr>
            <a:xfrm>
              <a:off x="6514686" y="25992897"/>
              <a:ext cx="1436618" cy="477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ctrlPr>
                          <a:rPr lang="es-CO" sz="1100" i="1">
                            <a:latin typeface="Cambria Math" panose="02040503050406030204" pitchFamily="18" charset="0"/>
                          </a:rPr>
                        </m:ctrlPr>
                      </m:naryPr>
                      <m:sub>
                        <m:r>
                          <m:rPr>
                            <m:brk m:alnAt="23"/>
                          </m:rPr>
                          <a:rPr lang="es-CO" sz="1100" b="0" i="1">
                            <a:latin typeface="Cambria Math" panose="02040503050406030204" pitchFamily="18" charset="0"/>
                          </a:rPr>
                          <m:t>𝐼</m:t>
                        </m:r>
                        <m:r>
                          <a:rPr lang="es-CO" sz="1100" b="0" i="1">
                            <a:latin typeface="Cambria Math" panose="02040503050406030204" pitchFamily="18" charset="0"/>
                          </a:rPr>
                          <m:t>=1</m:t>
                        </m:r>
                      </m:sub>
                      <m:sup>
                        <m:r>
                          <a:rPr lang="es-CO" sz="1100" b="0" i="1">
                            <a:latin typeface="Cambria Math" panose="02040503050406030204" pitchFamily="18" charset="0"/>
                          </a:rPr>
                          <m:t>𝑛</m:t>
                        </m:r>
                        <m:r>
                          <a:rPr lang="es-CO" sz="1100" b="0" i="1">
                            <a:latin typeface="Cambria Math" panose="02040503050406030204" pitchFamily="18" charset="0"/>
                          </a:rPr>
                          <m:t>=5</m:t>
                        </m:r>
                      </m:sup>
                      <m:e>
                        <m:sSub>
                          <m:sSubPr>
                            <m:ctrlPr>
                              <a:rPr lang="es-CO" sz="1100" i="1">
                                <a:latin typeface="Cambria Math" panose="02040503050406030204" pitchFamily="18" charset="0"/>
                              </a:rPr>
                            </m:ctrlPr>
                          </m:sSubPr>
                          <m:e>
                            <m:eqArr>
                              <m:eqArrPr>
                                <m:ctrlPr>
                                  <a:rPr lang="es-CO" sz="1100" b="0" i="1">
                                    <a:latin typeface="Cambria Math" panose="02040503050406030204" pitchFamily="18" charset="0"/>
                                  </a:rPr>
                                </m:ctrlPr>
                              </m:eqArrPr>
                              <m:e>
                                <m:r>
                                  <a:rPr lang="es-CO" sz="1100" b="0" i="1">
                                    <a:latin typeface="Cambria Math" panose="02040503050406030204" pitchFamily="18" charset="0"/>
                                  </a:rPr>
                                  <m:t>𝐷𝑒𝑝𝑟𝑒𝑐𝑖𝑎𝑐𝑖</m:t>
                                </m:r>
                                <m:r>
                                  <a:rPr lang="es-CO" sz="1100" b="0" i="1">
                                    <a:latin typeface="Cambria Math" panose="02040503050406030204" pitchFamily="18" charset="0"/>
                                  </a:rPr>
                                  <m:t>ó</m:t>
                                </m:r>
                                <m:r>
                                  <a:rPr lang="es-CO" sz="1100" b="0" i="1">
                                    <a:latin typeface="Cambria Math" panose="02040503050406030204" pitchFamily="18" charset="0"/>
                                  </a:rPr>
                                  <m:t>𝑛</m:t>
                                </m:r>
                              </m:e>
                              <m:e>
                                <m:r>
                                  <a:rPr lang="es-CO" sz="1100" b="0" i="1">
                                    <a:latin typeface="Cambria Math" panose="02040503050406030204" pitchFamily="18" charset="0"/>
                                  </a:rPr>
                                  <m:t> </m:t>
                                </m:r>
                                <m:r>
                                  <a:rPr lang="es-CO" sz="1100" b="0" i="1">
                                    <a:latin typeface="Cambria Math" panose="02040503050406030204" pitchFamily="18" charset="0"/>
                                  </a:rPr>
                                  <m:t>𝐴𝑛𝑢𝑎𝑙</m:t>
                                </m:r>
                              </m:e>
                            </m:eqArr>
                          </m:e>
                          <m:sub>
                            <m:r>
                              <a:rPr lang="es-CO" sz="1100" b="0" i="1">
                                <a:latin typeface="Cambria Math" panose="02040503050406030204" pitchFamily="18" charset="0"/>
                              </a:rPr>
                              <m:t>𝑖</m:t>
                            </m:r>
                          </m:sub>
                        </m:sSub>
                      </m:e>
                    </m:nary>
                  </m:oMath>
                </m:oMathPara>
              </a14:m>
              <a:endParaRPr lang="es-CO" sz="1100"/>
            </a:p>
          </xdr:txBody>
        </xdr:sp>
      </mc:Choice>
      <mc:Fallback xmlns="">
        <xdr:sp macro="" textlink="">
          <xdr:nvSpPr>
            <xdr:cNvPr id="22" name="CuadroTexto 21">
              <a:extLst>
                <a:ext uri="{FF2B5EF4-FFF2-40B4-BE49-F238E27FC236}">
                  <a16:creationId xmlns:a16="http://schemas.microsoft.com/office/drawing/2014/main" id="{B9F583E6-3A94-4AFE-BE71-2E41C946A708}"/>
                </a:ext>
              </a:extLst>
            </xdr:cNvPr>
            <xdr:cNvSpPr txBox="1"/>
          </xdr:nvSpPr>
          <xdr:spPr>
            <a:xfrm>
              <a:off x="6514686" y="25992897"/>
              <a:ext cx="1436618" cy="477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i="0">
                  <a:latin typeface="Cambria Math" panose="02040503050406030204" pitchFamily="18" charset="0"/>
                </a:rPr>
                <a:t>∑</a:t>
              </a:r>
              <a:r>
                <a:rPr lang="es-CO" sz="1100" b="0" i="0">
                  <a:latin typeface="Cambria Math" panose="02040503050406030204" pitchFamily="18" charset="0"/>
                </a:rPr>
                <a:t>_(𝐼=1)^(𝑛=5)▒█(𝐷𝑒𝑝𝑟𝑒𝑐𝑖𝑎𝑐𝑖ó𝑛@ 𝐴𝑛𝑢𝑎𝑙)_𝑖 </a:t>
              </a:r>
              <a:endParaRPr lang="es-CO" sz="1100"/>
            </a:p>
          </xdr:txBody>
        </xdr:sp>
      </mc:Fallback>
    </mc:AlternateContent>
    <xdr:clientData/>
  </xdr:oneCellAnchor>
  <xdr:twoCellAnchor>
    <xdr:from>
      <xdr:col>3</xdr:col>
      <xdr:colOff>131669</xdr:colOff>
      <xdr:row>131</xdr:row>
      <xdr:rowOff>279026</xdr:rowOff>
    </xdr:from>
    <xdr:to>
      <xdr:col>3</xdr:col>
      <xdr:colOff>590856</xdr:colOff>
      <xdr:row>132</xdr:row>
      <xdr:rowOff>264480</xdr:rowOff>
    </xdr:to>
    <xdr:cxnSp macro="">
      <xdr:nvCxnSpPr>
        <xdr:cNvPr id="23" name="Conector recto de flecha 22">
          <a:extLst>
            <a:ext uri="{FF2B5EF4-FFF2-40B4-BE49-F238E27FC236}">
              <a16:creationId xmlns:a16="http://schemas.microsoft.com/office/drawing/2014/main" id="{939758D6-FBA6-43C0-BADB-8ACE2E158E91}"/>
            </a:ext>
          </a:extLst>
        </xdr:cNvPr>
        <xdr:cNvCxnSpPr>
          <a:endCxn id="24" idx="1"/>
        </xdr:cNvCxnSpPr>
      </xdr:nvCxnSpPr>
      <xdr:spPr>
        <a:xfrm>
          <a:off x="7527551" y="44295732"/>
          <a:ext cx="459187" cy="32163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590856</xdr:colOff>
      <xdr:row>132</xdr:row>
      <xdr:rowOff>105462</xdr:rowOff>
    </xdr:from>
    <xdr:ext cx="1939634" cy="318036"/>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BB525DDE-A4B4-4ADE-8EE0-A0D45DF9252D}"/>
                </a:ext>
              </a:extLst>
            </xdr:cNvPr>
            <xdr:cNvSpPr txBox="1"/>
          </xdr:nvSpPr>
          <xdr:spPr>
            <a:xfrm>
              <a:off x="8201331" y="41158212"/>
              <a:ext cx="1939634"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panose="02040503050406030204" pitchFamily="18" charset="0"/>
                      </a:rPr>
                      <m:t>% </m:t>
                    </m:r>
                    <m:r>
                      <a:rPr lang="es-CO" sz="1100" b="0" i="1">
                        <a:latin typeface="Cambria Math" panose="02040503050406030204" pitchFamily="18" charset="0"/>
                      </a:rPr>
                      <m:t>𝐴𝑝𝑜𝑟𝑡𝑒𝑠</m:t>
                    </m:r>
                    <m:r>
                      <a:rPr lang="es-CO" sz="1100" b="0" i="1">
                        <a:latin typeface="Cambria Math" panose="02040503050406030204" pitchFamily="18" charset="0"/>
                      </a:rPr>
                      <m:t>=</m:t>
                    </m:r>
                    <m:f>
                      <m:fPr>
                        <m:ctrlPr>
                          <a:rPr lang="es-CO" sz="1100" b="0" i="1">
                            <a:latin typeface="Cambria Math" panose="02040503050406030204" pitchFamily="18" charset="0"/>
                          </a:rPr>
                        </m:ctrlPr>
                      </m:fPr>
                      <m:num>
                        <m:r>
                          <a:rPr lang="es-CO" sz="1100" b="0" i="1">
                            <a:latin typeface="Cambria Math" panose="02040503050406030204" pitchFamily="18" charset="0"/>
                          </a:rPr>
                          <m:t>𝐴𝑝𝑜𝑟𝑡𝑒</m:t>
                        </m:r>
                      </m:num>
                      <m:den>
                        <m:r>
                          <a:rPr lang="es-CO" sz="1100" b="0" i="1">
                            <a:latin typeface="Cambria Math" panose="02040503050406030204" pitchFamily="18" charset="0"/>
                          </a:rPr>
                          <m:t>𝐼𝑛𝑣𝑒𝑟𝑠𝑖</m:t>
                        </m:r>
                        <m:r>
                          <a:rPr lang="es-CO" sz="1100" b="0" i="1">
                            <a:latin typeface="Cambria Math" panose="02040503050406030204" pitchFamily="18" charset="0"/>
                          </a:rPr>
                          <m:t>ó</m:t>
                        </m:r>
                        <m:r>
                          <a:rPr lang="es-CO" sz="1100" b="0" i="1">
                            <a:latin typeface="Cambria Math" panose="02040503050406030204" pitchFamily="18" charset="0"/>
                          </a:rPr>
                          <m:t>𝑛</m:t>
                        </m:r>
                        <m:r>
                          <a:rPr lang="es-CO" sz="1100" b="0" i="1">
                            <a:latin typeface="Cambria Math" panose="02040503050406030204" pitchFamily="18" charset="0"/>
                          </a:rPr>
                          <m:t> </m:t>
                        </m:r>
                        <m:r>
                          <a:rPr lang="es-CO" sz="1100" b="0" i="1">
                            <a:latin typeface="Cambria Math" panose="02040503050406030204" pitchFamily="18" charset="0"/>
                          </a:rPr>
                          <m:t>𝐼𝑛𝑖𝑐𝑖𝑎𝑙</m:t>
                        </m:r>
                      </m:den>
                    </m:f>
                  </m:oMath>
                </m:oMathPara>
              </a14:m>
              <a:endParaRPr lang="es-CO" sz="1100"/>
            </a:p>
          </xdr:txBody>
        </xdr:sp>
      </mc:Choice>
      <mc:Fallback xmlns="">
        <xdr:sp macro="" textlink="">
          <xdr:nvSpPr>
            <xdr:cNvPr id="24" name="CuadroTexto 23">
              <a:extLst>
                <a:ext uri="{FF2B5EF4-FFF2-40B4-BE49-F238E27FC236}">
                  <a16:creationId xmlns:a16="http://schemas.microsoft.com/office/drawing/2014/main" id="{BB525DDE-A4B4-4ADE-8EE0-A0D45DF9252D}"/>
                </a:ext>
              </a:extLst>
            </xdr:cNvPr>
            <xdr:cNvSpPr txBox="1"/>
          </xdr:nvSpPr>
          <xdr:spPr>
            <a:xfrm>
              <a:off x="8201331" y="41158212"/>
              <a:ext cx="1939634"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100" b="0" i="0">
                  <a:latin typeface="Cambria Math" panose="02040503050406030204" pitchFamily="18" charset="0"/>
                </a:rPr>
                <a:t>% 𝐴𝑝𝑜𝑟𝑡𝑒𝑠=𝐴𝑝𝑜𝑟𝑡𝑒/(𝐼𝑛𝑣𝑒𝑟𝑠𝑖ó𝑛 𝐼𝑛𝑖𝑐𝑖𝑎𝑙)</a:t>
              </a:r>
              <a:endParaRPr lang="es-CO" sz="1100"/>
            </a:p>
          </xdr:txBody>
        </xdr:sp>
      </mc:Fallback>
    </mc:AlternateContent>
    <xdr:clientData/>
  </xdr:oneCellAnchor>
  <xdr:twoCellAnchor>
    <xdr:from>
      <xdr:col>3</xdr:col>
      <xdr:colOff>2075962</xdr:colOff>
      <xdr:row>163</xdr:row>
      <xdr:rowOff>102577</xdr:rowOff>
    </xdr:from>
    <xdr:to>
      <xdr:col>5</xdr:col>
      <xdr:colOff>556846</xdr:colOff>
      <xdr:row>163</xdr:row>
      <xdr:rowOff>105019</xdr:rowOff>
    </xdr:to>
    <xdr:cxnSp macro="">
      <xdr:nvCxnSpPr>
        <xdr:cNvPr id="40" name="Conector recto de flecha 39">
          <a:extLst>
            <a:ext uri="{FF2B5EF4-FFF2-40B4-BE49-F238E27FC236}">
              <a16:creationId xmlns:a16="http://schemas.microsoft.com/office/drawing/2014/main" id="{15AA6DD2-C632-4C10-A341-0876750D4CCB}"/>
            </a:ext>
          </a:extLst>
        </xdr:cNvPr>
        <xdr:cNvCxnSpPr/>
      </xdr:nvCxnSpPr>
      <xdr:spPr>
        <a:xfrm flipV="1">
          <a:off x="7200412" y="63196177"/>
          <a:ext cx="2138484" cy="2442"/>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644770</xdr:colOff>
      <xdr:row>164</xdr:row>
      <xdr:rowOff>51289</xdr:rowOff>
    </xdr:from>
    <xdr:to>
      <xdr:col>5</xdr:col>
      <xdr:colOff>740020</xdr:colOff>
      <xdr:row>165</xdr:row>
      <xdr:rowOff>80596</xdr:rowOff>
    </xdr:to>
    <xdr:sp macro="" textlink="">
      <xdr:nvSpPr>
        <xdr:cNvPr id="42" name="Flecha: hacia abajo 41">
          <a:extLst>
            <a:ext uri="{FF2B5EF4-FFF2-40B4-BE49-F238E27FC236}">
              <a16:creationId xmlns:a16="http://schemas.microsoft.com/office/drawing/2014/main" id="{5FD98B3A-DF99-4AC3-A548-2DF9924D8CE7}"/>
            </a:ext>
          </a:extLst>
        </xdr:cNvPr>
        <xdr:cNvSpPr/>
      </xdr:nvSpPr>
      <xdr:spPr>
        <a:xfrm>
          <a:off x="9426820" y="63363964"/>
          <a:ext cx="95250" cy="248382"/>
        </a:xfrm>
        <a:prstGeom prst="down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1609725</xdr:colOff>
      <xdr:row>68</xdr:row>
      <xdr:rowOff>142875</xdr:rowOff>
    </xdr:from>
    <xdr:to>
      <xdr:col>3</xdr:col>
      <xdr:colOff>390525</xdr:colOff>
      <xdr:row>69</xdr:row>
      <xdr:rowOff>152400</xdr:rowOff>
    </xdr:to>
    <xdr:cxnSp macro="">
      <xdr:nvCxnSpPr>
        <xdr:cNvPr id="7" name="Conector recto de flecha 6">
          <a:extLst>
            <a:ext uri="{FF2B5EF4-FFF2-40B4-BE49-F238E27FC236}">
              <a16:creationId xmlns:a16="http://schemas.microsoft.com/office/drawing/2014/main" id="{DAE45262-6DDA-E538-B4CB-2652BEE2B046}"/>
            </a:ext>
          </a:extLst>
        </xdr:cNvPr>
        <xdr:cNvCxnSpPr/>
      </xdr:nvCxnSpPr>
      <xdr:spPr>
        <a:xfrm flipH="1">
          <a:off x="7134225" y="27279600"/>
          <a:ext cx="657225" cy="409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1609725</xdr:colOff>
      <xdr:row>68</xdr:row>
      <xdr:rowOff>142875</xdr:rowOff>
    </xdr:from>
    <xdr:to>
      <xdr:col>4</xdr:col>
      <xdr:colOff>390525</xdr:colOff>
      <xdr:row>69</xdr:row>
      <xdr:rowOff>152400</xdr:rowOff>
    </xdr:to>
    <xdr:cxnSp macro="">
      <xdr:nvCxnSpPr>
        <xdr:cNvPr id="5" name="Conector recto de flecha 4">
          <a:extLst>
            <a:ext uri="{FF2B5EF4-FFF2-40B4-BE49-F238E27FC236}">
              <a16:creationId xmlns:a16="http://schemas.microsoft.com/office/drawing/2014/main" id="{92FE784F-EEE4-42C8-A048-86F08B4EC222}"/>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1609725</xdr:colOff>
      <xdr:row>68</xdr:row>
      <xdr:rowOff>142875</xdr:rowOff>
    </xdr:from>
    <xdr:to>
      <xdr:col>5</xdr:col>
      <xdr:colOff>390525</xdr:colOff>
      <xdr:row>69</xdr:row>
      <xdr:rowOff>152400</xdr:rowOff>
    </xdr:to>
    <xdr:cxnSp macro="">
      <xdr:nvCxnSpPr>
        <xdr:cNvPr id="6" name="Conector recto de flecha 5">
          <a:extLst>
            <a:ext uri="{FF2B5EF4-FFF2-40B4-BE49-F238E27FC236}">
              <a16:creationId xmlns:a16="http://schemas.microsoft.com/office/drawing/2014/main" id="{BE315F33-B378-492A-838A-2EBB655BAD10}"/>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1609725</xdr:colOff>
      <xdr:row>68</xdr:row>
      <xdr:rowOff>142875</xdr:rowOff>
    </xdr:from>
    <xdr:to>
      <xdr:col>6</xdr:col>
      <xdr:colOff>390525</xdr:colOff>
      <xdr:row>69</xdr:row>
      <xdr:rowOff>152400</xdr:rowOff>
    </xdr:to>
    <xdr:cxnSp macro="">
      <xdr:nvCxnSpPr>
        <xdr:cNvPr id="9" name="Conector recto de flecha 8">
          <a:extLst>
            <a:ext uri="{FF2B5EF4-FFF2-40B4-BE49-F238E27FC236}">
              <a16:creationId xmlns:a16="http://schemas.microsoft.com/office/drawing/2014/main" id="{FF3347B6-39D3-4E6E-810D-4191EBA93341}"/>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1609725</xdr:colOff>
      <xdr:row>68</xdr:row>
      <xdr:rowOff>142875</xdr:rowOff>
    </xdr:from>
    <xdr:to>
      <xdr:col>6</xdr:col>
      <xdr:colOff>390525</xdr:colOff>
      <xdr:row>69</xdr:row>
      <xdr:rowOff>152400</xdr:rowOff>
    </xdr:to>
    <xdr:cxnSp macro="">
      <xdr:nvCxnSpPr>
        <xdr:cNvPr id="10" name="Conector recto de flecha 9">
          <a:extLst>
            <a:ext uri="{FF2B5EF4-FFF2-40B4-BE49-F238E27FC236}">
              <a16:creationId xmlns:a16="http://schemas.microsoft.com/office/drawing/2014/main" id="{8A7F285B-5BE3-4187-B898-513C17D73E74}"/>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1609725</xdr:colOff>
      <xdr:row>68</xdr:row>
      <xdr:rowOff>142875</xdr:rowOff>
    </xdr:from>
    <xdr:to>
      <xdr:col>7</xdr:col>
      <xdr:colOff>390525</xdr:colOff>
      <xdr:row>69</xdr:row>
      <xdr:rowOff>152400</xdr:rowOff>
    </xdr:to>
    <xdr:cxnSp macro="">
      <xdr:nvCxnSpPr>
        <xdr:cNvPr id="11" name="Conector recto de flecha 10">
          <a:extLst>
            <a:ext uri="{FF2B5EF4-FFF2-40B4-BE49-F238E27FC236}">
              <a16:creationId xmlns:a16="http://schemas.microsoft.com/office/drawing/2014/main" id="{F376C6A6-E368-44EC-8B6B-A5D8C4139D46}"/>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1609725</xdr:colOff>
      <xdr:row>68</xdr:row>
      <xdr:rowOff>142875</xdr:rowOff>
    </xdr:from>
    <xdr:to>
      <xdr:col>7</xdr:col>
      <xdr:colOff>390525</xdr:colOff>
      <xdr:row>69</xdr:row>
      <xdr:rowOff>152400</xdr:rowOff>
    </xdr:to>
    <xdr:cxnSp macro="">
      <xdr:nvCxnSpPr>
        <xdr:cNvPr id="13" name="Conector recto de flecha 12">
          <a:extLst>
            <a:ext uri="{FF2B5EF4-FFF2-40B4-BE49-F238E27FC236}">
              <a16:creationId xmlns:a16="http://schemas.microsoft.com/office/drawing/2014/main" id="{57A29691-AE11-4538-A3DF-00B4CAAD879F}"/>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1609725</xdr:colOff>
      <xdr:row>68</xdr:row>
      <xdr:rowOff>142875</xdr:rowOff>
    </xdr:from>
    <xdr:to>
      <xdr:col>8</xdr:col>
      <xdr:colOff>390525</xdr:colOff>
      <xdr:row>69</xdr:row>
      <xdr:rowOff>152400</xdr:rowOff>
    </xdr:to>
    <xdr:cxnSp macro="">
      <xdr:nvCxnSpPr>
        <xdr:cNvPr id="14" name="Conector recto de flecha 13">
          <a:extLst>
            <a:ext uri="{FF2B5EF4-FFF2-40B4-BE49-F238E27FC236}">
              <a16:creationId xmlns:a16="http://schemas.microsoft.com/office/drawing/2014/main" id="{301DF1BE-FE5C-47F0-A5BC-7772A7ABA36C}"/>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1609725</xdr:colOff>
      <xdr:row>68</xdr:row>
      <xdr:rowOff>142875</xdr:rowOff>
    </xdr:from>
    <xdr:to>
      <xdr:col>4</xdr:col>
      <xdr:colOff>390525</xdr:colOff>
      <xdr:row>69</xdr:row>
      <xdr:rowOff>152400</xdr:rowOff>
    </xdr:to>
    <xdr:cxnSp macro="">
      <xdr:nvCxnSpPr>
        <xdr:cNvPr id="15" name="Conector recto de flecha 14">
          <a:extLst>
            <a:ext uri="{FF2B5EF4-FFF2-40B4-BE49-F238E27FC236}">
              <a16:creationId xmlns:a16="http://schemas.microsoft.com/office/drawing/2014/main" id="{AB4378B3-2EF7-4BDC-89A0-20FC3795FCDB}"/>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1609725</xdr:colOff>
      <xdr:row>68</xdr:row>
      <xdr:rowOff>142875</xdr:rowOff>
    </xdr:from>
    <xdr:to>
      <xdr:col>5</xdr:col>
      <xdr:colOff>390525</xdr:colOff>
      <xdr:row>69</xdr:row>
      <xdr:rowOff>152400</xdr:rowOff>
    </xdr:to>
    <xdr:cxnSp macro="">
      <xdr:nvCxnSpPr>
        <xdr:cNvPr id="17" name="Conector recto de flecha 16">
          <a:extLst>
            <a:ext uri="{FF2B5EF4-FFF2-40B4-BE49-F238E27FC236}">
              <a16:creationId xmlns:a16="http://schemas.microsoft.com/office/drawing/2014/main" id="{C5A8E4A1-3E04-4B90-A231-3D24DE6EDFC2}"/>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1609725</xdr:colOff>
      <xdr:row>68</xdr:row>
      <xdr:rowOff>142875</xdr:rowOff>
    </xdr:from>
    <xdr:to>
      <xdr:col>5</xdr:col>
      <xdr:colOff>390525</xdr:colOff>
      <xdr:row>69</xdr:row>
      <xdr:rowOff>152400</xdr:rowOff>
    </xdr:to>
    <xdr:cxnSp macro="">
      <xdr:nvCxnSpPr>
        <xdr:cNvPr id="18" name="Conector recto de flecha 17">
          <a:extLst>
            <a:ext uri="{FF2B5EF4-FFF2-40B4-BE49-F238E27FC236}">
              <a16:creationId xmlns:a16="http://schemas.microsoft.com/office/drawing/2014/main" id="{615D9A5B-BA0D-4B05-87A0-D5356B158639}"/>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1609725</xdr:colOff>
      <xdr:row>68</xdr:row>
      <xdr:rowOff>142875</xdr:rowOff>
    </xdr:from>
    <xdr:to>
      <xdr:col>6</xdr:col>
      <xdr:colOff>390525</xdr:colOff>
      <xdr:row>69</xdr:row>
      <xdr:rowOff>152400</xdr:rowOff>
    </xdr:to>
    <xdr:cxnSp macro="">
      <xdr:nvCxnSpPr>
        <xdr:cNvPr id="20" name="Conector recto de flecha 19">
          <a:extLst>
            <a:ext uri="{FF2B5EF4-FFF2-40B4-BE49-F238E27FC236}">
              <a16:creationId xmlns:a16="http://schemas.microsoft.com/office/drawing/2014/main" id="{E10EBB24-294D-4D51-B9F0-C0193E1DC1F0}"/>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1609725</xdr:colOff>
      <xdr:row>68</xdr:row>
      <xdr:rowOff>142875</xdr:rowOff>
    </xdr:from>
    <xdr:to>
      <xdr:col>6</xdr:col>
      <xdr:colOff>390525</xdr:colOff>
      <xdr:row>69</xdr:row>
      <xdr:rowOff>152400</xdr:rowOff>
    </xdr:to>
    <xdr:cxnSp macro="">
      <xdr:nvCxnSpPr>
        <xdr:cNvPr id="25" name="Conector recto de flecha 24">
          <a:extLst>
            <a:ext uri="{FF2B5EF4-FFF2-40B4-BE49-F238E27FC236}">
              <a16:creationId xmlns:a16="http://schemas.microsoft.com/office/drawing/2014/main" id="{70F62419-4350-404E-A40C-FB21BD96BA86}"/>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1609725</xdr:colOff>
      <xdr:row>68</xdr:row>
      <xdr:rowOff>142875</xdr:rowOff>
    </xdr:from>
    <xdr:to>
      <xdr:col>6</xdr:col>
      <xdr:colOff>390525</xdr:colOff>
      <xdr:row>69</xdr:row>
      <xdr:rowOff>152400</xdr:rowOff>
    </xdr:to>
    <xdr:cxnSp macro="">
      <xdr:nvCxnSpPr>
        <xdr:cNvPr id="26" name="Conector recto de flecha 25">
          <a:extLst>
            <a:ext uri="{FF2B5EF4-FFF2-40B4-BE49-F238E27FC236}">
              <a16:creationId xmlns:a16="http://schemas.microsoft.com/office/drawing/2014/main" id="{182E77FC-182B-401A-AEA3-994E13F6A56F}"/>
            </a:ext>
          </a:extLst>
        </xdr:cNvPr>
        <xdr:cNvCxnSpPr/>
      </xdr:nvCxnSpPr>
      <xdr:spPr>
        <a:xfrm flipH="1">
          <a:off x="8716541" y="21331141"/>
          <a:ext cx="771331"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1609725</xdr:colOff>
      <xdr:row>68</xdr:row>
      <xdr:rowOff>142875</xdr:rowOff>
    </xdr:from>
    <xdr:to>
      <xdr:col>7</xdr:col>
      <xdr:colOff>390525</xdr:colOff>
      <xdr:row>69</xdr:row>
      <xdr:rowOff>152400</xdr:rowOff>
    </xdr:to>
    <xdr:cxnSp macro="">
      <xdr:nvCxnSpPr>
        <xdr:cNvPr id="27" name="Conector recto de flecha 26">
          <a:extLst>
            <a:ext uri="{FF2B5EF4-FFF2-40B4-BE49-F238E27FC236}">
              <a16:creationId xmlns:a16="http://schemas.microsoft.com/office/drawing/2014/main" id="{50C3D2B5-7C5E-4395-843D-B460D55F27D1}"/>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1609725</xdr:colOff>
      <xdr:row>68</xdr:row>
      <xdr:rowOff>142875</xdr:rowOff>
    </xdr:from>
    <xdr:to>
      <xdr:col>7</xdr:col>
      <xdr:colOff>390525</xdr:colOff>
      <xdr:row>69</xdr:row>
      <xdr:rowOff>152400</xdr:rowOff>
    </xdr:to>
    <xdr:cxnSp macro="">
      <xdr:nvCxnSpPr>
        <xdr:cNvPr id="28" name="Conector recto de flecha 27">
          <a:extLst>
            <a:ext uri="{FF2B5EF4-FFF2-40B4-BE49-F238E27FC236}">
              <a16:creationId xmlns:a16="http://schemas.microsoft.com/office/drawing/2014/main" id="{82AC4A31-937B-4149-B72C-99FAAE49CD2A}"/>
            </a:ext>
          </a:extLst>
        </xdr:cNvPr>
        <xdr:cNvCxnSpPr/>
      </xdr:nvCxnSpPr>
      <xdr:spPr>
        <a:xfrm flipH="1">
          <a:off x="10707072" y="21331141"/>
          <a:ext cx="748004" cy="406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ersonal\lmesaagu_eafit_edu_co\Documents\lmesaagu\CLASES%20DICTADAS%20EAFIT\UNIVERSIDAD%20EAFIT\PREPARACION%20DE%20PROYECTOS\PREPARACION%20PROYECTOS%202024-1\2.%20Ejercicio_Evaluaci&#243;nFinanciera_DESARROLLADO%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mesaagu\OneDrive%20-%20Universidad%20EAFIT\lmesaagu\CENSA\A&#209;O%202015\MODULOS\legislacion%20laboral\Nomina%20Empresa-Luz%20Nora%20Mesa%20Agudel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udio de Mercado"/>
      <sheetName val="2.A. Estudio Inversiones"/>
      <sheetName val="2.B. Estudio de Costos"/>
      <sheetName val="3. Salario - Organizacional"/>
      <sheetName val="Financiación"/>
      <sheetName val="Hoja1"/>
      <sheetName val="Evaluación Financiera Proyecto"/>
    </sheetNames>
    <sheetDataSet>
      <sheetData sheetId="0"/>
      <sheetData sheetId="1">
        <row r="7">
          <cell r="G7">
            <v>17500000</v>
          </cell>
        </row>
        <row r="8">
          <cell r="G8">
            <v>5000000</v>
          </cell>
        </row>
        <row r="9">
          <cell r="G9">
            <v>600000</v>
          </cell>
        </row>
        <row r="10">
          <cell r="G10">
            <v>10500000</v>
          </cell>
        </row>
        <row r="11">
          <cell r="G11">
            <v>8520000</v>
          </cell>
        </row>
        <row r="12">
          <cell r="G12">
            <v>8000000</v>
          </cell>
        </row>
        <row r="13">
          <cell r="G13">
            <v>1800000</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Para_PS"/>
      <sheetName val="Hoja5"/>
      <sheetName val="INFORMACIÓN GENERAL"/>
      <sheetName val="NÓMINA MENSUAL"/>
      <sheetName val="Hoja1"/>
      <sheetName val="Hoja2"/>
      <sheetName val="Hoja3"/>
      <sheetName val="Hoja4"/>
    </sheetNames>
    <sheetDataSet>
      <sheetData sheetId="0" refreshError="1">
        <row r="5">
          <cell r="D5">
            <v>0.02</v>
          </cell>
        </row>
        <row r="6">
          <cell r="D6">
            <v>0.03</v>
          </cell>
        </row>
        <row r="7">
          <cell r="D7">
            <v>0.04</v>
          </cell>
        </row>
        <row r="8">
          <cell r="D8">
            <v>8.3333333333333329E-2</v>
          </cell>
        </row>
        <row r="9">
          <cell r="D9">
            <v>0.01</v>
          </cell>
        </row>
        <row r="10">
          <cell r="D10">
            <v>8.3333333333333329E-2</v>
          </cell>
        </row>
        <row r="11">
          <cell r="D11">
            <v>4.1666666666666664E-2</v>
          </cell>
        </row>
      </sheetData>
      <sheetData sheetId="1" refreshError="1"/>
      <sheetData sheetId="2" refreshError="1">
        <row r="10">
          <cell r="A10"/>
        </row>
        <row r="15">
          <cell r="A15"/>
        </row>
      </sheetData>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Luz Nora Mesa Agudelo" id="{A4089923-E524-410D-9F30-E735C187FC42}" userId="S::lmesaagu@eafit.edu.co::533ed826-65fc-4e17-9229-133a619d645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3" dT="2023-07-20T21:01:21.01" personId="{A4089923-E524-410D-9F30-E735C187FC42}" id="{6654DCBF-29F7-43D4-8DF0-67CBDDFDC5E9}">
    <text>Cada proyecto identificas los criterios relevantes para su selección.</text>
  </threadedComment>
</ThreadedComments>
</file>

<file path=xl/threadedComments/threadedComment2.xml><?xml version="1.0" encoding="utf-8"?>
<ThreadedComments xmlns="http://schemas.microsoft.com/office/spreadsheetml/2018/threadedcomments" xmlns:x="http://schemas.openxmlformats.org/spreadsheetml/2006/main">
  <threadedComment ref="C70" dT="2023-10-29T23:12:34.94" personId="{A4089923-E524-410D-9F30-E735C187FC42}" id="{BCADD60D-3D45-4EF7-B40E-C3697E53CE13}">
    <text>Valor que requiero tener disponible para cubrir el primer año de operación</text>
  </threadedComment>
  <threadedComment ref="E131" dT="2023-07-21T00:00:12.64" personId="{A4089923-E524-410D-9F30-E735C187FC42}" id="{CD49CBEE-4E24-4D24-AF04-B93FA84C7C70}">
    <text>Costo de fondos propios (Ke)</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ingenioempresa.com/supuestos-marco-logico/" TargetMode="External"/><Relationship Id="rId13" Type="http://schemas.openxmlformats.org/officeDocument/2006/relationships/comments" Target="../comments1.xml"/><Relationship Id="rId3" Type="http://schemas.openxmlformats.org/officeDocument/2006/relationships/hyperlink" Target="https://ingenioempresa.com/arbol-de-objetivos/" TargetMode="External"/><Relationship Id="rId7" Type="http://schemas.openxmlformats.org/officeDocument/2006/relationships/hyperlink" Target="https://ingenioempresa.com/medios-de-verificacion/" TargetMode="External"/><Relationship Id="rId12" Type="http://schemas.openxmlformats.org/officeDocument/2006/relationships/vmlDrawing" Target="../drawings/vmlDrawing1.vml"/><Relationship Id="rId2" Type="http://schemas.openxmlformats.org/officeDocument/2006/relationships/hyperlink" Target="https://ingenioempresa.com/arbol-de-problemas/" TargetMode="External"/><Relationship Id="rId1" Type="http://schemas.openxmlformats.org/officeDocument/2006/relationships/hyperlink" Target="https://ingenioempresa.com/analisis-involucrados-marco-logico/" TargetMode="External"/><Relationship Id="rId6" Type="http://schemas.openxmlformats.org/officeDocument/2006/relationships/hyperlink" Target="https://ingenioempresa.com/indicadores-marco-logico/" TargetMode="External"/><Relationship Id="rId11" Type="http://schemas.openxmlformats.org/officeDocument/2006/relationships/drawing" Target="../drawings/drawing2.xml"/><Relationship Id="rId5" Type="http://schemas.openxmlformats.org/officeDocument/2006/relationships/hyperlink" Target="https://ingenioempresa.com/resumen-narrativo/" TargetMode="External"/><Relationship Id="rId10" Type="http://schemas.openxmlformats.org/officeDocument/2006/relationships/printerSettings" Target="../printerSettings/printerSettings1.bin"/><Relationship Id="rId4" Type="http://schemas.openxmlformats.org/officeDocument/2006/relationships/hyperlink" Target="https://ingenioempresa.com/analisis-de-alternativas/" TargetMode="External"/><Relationship Id="rId9" Type="http://schemas.openxmlformats.org/officeDocument/2006/relationships/hyperlink" Target="https://ingenioempresa.com/resumen-narrativo/" TargetMode="External"/><Relationship Id="rId1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hyperlink" Target="https://compartirejemplos.blogspot.com/2019/03/ejemplo-de-matriz-de-leopold-impacto.html" TargetMode="External"/><Relationship Id="rId4" Type="http://schemas.openxmlformats.org/officeDocument/2006/relationships/comments" Target="../comments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4544-A393-4799-A3DE-77B72A98E920}">
  <sheetPr>
    <tabColor theme="9"/>
  </sheetPr>
  <dimension ref="B1:F18"/>
  <sheetViews>
    <sheetView showGridLines="0" topLeftCell="A23" zoomScale="150" zoomScaleNormal="150" workbookViewId="0">
      <selection activeCell="C14" sqref="C14"/>
    </sheetView>
  </sheetViews>
  <sheetFormatPr defaultColWidth="11.42578125" defaultRowHeight="14.65"/>
  <cols>
    <col min="1" max="1" width="4.140625" customWidth="1"/>
    <col min="2" max="2" width="5.42578125" style="577" customWidth="1"/>
    <col min="3" max="3" width="28.140625" customWidth="1"/>
    <col min="4" max="5" width="36.42578125" bestFit="1" customWidth="1"/>
    <col min="6" max="6" width="52.42578125" customWidth="1"/>
  </cols>
  <sheetData>
    <row r="1" spans="2:6" ht="15" thickBot="1"/>
    <row r="2" spans="2:6" ht="17.649999999999999">
      <c r="B2" s="993" t="s">
        <v>0</v>
      </c>
      <c r="C2" s="994"/>
      <c r="D2" s="994"/>
      <c r="E2" s="994"/>
      <c r="F2" s="995"/>
    </row>
    <row r="3" spans="2:6" ht="21.75" customHeight="1">
      <c r="B3" s="996" t="s">
        <v>1</v>
      </c>
      <c r="C3" s="997"/>
      <c r="D3" s="997"/>
      <c r="E3" s="997"/>
      <c r="F3" s="998"/>
    </row>
    <row r="4" spans="2:6" ht="28.7" thickBot="1">
      <c r="B4" s="580" t="s">
        <v>2</v>
      </c>
      <c r="C4" s="581" t="s">
        <v>3</v>
      </c>
      <c r="D4" s="581" t="s">
        <v>4</v>
      </c>
      <c r="E4" s="581" t="s">
        <v>5</v>
      </c>
      <c r="F4" s="582" t="s">
        <v>6</v>
      </c>
    </row>
    <row r="5" spans="2:6" ht="37.35">
      <c r="B5" s="579">
        <v>1</v>
      </c>
      <c r="C5" s="820" t="s">
        <v>7</v>
      </c>
      <c r="D5" s="820" t="s">
        <v>8</v>
      </c>
      <c r="E5" s="820" t="s">
        <v>9</v>
      </c>
      <c r="F5" s="596" t="s">
        <v>10</v>
      </c>
    </row>
    <row r="6" spans="2:6" ht="37.35">
      <c r="B6" s="578">
        <v>2</v>
      </c>
      <c r="C6" s="820" t="s">
        <v>11</v>
      </c>
      <c r="D6" s="820" t="s">
        <v>12</v>
      </c>
      <c r="E6" s="820" t="s">
        <v>13</v>
      </c>
      <c r="F6" s="596" t="s">
        <v>14</v>
      </c>
    </row>
    <row r="7" spans="2:6" ht="38.25" customHeight="1">
      <c r="B7" s="578">
        <v>3</v>
      </c>
      <c r="C7" s="820" t="s">
        <v>15</v>
      </c>
      <c r="D7" s="820" t="s">
        <v>16</v>
      </c>
      <c r="E7" s="820" t="s">
        <v>17</v>
      </c>
      <c r="F7" s="596" t="s">
        <v>18</v>
      </c>
    </row>
    <row r="8" spans="2:6" ht="34.5" customHeight="1">
      <c r="B8" s="578">
        <v>4</v>
      </c>
      <c r="C8" s="820" t="s">
        <v>19</v>
      </c>
      <c r="D8" s="820" t="s">
        <v>20</v>
      </c>
      <c r="E8" s="820" t="s">
        <v>21</v>
      </c>
      <c r="F8" s="596" t="s">
        <v>22</v>
      </c>
    </row>
    <row r="9" spans="2:6" ht="35.25" customHeight="1">
      <c r="B9" s="578">
        <v>5</v>
      </c>
      <c r="C9" s="588" t="s">
        <v>23</v>
      </c>
      <c r="D9" s="820" t="s">
        <v>24</v>
      </c>
      <c r="E9" s="820" t="s">
        <v>25</v>
      </c>
      <c r="F9" s="596" t="s">
        <v>26</v>
      </c>
    </row>
    <row r="10" spans="2:6" ht="35.25" customHeight="1">
      <c r="B10" s="578">
        <v>6</v>
      </c>
      <c r="C10" s="820" t="s">
        <v>27</v>
      </c>
      <c r="D10" s="820" t="s">
        <v>28</v>
      </c>
      <c r="E10" s="820" t="s">
        <v>29</v>
      </c>
      <c r="F10" s="596" t="s">
        <v>30</v>
      </c>
    </row>
    <row r="11" spans="2:6" ht="35.25" customHeight="1">
      <c r="B11" s="578">
        <v>7</v>
      </c>
      <c r="C11" s="588" t="s">
        <v>31</v>
      </c>
      <c r="D11" s="820" t="s">
        <v>32</v>
      </c>
      <c r="E11" s="820" t="s">
        <v>33</v>
      </c>
      <c r="F11" s="596" t="s">
        <v>34</v>
      </c>
    </row>
    <row r="12" spans="2:6" ht="35.25" customHeight="1">
      <c r="B12" s="578">
        <v>8</v>
      </c>
      <c r="C12" s="588" t="s">
        <v>35</v>
      </c>
      <c r="D12" s="820" t="s">
        <v>36</v>
      </c>
      <c r="E12" s="820" t="s">
        <v>37</v>
      </c>
      <c r="F12" s="596" t="s">
        <v>38</v>
      </c>
    </row>
    <row r="13" spans="2:6" ht="62.1">
      <c r="B13" s="578">
        <v>9</v>
      </c>
      <c r="C13" s="588" t="s">
        <v>39</v>
      </c>
      <c r="D13" s="820" t="s">
        <v>40</v>
      </c>
      <c r="E13" s="820" t="s">
        <v>41</v>
      </c>
      <c r="F13" s="596" t="s">
        <v>42</v>
      </c>
    </row>
    <row r="14" spans="2:6" ht="35.25" customHeight="1">
      <c r="B14" s="578">
        <v>10</v>
      </c>
      <c r="C14" s="588"/>
      <c r="D14" s="588"/>
      <c r="E14" s="588"/>
      <c r="F14" s="589"/>
    </row>
    <row r="15" spans="2:6" ht="35.25" customHeight="1">
      <c r="B15" s="578">
        <v>11</v>
      </c>
      <c r="C15" s="588"/>
      <c r="D15" s="588"/>
      <c r="E15" s="588"/>
      <c r="F15" s="589"/>
    </row>
    <row r="16" spans="2:6" ht="35.25" customHeight="1">
      <c r="B16" s="578">
        <v>12</v>
      </c>
      <c r="C16" s="588"/>
      <c r="D16" s="588"/>
      <c r="E16" s="588"/>
      <c r="F16" s="589"/>
    </row>
    <row r="17" spans="2:6" ht="35.25" customHeight="1">
      <c r="B17" s="578">
        <v>13</v>
      </c>
      <c r="C17" s="588"/>
      <c r="D17" s="588"/>
      <c r="E17" s="588"/>
      <c r="F17" s="589"/>
    </row>
    <row r="18" spans="2:6" ht="35.25" customHeight="1">
      <c r="B18" s="578">
        <v>14</v>
      </c>
      <c r="C18" s="588"/>
      <c r="D18" s="588"/>
      <c r="E18" s="588"/>
      <c r="F18" s="589"/>
    </row>
  </sheetData>
  <mergeCells count="2">
    <mergeCell ref="B2:F2"/>
    <mergeCell ref="B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A805-91C4-4C4B-86CB-7818A80C5753}">
  <sheetPr>
    <tabColor theme="9"/>
  </sheetPr>
  <dimension ref="B1:AC24"/>
  <sheetViews>
    <sheetView showGridLines="0" topLeftCell="A8" zoomScale="115" zoomScaleNormal="115" workbookViewId="0">
      <selection activeCell="D8" sqref="D8"/>
    </sheetView>
  </sheetViews>
  <sheetFormatPr defaultColWidth="11.42578125" defaultRowHeight="14.1"/>
  <cols>
    <col min="1" max="1" width="4.42578125" style="583" customWidth="1"/>
    <col min="2" max="2" width="4.140625" style="583" customWidth="1"/>
    <col min="3" max="3" width="34.28515625" style="583" customWidth="1"/>
    <col min="4" max="8" width="4.85546875" style="583" customWidth="1"/>
    <col min="9" max="9" width="5.7109375" style="583" bestFit="1" customWidth="1"/>
    <col min="10" max="10" width="6.85546875" style="583" bestFit="1" customWidth="1"/>
    <col min="11" max="11" width="5.7109375" style="583" bestFit="1" customWidth="1"/>
    <col min="12" max="12" width="8" style="583" bestFit="1" customWidth="1"/>
    <col min="13" max="13" width="5.7109375" style="583" bestFit="1" customWidth="1"/>
    <col min="14" max="14" width="12.42578125" style="583" bestFit="1" customWidth="1"/>
    <col min="15" max="17" width="5.7109375" style="583" bestFit="1" customWidth="1"/>
    <col min="18" max="18" width="3.28515625" style="583" bestFit="1" customWidth="1"/>
    <col min="19" max="19" width="5.7109375" style="583" bestFit="1" customWidth="1"/>
    <col min="20" max="20" width="8" style="583" bestFit="1" customWidth="1"/>
    <col min="21" max="21" width="5.7109375" style="583" bestFit="1" customWidth="1"/>
    <col min="22" max="22" width="3.85546875" style="583" customWidth="1"/>
    <col min="23" max="25" width="7.42578125" style="583" customWidth="1"/>
    <col min="26" max="26" width="5" style="583" customWidth="1"/>
    <col min="27" max="16384" width="11.42578125" style="583"/>
  </cols>
  <sheetData>
    <row r="1" spans="2:29" ht="14.65" thickBot="1"/>
    <row r="2" spans="2:29" ht="17.649999999999999">
      <c r="B2" s="993" t="s">
        <v>43</v>
      </c>
      <c r="C2" s="994"/>
      <c r="D2" s="994"/>
      <c r="E2" s="994"/>
      <c r="F2" s="994"/>
      <c r="G2" s="994"/>
      <c r="H2" s="994"/>
      <c r="I2" s="994"/>
      <c r="J2" s="994"/>
      <c r="K2" s="994"/>
      <c r="L2" s="994"/>
      <c r="M2" s="994"/>
      <c r="N2" s="994"/>
      <c r="O2" s="994"/>
      <c r="P2" s="994"/>
      <c r="Q2" s="994"/>
      <c r="R2" s="994"/>
      <c r="S2" s="994"/>
      <c r="T2" s="994"/>
      <c r="U2" s="994"/>
      <c r="V2" s="994"/>
      <c r="W2" s="994"/>
      <c r="X2" s="994"/>
      <c r="Y2" s="994"/>
      <c r="Z2" s="995"/>
    </row>
    <row r="3" spans="2:29" ht="14.65" thickBot="1">
      <c r="B3" s="1001" t="s">
        <v>44</v>
      </c>
      <c r="C3" s="1002"/>
      <c r="D3" s="1002"/>
      <c r="E3" s="1002"/>
      <c r="F3" s="1002"/>
      <c r="G3" s="1002"/>
      <c r="H3" s="1002"/>
      <c r="I3" s="1002"/>
      <c r="J3" s="1002"/>
      <c r="K3" s="1002"/>
      <c r="L3" s="1002"/>
      <c r="M3" s="1002"/>
      <c r="N3" s="1002"/>
      <c r="O3" s="1002"/>
      <c r="P3" s="1002"/>
      <c r="Q3" s="1002"/>
      <c r="R3" s="1002"/>
      <c r="S3" s="1002"/>
      <c r="T3" s="1002"/>
      <c r="U3" s="1002"/>
      <c r="V3" s="1002"/>
      <c r="W3" s="1002"/>
      <c r="X3" s="1002"/>
      <c r="Y3" s="1002"/>
      <c r="Z3" s="1003"/>
    </row>
    <row r="4" spans="2:29" ht="14.65" thickBot="1">
      <c r="B4" s="585" t="s">
        <v>2</v>
      </c>
      <c r="C4" s="586" t="s">
        <v>45</v>
      </c>
      <c r="D4" s="1004" t="s">
        <v>46</v>
      </c>
      <c r="E4" s="1005"/>
      <c r="F4" s="1005"/>
      <c r="G4" s="1005"/>
      <c r="H4" s="1006"/>
      <c r="I4" s="1004" t="s">
        <v>47</v>
      </c>
      <c r="J4" s="1005"/>
      <c r="K4" s="1005"/>
      <c r="L4" s="1005"/>
      <c r="M4" s="1005"/>
      <c r="N4" s="1005"/>
      <c r="O4" s="1005"/>
      <c r="P4" s="1006"/>
      <c r="Q4" s="1004" t="s">
        <v>48</v>
      </c>
      <c r="R4" s="1005"/>
      <c r="S4" s="1005"/>
      <c r="T4" s="1005"/>
      <c r="U4" s="1005"/>
      <c r="V4" s="1006"/>
      <c r="W4" s="1004" t="s">
        <v>49</v>
      </c>
      <c r="X4" s="1005"/>
      <c r="Y4" s="1006"/>
      <c r="Z4" s="587"/>
    </row>
    <row r="5" spans="2:29" ht="178.5" customHeight="1">
      <c r="B5" s="590"/>
      <c r="C5" s="591" t="s">
        <v>50</v>
      </c>
      <c r="D5" s="592" t="s">
        <v>51</v>
      </c>
      <c r="E5" s="593" t="s">
        <v>52</v>
      </c>
      <c r="F5" s="593" t="s">
        <v>53</v>
      </c>
      <c r="G5" s="593" t="s">
        <v>54</v>
      </c>
      <c r="H5" s="594" t="s">
        <v>55</v>
      </c>
      <c r="I5" s="592" t="s">
        <v>56</v>
      </c>
      <c r="J5" s="593" t="s">
        <v>57</v>
      </c>
      <c r="K5" s="593" t="s">
        <v>58</v>
      </c>
      <c r="L5" s="593" t="s">
        <v>59</v>
      </c>
      <c r="M5" s="593" t="s">
        <v>60</v>
      </c>
      <c r="N5" s="593" t="s">
        <v>61</v>
      </c>
      <c r="O5" s="593" t="s">
        <v>62</v>
      </c>
      <c r="P5" s="594" t="s">
        <v>63</v>
      </c>
      <c r="Q5" s="592" t="s">
        <v>64</v>
      </c>
      <c r="R5" s="593" t="s">
        <v>65</v>
      </c>
      <c r="S5" s="593" t="s">
        <v>66</v>
      </c>
      <c r="T5" s="593" t="s">
        <v>67</v>
      </c>
      <c r="U5" s="593" t="s">
        <v>68</v>
      </c>
      <c r="V5" s="594" t="s">
        <v>69</v>
      </c>
      <c r="W5" s="592" t="s">
        <v>70</v>
      </c>
      <c r="X5" s="593" t="s">
        <v>71</v>
      </c>
      <c r="Y5" s="594" t="s">
        <v>72</v>
      </c>
      <c r="Z5" s="584" t="s">
        <v>73</v>
      </c>
      <c r="AC5" s="583" t="s">
        <v>74</v>
      </c>
    </row>
    <row r="6" spans="2:29">
      <c r="B6" s="595">
        <v>1</v>
      </c>
      <c r="C6" s="596" t="s">
        <v>7</v>
      </c>
      <c r="D6" s="597">
        <f>(3+4+5+4)/4</f>
        <v>4</v>
      </c>
      <c r="E6" s="598">
        <f>(2+3+2+2)/4</f>
        <v>2.25</v>
      </c>
      <c r="F6" s="598">
        <f>(2+1+2+1)/4</f>
        <v>1.5</v>
      </c>
      <c r="G6" s="598">
        <f>(2+1+1+1)/4</f>
        <v>1.25</v>
      </c>
      <c r="H6" s="599">
        <f>(2+2+3+3)/4</f>
        <v>2.5</v>
      </c>
      <c r="I6" s="597">
        <f>(3+3+4+3)/4</f>
        <v>3.25</v>
      </c>
      <c r="J6" s="598">
        <f>(3+4+5+3)/4</f>
        <v>3.75</v>
      </c>
      <c r="K6" s="598">
        <f>(3+4+4+4)/4</f>
        <v>3.75</v>
      </c>
      <c r="L6" s="598">
        <f>(4+5+5+5)/4</f>
        <v>4.75</v>
      </c>
      <c r="M6" s="598">
        <f>(4+5+4+5)/4</f>
        <v>4.5</v>
      </c>
      <c r="N6" s="598">
        <f>(2+1+2+1)/4</f>
        <v>1.5</v>
      </c>
      <c r="O6" s="598">
        <f>(2+5+4+2)/4</f>
        <v>3.25</v>
      </c>
      <c r="P6" s="599">
        <f>(2+3+3+3)/4</f>
        <v>2.75</v>
      </c>
      <c r="Q6" s="597">
        <f>(4+4+4+4)/4</f>
        <v>4</v>
      </c>
      <c r="R6" s="598">
        <f>(4+1+4+1)/4</f>
        <v>2.5</v>
      </c>
      <c r="S6" s="598">
        <f>(4+4+4+4)/4</f>
        <v>4</v>
      </c>
      <c r="T6" s="598">
        <f>(3+3+3+4)/4</f>
        <v>3.25</v>
      </c>
      <c r="U6" s="598">
        <f>(1+1+1+1)/4</f>
        <v>1</v>
      </c>
      <c r="V6" s="599">
        <f>(3+4+4+3)/4</f>
        <v>3.5</v>
      </c>
      <c r="W6" s="597">
        <f>(4+3+2+3)/4</f>
        <v>3</v>
      </c>
      <c r="X6" s="598">
        <f>(3+3+3+3)/4</f>
        <v>3</v>
      </c>
      <c r="Y6" s="599">
        <f>(4+5+5+4)/4</f>
        <v>4.5</v>
      </c>
      <c r="Z6" s="604">
        <f t="shared" ref="Z6:Z13" si="0">AVERAGE(D6:Y6)</f>
        <v>3.0795454545454546</v>
      </c>
    </row>
    <row r="7" spans="2:29">
      <c r="B7" s="595">
        <v>2</v>
      </c>
      <c r="C7" s="596" t="s">
        <v>11</v>
      </c>
      <c r="D7" s="597">
        <f>(3+4+5+4)/4</f>
        <v>4</v>
      </c>
      <c r="E7" s="598">
        <f>(5+3+2+4)/4</f>
        <v>3.5</v>
      </c>
      <c r="F7" s="598">
        <f>(4+1+2+3)/4</f>
        <v>2.5</v>
      </c>
      <c r="G7" s="598">
        <f>(4+1+1+3)/4</f>
        <v>2.25</v>
      </c>
      <c r="H7" s="599">
        <f>(2+2+3+3)/4</f>
        <v>2.5</v>
      </c>
      <c r="I7" s="597">
        <f>(3+3+4+3)/4</f>
        <v>3.25</v>
      </c>
      <c r="J7" s="598">
        <f>(3+4+5+4)/4</f>
        <v>4</v>
      </c>
      <c r="K7" s="598">
        <f>(3+4+4+4)/4</f>
        <v>3.75</v>
      </c>
      <c r="L7" s="598">
        <f>(4+5+5+5)/4</f>
        <v>4.75</v>
      </c>
      <c r="M7" s="598">
        <f>(4+5+4+5)/4</f>
        <v>4.5</v>
      </c>
      <c r="N7" s="598">
        <f>(2+1+2+1)/4</f>
        <v>1.5</v>
      </c>
      <c r="O7" s="598">
        <f>(2+5+4+3)/4</f>
        <v>3.5</v>
      </c>
      <c r="P7" s="599">
        <f>(2+3+3+3)/4</f>
        <v>2.75</v>
      </c>
      <c r="Q7" s="597">
        <f>(4+4+4+4)/4</f>
        <v>4</v>
      </c>
      <c r="R7" s="598">
        <f>(4+1+4+4)/4</f>
        <v>3.25</v>
      </c>
      <c r="S7" s="598">
        <f>(4+4+4+4)/4</f>
        <v>4</v>
      </c>
      <c r="T7" s="598">
        <f>(4+3+3+4)/4</f>
        <v>3.5</v>
      </c>
      <c r="U7" s="598">
        <f>(4+1+1+1)/4</f>
        <v>1.75</v>
      </c>
      <c r="V7" s="599">
        <f>(2+4+4+3)/4</f>
        <v>3.25</v>
      </c>
      <c r="W7" s="597">
        <f>(4+3+2+4)/4</f>
        <v>3.25</v>
      </c>
      <c r="X7" s="598">
        <f>(4+3+3+3)/4</f>
        <v>3.25</v>
      </c>
      <c r="Y7" s="599">
        <f>(4+5+5+4)/4</f>
        <v>4.5</v>
      </c>
      <c r="Z7" s="821">
        <f t="shared" si="0"/>
        <v>3.3409090909090908</v>
      </c>
    </row>
    <row r="8" spans="2:29">
      <c r="B8" s="595">
        <v>3</v>
      </c>
      <c r="C8" s="596" t="s">
        <v>15</v>
      </c>
      <c r="D8" s="597">
        <f>(3+4+5+5)/4</f>
        <v>4.25</v>
      </c>
      <c r="E8" s="598">
        <f>(2+3+2+3)/4</f>
        <v>2.5</v>
      </c>
      <c r="F8" s="598">
        <f>(2+2+2+3)/4</f>
        <v>2.25</v>
      </c>
      <c r="G8" s="598">
        <f>(2+3+1+3)/4</f>
        <v>2.25</v>
      </c>
      <c r="H8" s="599">
        <f>(2+1+3+2)/4</f>
        <v>2</v>
      </c>
      <c r="I8" s="597">
        <f>(3+4+4+4)/4</f>
        <v>3.75</v>
      </c>
      <c r="J8" s="598">
        <f>(3+1+5+4)/4</f>
        <v>3.25</v>
      </c>
      <c r="K8" s="598">
        <f>(3+2+4+4)/4</f>
        <v>3.25</v>
      </c>
      <c r="L8" s="598">
        <f>(4+5+5+5)/4</f>
        <v>4.75</v>
      </c>
      <c r="M8" s="598">
        <f>(3+5+4+5)/4</f>
        <v>4.25</v>
      </c>
      <c r="N8" s="598">
        <f>(3+1+2+1)/4</f>
        <v>1.75</v>
      </c>
      <c r="O8" s="598">
        <f>(2+5+4+3)/4</f>
        <v>3.5</v>
      </c>
      <c r="P8" s="599">
        <f>(2+1+3+3)/4</f>
        <v>2.25</v>
      </c>
      <c r="Q8" s="597">
        <f>(2+1+4+4)/4</f>
        <v>2.75</v>
      </c>
      <c r="R8" s="598">
        <f>(2+1+4+4)/4</f>
        <v>2.75</v>
      </c>
      <c r="S8" s="598">
        <f>(3+1+4+4)/4</f>
        <v>3</v>
      </c>
      <c r="T8" s="598">
        <f>(3+1+3+4)/4</f>
        <v>2.75</v>
      </c>
      <c r="U8" s="598">
        <f>(1+1+1+1)/4</f>
        <v>1</v>
      </c>
      <c r="V8" s="599">
        <f>(3+1+4+3)/4</f>
        <v>2.75</v>
      </c>
      <c r="W8" s="597">
        <f>(4+1+2+3)/4</f>
        <v>2.5</v>
      </c>
      <c r="X8" s="598">
        <f>(3+3+3+3)/4</f>
        <v>3</v>
      </c>
      <c r="Y8" s="599">
        <f>(4+5+5+4)/4</f>
        <v>4.5</v>
      </c>
      <c r="Z8" s="604">
        <f t="shared" si="0"/>
        <v>2.9545454545454546</v>
      </c>
    </row>
    <row r="9" spans="2:29" ht="24.95">
      <c r="B9" s="595">
        <v>4</v>
      </c>
      <c r="C9" s="596" t="s">
        <v>19</v>
      </c>
      <c r="D9" s="597">
        <f>(5+3+5+4)/4</f>
        <v>4.25</v>
      </c>
      <c r="E9" s="598">
        <f>(5+2+3+2)/4</f>
        <v>3</v>
      </c>
      <c r="F9" s="598">
        <f>(4+1+2+2)/4</f>
        <v>2.25</v>
      </c>
      <c r="G9" s="598">
        <f>(4+1+1+1)/4</f>
        <v>1.75</v>
      </c>
      <c r="H9" s="599">
        <f>(3+1+3+3)/4</f>
        <v>2.5</v>
      </c>
      <c r="I9" s="597">
        <f>(4+3+5+3)/4</f>
        <v>3.75</v>
      </c>
      <c r="J9" s="598">
        <f>(4+2+5+4)/4</f>
        <v>3.75</v>
      </c>
      <c r="K9" s="598">
        <f>(4+2+5+4)/4</f>
        <v>3.75</v>
      </c>
      <c r="L9" s="598">
        <f>(5+5+5+5)/4</f>
        <v>5</v>
      </c>
      <c r="M9" s="598">
        <f>(4+3+5+5)/4</f>
        <v>4.25</v>
      </c>
      <c r="N9" s="598">
        <f>(3+1+2+1)/4</f>
        <v>1.75</v>
      </c>
      <c r="O9" s="598">
        <f>(4+4+4+2)/4</f>
        <v>3.5</v>
      </c>
      <c r="P9" s="599">
        <f>(5+2+4+4)/4</f>
        <v>3.75</v>
      </c>
      <c r="Q9" s="597">
        <f>(4+1+4+4)/4</f>
        <v>3.25</v>
      </c>
      <c r="R9" s="598">
        <f>(4+1+4+3)/4</f>
        <v>3</v>
      </c>
      <c r="S9" s="598">
        <f>(4+2+4+4)/4</f>
        <v>3.5</v>
      </c>
      <c r="T9" s="598">
        <f>(3+3+4+4)/4</f>
        <v>3.5</v>
      </c>
      <c r="U9" s="598">
        <f>(4+1+4+1)/4</f>
        <v>2.5</v>
      </c>
      <c r="V9" s="599">
        <f>(4+3+4+3)/4</f>
        <v>3.5</v>
      </c>
      <c r="W9" s="597">
        <f>(4+3+2+3)/4</f>
        <v>3</v>
      </c>
      <c r="X9" s="598">
        <f>(4+4+2+3)/4</f>
        <v>3.25</v>
      </c>
      <c r="Y9" s="599">
        <f>(4+5+5+4)/4</f>
        <v>4.5</v>
      </c>
      <c r="Z9" s="821">
        <f t="shared" si="0"/>
        <v>3.3295454545454546</v>
      </c>
    </row>
    <row r="10" spans="2:29">
      <c r="B10" s="595">
        <v>5</v>
      </c>
      <c r="C10" s="596" t="s">
        <v>23</v>
      </c>
      <c r="D10" s="597">
        <f>(2+4+1+4)/4</f>
        <v>2.75</v>
      </c>
      <c r="E10" s="598">
        <f>(2+3+1+2)/4</f>
        <v>2</v>
      </c>
      <c r="F10" s="598">
        <f>(1+2+1+3)/4</f>
        <v>1.75</v>
      </c>
      <c r="G10" s="598">
        <f>(1+1+1+2)/4</f>
        <v>1.25</v>
      </c>
      <c r="H10" s="599">
        <f>(2+1+3+2)/4</f>
        <v>2</v>
      </c>
      <c r="I10" s="597">
        <f>(3+3+4+3)/4</f>
        <v>3.25</v>
      </c>
      <c r="J10" s="598">
        <f>(2+4+2+3)/4</f>
        <v>2.75</v>
      </c>
      <c r="K10" s="598">
        <f>(3+4+2+4)/4</f>
        <v>3.25</v>
      </c>
      <c r="L10" s="598">
        <f>(4+5+5+5)/4</f>
        <v>4.75</v>
      </c>
      <c r="M10" s="598">
        <f>(2+5+4+5)/4</f>
        <v>4</v>
      </c>
      <c r="N10" s="598">
        <f>(2+1+1+2)/4</f>
        <v>1.5</v>
      </c>
      <c r="O10" s="598">
        <f>(1+5+2+2)/4</f>
        <v>2.5</v>
      </c>
      <c r="P10" s="599">
        <f>(2+3+2+3)/4</f>
        <v>2.5</v>
      </c>
      <c r="Q10" s="597">
        <f>(2+4+4+4)/4</f>
        <v>3.5</v>
      </c>
      <c r="R10" s="598">
        <f>(2+1+4+2)/4</f>
        <v>2.25</v>
      </c>
      <c r="S10" s="598">
        <f>(4+4+4+4)/4</f>
        <v>4</v>
      </c>
      <c r="T10" s="598">
        <f>(3+3+2+4)/4</f>
        <v>3</v>
      </c>
      <c r="U10" s="598">
        <f>(1+1+1+1)/4</f>
        <v>1</v>
      </c>
      <c r="V10" s="599">
        <f>(3+4+2+3)/4</f>
        <v>3</v>
      </c>
      <c r="W10" s="597">
        <f>(2+3+1+3)/4</f>
        <v>2.25</v>
      </c>
      <c r="X10" s="598">
        <f>(3+3+2+3)/4</f>
        <v>2.75</v>
      </c>
      <c r="Y10" s="599">
        <f>(3+5+2+4)/4</f>
        <v>3.5</v>
      </c>
      <c r="Z10" s="604">
        <f t="shared" si="0"/>
        <v>2.7045454545454546</v>
      </c>
    </row>
    <row r="11" spans="2:29">
      <c r="B11" s="595">
        <v>6</v>
      </c>
      <c r="C11" s="596" t="s">
        <v>27</v>
      </c>
      <c r="D11" s="597">
        <f>(2+4+2+4)/4</f>
        <v>3</v>
      </c>
      <c r="E11" s="598">
        <f>(1+3+2+2)/4</f>
        <v>2</v>
      </c>
      <c r="F11" s="598">
        <f>(1+1+2+1)/4</f>
        <v>1.25</v>
      </c>
      <c r="G11" s="598">
        <f>(1+1+1+1)/4</f>
        <v>1</v>
      </c>
      <c r="H11" s="599">
        <f>(2+2+1+3)/4</f>
        <v>2</v>
      </c>
      <c r="I11" s="597">
        <f>(3+3+4+3)/4</f>
        <v>3.25</v>
      </c>
      <c r="J11" s="598">
        <f>(3+4+2+3)/4</f>
        <v>3</v>
      </c>
      <c r="K11" s="598">
        <f>(2+4+2+4)/4</f>
        <v>3</v>
      </c>
      <c r="L11" s="598">
        <f>(4+5+5+5)/4</f>
        <v>4.75</v>
      </c>
      <c r="M11" s="598">
        <f>(2+5+2+5)/4</f>
        <v>3.5</v>
      </c>
      <c r="N11" s="598">
        <f>(2+1+2+1)/4</f>
        <v>1.5</v>
      </c>
      <c r="O11" s="598">
        <f>(2+5+4+2)/4</f>
        <v>3.25</v>
      </c>
      <c r="P11" s="599">
        <f>(2+3+2+3)/4</f>
        <v>2.5</v>
      </c>
      <c r="Q11" s="597">
        <f>(2+4+4+4)/4</f>
        <v>3.5</v>
      </c>
      <c r="R11" s="598">
        <f>(4+1+5+1)/4</f>
        <v>2.75</v>
      </c>
      <c r="S11" s="598">
        <f>(4+4+5+4)/4</f>
        <v>4.25</v>
      </c>
      <c r="T11" s="598">
        <f>(2+3+5+4)/4</f>
        <v>3.5</v>
      </c>
      <c r="U11" s="598">
        <f>(1+1+4+1)/4</f>
        <v>1.75</v>
      </c>
      <c r="V11" s="822">
        <f>(3+4+2+3)/4</f>
        <v>3</v>
      </c>
      <c r="W11" s="597">
        <f>(3+3+4+3)/4</f>
        <v>3.25</v>
      </c>
      <c r="X11" s="598">
        <f>(3+3+5+3)/4</f>
        <v>3.5</v>
      </c>
      <c r="Y11" s="599">
        <f>(4+5+5+4)/4</f>
        <v>4.5</v>
      </c>
      <c r="Z11" s="604">
        <f t="shared" si="0"/>
        <v>2.9090909090909092</v>
      </c>
    </row>
    <row r="12" spans="2:29">
      <c r="B12" s="595">
        <v>7</v>
      </c>
      <c r="C12" s="596" t="s">
        <v>31</v>
      </c>
      <c r="D12" s="597">
        <f>(2+4+5+4)/4</f>
        <v>3.75</v>
      </c>
      <c r="E12" s="598">
        <f>(2+3+4+3)/4</f>
        <v>3</v>
      </c>
      <c r="F12" s="598">
        <f>(2+1+4+3)/4</f>
        <v>2.5</v>
      </c>
      <c r="G12" s="598">
        <f>(1+1+1+3)/4</f>
        <v>1.5</v>
      </c>
      <c r="H12" s="599">
        <f>(2+2+2+2)/4</f>
        <v>2</v>
      </c>
      <c r="I12" s="597">
        <f>(3+3+4+3)/4</f>
        <v>3.25</v>
      </c>
      <c r="J12" s="598">
        <f>(3+4+4+3)/4</f>
        <v>3.5</v>
      </c>
      <c r="K12" s="598">
        <f>(3+4+4+4)/4</f>
        <v>3.75</v>
      </c>
      <c r="L12" s="598">
        <f>(4+5+5+5)/4</f>
        <v>4.75</v>
      </c>
      <c r="M12" s="598">
        <f>(4+5+4+5)/4</f>
        <v>4.5</v>
      </c>
      <c r="N12" s="598">
        <f>(2+1+1+1)/4</f>
        <v>1.25</v>
      </c>
      <c r="O12" s="598">
        <f>(2+5+2+2)/4</f>
        <v>2.75</v>
      </c>
      <c r="P12" s="599">
        <f>(2+3+2+3)/4</f>
        <v>2.5</v>
      </c>
      <c r="Q12" s="597">
        <f>(4+4+4+4)/4</f>
        <v>4</v>
      </c>
      <c r="R12" s="598">
        <f>(4+1+4+1)/4</f>
        <v>2.5</v>
      </c>
      <c r="S12" s="598">
        <f>(4+4+4+4)/4</f>
        <v>4</v>
      </c>
      <c r="T12" s="598">
        <f>(2+3+4+4)/4</f>
        <v>3.25</v>
      </c>
      <c r="U12" s="598">
        <f>(1+1+1+1)/4</f>
        <v>1</v>
      </c>
      <c r="V12" s="599">
        <f>(2+4+4+3)/4</f>
        <v>3.25</v>
      </c>
      <c r="W12" s="597">
        <f>(4+3+4+3)/4</f>
        <v>3.5</v>
      </c>
      <c r="X12" s="598">
        <f>(3+3+5+3)/4</f>
        <v>3.5</v>
      </c>
      <c r="Y12" s="599">
        <f>(4+5+5+4)/4</f>
        <v>4.5</v>
      </c>
      <c r="Z12" s="604">
        <f t="shared" si="0"/>
        <v>3.1136363636363638</v>
      </c>
    </row>
    <row r="13" spans="2:29">
      <c r="B13" s="595">
        <v>8</v>
      </c>
      <c r="C13" s="596" t="s">
        <v>35</v>
      </c>
      <c r="D13" s="597">
        <f>(4+4+5+4)/4</f>
        <v>4.25</v>
      </c>
      <c r="E13" s="598">
        <f>(4+4+4+3)/4</f>
        <v>3.75</v>
      </c>
      <c r="F13" s="598">
        <f>(2+2+3+3)/4</f>
        <v>2.5</v>
      </c>
      <c r="G13" s="598">
        <f>(1+1+1+2)/4</f>
        <v>1.25</v>
      </c>
      <c r="H13" s="599">
        <f>(2+3+4+2)/4</f>
        <v>2.75</v>
      </c>
      <c r="I13" s="597">
        <f>(3+5+4+4)/4</f>
        <v>4</v>
      </c>
      <c r="J13" s="598">
        <f>(3+5+5+4)/4</f>
        <v>4.25</v>
      </c>
      <c r="K13" s="598">
        <f>(3+3+5+4)/4</f>
        <v>3.75</v>
      </c>
      <c r="L13" s="598">
        <f>(4+5+5+5)/4</f>
        <v>4.75</v>
      </c>
      <c r="M13" s="598">
        <f>(4+5+5+5)/4</f>
        <v>4.75</v>
      </c>
      <c r="N13" s="598">
        <f>(2+3+1+1)/4</f>
        <v>1.75</v>
      </c>
      <c r="O13" s="598">
        <f>(2+5+4+3)/4</f>
        <v>3.5</v>
      </c>
      <c r="P13" s="599">
        <f>(2+5+5+4)/4</f>
        <v>4</v>
      </c>
      <c r="Q13" s="597">
        <f>(4+4+5+4)/4</f>
        <v>4.25</v>
      </c>
      <c r="R13" s="598">
        <f>(4+2+5+3)/4</f>
        <v>3.5</v>
      </c>
      <c r="S13" s="598">
        <f>(4+4+4+4)/4</f>
        <v>4</v>
      </c>
      <c r="T13" s="598">
        <f>(3+3+5+4)/4</f>
        <v>3.75</v>
      </c>
      <c r="U13" s="598">
        <f>(1+1+1+1)/4</f>
        <v>1</v>
      </c>
      <c r="V13" s="823">
        <f>(3+5+5+3)/4</f>
        <v>4</v>
      </c>
      <c r="W13" s="597">
        <f>(4+3+5+3)/4</f>
        <v>3.75</v>
      </c>
      <c r="X13" s="598">
        <f>(3+3+4+3)/4</f>
        <v>3.25</v>
      </c>
      <c r="Y13" s="599">
        <f>(4+5+5+4)/4</f>
        <v>4.5</v>
      </c>
      <c r="Z13" s="821">
        <f t="shared" si="0"/>
        <v>3.5113636363636362</v>
      </c>
    </row>
    <row r="14" spans="2:29">
      <c r="B14" s="595">
        <v>9</v>
      </c>
      <c r="C14" s="596"/>
      <c r="D14" s="597"/>
      <c r="E14" s="598"/>
      <c r="F14" s="598"/>
      <c r="G14" s="598"/>
      <c r="H14" s="599"/>
      <c r="I14" s="597"/>
      <c r="J14" s="598"/>
      <c r="K14" s="598"/>
      <c r="L14" s="598"/>
      <c r="M14" s="598"/>
      <c r="N14" s="598"/>
      <c r="O14" s="598"/>
      <c r="P14" s="599"/>
      <c r="Q14" s="597"/>
      <c r="R14" s="598"/>
      <c r="S14" s="598"/>
      <c r="T14" s="598"/>
      <c r="U14" s="598"/>
      <c r="V14" s="599"/>
      <c r="W14" s="597"/>
      <c r="X14" s="598"/>
      <c r="Y14" s="599"/>
      <c r="Z14" s="598"/>
    </row>
    <row r="15" spans="2:29">
      <c r="B15" s="595">
        <v>10</v>
      </c>
      <c r="C15" s="596"/>
      <c r="D15" s="597"/>
      <c r="E15" s="598"/>
      <c r="F15" s="598"/>
      <c r="G15" s="598"/>
      <c r="H15" s="599"/>
      <c r="I15" s="597"/>
      <c r="J15" s="598"/>
      <c r="K15" s="598"/>
      <c r="L15" s="598"/>
      <c r="M15" s="598"/>
      <c r="N15" s="598"/>
      <c r="O15" s="598"/>
      <c r="P15" s="599"/>
      <c r="Q15" s="597"/>
      <c r="R15" s="598"/>
      <c r="S15" s="598"/>
      <c r="T15" s="598"/>
      <c r="U15" s="598"/>
      <c r="V15" s="599"/>
      <c r="W15" s="597"/>
      <c r="X15" s="598"/>
      <c r="Y15" s="599"/>
      <c r="Z15" s="598"/>
    </row>
    <row r="16" spans="2:29">
      <c r="B16" s="595">
        <v>11</v>
      </c>
      <c r="C16" s="596"/>
      <c r="D16" s="597"/>
      <c r="E16" s="598"/>
      <c r="F16" s="598"/>
      <c r="G16" s="598"/>
      <c r="H16" s="599"/>
      <c r="I16" s="597"/>
      <c r="J16" s="598"/>
      <c r="K16" s="598"/>
      <c r="L16" s="598"/>
      <c r="M16" s="598"/>
      <c r="N16" s="598"/>
      <c r="O16" s="598"/>
      <c r="P16" s="599"/>
      <c r="Q16" s="597"/>
      <c r="R16" s="598"/>
      <c r="S16" s="598"/>
      <c r="T16" s="598"/>
      <c r="U16" s="598"/>
      <c r="V16" s="599"/>
      <c r="W16" s="597"/>
      <c r="X16" s="598"/>
      <c r="Y16" s="599"/>
      <c r="Z16" s="598"/>
    </row>
    <row r="17" spans="2:26">
      <c r="B17" s="595">
        <v>12</v>
      </c>
      <c r="C17" s="596"/>
      <c r="D17" s="597"/>
      <c r="E17" s="598"/>
      <c r="F17" s="598"/>
      <c r="G17" s="598"/>
      <c r="H17" s="599"/>
      <c r="I17" s="597"/>
      <c r="J17" s="598"/>
      <c r="K17" s="598"/>
      <c r="L17" s="598"/>
      <c r="M17" s="598"/>
      <c r="N17" s="598"/>
      <c r="O17" s="598"/>
      <c r="P17" s="599"/>
      <c r="Q17" s="597"/>
      <c r="R17" s="598"/>
      <c r="S17" s="598"/>
      <c r="T17" s="598"/>
      <c r="U17" s="598"/>
      <c r="V17" s="599"/>
      <c r="W17" s="597"/>
      <c r="X17" s="598"/>
      <c r="Y17" s="599"/>
      <c r="Z17" s="598"/>
    </row>
    <row r="18" spans="2:26">
      <c r="B18" s="595">
        <v>13</v>
      </c>
      <c r="C18" s="596"/>
      <c r="D18" s="597"/>
      <c r="E18" s="598"/>
      <c r="F18" s="598"/>
      <c r="G18" s="598"/>
      <c r="H18" s="599"/>
      <c r="I18" s="597"/>
      <c r="J18" s="598"/>
      <c r="K18" s="598"/>
      <c r="L18" s="598"/>
      <c r="M18" s="598"/>
      <c r="N18" s="598"/>
      <c r="O18" s="598"/>
      <c r="P18" s="599"/>
      <c r="Q18" s="597"/>
      <c r="R18" s="598"/>
      <c r="S18" s="598"/>
      <c r="T18" s="598"/>
      <c r="U18" s="598"/>
      <c r="V18" s="599"/>
      <c r="W18" s="597"/>
      <c r="X18" s="598"/>
      <c r="Y18" s="599"/>
      <c r="Z18" s="598"/>
    </row>
    <row r="19" spans="2:26">
      <c r="B19" s="595">
        <v>14</v>
      </c>
      <c r="C19" s="596"/>
      <c r="D19" s="597"/>
      <c r="E19" s="598"/>
      <c r="F19" s="598"/>
      <c r="G19" s="598"/>
      <c r="H19" s="599"/>
      <c r="I19" s="597"/>
      <c r="J19" s="598"/>
      <c r="K19" s="598"/>
      <c r="L19" s="598"/>
      <c r="M19" s="598"/>
      <c r="N19" s="598"/>
      <c r="O19" s="598"/>
      <c r="P19" s="599"/>
      <c r="Q19" s="597"/>
      <c r="R19" s="598"/>
      <c r="S19" s="598"/>
      <c r="T19" s="598"/>
      <c r="U19" s="598"/>
      <c r="V19" s="599"/>
      <c r="W19" s="597"/>
      <c r="X19" s="598"/>
      <c r="Y19" s="599"/>
      <c r="Z19" s="598"/>
    </row>
    <row r="20" spans="2:26">
      <c r="B20" s="595">
        <v>15</v>
      </c>
      <c r="C20" s="596"/>
      <c r="D20" s="597"/>
      <c r="E20" s="598"/>
      <c r="F20" s="598"/>
      <c r="G20" s="598"/>
      <c r="H20" s="599"/>
      <c r="I20" s="597"/>
      <c r="J20" s="598"/>
      <c r="K20" s="598"/>
      <c r="L20" s="598"/>
      <c r="M20" s="598"/>
      <c r="N20" s="598"/>
      <c r="O20" s="598"/>
      <c r="P20" s="599"/>
      <c r="Q20" s="597"/>
      <c r="R20" s="598"/>
      <c r="S20" s="598"/>
      <c r="T20" s="598"/>
      <c r="U20" s="598"/>
      <c r="V20" s="599"/>
      <c r="W20" s="597"/>
      <c r="X20" s="598"/>
      <c r="Y20" s="599"/>
      <c r="Z20" s="598"/>
    </row>
    <row r="21" spans="2:26">
      <c r="B21" s="597"/>
      <c r="C21" s="600" t="s">
        <v>75</v>
      </c>
      <c r="D21" s="597"/>
      <c r="E21" s="598"/>
      <c r="F21" s="598"/>
      <c r="G21" s="598"/>
      <c r="H21" s="599"/>
      <c r="I21" s="597"/>
      <c r="J21" s="598"/>
      <c r="K21" s="598"/>
      <c r="L21" s="598"/>
      <c r="M21" s="598"/>
      <c r="N21" s="598"/>
      <c r="O21" s="598"/>
      <c r="P21" s="599"/>
      <c r="Q21" s="597"/>
      <c r="R21" s="598"/>
      <c r="S21" s="598"/>
      <c r="T21" s="598"/>
      <c r="U21" s="598"/>
      <c r="V21" s="599"/>
      <c r="W21" s="597"/>
      <c r="X21" s="598"/>
      <c r="Y21" s="599"/>
      <c r="Z21" s="598"/>
    </row>
    <row r="22" spans="2:26">
      <c r="B22" s="597"/>
      <c r="C22" s="599" t="s">
        <v>76</v>
      </c>
      <c r="D22" s="601">
        <v>5</v>
      </c>
      <c r="E22" s="602">
        <v>5</v>
      </c>
      <c r="F22" s="602">
        <v>4</v>
      </c>
      <c r="G22" s="602">
        <v>4</v>
      </c>
      <c r="H22" s="603">
        <v>5</v>
      </c>
      <c r="I22" s="601">
        <v>4</v>
      </c>
      <c r="J22" s="602">
        <v>4</v>
      </c>
      <c r="K22" s="602">
        <v>5</v>
      </c>
      <c r="L22" s="602">
        <v>3</v>
      </c>
      <c r="M22" s="602">
        <v>4</v>
      </c>
      <c r="N22" s="602">
        <v>3</v>
      </c>
      <c r="O22" s="602">
        <v>2</v>
      </c>
      <c r="P22" s="603">
        <v>3</v>
      </c>
      <c r="Q22" s="601">
        <v>4</v>
      </c>
      <c r="R22" s="602">
        <v>3</v>
      </c>
      <c r="S22" s="602">
        <v>5</v>
      </c>
      <c r="T22" s="602">
        <v>4</v>
      </c>
      <c r="U22" s="602">
        <v>4</v>
      </c>
      <c r="V22" s="603">
        <v>4</v>
      </c>
      <c r="W22" s="601">
        <v>5</v>
      </c>
      <c r="X22" s="602">
        <v>4</v>
      </c>
      <c r="Y22" s="603">
        <v>5</v>
      </c>
      <c r="Z22" s="604">
        <f>AVERAGE(D22:Y22)</f>
        <v>4.0454545454545459</v>
      </c>
    </row>
    <row r="23" spans="2:26" ht="14.65" thickBot="1">
      <c r="B23" s="605"/>
      <c r="C23" s="606" t="s">
        <v>77</v>
      </c>
      <c r="D23" s="607">
        <v>3</v>
      </c>
      <c r="E23" s="608">
        <v>3</v>
      </c>
      <c r="F23" s="608">
        <v>2</v>
      </c>
      <c r="G23" s="608">
        <v>2</v>
      </c>
      <c r="H23" s="609">
        <v>4</v>
      </c>
      <c r="I23" s="607">
        <v>5</v>
      </c>
      <c r="J23" s="608">
        <v>4</v>
      </c>
      <c r="K23" s="608">
        <v>5</v>
      </c>
      <c r="L23" s="608">
        <v>5</v>
      </c>
      <c r="M23" s="608">
        <v>3</v>
      </c>
      <c r="N23" s="608">
        <v>2</v>
      </c>
      <c r="O23" s="608">
        <v>2</v>
      </c>
      <c r="P23" s="609">
        <v>4</v>
      </c>
      <c r="Q23" s="607">
        <v>5</v>
      </c>
      <c r="R23" s="608">
        <v>4</v>
      </c>
      <c r="S23" s="608">
        <v>5</v>
      </c>
      <c r="T23" s="608">
        <v>5</v>
      </c>
      <c r="U23" s="608">
        <v>4</v>
      </c>
      <c r="V23" s="609">
        <v>3</v>
      </c>
      <c r="W23" s="607">
        <v>5</v>
      </c>
      <c r="X23" s="608">
        <v>3</v>
      </c>
      <c r="Y23" s="609">
        <v>4</v>
      </c>
      <c r="Z23" s="604">
        <f>AVERAGE(D23:Y23)</f>
        <v>3.7272727272727271</v>
      </c>
    </row>
    <row r="24" spans="2:26">
      <c r="B24" s="999" t="s">
        <v>78</v>
      </c>
      <c r="C24" s="999"/>
      <c r="D24" s="999"/>
      <c r="E24" s="999"/>
      <c r="F24" s="999"/>
      <c r="G24" s="999"/>
      <c r="H24" s="999"/>
      <c r="I24" s="999"/>
      <c r="J24" s="999"/>
      <c r="K24" s="999"/>
      <c r="L24" s="999"/>
      <c r="M24" s="999"/>
      <c r="N24" s="999"/>
      <c r="O24" s="999"/>
      <c r="P24" s="999"/>
      <c r="Q24" s="999"/>
      <c r="R24" s="999"/>
      <c r="S24" s="999"/>
      <c r="T24" s="999"/>
      <c r="U24" s="999"/>
      <c r="V24" s="999"/>
      <c r="W24" s="999"/>
      <c r="X24" s="999"/>
      <c r="Y24" s="999"/>
      <c r="Z24" s="1000"/>
    </row>
  </sheetData>
  <mergeCells count="7">
    <mergeCell ref="B24:Z24"/>
    <mergeCell ref="B2:Z2"/>
    <mergeCell ref="B3:Z3"/>
    <mergeCell ref="D4:H4"/>
    <mergeCell ref="I4:P4"/>
    <mergeCell ref="Q4:V4"/>
    <mergeCell ref="W4:Y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8D5C-C90E-43D4-92C8-8BD6DBF2C4D0}">
  <sheetPr>
    <tabColor theme="9"/>
  </sheetPr>
  <dimension ref="B1:O44"/>
  <sheetViews>
    <sheetView showGridLines="0" topLeftCell="A46" zoomScale="115" zoomScaleNormal="115" workbookViewId="0">
      <selection activeCell="E31" sqref="E31"/>
    </sheetView>
  </sheetViews>
  <sheetFormatPr defaultColWidth="21.28515625" defaultRowHeight="14.1"/>
  <cols>
    <col min="1" max="1" width="7.42578125" style="583" customWidth="1"/>
    <col min="2" max="2" width="26.140625" style="583" customWidth="1"/>
    <col min="3" max="3" width="33.7109375" style="583" customWidth="1"/>
    <col min="4" max="4" width="47.140625" style="583" customWidth="1"/>
    <col min="5" max="5" width="40.28515625" style="583" customWidth="1"/>
    <col min="6" max="16384" width="21.28515625" style="583"/>
  </cols>
  <sheetData>
    <row r="1" spans="2:5" ht="22.5" customHeight="1" thickBot="1">
      <c r="B1" s="1022"/>
      <c r="C1" s="1022"/>
      <c r="D1" s="1022"/>
      <c r="E1" s="1022"/>
    </row>
    <row r="2" spans="2:5" ht="17.649999999999999">
      <c r="B2" s="993" t="s">
        <v>79</v>
      </c>
      <c r="C2" s="994"/>
      <c r="D2" s="994"/>
      <c r="E2" s="995"/>
    </row>
    <row r="3" spans="2:5">
      <c r="B3" s="610" t="s">
        <v>80</v>
      </c>
      <c r="C3" s="1016" t="s">
        <v>81</v>
      </c>
      <c r="D3" s="1016"/>
      <c r="E3" s="1017"/>
    </row>
    <row r="4" spans="2:5" ht="15.95" thickBot="1">
      <c r="B4" s="1018" t="s">
        <v>82</v>
      </c>
      <c r="C4" s="1019"/>
      <c r="D4" s="611" t="s">
        <v>83</v>
      </c>
      <c r="E4" s="612" t="s">
        <v>84</v>
      </c>
    </row>
    <row r="5" spans="2:5">
      <c r="B5" s="1020" t="s">
        <v>85</v>
      </c>
      <c r="C5" s="1021" t="s">
        <v>86</v>
      </c>
      <c r="D5" s="613" t="s">
        <v>87</v>
      </c>
      <c r="E5" s="614" t="s">
        <v>88</v>
      </c>
    </row>
    <row r="6" spans="2:5">
      <c r="B6" s="1009"/>
      <c r="C6" s="1012"/>
      <c r="D6" s="1014" t="s">
        <v>89</v>
      </c>
      <c r="E6" s="615" t="s">
        <v>90</v>
      </c>
    </row>
    <row r="7" spans="2:5">
      <c r="B7" s="1009"/>
      <c r="C7" s="1012"/>
      <c r="D7" s="1014"/>
      <c r="E7" s="615" t="s">
        <v>91</v>
      </c>
    </row>
    <row r="8" spans="2:5">
      <c r="B8" s="1009"/>
      <c r="C8" s="1012"/>
      <c r="D8" s="1014"/>
      <c r="E8" s="615" t="s">
        <v>92</v>
      </c>
    </row>
    <row r="9" spans="2:5" ht="24.95">
      <c r="B9" s="1009"/>
      <c r="C9" s="598" t="s">
        <v>93</v>
      </c>
      <c r="D9" s="616" t="s">
        <v>94</v>
      </c>
      <c r="E9" s="615" t="s">
        <v>95</v>
      </c>
    </row>
    <row r="10" spans="2:5" ht="37.35">
      <c r="B10" s="1009"/>
      <c r="C10" s="1012" t="s">
        <v>96</v>
      </c>
      <c r="D10" s="616" t="s">
        <v>97</v>
      </c>
      <c r="E10" s="615" t="s">
        <v>98</v>
      </c>
    </row>
    <row r="11" spans="2:5" ht="14.65" thickBot="1">
      <c r="B11" s="1010"/>
      <c r="C11" s="1015"/>
      <c r="D11" s="617" t="s">
        <v>99</v>
      </c>
      <c r="E11" s="618"/>
    </row>
    <row r="12" spans="2:5">
      <c r="B12" s="1008" t="s">
        <v>100</v>
      </c>
      <c r="C12" s="1011" t="s">
        <v>101</v>
      </c>
      <c r="D12" s="1013" t="s">
        <v>102</v>
      </c>
      <c r="E12" s="619" t="s">
        <v>103</v>
      </c>
    </row>
    <row r="13" spans="2:5">
      <c r="B13" s="1009"/>
      <c r="C13" s="1012"/>
      <c r="D13" s="1014"/>
      <c r="E13" s="615" t="s">
        <v>104</v>
      </c>
    </row>
    <row r="14" spans="2:5" ht="24.95">
      <c r="B14" s="1009"/>
      <c r="C14" s="1012"/>
      <c r="D14" s="1014"/>
      <c r="E14" s="615" t="s">
        <v>105</v>
      </c>
    </row>
    <row r="15" spans="2:5" ht="24.95">
      <c r="B15" s="1009"/>
      <c r="C15" s="1012" t="s">
        <v>106</v>
      </c>
      <c r="D15" s="616" t="s">
        <v>107</v>
      </c>
      <c r="E15" s="620" t="s">
        <v>108</v>
      </c>
    </row>
    <row r="16" spans="2:5">
      <c r="B16" s="1009"/>
      <c r="C16" s="1012"/>
      <c r="D16" s="616" t="s">
        <v>109</v>
      </c>
      <c r="E16" s="596" t="s">
        <v>110</v>
      </c>
    </row>
    <row r="17" spans="2:5">
      <c r="B17" s="1009"/>
      <c r="C17" s="1012"/>
      <c r="D17" s="616" t="s">
        <v>111</v>
      </c>
      <c r="E17" s="596" t="s">
        <v>112</v>
      </c>
    </row>
    <row r="18" spans="2:5">
      <c r="B18" s="1009"/>
      <c r="C18" s="1012"/>
      <c r="D18" s="616" t="s">
        <v>113</v>
      </c>
      <c r="E18" s="596" t="s">
        <v>114</v>
      </c>
    </row>
    <row r="19" spans="2:5" ht="24.95">
      <c r="B19" s="1009"/>
      <c r="C19" s="1012"/>
      <c r="D19" s="616" t="s">
        <v>115</v>
      </c>
      <c r="E19" s="615" t="s">
        <v>116</v>
      </c>
    </row>
    <row r="20" spans="2:5">
      <c r="B20" s="1009"/>
      <c r="C20" s="1012" t="s">
        <v>117</v>
      </c>
      <c r="D20" s="616" t="s">
        <v>118</v>
      </c>
      <c r="E20" s="1007" t="s">
        <v>119</v>
      </c>
    </row>
    <row r="21" spans="2:5">
      <c r="B21" s="1009"/>
      <c r="C21" s="1012"/>
      <c r="D21" s="616" t="s">
        <v>120</v>
      </c>
      <c r="E21" s="1007"/>
    </row>
    <row r="22" spans="2:5" ht="25.35" thickBot="1">
      <c r="B22" s="1010"/>
      <c r="C22" s="1015"/>
      <c r="D22" s="617" t="s">
        <v>121</v>
      </c>
      <c r="E22" s="618" t="s">
        <v>122</v>
      </c>
    </row>
    <row r="24" spans="2:5" ht="17.649999999999999">
      <c r="B24" s="993" t="s">
        <v>79</v>
      </c>
      <c r="C24" s="994"/>
      <c r="D24" s="994"/>
      <c r="E24" s="995"/>
    </row>
    <row r="25" spans="2:5">
      <c r="B25" s="610" t="s">
        <v>80</v>
      </c>
      <c r="C25" s="1016" t="s">
        <v>81</v>
      </c>
      <c r="D25" s="1016"/>
      <c r="E25" s="1017"/>
    </row>
    <row r="26" spans="2:5" ht="15.4">
      <c r="B26" s="1018" t="s">
        <v>82</v>
      </c>
      <c r="C26" s="1019"/>
      <c r="D26" s="611" t="s">
        <v>83</v>
      </c>
      <c r="E26" s="612" t="s">
        <v>84</v>
      </c>
    </row>
    <row r="27" spans="2:5" ht="49.7">
      <c r="B27" s="1020" t="s">
        <v>85</v>
      </c>
      <c r="C27" s="1021" t="s">
        <v>86</v>
      </c>
      <c r="D27" s="613" t="s">
        <v>123</v>
      </c>
      <c r="E27" s="614" t="s">
        <v>124</v>
      </c>
    </row>
    <row r="28" spans="2:5" ht="49.7">
      <c r="B28" s="1009"/>
      <c r="C28" s="1012"/>
      <c r="D28" s="1014" t="s">
        <v>125</v>
      </c>
      <c r="E28" s="615" t="s">
        <v>126</v>
      </c>
    </row>
    <row r="29" spans="2:5" ht="37.35">
      <c r="B29" s="1009"/>
      <c r="C29" s="1012"/>
      <c r="D29" s="1014"/>
      <c r="E29" s="615" t="s">
        <v>127</v>
      </c>
    </row>
    <row r="30" spans="2:5" ht="62.1">
      <c r="B30" s="1009"/>
      <c r="C30" s="1012"/>
      <c r="D30" s="1014"/>
      <c r="E30" s="615" t="s">
        <v>128</v>
      </c>
    </row>
    <row r="31" spans="2:5" ht="37.35">
      <c r="B31" s="1009"/>
      <c r="C31" s="598" t="s">
        <v>93</v>
      </c>
      <c r="D31" s="616" t="s">
        <v>129</v>
      </c>
      <c r="E31" s="615" t="s">
        <v>95</v>
      </c>
    </row>
    <row r="32" spans="2:5" ht="37.35">
      <c r="B32" s="1009"/>
      <c r="C32" s="1012" t="s">
        <v>96</v>
      </c>
      <c r="D32" s="616" t="s">
        <v>130</v>
      </c>
      <c r="E32" s="615" t="s">
        <v>131</v>
      </c>
    </row>
    <row r="33" spans="2:15" ht="49.7">
      <c r="B33" s="1010"/>
      <c r="C33" s="1015"/>
      <c r="D33" s="617" t="s">
        <v>132</v>
      </c>
      <c r="E33" s="618"/>
      <c r="K33" s="583">
        <v>0</v>
      </c>
      <c r="L33" s="583">
        <v>5</v>
      </c>
      <c r="M33" s="583">
        <v>4</v>
      </c>
      <c r="N33" s="583">
        <v>5</v>
      </c>
      <c r="O33" s="583">
        <f>SUM(E33:N33)/10</f>
        <v>1.4</v>
      </c>
    </row>
    <row r="34" spans="2:15" ht="24.95">
      <c r="B34" s="1008" t="s">
        <v>100</v>
      </c>
      <c r="C34" s="1011" t="s">
        <v>101</v>
      </c>
      <c r="D34" s="1013" t="s">
        <v>133</v>
      </c>
      <c r="E34" s="619" t="s">
        <v>134</v>
      </c>
    </row>
    <row r="35" spans="2:15" ht="24.95">
      <c r="B35" s="1009"/>
      <c r="C35" s="1012"/>
      <c r="D35" s="1014"/>
      <c r="E35" s="615" t="s">
        <v>135</v>
      </c>
    </row>
    <row r="36" spans="2:15" ht="37.35">
      <c r="B36" s="1009"/>
      <c r="C36" s="1012"/>
      <c r="D36" s="1014"/>
      <c r="E36" s="615" t="s">
        <v>136</v>
      </c>
    </row>
    <row r="37" spans="2:15" ht="24.95">
      <c r="B37" s="1009"/>
      <c r="C37" s="1012" t="s">
        <v>106</v>
      </c>
      <c r="D37" s="616" t="s">
        <v>137</v>
      </c>
      <c r="E37" s="620" t="s">
        <v>108</v>
      </c>
    </row>
    <row r="38" spans="2:15" ht="49.7">
      <c r="B38" s="1009"/>
      <c r="C38" s="1012"/>
      <c r="D38" s="616" t="s">
        <v>138</v>
      </c>
      <c r="E38" s="596" t="s">
        <v>110</v>
      </c>
    </row>
    <row r="39" spans="2:15" ht="37.35">
      <c r="B39" s="1009"/>
      <c r="C39" s="1012"/>
      <c r="D39" s="616" t="s">
        <v>139</v>
      </c>
      <c r="E39" s="596" t="s">
        <v>112</v>
      </c>
    </row>
    <row r="40" spans="2:15" ht="37.35">
      <c r="B40" s="1009"/>
      <c r="C40" s="1012"/>
      <c r="D40" s="616" t="s">
        <v>140</v>
      </c>
      <c r="E40" s="596" t="s">
        <v>114</v>
      </c>
    </row>
    <row r="41" spans="2:15" ht="37.35">
      <c r="B41" s="1009"/>
      <c r="C41" s="1012"/>
      <c r="D41" s="616" t="s">
        <v>141</v>
      </c>
      <c r="E41" s="615" t="s">
        <v>116</v>
      </c>
    </row>
    <row r="42" spans="2:15" ht="37.35">
      <c r="B42" s="1009"/>
      <c r="C42" s="1012" t="s">
        <v>117</v>
      </c>
      <c r="D42" s="616" t="s">
        <v>142</v>
      </c>
      <c r="E42" s="1007" t="s">
        <v>119</v>
      </c>
    </row>
    <row r="43" spans="2:15" ht="24.95">
      <c r="B43" s="1009"/>
      <c r="C43" s="1012"/>
      <c r="D43" s="616" t="s">
        <v>143</v>
      </c>
      <c r="E43" s="1007"/>
    </row>
    <row r="44" spans="2:15" ht="49.7">
      <c r="B44" s="1010"/>
      <c r="C44" s="1015"/>
      <c r="D44" s="617" t="s">
        <v>144</v>
      </c>
      <c r="E44" s="618" t="s">
        <v>122</v>
      </c>
    </row>
  </sheetData>
  <mergeCells count="27">
    <mergeCell ref="E20:E21"/>
    <mergeCell ref="B1:E1"/>
    <mergeCell ref="C3:E3"/>
    <mergeCell ref="B2:E2"/>
    <mergeCell ref="B4:C4"/>
    <mergeCell ref="B5:B11"/>
    <mergeCell ref="C5:C8"/>
    <mergeCell ref="D6:D8"/>
    <mergeCell ref="C10:C11"/>
    <mergeCell ref="B12:B22"/>
    <mergeCell ref="C12:C14"/>
    <mergeCell ref="D12:D14"/>
    <mergeCell ref="C15:C19"/>
    <mergeCell ref="C20:C22"/>
    <mergeCell ref="B24:E24"/>
    <mergeCell ref="C25:E25"/>
    <mergeCell ref="B26:C26"/>
    <mergeCell ref="B27:B33"/>
    <mergeCell ref="C27:C30"/>
    <mergeCell ref="D28:D30"/>
    <mergeCell ref="C32:C33"/>
    <mergeCell ref="E42:E43"/>
    <mergeCell ref="B34:B44"/>
    <mergeCell ref="C34:C36"/>
    <mergeCell ref="D34:D36"/>
    <mergeCell ref="C37:C41"/>
    <mergeCell ref="C42:C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7B99-9FE2-47D5-AABD-FCECF36BF410}">
  <sheetPr>
    <tabColor theme="9"/>
  </sheetPr>
  <dimension ref="A1:AP49"/>
  <sheetViews>
    <sheetView showGridLines="0" zoomScale="115" zoomScaleNormal="115" workbookViewId="0">
      <selection activeCell="Q12" sqref="Q12"/>
    </sheetView>
  </sheetViews>
  <sheetFormatPr defaultColWidth="11.42578125" defaultRowHeight="15.95"/>
  <cols>
    <col min="1" max="1" width="6.42578125" customWidth="1"/>
    <col min="2" max="2" width="6.7109375" style="17" customWidth="1"/>
    <col min="3" max="3" width="3" customWidth="1"/>
    <col min="7" max="7" width="2" customWidth="1"/>
    <col min="11" max="11" width="2.140625" customWidth="1"/>
    <col min="15" max="17" width="11.42578125" style="203"/>
    <col min="18" max="18" width="31.140625" style="203" bestFit="1" customWidth="1"/>
    <col min="19" max="19" width="36.42578125" style="203" bestFit="1" customWidth="1"/>
    <col min="20" max="21" width="11.42578125" style="203"/>
    <col min="32" max="32" width="22.28515625" bestFit="1" customWidth="1"/>
    <col min="34" max="34" width="36.42578125" bestFit="1" customWidth="1"/>
    <col min="36" max="36" width="36.42578125" bestFit="1" customWidth="1"/>
    <col min="38" max="38" width="36.42578125" bestFit="1" customWidth="1"/>
    <col min="40" max="40" width="36.42578125" bestFit="1" customWidth="1"/>
    <col min="42" max="42" width="36.42578125" bestFit="1" customWidth="1"/>
  </cols>
  <sheetData>
    <row r="1" spans="1:42" s="203" customFormat="1" ht="15.75" customHeight="1" thickBot="1"/>
    <row r="2" spans="1:42" s="290" customFormat="1" ht="18" thickBot="1">
      <c r="B2" s="1026" t="s">
        <v>145</v>
      </c>
      <c r="C2" s="1027"/>
      <c r="D2" s="1027"/>
      <c r="E2" s="1027"/>
      <c r="F2" s="1027"/>
      <c r="G2" s="1027"/>
      <c r="H2" s="1027"/>
      <c r="I2" s="1027"/>
      <c r="J2" s="1027"/>
      <c r="K2" s="1027"/>
      <c r="L2" s="1027"/>
      <c r="M2" s="1027"/>
      <c r="N2" s="1028"/>
      <c r="O2" s="294"/>
      <c r="P2" s="294"/>
      <c r="Q2" s="293"/>
      <c r="R2" s="295"/>
      <c r="S2" s="295"/>
      <c r="T2" s="295"/>
      <c r="U2" s="293"/>
    </row>
    <row r="3" spans="1:42" s="293" customFormat="1" ht="5.25" customHeight="1">
      <c r="B3" s="298"/>
      <c r="E3" s="295"/>
      <c r="G3" s="297"/>
      <c r="I3" s="295"/>
      <c r="J3" s="295"/>
      <c r="P3" s="294"/>
      <c r="R3" s="295"/>
      <c r="S3" s="295"/>
      <c r="T3" s="295"/>
    </row>
    <row r="4" spans="1:42" s="292" customFormat="1" ht="113.25" customHeight="1">
      <c r="B4" s="668" t="s">
        <v>146</v>
      </c>
      <c r="D4" s="826" t="s">
        <v>147</v>
      </c>
      <c r="E4" s="827"/>
      <c r="F4" s="826" t="s">
        <v>148</v>
      </c>
      <c r="G4" s="291"/>
      <c r="H4" s="1029" t="s">
        <v>149</v>
      </c>
      <c r="I4" s="1030"/>
      <c r="J4" s="1031"/>
      <c r="K4" s="291"/>
      <c r="L4" s="1029" t="s">
        <v>150</v>
      </c>
      <c r="M4" s="1030"/>
      <c r="N4" s="1031"/>
      <c r="O4" s="296"/>
      <c r="P4" s="294"/>
      <c r="Q4" s="295"/>
      <c r="R4" s="293"/>
      <c r="S4" s="293"/>
      <c r="T4" s="293"/>
      <c r="U4" s="293"/>
      <c r="V4" s="290"/>
      <c r="AF4" s="292" t="s">
        <v>151</v>
      </c>
      <c r="AH4" s="291"/>
      <c r="AJ4" s="291"/>
      <c r="AL4" s="291"/>
      <c r="AN4" s="291"/>
      <c r="AP4" s="291"/>
    </row>
    <row r="5" spans="1:42" s="292" customFormat="1" ht="17.25" customHeight="1">
      <c r="A5"/>
      <c r="B5" s="18"/>
      <c r="C5" s="203"/>
      <c r="D5" s="476"/>
      <c r="E5" s="476"/>
      <c r="F5" s="476"/>
      <c r="G5" s="476"/>
      <c r="H5" s="476"/>
      <c r="I5" s="476"/>
      <c r="J5" s="476"/>
      <c r="K5" s="476"/>
      <c r="L5" s="476"/>
      <c r="M5" s="476"/>
      <c r="N5" s="476"/>
      <c r="O5" s="203"/>
      <c r="P5" s="203"/>
      <c r="Q5" s="203"/>
      <c r="R5" s="203"/>
      <c r="S5" s="203"/>
      <c r="T5" s="203"/>
      <c r="U5" s="203"/>
      <c r="V5"/>
      <c r="AH5" s="291"/>
      <c r="AJ5" s="291"/>
      <c r="AL5" s="291"/>
      <c r="AN5" s="291"/>
      <c r="AP5" s="291"/>
    </row>
    <row r="6" spans="1:42" s="292" customFormat="1" ht="114" customHeight="1">
      <c r="B6" s="668" t="s">
        <v>146</v>
      </c>
      <c r="D6" s="826" t="s">
        <v>152</v>
      </c>
      <c r="E6" s="827"/>
      <c r="F6" s="826" t="s">
        <v>153</v>
      </c>
      <c r="G6" s="291"/>
      <c r="H6" s="1029" t="s">
        <v>154</v>
      </c>
      <c r="I6" s="1030"/>
      <c r="J6" s="1031"/>
      <c r="K6" s="291"/>
      <c r="L6" s="1029" t="s">
        <v>155</v>
      </c>
      <c r="M6" s="1030"/>
      <c r="N6" s="1031"/>
      <c r="O6" s="296"/>
      <c r="P6" s="294"/>
      <c r="Q6" s="295"/>
      <c r="R6" s="293"/>
      <c r="S6" s="293"/>
      <c r="T6" s="293"/>
      <c r="U6" s="293"/>
      <c r="V6" s="290"/>
      <c r="AF6" s="292" t="s">
        <v>146</v>
      </c>
      <c r="AH6" s="291" t="s">
        <v>156</v>
      </c>
      <c r="AJ6" s="291" t="s">
        <v>157</v>
      </c>
      <c r="AL6" s="291" t="s">
        <v>158</v>
      </c>
      <c r="AN6" s="291"/>
      <c r="AP6" s="291"/>
    </row>
    <row r="7" spans="1:42" s="292" customFormat="1" ht="17.25" customHeight="1">
      <c r="A7"/>
      <c r="B7" s="18"/>
      <c r="C7" s="203"/>
      <c r="D7" s="476"/>
      <c r="E7" s="476"/>
      <c r="F7" s="476"/>
      <c r="G7" s="476"/>
      <c r="H7" s="476"/>
      <c r="I7" s="476"/>
      <c r="J7" s="476"/>
      <c r="K7" s="476"/>
      <c r="L7" s="476"/>
      <c r="M7" s="476"/>
      <c r="N7" s="476"/>
      <c r="O7" s="203"/>
      <c r="P7" s="203"/>
      <c r="Q7" s="203"/>
      <c r="R7" s="836" t="s">
        <v>159</v>
      </c>
      <c r="S7" s="825"/>
      <c r="T7" s="203"/>
      <c r="U7" s="203"/>
      <c r="V7"/>
      <c r="AH7" s="291"/>
      <c r="AJ7" s="291"/>
      <c r="AL7" s="291"/>
      <c r="AN7" s="291"/>
      <c r="AP7" s="291"/>
    </row>
    <row r="8" spans="1:42" s="292" customFormat="1" ht="114" customHeight="1">
      <c r="B8" s="668" t="s">
        <v>146</v>
      </c>
      <c r="D8" s="826" t="s">
        <v>160</v>
      </c>
      <c r="E8" s="827"/>
      <c r="F8" s="826" t="s">
        <v>161</v>
      </c>
      <c r="G8" s="291"/>
      <c r="H8" s="1029" t="s">
        <v>162</v>
      </c>
      <c r="I8" s="1030"/>
      <c r="J8" s="1031"/>
      <c r="K8" s="291"/>
      <c r="L8" s="1029" t="s">
        <v>163</v>
      </c>
      <c r="M8" s="1030"/>
      <c r="N8" s="1031"/>
      <c r="O8" s="296"/>
      <c r="P8" s="294"/>
      <c r="Q8" s="295"/>
      <c r="R8">
        <v>1</v>
      </c>
      <c r="S8" s="837" t="s">
        <v>164</v>
      </c>
      <c r="T8" s="293"/>
      <c r="U8" s="293"/>
      <c r="V8" s="290"/>
      <c r="AF8" s="292" t="s">
        <v>146</v>
      </c>
      <c r="AH8" s="291" t="s">
        <v>165</v>
      </c>
      <c r="AJ8" s="291" t="s">
        <v>166</v>
      </c>
      <c r="AL8" s="291" t="s">
        <v>167</v>
      </c>
      <c r="AN8" s="291"/>
      <c r="AP8" s="291"/>
    </row>
    <row r="9" spans="1:42" s="293" customFormat="1" ht="23.25" customHeight="1">
      <c r="B9" s="299"/>
      <c r="C9" s="828"/>
      <c r="D9" s="829"/>
      <c r="E9" s="295"/>
      <c r="F9" s="828"/>
      <c r="G9" s="829"/>
      <c r="H9" s="829"/>
      <c r="I9" s="829"/>
      <c r="J9" s="829"/>
      <c r="K9" s="829"/>
      <c r="L9" s="829"/>
      <c r="M9" s="295"/>
      <c r="N9" s="829"/>
      <c r="O9" s="295"/>
      <c r="P9" s="294"/>
      <c r="Q9" s="295"/>
      <c r="R9">
        <v>2</v>
      </c>
      <c r="S9" s="837" t="s">
        <v>168</v>
      </c>
      <c r="AH9" s="834"/>
      <c r="AJ9" s="834"/>
      <c r="AL9" s="834"/>
      <c r="AN9" s="834"/>
      <c r="AP9" s="834"/>
    </row>
    <row r="10" spans="1:42" s="292" customFormat="1" ht="112.5" customHeight="1">
      <c r="B10" s="668" t="s">
        <v>169</v>
      </c>
      <c r="C10" s="292" t="s">
        <v>170</v>
      </c>
      <c r="D10" s="1029" t="s">
        <v>171</v>
      </c>
      <c r="E10" s="1030"/>
      <c r="F10" s="1031"/>
      <c r="G10" s="827"/>
      <c r="H10" s="826" t="s">
        <v>172</v>
      </c>
      <c r="I10" s="827"/>
      <c r="J10" s="826" t="s">
        <v>173</v>
      </c>
      <c r="K10" s="827"/>
      <c r="L10" s="1029" t="s">
        <v>174</v>
      </c>
      <c r="M10" s="1030"/>
      <c r="N10" s="1031"/>
      <c r="O10" s="295"/>
      <c r="P10" s="294"/>
      <c r="Q10" s="295"/>
      <c r="R10">
        <v>3</v>
      </c>
      <c r="S10" s="837" t="s">
        <v>175</v>
      </c>
      <c r="T10" s="293"/>
      <c r="U10" s="293"/>
      <c r="V10" s="290"/>
      <c r="AF10" s="292" t="s">
        <v>146</v>
      </c>
      <c r="AH10" s="291" t="s">
        <v>176</v>
      </c>
      <c r="AJ10" s="291" t="s">
        <v>177</v>
      </c>
      <c r="AL10" s="291" t="s">
        <v>178</v>
      </c>
      <c r="AN10" s="291"/>
      <c r="AP10" s="291"/>
    </row>
    <row r="11" spans="1:42" s="293" customFormat="1" ht="23.25" customHeight="1" thickBot="1">
      <c r="B11" s="299"/>
      <c r="C11" s="828"/>
      <c r="D11" s="829"/>
      <c r="E11" s="295"/>
      <c r="F11" s="828"/>
      <c r="G11" s="829"/>
      <c r="H11" s="829"/>
      <c r="I11" s="829"/>
      <c r="J11" s="829"/>
      <c r="K11" s="829"/>
      <c r="L11" s="829"/>
      <c r="M11" s="295"/>
      <c r="N11" s="829"/>
      <c r="O11" s="295"/>
      <c r="P11" s="294"/>
      <c r="Q11" s="295"/>
      <c r="R11">
        <v>4</v>
      </c>
      <c r="S11" s="837" t="s">
        <v>179</v>
      </c>
      <c r="AH11" s="834"/>
      <c r="AJ11" s="834"/>
      <c r="AL11" s="834"/>
      <c r="AN11" s="834"/>
      <c r="AP11" s="834"/>
    </row>
    <row r="12" spans="1:42" s="293" customFormat="1" ht="112.5" customHeight="1">
      <c r="B12" s="669" t="s">
        <v>180</v>
      </c>
      <c r="C12" s="830"/>
      <c r="D12" s="1032" t="s">
        <v>181</v>
      </c>
      <c r="E12" s="1033"/>
      <c r="F12" s="1033"/>
      <c r="G12" s="1033"/>
      <c r="H12" s="1033"/>
      <c r="I12" s="1033"/>
      <c r="J12" s="1033"/>
      <c r="K12" s="1033"/>
      <c r="L12" s="1033"/>
      <c r="M12" s="1033"/>
      <c r="N12" s="1034"/>
      <c r="O12" s="294"/>
      <c r="P12" s="294"/>
      <c r="Q12" s="295"/>
      <c r="R12">
        <v>5</v>
      </c>
      <c r="S12" s="837" t="s">
        <v>182</v>
      </c>
      <c r="AF12" s="293" t="s">
        <v>169</v>
      </c>
      <c r="AG12" s="293" t="s">
        <v>170</v>
      </c>
      <c r="AH12" s="834" t="s">
        <v>183</v>
      </c>
      <c r="AJ12" s="834" t="s">
        <v>184</v>
      </c>
      <c r="AL12" s="834" t="s">
        <v>185</v>
      </c>
      <c r="AP12" s="834"/>
    </row>
    <row r="13" spans="1:42" s="293" customFormat="1" ht="23.25" customHeight="1">
      <c r="B13" s="299"/>
      <c r="C13" s="828"/>
      <c r="D13" s="829"/>
      <c r="E13" s="295"/>
      <c r="F13" s="828"/>
      <c r="G13" s="829"/>
      <c r="H13" s="829"/>
      <c r="I13" s="829"/>
      <c r="J13" s="829"/>
      <c r="K13" s="829"/>
      <c r="L13" s="829"/>
      <c r="M13" s="295"/>
      <c r="N13" s="829"/>
      <c r="O13" s="295"/>
      <c r="P13" s="294"/>
      <c r="Q13" s="295"/>
      <c r="R13" s="836" t="s">
        <v>186</v>
      </c>
      <c r="S13" s="825"/>
      <c r="AH13" s="834"/>
      <c r="AJ13" s="834"/>
      <c r="AL13" s="834"/>
      <c r="AN13" s="834"/>
      <c r="AP13" s="834"/>
    </row>
    <row r="14" spans="1:42" s="290" customFormat="1" ht="103.5" customHeight="1">
      <c r="B14" s="667" t="s">
        <v>187</v>
      </c>
      <c r="C14" s="831"/>
      <c r="D14" s="824" t="s">
        <v>188</v>
      </c>
      <c r="E14" s="827"/>
      <c r="F14" s="824" t="s">
        <v>189</v>
      </c>
      <c r="G14" s="291"/>
      <c r="H14" s="1023" t="s">
        <v>190</v>
      </c>
      <c r="I14" s="1024"/>
      <c r="J14" s="1025"/>
      <c r="K14" s="291"/>
      <c r="L14" s="1023" t="s">
        <v>191</v>
      </c>
      <c r="M14" s="1024"/>
      <c r="N14" s="1025"/>
      <c r="O14" s="295"/>
      <c r="P14" s="295"/>
      <c r="Q14" s="295"/>
      <c r="R14">
        <v>1</v>
      </c>
      <c r="S14" s="837" t="s">
        <v>192</v>
      </c>
      <c r="T14" s="293"/>
      <c r="U14" s="293"/>
      <c r="AF14" s="290" t="s">
        <v>180</v>
      </c>
      <c r="AH14" s="835" t="s">
        <v>193</v>
      </c>
      <c r="AJ14" s="835"/>
      <c r="AL14" s="835"/>
      <c r="AN14" s="835"/>
      <c r="AP14" s="835"/>
    </row>
    <row r="15" spans="1:42" s="293" customFormat="1" ht="23.25" customHeight="1">
      <c r="B15" s="299"/>
      <c r="C15" s="828"/>
      <c r="D15" s="829"/>
      <c r="E15" s="295"/>
      <c r="F15" s="828"/>
      <c r="G15" s="829"/>
      <c r="H15" s="829"/>
      <c r="I15" s="829"/>
      <c r="J15" s="829"/>
      <c r="K15" s="829"/>
      <c r="L15" s="829"/>
      <c r="M15" s="295"/>
      <c r="N15" s="829"/>
      <c r="O15" s="295"/>
      <c r="P15" s="294"/>
      <c r="Q15" s="295"/>
      <c r="R15">
        <v>2</v>
      </c>
      <c r="S15" s="837" t="s">
        <v>194</v>
      </c>
      <c r="AH15" s="834"/>
      <c r="AJ15" s="834"/>
      <c r="AL15" s="834"/>
      <c r="AN15" s="834"/>
      <c r="AP15" s="834"/>
    </row>
    <row r="16" spans="1:42" s="290" customFormat="1" ht="109.5" customHeight="1">
      <c r="B16" s="667" t="s">
        <v>195</v>
      </c>
      <c r="C16" s="831"/>
      <c r="D16" s="1023" t="s">
        <v>196</v>
      </c>
      <c r="E16" s="1024"/>
      <c r="F16" s="1025"/>
      <c r="G16" s="827"/>
      <c r="H16" s="824" t="s">
        <v>197</v>
      </c>
      <c r="I16" s="827"/>
      <c r="J16" s="824" t="s">
        <v>198</v>
      </c>
      <c r="K16" s="827"/>
      <c r="L16" s="1023" t="s">
        <v>199</v>
      </c>
      <c r="M16" s="1024"/>
      <c r="N16" s="1025"/>
      <c r="O16" s="295"/>
      <c r="P16" s="295"/>
      <c r="Q16" s="295"/>
      <c r="R16">
        <v>3</v>
      </c>
      <c r="S16" s="837" t="s">
        <v>200</v>
      </c>
      <c r="T16" s="293"/>
      <c r="U16" s="293"/>
      <c r="AF16" s="290" t="s">
        <v>187</v>
      </c>
      <c r="AH16" s="835" t="s">
        <v>201</v>
      </c>
      <c r="AJ16" s="835" t="s">
        <v>202</v>
      </c>
      <c r="AL16" s="835" t="s">
        <v>203</v>
      </c>
      <c r="AN16" s="835"/>
      <c r="AP16" s="835"/>
    </row>
    <row r="17" spans="1:42" ht="29.65">
      <c r="B17" s="832"/>
      <c r="C17" s="476"/>
      <c r="D17" s="476"/>
      <c r="E17" s="476"/>
      <c r="F17" s="476"/>
      <c r="G17" s="476"/>
      <c r="H17" s="476"/>
      <c r="I17" s="476"/>
      <c r="J17" s="476"/>
      <c r="K17" s="476"/>
      <c r="L17" s="476"/>
      <c r="M17" s="476"/>
      <c r="N17" s="476"/>
      <c r="R17">
        <v>4</v>
      </c>
      <c r="S17" s="837" t="s">
        <v>204</v>
      </c>
      <c r="AH17" s="825"/>
      <c r="AJ17" s="825"/>
      <c r="AL17" s="825"/>
      <c r="AN17" s="825"/>
      <c r="AP17" s="825"/>
    </row>
    <row r="18" spans="1:42" ht="62.1">
      <c r="A18" s="290"/>
      <c r="B18" s="667" t="s">
        <v>195</v>
      </c>
      <c r="C18" s="831"/>
      <c r="D18" s="1023" t="s">
        <v>205</v>
      </c>
      <c r="E18" s="1024"/>
      <c r="F18" s="1025"/>
      <c r="G18" s="827"/>
      <c r="H18" s="824" t="s">
        <v>206</v>
      </c>
      <c r="I18" s="827"/>
      <c r="J18" s="824" t="s">
        <v>207</v>
      </c>
      <c r="K18" s="827"/>
      <c r="L18" s="1023" t="s">
        <v>208</v>
      </c>
      <c r="M18" s="1024"/>
      <c r="N18" s="1025"/>
      <c r="O18" s="295"/>
      <c r="P18" s="295"/>
      <c r="Q18" s="295"/>
      <c r="R18">
        <v>5</v>
      </c>
      <c r="S18" s="837" t="s">
        <v>209</v>
      </c>
      <c r="T18" s="293"/>
      <c r="U18" s="293"/>
      <c r="V18" s="290"/>
      <c r="AF18" t="s">
        <v>195</v>
      </c>
      <c r="AH18" s="825" t="s">
        <v>210</v>
      </c>
      <c r="AJ18" s="825" t="s">
        <v>211</v>
      </c>
      <c r="AL18" s="825" t="s">
        <v>212</v>
      </c>
      <c r="AP18" s="825"/>
    </row>
    <row r="19" spans="1:42">
      <c r="B19" s="832"/>
      <c r="C19" s="476"/>
      <c r="D19" s="476"/>
      <c r="E19" s="476"/>
      <c r="F19" s="476"/>
      <c r="G19" s="476"/>
      <c r="H19" s="476"/>
      <c r="I19" s="476"/>
      <c r="J19" s="476"/>
      <c r="K19" s="476"/>
      <c r="L19" s="476"/>
      <c r="M19" s="476"/>
      <c r="N19" s="476"/>
      <c r="AH19" s="825"/>
      <c r="AJ19" s="825"/>
      <c r="AL19" s="825"/>
      <c r="AP19" s="825"/>
    </row>
    <row r="20" spans="1:42" ht="87">
      <c r="A20" s="290"/>
      <c r="B20" s="667" t="s">
        <v>195</v>
      </c>
      <c r="C20" s="831"/>
      <c r="D20" s="1023" t="s">
        <v>213</v>
      </c>
      <c r="E20" s="1024"/>
      <c r="F20" s="1025"/>
      <c r="G20" s="827"/>
      <c r="H20" s="824" t="s">
        <v>214</v>
      </c>
      <c r="I20" s="827"/>
      <c r="J20" s="824" t="s">
        <v>215</v>
      </c>
      <c r="K20" s="827"/>
      <c r="L20" s="1023" t="s">
        <v>216</v>
      </c>
      <c r="M20" s="1024"/>
      <c r="N20" s="1025"/>
      <c r="O20" s="295"/>
      <c r="P20" s="295"/>
      <c r="Q20" s="295"/>
      <c r="R20" s="293"/>
      <c r="S20" s="293"/>
      <c r="T20" s="293"/>
      <c r="U20" s="293"/>
      <c r="V20" s="290"/>
      <c r="AF20" t="s">
        <v>195</v>
      </c>
      <c r="AG20" s="10"/>
      <c r="AH20" s="825" t="s">
        <v>217</v>
      </c>
      <c r="AJ20" s="825" t="s">
        <v>218</v>
      </c>
      <c r="AL20" s="825" t="s">
        <v>219</v>
      </c>
      <c r="AP20" s="825"/>
    </row>
    <row r="21" spans="1:42" ht="16.5" customHeight="1">
      <c r="B21" s="832"/>
      <c r="C21" s="476"/>
      <c r="D21" s="476"/>
      <c r="E21" s="476"/>
      <c r="F21" s="476"/>
      <c r="G21" s="476"/>
      <c r="H21" s="476"/>
      <c r="I21" s="476"/>
      <c r="J21" s="476"/>
      <c r="K21" s="476"/>
      <c r="L21" s="476"/>
      <c r="M21" s="476"/>
      <c r="N21" s="476"/>
      <c r="AH21" s="825"/>
      <c r="AJ21" s="825"/>
      <c r="AL21" s="825"/>
      <c r="AP21" s="825"/>
    </row>
    <row r="22" spans="1:42" ht="74.650000000000006">
      <c r="A22" s="290"/>
      <c r="B22" s="667" t="s">
        <v>195</v>
      </c>
      <c r="C22" s="831"/>
      <c r="D22" s="1023" t="s">
        <v>220</v>
      </c>
      <c r="E22" s="1024"/>
      <c r="F22" s="1025"/>
      <c r="G22" s="827"/>
      <c r="H22" s="824" t="s">
        <v>221</v>
      </c>
      <c r="I22" s="827"/>
      <c r="J22" s="824" t="s">
        <v>222</v>
      </c>
      <c r="K22" s="827"/>
      <c r="L22" s="1023" t="s">
        <v>223</v>
      </c>
      <c r="M22" s="1024"/>
      <c r="N22" s="1025"/>
      <c r="O22" s="295"/>
      <c r="P22" s="295"/>
      <c r="Q22" s="295"/>
      <c r="R22" s="293"/>
      <c r="S22" s="293"/>
      <c r="T22" s="293"/>
      <c r="U22" s="293"/>
      <c r="V22" s="290"/>
      <c r="AF22" t="s">
        <v>195</v>
      </c>
      <c r="AH22" s="825" t="s">
        <v>224</v>
      </c>
      <c r="AJ22" s="825" t="s">
        <v>225</v>
      </c>
      <c r="AL22" s="825" t="s">
        <v>226</v>
      </c>
      <c r="AP22" s="825"/>
    </row>
    <row r="23" spans="1:42">
      <c r="B23" s="18"/>
      <c r="C23" s="203"/>
      <c r="D23" s="203"/>
      <c r="E23" s="203"/>
      <c r="F23" s="203"/>
      <c r="G23" s="203"/>
      <c r="H23" s="203"/>
      <c r="I23" s="203"/>
      <c r="J23" s="203"/>
      <c r="K23" s="203"/>
      <c r="L23" s="203"/>
      <c r="M23" s="203"/>
      <c r="N23" s="203"/>
    </row>
    <row r="24" spans="1:42">
      <c r="B24" s="18"/>
      <c r="C24" s="203"/>
      <c r="D24" s="203"/>
      <c r="E24" s="203"/>
      <c r="F24" s="203"/>
      <c r="G24" s="203"/>
      <c r="H24" s="203"/>
      <c r="I24" s="203"/>
      <c r="J24" s="203"/>
      <c r="K24" s="203"/>
      <c r="L24" s="203"/>
      <c r="M24" s="203"/>
      <c r="N24" s="203"/>
    </row>
    <row r="25" spans="1:42">
      <c r="B25" s="18"/>
      <c r="C25" s="203"/>
      <c r="D25" s="203"/>
      <c r="E25" s="203"/>
      <c r="F25" s="203"/>
      <c r="G25" s="203"/>
      <c r="H25" s="203"/>
      <c r="I25" s="203"/>
      <c r="J25" s="203"/>
      <c r="K25" s="203"/>
      <c r="L25" s="203"/>
      <c r="M25" s="203"/>
      <c r="N25" s="203"/>
    </row>
    <row r="26" spans="1:42">
      <c r="B26" s="18"/>
      <c r="C26" s="203"/>
      <c r="D26" s="203"/>
      <c r="E26" s="203"/>
      <c r="F26" s="203"/>
      <c r="G26" s="203"/>
      <c r="H26" s="203"/>
      <c r="I26" s="203"/>
      <c r="J26" s="203"/>
      <c r="K26" s="203"/>
      <c r="L26" s="203"/>
      <c r="M26" s="203"/>
      <c r="N26" s="203"/>
    </row>
    <row r="27" spans="1:42">
      <c r="B27" s="18"/>
      <c r="C27" s="203"/>
      <c r="D27" s="203"/>
      <c r="E27" s="203"/>
      <c r="F27" s="203"/>
      <c r="G27" s="203"/>
      <c r="H27" s="203"/>
      <c r="I27" s="203"/>
      <c r="J27" s="203"/>
      <c r="K27" s="203"/>
      <c r="L27" s="203"/>
      <c r="M27" s="203"/>
      <c r="N27" s="203"/>
    </row>
    <row r="28" spans="1:42">
      <c r="B28" s="18"/>
      <c r="C28" s="203"/>
      <c r="D28" s="203"/>
      <c r="E28" s="203"/>
      <c r="F28" s="203"/>
      <c r="G28" s="203"/>
      <c r="H28" s="203"/>
      <c r="I28" s="203"/>
      <c r="J28" s="203"/>
      <c r="K28" s="203"/>
      <c r="L28" s="203"/>
      <c r="M28" s="203"/>
      <c r="N28" s="203"/>
    </row>
    <row r="29" spans="1:42">
      <c r="B29" s="18"/>
      <c r="C29" s="203"/>
      <c r="D29" s="203"/>
      <c r="E29" s="203"/>
      <c r="F29" s="203"/>
      <c r="G29" s="203"/>
      <c r="H29" s="203"/>
      <c r="I29" s="203"/>
      <c r="J29" s="203"/>
      <c r="K29" s="203"/>
      <c r="L29" s="203"/>
      <c r="M29" s="203"/>
      <c r="N29" s="203"/>
    </row>
    <row r="30" spans="1:42">
      <c r="B30" s="18"/>
      <c r="C30" s="203"/>
      <c r="D30" s="203"/>
      <c r="E30" s="203"/>
      <c r="F30" s="203"/>
      <c r="G30" s="203"/>
      <c r="H30" s="203"/>
      <c r="I30" s="203"/>
      <c r="J30" s="203"/>
      <c r="K30" s="203"/>
      <c r="L30" s="203"/>
      <c r="M30" s="203"/>
      <c r="N30" s="203"/>
    </row>
    <row r="31" spans="1:42">
      <c r="B31" s="18"/>
      <c r="C31" s="203"/>
      <c r="D31" s="203"/>
      <c r="E31" s="203"/>
      <c r="F31" s="203"/>
      <c r="G31" s="203"/>
      <c r="H31" s="203"/>
      <c r="I31" s="203"/>
      <c r="J31" s="203"/>
      <c r="K31" s="203"/>
      <c r="L31" s="203"/>
      <c r="M31" s="203"/>
      <c r="N31" s="203"/>
    </row>
    <row r="32" spans="1:42">
      <c r="B32" s="18"/>
      <c r="C32" s="203"/>
      <c r="D32" s="203"/>
      <c r="E32" s="203"/>
      <c r="F32" s="203"/>
      <c r="G32" s="203"/>
      <c r="H32" s="203"/>
      <c r="I32" s="203"/>
      <c r="J32" s="203"/>
      <c r="K32" s="203"/>
      <c r="L32" s="203"/>
      <c r="M32" s="203"/>
      <c r="N32" s="203"/>
    </row>
    <row r="33" spans="2:14">
      <c r="B33" s="18"/>
      <c r="C33" s="203"/>
      <c r="D33" s="203"/>
      <c r="E33" s="203"/>
      <c r="F33" s="203"/>
      <c r="G33" s="203"/>
      <c r="H33" s="203"/>
      <c r="I33" s="203"/>
      <c r="J33" s="203"/>
      <c r="K33" s="203"/>
      <c r="L33" s="203"/>
      <c r="M33" s="203"/>
      <c r="N33" s="203"/>
    </row>
    <row r="34" spans="2:14">
      <c r="B34" s="18"/>
      <c r="C34" s="203"/>
      <c r="D34" s="203"/>
      <c r="E34" s="203"/>
      <c r="F34" s="203"/>
      <c r="G34" s="203"/>
      <c r="H34" s="203"/>
      <c r="I34" s="203"/>
      <c r="J34" s="203"/>
      <c r="K34" s="203"/>
      <c r="L34" s="203"/>
      <c r="M34" s="203"/>
      <c r="N34" s="203"/>
    </row>
    <row r="35" spans="2:14">
      <c r="B35" s="18"/>
      <c r="C35" s="203"/>
      <c r="D35" s="203"/>
      <c r="E35" s="203"/>
      <c r="F35" s="203"/>
      <c r="G35" s="203"/>
      <c r="H35" s="203"/>
      <c r="I35" s="203"/>
      <c r="J35" s="203"/>
      <c r="K35" s="203"/>
      <c r="L35" s="203"/>
      <c r="M35" s="203"/>
      <c r="N35" s="203"/>
    </row>
    <row r="36" spans="2:14">
      <c r="B36" s="18"/>
      <c r="C36" s="203"/>
      <c r="D36" s="203"/>
      <c r="E36" s="203"/>
      <c r="F36" s="203"/>
      <c r="G36" s="203"/>
      <c r="H36" s="203"/>
      <c r="I36" s="203"/>
      <c r="J36" s="203"/>
      <c r="K36" s="203"/>
      <c r="L36" s="203"/>
      <c r="M36" s="203"/>
      <c r="N36" s="203"/>
    </row>
    <row r="37" spans="2:14">
      <c r="B37" s="18"/>
      <c r="C37" s="203"/>
      <c r="D37" s="203"/>
      <c r="E37" s="203"/>
      <c r="F37" s="203"/>
      <c r="G37" s="203"/>
      <c r="H37" s="203"/>
      <c r="I37" s="203"/>
      <c r="J37" s="203"/>
      <c r="K37" s="203"/>
      <c r="L37" s="203"/>
      <c r="M37" s="203"/>
      <c r="N37" s="203"/>
    </row>
    <row r="38" spans="2:14">
      <c r="B38" s="18"/>
      <c r="C38" s="203"/>
      <c r="D38" s="203"/>
      <c r="E38" s="203"/>
      <c r="F38" s="203"/>
      <c r="G38" s="203"/>
      <c r="H38" s="203"/>
      <c r="I38" s="203"/>
      <c r="J38" s="203"/>
      <c r="K38" s="203"/>
      <c r="L38" s="203"/>
      <c r="M38" s="203"/>
      <c r="N38" s="203"/>
    </row>
    <row r="39" spans="2:14">
      <c r="B39" s="18"/>
      <c r="C39" s="203"/>
      <c r="D39" s="203"/>
      <c r="E39" s="203"/>
      <c r="F39" s="203"/>
      <c r="G39" s="203"/>
      <c r="H39" s="203"/>
      <c r="I39" s="203"/>
      <c r="J39" s="203"/>
      <c r="K39" s="203"/>
      <c r="L39" s="203"/>
      <c r="M39" s="203"/>
      <c r="N39" s="203"/>
    </row>
    <row r="40" spans="2:14">
      <c r="B40" s="18"/>
      <c r="C40" s="203"/>
      <c r="D40" s="203"/>
      <c r="E40" s="203"/>
      <c r="F40" s="203"/>
      <c r="G40" s="203"/>
      <c r="H40" s="203"/>
      <c r="I40" s="203"/>
      <c r="J40" s="203"/>
      <c r="K40" s="203"/>
      <c r="L40" s="203"/>
      <c r="M40" s="203"/>
      <c r="N40" s="203"/>
    </row>
    <row r="41" spans="2:14">
      <c r="B41" s="18"/>
      <c r="C41" s="203"/>
      <c r="D41" s="203"/>
      <c r="E41" s="203"/>
      <c r="F41" s="203"/>
      <c r="G41" s="203"/>
      <c r="H41" s="203"/>
      <c r="I41" s="203"/>
      <c r="J41" s="203"/>
      <c r="K41" s="203"/>
      <c r="L41" s="203"/>
      <c r="M41" s="203"/>
      <c r="N41" s="203"/>
    </row>
    <row r="42" spans="2:14">
      <c r="B42" s="18"/>
      <c r="C42" s="203"/>
      <c r="D42" s="203"/>
      <c r="E42" s="203"/>
      <c r="F42" s="203"/>
      <c r="G42" s="203"/>
      <c r="H42" s="203"/>
      <c r="I42" s="203"/>
      <c r="J42" s="203"/>
      <c r="K42" s="203"/>
      <c r="L42" s="203"/>
      <c r="M42" s="203"/>
      <c r="N42" s="203"/>
    </row>
    <row r="43" spans="2:14">
      <c r="B43" s="18"/>
      <c r="C43" s="203"/>
      <c r="D43" s="203"/>
      <c r="E43" s="203"/>
      <c r="F43" s="203"/>
      <c r="G43" s="203"/>
      <c r="H43" s="203"/>
      <c r="I43" s="203"/>
      <c r="J43" s="203"/>
      <c r="K43" s="203"/>
      <c r="L43" s="203"/>
      <c r="M43" s="203"/>
      <c r="N43" s="203"/>
    </row>
    <row r="44" spans="2:14">
      <c r="B44" s="18"/>
      <c r="C44" s="203"/>
      <c r="D44" s="203"/>
      <c r="E44" s="203"/>
      <c r="F44" s="203"/>
      <c r="G44" s="203"/>
      <c r="H44" s="203"/>
      <c r="I44" s="203"/>
      <c r="J44" s="203"/>
      <c r="K44" s="203"/>
      <c r="L44" s="203"/>
      <c r="M44" s="203"/>
      <c r="N44" s="203"/>
    </row>
    <row r="45" spans="2:14">
      <c r="B45" s="18"/>
      <c r="C45" s="203"/>
      <c r="D45" s="203"/>
      <c r="E45" s="203"/>
      <c r="F45" s="203"/>
      <c r="G45" s="203"/>
      <c r="H45" s="203"/>
      <c r="I45" s="203"/>
      <c r="J45" s="203"/>
      <c r="K45" s="203"/>
      <c r="L45" s="203"/>
      <c r="M45" s="203"/>
      <c r="N45" s="203"/>
    </row>
    <row r="46" spans="2:14">
      <c r="B46" s="18"/>
      <c r="C46" s="203"/>
      <c r="D46" s="203"/>
      <c r="E46" s="203"/>
      <c r="F46" s="203"/>
      <c r="G46" s="203"/>
      <c r="H46" s="203"/>
      <c r="I46" s="203"/>
      <c r="J46" s="203"/>
      <c r="K46" s="203"/>
      <c r="L46" s="203"/>
      <c r="M46" s="203"/>
      <c r="N46" s="203"/>
    </row>
    <row r="47" spans="2:14">
      <c r="B47" s="18"/>
      <c r="C47" s="203"/>
      <c r="D47" s="203"/>
      <c r="E47" s="203"/>
      <c r="F47" s="203"/>
      <c r="G47" s="203"/>
      <c r="H47" s="203"/>
      <c r="I47" s="203"/>
      <c r="J47" s="203"/>
      <c r="K47" s="203"/>
      <c r="L47" s="203"/>
      <c r="M47" s="203"/>
      <c r="N47" s="203"/>
    </row>
    <row r="48" spans="2:14">
      <c r="B48" s="18"/>
      <c r="C48" s="203"/>
      <c r="D48" s="203"/>
      <c r="E48" s="203"/>
      <c r="F48" s="203"/>
      <c r="G48" s="203"/>
      <c r="H48" s="203"/>
      <c r="I48" s="203"/>
      <c r="J48" s="203"/>
      <c r="K48" s="203"/>
      <c r="L48" s="203"/>
      <c r="M48" s="203"/>
      <c r="N48" s="203"/>
    </row>
    <row r="49" spans="2:14">
      <c r="B49" s="18"/>
      <c r="C49" s="203"/>
      <c r="D49" s="203"/>
      <c r="E49" s="203"/>
      <c r="F49" s="203"/>
      <c r="G49" s="203"/>
      <c r="H49" s="203"/>
      <c r="I49" s="203"/>
      <c r="J49" s="203"/>
      <c r="K49" s="203"/>
      <c r="L49" s="203"/>
      <c r="M49" s="203"/>
      <c r="N49" s="203"/>
    </row>
  </sheetData>
  <mergeCells count="20">
    <mergeCell ref="D12:N12"/>
    <mergeCell ref="H14:J14"/>
    <mergeCell ref="L14:N14"/>
    <mergeCell ref="D16:F16"/>
    <mergeCell ref="L16:N16"/>
    <mergeCell ref="B2:N2"/>
    <mergeCell ref="H4:J4"/>
    <mergeCell ref="L4:N4"/>
    <mergeCell ref="D10:F10"/>
    <mergeCell ref="L10:N10"/>
    <mergeCell ref="H8:J8"/>
    <mergeCell ref="L8:N8"/>
    <mergeCell ref="H6:J6"/>
    <mergeCell ref="L6:N6"/>
    <mergeCell ref="D18:F18"/>
    <mergeCell ref="L18:N18"/>
    <mergeCell ref="D20:F20"/>
    <mergeCell ref="L20:N20"/>
    <mergeCell ref="D22:F22"/>
    <mergeCell ref="L22:N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BFE6-841E-487E-B8AC-2B913F35B57C}">
  <sheetPr>
    <tabColor theme="9"/>
  </sheetPr>
  <dimension ref="B2:AR179"/>
  <sheetViews>
    <sheetView showGridLines="0" topLeftCell="A123" zoomScale="85" zoomScaleNormal="85" workbookViewId="0">
      <selection activeCell="B115" sqref="B115:G124"/>
    </sheetView>
  </sheetViews>
  <sheetFormatPr defaultColWidth="11.42578125" defaultRowHeight="15"/>
  <cols>
    <col min="1" max="1" width="4.28515625" style="649" customWidth="1"/>
    <col min="2" max="2" width="52.42578125" style="649" customWidth="1"/>
    <col min="3" max="3" width="34.42578125" style="649" customWidth="1"/>
    <col min="4" max="4" width="44.42578125" style="649" customWidth="1"/>
    <col min="5" max="5" width="30.140625" style="649" customWidth="1"/>
    <col min="6" max="6" width="32" style="649" bestFit="1" customWidth="1"/>
    <col min="7" max="7" width="12.42578125" style="649" bestFit="1" customWidth="1"/>
    <col min="8" max="8" width="24" style="649" bestFit="1" customWidth="1"/>
    <col min="9" max="9" width="12.42578125" style="649" bestFit="1" customWidth="1"/>
    <col min="10" max="11" width="23.42578125" style="649" customWidth="1"/>
    <col min="12" max="13" width="11.42578125" style="649"/>
    <col min="14" max="14" width="20.85546875" style="649" bestFit="1" customWidth="1"/>
    <col min="15" max="16384" width="11.42578125" style="649"/>
  </cols>
  <sheetData>
    <row r="2" spans="2:44">
      <c r="B2" s="1054" t="s">
        <v>227</v>
      </c>
      <c r="C2" s="1054"/>
      <c r="D2" s="1054"/>
      <c r="E2" s="1054"/>
      <c r="F2" s="1054"/>
      <c r="G2" s="1054"/>
      <c r="H2" s="650"/>
      <c r="I2" s="650"/>
      <c r="J2" s="650"/>
      <c r="K2" s="650"/>
      <c r="L2" s="650"/>
      <c r="M2" s="650"/>
      <c r="N2" s="650"/>
      <c r="O2" s="650"/>
      <c r="P2" s="650"/>
      <c r="Q2" s="650"/>
      <c r="R2" s="650"/>
      <c r="S2" s="650"/>
      <c r="T2" s="650"/>
      <c r="U2" s="650"/>
      <c r="V2" s="650"/>
      <c r="W2" s="650"/>
      <c r="X2" s="650"/>
      <c r="Y2" s="650"/>
      <c r="Z2" s="650"/>
      <c r="AA2" s="650"/>
      <c r="AB2" s="650"/>
      <c r="AC2" s="650"/>
      <c r="AD2" s="650"/>
      <c r="AE2" s="650"/>
      <c r="AF2" s="650"/>
      <c r="AG2" s="650"/>
      <c r="AH2" s="650"/>
      <c r="AI2" s="650"/>
      <c r="AJ2" s="650"/>
      <c r="AK2" s="650"/>
      <c r="AL2" s="650"/>
      <c r="AM2" s="650"/>
      <c r="AN2" s="650"/>
      <c r="AO2" s="650"/>
      <c r="AP2" s="650"/>
      <c r="AQ2" s="650"/>
      <c r="AR2" s="650"/>
    </row>
    <row r="3" spans="2:44">
      <c r="B3" s="1054"/>
      <c r="C3" s="1054"/>
      <c r="D3" s="1054"/>
      <c r="E3" s="1054"/>
      <c r="F3" s="1054"/>
      <c r="G3" s="1054"/>
      <c r="H3" s="650"/>
      <c r="I3" s="650"/>
      <c r="J3" s="650"/>
      <c r="K3" s="650"/>
      <c r="L3" s="650"/>
      <c r="M3" s="650"/>
      <c r="N3" s="650"/>
      <c r="O3" s="650"/>
      <c r="P3" s="650"/>
      <c r="Q3" s="650"/>
      <c r="R3" s="650"/>
      <c r="S3" s="650"/>
      <c r="T3" s="650"/>
      <c r="U3" s="650"/>
      <c r="V3" s="650"/>
      <c r="W3" s="650"/>
      <c r="X3" s="650"/>
      <c r="Y3" s="650"/>
      <c r="Z3" s="650"/>
      <c r="AA3" s="650"/>
      <c r="AB3" s="650"/>
      <c r="AC3" s="650"/>
      <c r="AD3" s="650"/>
      <c r="AE3" s="650"/>
      <c r="AF3" s="650"/>
      <c r="AG3" s="650"/>
      <c r="AH3" s="650"/>
      <c r="AI3" s="650"/>
      <c r="AJ3" s="650"/>
      <c r="AK3" s="650"/>
      <c r="AL3" s="650"/>
      <c r="AM3" s="650"/>
      <c r="AN3" s="650"/>
      <c r="AO3" s="650"/>
      <c r="AP3" s="650"/>
      <c r="AQ3" s="650"/>
      <c r="AR3" s="650"/>
    </row>
    <row r="4" spans="2:44">
      <c r="B4" s="1054"/>
      <c r="C4" s="1054"/>
      <c r="D4" s="1054"/>
      <c r="E4" s="1054"/>
      <c r="F4" s="1054"/>
      <c r="G4" s="1054"/>
      <c r="H4" s="650"/>
      <c r="I4" s="650"/>
      <c r="J4" s="650"/>
      <c r="K4" s="650"/>
      <c r="L4" s="650"/>
      <c r="M4" s="650"/>
      <c r="N4" s="650"/>
      <c r="O4" s="650"/>
      <c r="P4" s="650"/>
      <c r="Q4" s="650"/>
      <c r="R4" s="650"/>
      <c r="S4" s="650"/>
      <c r="T4" s="650"/>
      <c r="U4" s="650"/>
      <c r="V4" s="650"/>
      <c r="W4" s="650"/>
      <c r="X4" s="650"/>
      <c r="Y4" s="650"/>
      <c r="Z4" s="650"/>
      <c r="AA4" s="650"/>
      <c r="AB4" s="650"/>
      <c r="AC4" s="650"/>
      <c r="AD4" s="650"/>
      <c r="AE4" s="650"/>
      <c r="AF4" s="650"/>
      <c r="AG4" s="650"/>
      <c r="AH4" s="650"/>
      <c r="AI4" s="650"/>
      <c r="AJ4" s="650"/>
      <c r="AK4" s="650"/>
      <c r="AL4" s="650"/>
      <c r="AM4" s="650"/>
      <c r="AN4" s="650"/>
      <c r="AO4" s="650"/>
      <c r="AP4" s="650"/>
      <c r="AQ4" s="650"/>
      <c r="AR4" s="650"/>
    </row>
    <row r="5" spans="2:44" s="650" customFormat="1"/>
    <row r="6" spans="2:44" s="650" customFormat="1"/>
    <row r="7" spans="2:44" s="650" customFormat="1" ht="15.4">
      <c r="B7" s="651" t="s">
        <v>228</v>
      </c>
      <c r="C7" s="652"/>
      <c r="D7" s="652"/>
    </row>
    <row r="8" spans="2:44" s="650" customFormat="1" ht="3.75" customHeight="1" thickBot="1">
      <c r="B8" s="651"/>
      <c r="C8" s="652"/>
      <c r="D8" s="652"/>
    </row>
    <row r="9" spans="2:44" s="650" customFormat="1">
      <c r="B9" s="1063" t="s">
        <v>229</v>
      </c>
      <c r="C9" s="1064"/>
      <c r="D9" s="1064"/>
      <c r="E9" s="1064"/>
      <c r="F9" s="1064"/>
      <c r="G9" s="1065"/>
    </row>
    <row r="10" spans="2:44" s="650" customFormat="1">
      <c r="B10" s="1066"/>
      <c r="C10" s="1067"/>
      <c r="D10" s="1067"/>
      <c r="E10" s="1067"/>
      <c r="F10" s="1067"/>
      <c r="G10" s="1068"/>
    </row>
    <row r="11" spans="2:44" s="650" customFormat="1">
      <c r="B11" s="1066"/>
      <c r="C11" s="1067"/>
      <c r="D11" s="1067"/>
      <c r="E11" s="1067"/>
      <c r="F11" s="1067"/>
      <c r="G11" s="1068"/>
    </row>
    <row r="12" spans="2:44" s="650" customFormat="1">
      <c r="B12" s="1066"/>
      <c r="C12" s="1067"/>
      <c r="D12" s="1067"/>
      <c r="E12" s="1067"/>
      <c r="F12" s="1067"/>
      <c r="G12" s="1068"/>
    </row>
    <row r="13" spans="2:44" s="650" customFormat="1">
      <c r="B13" s="1066"/>
      <c r="C13" s="1067"/>
      <c r="D13" s="1067"/>
      <c r="E13" s="1067"/>
      <c r="F13" s="1067"/>
      <c r="G13" s="1068"/>
    </row>
    <row r="14" spans="2:44" s="650" customFormat="1">
      <c r="B14" s="1066"/>
      <c r="C14" s="1067"/>
      <c r="D14" s="1067"/>
      <c r="E14" s="1067"/>
      <c r="F14" s="1067"/>
      <c r="G14" s="1068"/>
    </row>
    <row r="15" spans="2:44" s="650" customFormat="1">
      <c r="B15" s="1069"/>
      <c r="C15" s="1070"/>
      <c r="D15" s="1070"/>
      <c r="E15" s="1070"/>
      <c r="F15" s="1070"/>
      <c r="G15" s="1071"/>
    </row>
    <row r="16" spans="2:44" s="650" customFormat="1" ht="15.4">
      <c r="B16" s="653"/>
      <c r="C16" s="653"/>
      <c r="D16" s="653"/>
      <c r="E16" s="653"/>
    </row>
    <row r="17" spans="2:44" s="650" customFormat="1" ht="15.4">
      <c r="B17" s="653"/>
      <c r="C17" s="653"/>
      <c r="D17" s="653"/>
      <c r="E17" s="653"/>
    </row>
    <row r="18" spans="2:44" s="650" customFormat="1" ht="15.4">
      <c r="B18" s="651" t="s">
        <v>230</v>
      </c>
      <c r="C18" s="652"/>
      <c r="D18" s="652"/>
    </row>
    <row r="19" spans="2:44" s="650" customFormat="1" ht="15.4">
      <c r="B19" s="654" t="s">
        <v>231</v>
      </c>
      <c r="C19" s="652"/>
      <c r="D19" s="652"/>
    </row>
    <row r="20" spans="2:44" s="650" customFormat="1" ht="3.75" customHeight="1">
      <c r="B20" s="651"/>
      <c r="C20" s="652"/>
      <c r="D20" s="652"/>
    </row>
    <row r="21" spans="2:44" s="650" customFormat="1" ht="15.4">
      <c r="B21" s="651" t="s">
        <v>232</v>
      </c>
    </row>
    <row r="22" spans="2:44" s="650" customFormat="1" ht="15.4">
      <c r="B22" s="651" t="s">
        <v>233</v>
      </c>
    </row>
    <row r="23" spans="2:44" s="650" customFormat="1" ht="15.4">
      <c r="B23" s="651"/>
    </row>
    <row r="24" spans="2:44" s="650" customFormat="1" ht="51" customHeight="1">
      <c r="B24" s="838" t="s">
        <v>234</v>
      </c>
      <c r="C24" s="1341" t="s">
        <v>235</v>
      </c>
      <c r="D24" s="1341"/>
      <c r="E24" s="1341"/>
      <c r="F24" s="1341"/>
      <c r="G24" s="1341"/>
      <c r="H24" s="1342"/>
      <c r="N24" s="1044" t="s">
        <v>236</v>
      </c>
      <c r="O24" s="1044"/>
    </row>
    <row r="25" spans="2:44" ht="30" customHeight="1">
      <c r="B25" s="839" t="s">
        <v>237</v>
      </c>
      <c r="C25" s="840" t="s">
        <v>238</v>
      </c>
      <c r="D25" s="841" t="s">
        <v>239</v>
      </c>
      <c r="E25" s="841" t="s">
        <v>240</v>
      </c>
      <c r="F25" s="1343" t="s">
        <v>241</v>
      </c>
      <c r="G25" s="1344"/>
      <c r="H25" s="841" t="s">
        <v>242</v>
      </c>
      <c r="I25" s="650"/>
      <c r="K25" s="650"/>
      <c r="L25" s="650"/>
      <c r="M25" s="650"/>
      <c r="N25" s="650"/>
      <c r="O25" s="650"/>
      <c r="P25" s="650"/>
      <c r="Q25" s="650"/>
      <c r="R25" s="650"/>
      <c r="S25" s="650"/>
      <c r="T25" s="650"/>
      <c r="U25" s="650"/>
      <c r="V25" s="650"/>
      <c r="W25" s="650"/>
      <c r="X25" s="650"/>
      <c r="Y25" s="650"/>
      <c r="Z25" s="650"/>
      <c r="AA25" s="650"/>
      <c r="AB25" s="650"/>
      <c r="AC25" s="650"/>
      <c r="AD25" s="650"/>
      <c r="AE25" s="650"/>
      <c r="AF25" s="650"/>
      <c r="AG25" s="650"/>
      <c r="AH25" s="650"/>
      <c r="AI25" s="650"/>
      <c r="AJ25" s="650"/>
      <c r="AK25" s="650"/>
      <c r="AL25" s="650"/>
      <c r="AM25" s="650"/>
      <c r="AN25" s="650"/>
      <c r="AO25" s="650"/>
      <c r="AP25" s="650"/>
      <c r="AQ25" s="650"/>
      <c r="AR25" s="650"/>
    </row>
    <row r="26" spans="2:44" ht="45">
      <c r="B26" s="843" t="s">
        <v>243</v>
      </c>
      <c r="C26" s="844" t="s">
        <v>244</v>
      </c>
      <c r="D26" s="845" t="s">
        <v>245</v>
      </c>
      <c r="E26" s="842" t="s">
        <v>246</v>
      </c>
      <c r="F26" s="846" t="s">
        <v>247</v>
      </c>
      <c r="G26" s="847"/>
      <c r="H26" s="848" t="s">
        <v>248</v>
      </c>
      <c r="I26" s="650"/>
      <c r="K26" s="650"/>
      <c r="L26" s="650"/>
      <c r="M26" s="650"/>
      <c r="N26" s="621" t="s">
        <v>238</v>
      </c>
      <c r="O26" s="621" t="s">
        <v>239</v>
      </c>
      <c r="P26" s="650"/>
      <c r="Q26" s="650"/>
      <c r="R26" s="650"/>
      <c r="S26" s="650"/>
      <c r="T26" s="650"/>
      <c r="U26" s="650"/>
      <c r="V26" s="650"/>
      <c r="W26" s="650"/>
      <c r="X26" s="650"/>
      <c r="Y26" s="650"/>
      <c r="Z26" s="650"/>
      <c r="AA26" s="650"/>
      <c r="AB26" s="650"/>
      <c r="AC26" s="650"/>
      <c r="AD26" s="650"/>
      <c r="AE26" s="650"/>
      <c r="AF26" s="650"/>
      <c r="AG26" s="650"/>
      <c r="AH26" s="650"/>
      <c r="AI26" s="650"/>
      <c r="AJ26" s="650"/>
      <c r="AK26" s="650"/>
      <c r="AL26" s="650"/>
      <c r="AM26" s="650"/>
      <c r="AN26" s="650"/>
      <c r="AO26" s="650"/>
      <c r="AP26" s="650"/>
      <c r="AQ26" s="650"/>
      <c r="AR26" s="650"/>
    </row>
    <row r="27" spans="2:44" ht="45">
      <c r="B27" s="843" t="s">
        <v>249</v>
      </c>
      <c r="C27" s="844" t="s">
        <v>250</v>
      </c>
      <c r="D27" s="845" t="s">
        <v>251</v>
      </c>
      <c r="E27" s="849" t="s">
        <v>252</v>
      </c>
      <c r="F27" s="846" t="s">
        <v>253</v>
      </c>
      <c r="G27" s="847"/>
      <c r="H27" s="848" t="s">
        <v>254</v>
      </c>
      <c r="I27" s="650"/>
      <c r="K27" s="650"/>
      <c r="L27" s="650"/>
      <c r="M27" s="650"/>
      <c r="N27" s="622" t="s">
        <v>255</v>
      </c>
      <c r="O27" s="626" t="s">
        <v>251</v>
      </c>
      <c r="P27" s="650"/>
      <c r="Q27" s="650"/>
      <c r="R27" s="650"/>
      <c r="S27" s="650"/>
      <c r="T27" s="650"/>
      <c r="U27" s="650"/>
      <c r="V27" s="650"/>
      <c r="W27" s="650"/>
      <c r="X27" s="650"/>
      <c r="Y27" s="650"/>
      <c r="Z27" s="650"/>
      <c r="AA27" s="650"/>
      <c r="AB27" s="650"/>
      <c r="AC27" s="650"/>
      <c r="AD27" s="650"/>
      <c r="AE27" s="650"/>
      <c r="AF27" s="650"/>
      <c r="AG27" s="650"/>
      <c r="AH27" s="650"/>
      <c r="AI27" s="650"/>
      <c r="AJ27" s="650"/>
      <c r="AK27" s="650"/>
      <c r="AL27" s="650"/>
      <c r="AM27" s="650"/>
      <c r="AN27" s="650"/>
      <c r="AO27" s="650"/>
      <c r="AP27" s="650"/>
      <c r="AQ27" s="650"/>
      <c r="AR27" s="650"/>
    </row>
    <row r="28" spans="2:44" ht="45">
      <c r="B28" s="843" t="s">
        <v>256</v>
      </c>
      <c r="C28" s="844" t="s">
        <v>255</v>
      </c>
      <c r="D28" s="845" t="s">
        <v>257</v>
      </c>
      <c r="E28" s="850" t="s">
        <v>258</v>
      </c>
      <c r="F28" s="846" t="s">
        <v>259</v>
      </c>
      <c r="G28" s="847"/>
      <c r="H28" s="848" t="s">
        <v>260</v>
      </c>
      <c r="I28" s="650"/>
      <c r="K28" s="650"/>
      <c r="L28" s="650"/>
      <c r="M28" s="650"/>
      <c r="N28" s="622" t="s">
        <v>250</v>
      </c>
      <c r="O28" s="626" t="s">
        <v>261</v>
      </c>
      <c r="P28" s="650"/>
      <c r="Q28" s="650"/>
      <c r="R28" s="650"/>
      <c r="S28" s="650"/>
      <c r="T28" s="650"/>
      <c r="U28" s="650"/>
      <c r="V28" s="650"/>
      <c r="W28" s="650"/>
      <c r="X28" s="650"/>
      <c r="Y28" s="650"/>
      <c r="Z28" s="650"/>
      <c r="AA28" s="650"/>
      <c r="AB28" s="650"/>
      <c r="AC28" s="650"/>
      <c r="AD28" s="650"/>
      <c r="AE28" s="650"/>
      <c r="AF28" s="650"/>
      <c r="AG28" s="650"/>
      <c r="AH28" s="650"/>
      <c r="AI28" s="650"/>
      <c r="AJ28" s="650"/>
      <c r="AK28" s="650"/>
      <c r="AL28" s="650"/>
      <c r="AM28" s="650"/>
      <c r="AN28" s="650"/>
      <c r="AO28" s="650"/>
      <c r="AP28" s="650"/>
      <c r="AQ28" s="650"/>
      <c r="AR28" s="650"/>
    </row>
    <row r="29" spans="2:44" ht="45">
      <c r="B29" s="843" t="s">
        <v>262</v>
      </c>
      <c r="C29" s="844" t="s">
        <v>263</v>
      </c>
      <c r="D29" s="845" t="s">
        <v>264</v>
      </c>
      <c r="E29" s="850" t="s">
        <v>265</v>
      </c>
      <c r="F29" s="846" t="s">
        <v>266</v>
      </c>
      <c r="G29" s="847"/>
      <c r="H29" s="848" t="s">
        <v>267</v>
      </c>
      <c r="I29" s="650"/>
      <c r="K29" s="650"/>
      <c r="L29" s="650"/>
      <c r="M29" s="650"/>
      <c r="N29" s="622" t="s">
        <v>263</v>
      </c>
      <c r="O29" s="626" t="s">
        <v>257</v>
      </c>
      <c r="P29" s="650"/>
      <c r="Q29" s="650"/>
      <c r="R29" s="650"/>
      <c r="S29" s="650"/>
      <c r="T29" s="650"/>
      <c r="U29" s="650"/>
      <c r="V29" s="650"/>
      <c r="W29" s="650"/>
      <c r="X29" s="650"/>
      <c r="Y29" s="650"/>
      <c r="Z29" s="650"/>
      <c r="AA29" s="650"/>
      <c r="AB29" s="650"/>
      <c r="AC29" s="650"/>
      <c r="AD29" s="650"/>
      <c r="AE29" s="650"/>
      <c r="AF29" s="650"/>
      <c r="AG29" s="650"/>
      <c r="AH29" s="650"/>
      <c r="AI29" s="650"/>
      <c r="AJ29" s="650"/>
      <c r="AK29" s="650"/>
      <c r="AL29" s="650"/>
      <c r="AM29" s="650"/>
      <c r="AN29" s="650"/>
      <c r="AO29" s="650"/>
      <c r="AP29" s="650"/>
      <c r="AQ29" s="650"/>
      <c r="AR29" s="650"/>
    </row>
    <row r="30" spans="2:44" ht="45">
      <c r="B30" s="843" t="s">
        <v>268</v>
      </c>
      <c r="C30" s="844" t="s">
        <v>269</v>
      </c>
      <c r="D30" s="845" t="s">
        <v>270</v>
      </c>
      <c r="E30" s="850" t="s">
        <v>271</v>
      </c>
      <c r="F30" s="846" t="s">
        <v>272</v>
      </c>
      <c r="G30" s="851"/>
      <c r="H30" s="848" t="s">
        <v>273</v>
      </c>
      <c r="I30" s="650"/>
      <c r="K30" s="650"/>
      <c r="L30" s="650"/>
      <c r="M30" s="650"/>
      <c r="N30" s="622" t="s">
        <v>269</v>
      </c>
      <c r="O30" s="626" t="s">
        <v>264</v>
      </c>
      <c r="P30" s="650"/>
      <c r="Q30" s="650"/>
      <c r="R30" s="650"/>
      <c r="S30" s="650"/>
      <c r="T30" s="650"/>
      <c r="U30" s="650"/>
      <c r="V30" s="650"/>
      <c r="W30" s="650"/>
      <c r="X30" s="650"/>
      <c r="Y30" s="650"/>
      <c r="Z30" s="650"/>
      <c r="AA30" s="650"/>
      <c r="AB30" s="650"/>
      <c r="AC30" s="650"/>
      <c r="AD30" s="650"/>
      <c r="AE30" s="650"/>
      <c r="AF30" s="650"/>
      <c r="AG30" s="650"/>
      <c r="AH30" s="650"/>
      <c r="AI30" s="650"/>
      <c r="AJ30" s="650"/>
      <c r="AK30" s="650"/>
      <c r="AL30" s="650"/>
      <c r="AM30" s="650"/>
      <c r="AN30" s="650"/>
      <c r="AO30" s="650"/>
      <c r="AP30" s="650"/>
      <c r="AQ30" s="650"/>
      <c r="AR30" s="650"/>
    </row>
    <row r="31" spans="2:44" s="650" customFormat="1" ht="15" customHeight="1">
      <c r="B31" s="623"/>
      <c r="H31" s="649"/>
      <c r="I31" s="649"/>
      <c r="N31" s="649"/>
      <c r="O31" s="649"/>
    </row>
    <row r="32" spans="2:44" s="650" customFormat="1" ht="15" customHeight="1">
      <c r="B32" s="623"/>
      <c r="H32" s="649"/>
      <c r="I32" s="649"/>
      <c r="N32" s="649"/>
      <c r="O32" s="649"/>
    </row>
    <row r="33" spans="2:13" s="650" customFormat="1" ht="15" customHeight="1">
      <c r="B33" s="1045" t="s">
        <v>274</v>
      </c>
      <c r="C33" s="1045"/>
      <c r="D33" s="1045"/>
      <c r="E33" s="1045"/>
      <c r="F33" s="1045"/>
      <c r="G33" s="1045"/>
      <c r="H33" s="1045"/>
    </row>
    <row r="34" spans="2:13" s="650" customFormat="1" ht="3.75" customHeight="1">
      <c r="B34" s="651"/>
      <c r="C34" s="652"/>
      <c r="D34" s="652"/>
    </row>
    <row r="35" spans="2:13" ht="15" customHeight="1">
      <c r="B35" s="624" t="s">
        <v>275</v>
      </c>
      <c r="C35" s="625" t="s">
        <v>276</v>
      </c>
      <c r="D35" s="650"/>
      <c r="E35" s="650"/>
      <c r="F35" s="650"/>
      <c r="G35" s="650"/>
      <c r="H35" s="650"/>
      <c r="I35" s="650"/>
      <c r="J35" s="650"/>
      <c r="K35" s="650"/>
    </row>
    <row r="36" spans="2:13">
      <c r="B36" s="852" t="s">
        <v>277</v>
      </c>
      <c r="C36" s="852">
        <v>3</v>
      </c>
      <c r="D36" s="650"/>
      <c r="E36" s="650"/>
      <c r="F36" s="650"/>
      <c r="G36" s="650"/>
      <c r="H36" s="650"/>
      <c r="I36" s="650"/>
      <c r="J36" s="650"/>
      <c r="K36" s="650"/>
    </row>
    <row r="37" spans="2:13">
      <c r="B37" s="852" t="s">
        <v>278</v>
      </c>
      <c r="C37" s="852">
        <v>2</v>
      </c>
      <c r="D37" s="650"/>
      <c r="E37" s="650"/>
      <c r="F37" s="650"/>
      <c r="G37" s="650"/>
      <c r="H37" s="650"/>
      <c r="I37" s="650"/>
      <c r="J37" s="650"/>
      <c r="K37" s="650"/>
    </row>
    <row r="38" spans="2:13">
      <c r="B38" s="853" t="s">
        <v>279</v>
      </c>
      <c r="C38" s="853">
        <v>1</v>
      </c>
      <c r="D38" s="650"/>
      <c r="E38" s="650"/>
      <c r="F38" s="650"/>
      <c r="G38" s="650"/>
      <c r="H38" s="650"/>
      <c r="I38" s="650"/>
      <c r="J38" s="650"/>
      <c r="K38" s="650"/>
    </row>
    <row r="39" spans="2:13">
      <c r="F39" s="650"/>
      <c r="G39" s="650"/>
      <c r="H39" s="650"/>
      <c r="I39" s="650"/>
      <c r="J39" s="650"/>
      <c r="K39" s="650"/>
    </row>
    <row r="40" spans="2:13">
      <c r="F40" s="650"/>
      <c r="G40" s="650"/>
      <c r="H40" s="650"/>
      <c r="I40" s="650"/>
      <c r="J40" s="650"/>
      <c r="K40" s="650"/>
    </row>
    <row r="41" spans="2:13" ht="15.4">
      <c r="B41" s="1045" t="s">
        <v>280</v>
      </c>
      <c r="C41" s="1045"/>
      <c r="D41" s="1045"/>
      <c r="E41" s="1045"/>
      <c r="F41" s="1045"/>
      <c r="G41" s="1045"/>
      <c r="H41" s="1045"/>
    </row>
    <row r="42" spans="2:13" s="650" customFormat="1" ht="3.75" customHeight="1">
      <c r="B42" s="651"/>
      <c r="C42" s="652"/>
      <c r="D42" s="652"/>
    </row>
    <row r="43" spans="2:13" ht="15.75" customHeight="1">
      <c r="B43" s="1050" t="s">
        <v>281</v>
      </c>
      <c r="C43" s="1052" t="s">
        <v>282</v>
      </c>
      <c r="D43" s="1046" t="s">
        <v>283</v>
      </c>
      <c r="E43" s="1047"/>
      <c r="F43" s="1048" t="s">
        <v>284</v>
      </c>
      <c r="G43" s="1049"/>
      <c r="H43" s="1046" t="s">
        <v>285</v>
      </c>
      <c r="I43" s="1049"/>
      <c r="J43" s="1046" t="s">
        <v>286</v>
      </c>
      <c r="K43" s="1049"/>
      <c r="L43" s="1046" t="s">
        <v>287</v>
      </c>
      <c r="M43" s="1049"/>
    </row>
    <row r="44" spans="2:13" ht="15.4">
      <c r="B44" s="1051"/>
      <c r="C44" s="1053"/>
      <c r="D44" s="634" t="s">
        <v>288</v>
      </c>
      <c r="E44" s="642" t="s">
        <v>289</v>
      </c>
      <c r="F44" s="636" t="s">
        <v>288</v>
      </c>
      <c r="G44" s="637" t="s">
        <v>289</v>
      </c>
      <c r="H44" s="634" t="s">
        <v>288</v>
      </c>
      <c r="I44" s="637" t="s">
        <v>289</v>
      </c>
      <c r="J44" s="634" t="s">
        <v>288</v>
      </c>
      <c r="K44" s="637" t="s">
        <v>289</v>
      </c>
      <c r="L44" s="634" t="s">
        <v>288</v>
      </c>
      <c r="M44" s="637" t="s">
        <v>289</v>
      </c>
    </row>
    <row r="45" spans="2:13" ht="15.4">
      <c r="B45" s="638" t="s">
        <v>290</v>
      </c>
      <c r="C45" s="641">
        <v>0.5</v>
      </c>
      <c r="D45" s="635">
        <v>3</v>
      </c>
      <c r="E45" s="643">
        <f>+D45*C45</f>
        <v>1.5</v>
      </c>
      <c r="F45" s="644">
        <v>3</v>
      </c>
      <c r="G45" s="645">
        <f>+C45*F45</f>
        <v>1.5</v>
      </c>
      <c r="H45" s="635">
        <v>3</v>
      </c>
      <c r="I45" s="645">
        <f>C45*H45</f>
        <v>1.5</v>
      </c>
      <c r="J45" s="635">
        <v>1</v>
      </c>
      <c r="K45" s="645">
        <f>$C$45*J45</f>
        <v>0.5</v>
      </c>
      <c r="L45" s="635">
        <v>2</v>
      </c>
      <c r="M45" s="645">
        <f>$C$45*L45</f>
        <v>1</v>
      </c>
    </row>
    <row r="46" spans="2:13" ht="15.4">
      <c r="B46" s="638" t="s">
        <v>291</v>
      </c>
      <c r="C46" s="641">
        <v>0.3</v>
      </c>
      <c r="D46" s="635">
        <v>2</v>
      </c>
      <c r="E46" s="643">
        <f t="shared" ref="E46:E47" si="0">+D46*C46</f>
        <v>0.6</v>
      </c>
      <c r="F46" s="644">
        <v>2</v>
      </c>
      <c r="G46" s="645">
        <f t="shared" ref="G46:G47" si="1">+C46*F46</f>
        <v>0.6</v>
      </c>
      <c r="H46" s="635">
        <v>1</v>
      </c>
      <c r="I46" s="645">
        <f>C46*H46</f>
        <v>0.3</v>
      </c>
      <c r="J46" s="635">
        <v>2</v>
      </c>
      <c r="K46" s="645">
        <f t="shared" ref="K46:K47" si="2">$C$45*J46</f>
        <v>1</v>
      </c>
      <c r="L46" s="635">
        <v>1</v>
      </c>
      <c r="M46" s="645">
        <f>$C$45*L46</f>
        <v>0.5</v>
      </c>
    </row>
    <row r="47" spans="2:13" ht="15.4">
      <c r="B47" s="638" t="s">
        <v>292</v>
      </c>
      <c r="C47" s="641">
        <v>0.2</v>
      </c>
      <c r="D47" s="635">
        <v>3</v>
      </c>
      <c r="E47" s="643">
        <f t="shared" si="0"/>
        <v>0.60000000000000009</v>
      </c>
      <c r="F47" s="644">
        <v>3</v>
      </c>
      <c r="G47" s="645">
        <f t="shared" si="1"/>
        <v>0.60000000000000009</v>
      </c>
      <c r="H47" s="635">
        <v>1</v>
      </c>
      <c r="I47" s="645">
        <f>+C47*H47</f>
        <v>0.2</v>
      </c>
      <c r="J47" s="635">
        <v>1</v>
      </c>
      <c r="K47" s="645">
        <f t="shared" si="2"/>
        <v>0.5</v>
      </c>
      <c r="L47" s="635">
        <v>1</v>
      </c>
      <c r="M47" s="645">
        <f>$C$45*L47</f>
        <v>0.5</v>
      </c>
    </row>
    <row r="48" spans="2:13" ht="15.4">
      <c r="B48" s="639" t="s">
        <v>293</v>
      </c>
      <c r="C48" s="640">
        <f>SUM(C45:C47)</f>
        <v>1</v>
      </c>
      <c r="D48" s="647" t="s">
        <v>294</v>
      </c>
      <c r="E48" s="648">
        <f>SUM(E45:E47)</f>
        <v>2.7</v>
      </c>
      <c r="F48" s="639" t="s">
        <v>295</v>
      </c>
      <c r="G48" s="646">
        <f>SUM(G45:G47)</f>
        <v>2.7</v>
      </c>
      <c r="H48" s="647" t="s">
        <v>296</v>
      </c>
      <c r="I48" s="646">
        <f>SUM(I45:I47)</f>
        <v>2</v>
      </c>
      <c r="J48" s="647" t="s">
        <v>296</v>
      </c>
      <c r="K48" s="646">
        <f>SUM(K45:K47)</f>
        <v>2</v>
      </c>
      <c r="L48" s="647" t="s">
        <v>296</v>
      </c>
      <c r="M48" s="646">
        <f>SUM(M45:M47)</f>
        <v>2</v>
      </c>
    </row>
    <row r="49" spans="2:11" s="650" customFormat="1" ht="15.4">
      <c r="C49" s="1072"/>
      <c r="D49" s="1072"/>
      <c r="E49" s="1072"/>
      <c r="F49" s="1072"/>
      <c r="G49" s="1072"/>
      <c r="H49" s="1072"/>
    </row>
    <row r="51" spans="2:11" ht="84.75" customHeight="1">
      <c r="B51" s="1076" t="s">
        <v>297</v>
      </c>
      <c r="C51" s="1076"/>
      <c r="D51" s="1076"/>
      <c r="F51" s="1078" t="s">
        <v>298</v>
      </c>
      <c r="G51" s="1078"/>
      <c r="H51" s="1078"/>
      <c r="I51" s="1078"/>
      <c r="J51" s="1078"/>
      <c r="K51" s="1078"/>
    </row>
    <row r="55" spans="2:11" ht="24" customHeight="1">
      <c r="F55" s="1099" t="s">
        <v>299</v>
      </c>
      <c r="G55" s="657" t="s">
        <v>300</v>
      </c>
      <c r="H55" s="658"/>
      <c r="I55" s="658"/>
    </row>
    <row r="56" spans="2:11" ht="22.7">
      <c r="F56" s="1099"/>
      <c r="G56" s="657"/>
      <c r="H56" s="1057"/>
      <c r="I56" s="1058"/>
      <c r="J56" s="1081" t="s">
        <v>301</v>
      </c>
      <c r="K56" s="1082"/>
    </row>
    <row r="57" spans="2:11" ht="23.25" customHeight="1">
      <c r="F57" s="1099"/>
      <c r="G57" s="657"/>
      <c r="H57" s="1059"/>
      <c r="I57" s="1060"/>
      <c r="J57" s="1083"/>
      <c r="K57" s="1084"/>
    </row>
    <row r="58" spans="2:11" ht="22.7">
      <c r="F58" s="1099"/>
      <c r="G58" s="657"/>
      <c r="H58" s="1059"/>
      <c r="I58" s="1060"/>
      <c r="J58" s="1083"/>
      <c r="K58" s="1084"/>
    </row>
    <row r="59" spans="2:11" ht="22.7">
      <c r="F59" s="1099"/>
      <c r="G59" s="657"/>
      <c r="H59" s="1061"/>
      <c r="I59" s="1062"/>
      <c r="J59" s="1085"/>
      <c r="K59" s="1086"/>
    </row>
    <row r="60" spans="2:11" ht="23.25" customHeight="1">
      <c r="F60" s="1099"/>
      <c r="G60" s="658"/>
      <c r="H60" s="1087" t="s">
        <v>302</v>
      </c>
      <c r="I60" s="1088"/>
      <c r="J60" s="1093" t="s">
        <v>303</v>
      </c>
      <c r="K60" s="1094"/>
    </row>
    <row r="61" spans="2:11" ht="22.7">
      <c r="F61" s="1099"/>
      <c r="G61" s="657" t="s">
        <v>304</v>
      </c>
      <c r="H61" s="1089"/>
      <c r="I61" s="1090"/>
      <c r="J61" s="1095"/>
      <c r="K61" s="1096"/>
    </row>
    <row r="62" spans="2:11" ht="22.35">
      <c r="F62" s="1099"/>
      <c r="G62" s="658"/>
      <c r="H62" s="1089"/>
      <c r="I62" s="1090"/>
      <c r="J62" s="1095"/>
      <c r="K62" s="1096"/>
    </row>
    <row r="63" spans="2:11" ht="22.35">
      <c r="F63" s="1099"/>
      <c r="G63" s="658"/>
      <c r="H63" s="1089"/>
      <c r="I63" s="1090"/>
      <c r="J63" s="1095"/>
      <c r="K63" s="1096"/>
    </row>
    <row r="64" spans="2:11" ht="15" customHeight="1">
      <c r="F64" s="1099"/>
      <c r="H64" s="1091"/>
      <c r="I64" s="1092"/>
      <c r="J64" s="1097"/>
      <c r="K64" s="1098"/>
    </row>
    <row r="65" spans="2:11" ht="23.1" customHeight="1">
      <c r="F65" s="1099"/>
      <c r="H65" s="1100" t="s">
        <v>305</v>
      </c>
      <c r="I65" s="1100"/>
      <c r="J65" s="1100" t="s">
        <v>300</v>
      </c>
      <c r="K65" s="1100"/>
    </row>
    <row r="66" spans="2:11" ht="23.1" customHeight="1">
      <c r="H66" s="1080" t="s">
        <v>306</v>
      </c>
      <c r="I66" s="1080"/>
      <c r="J66" s="1080"/>
      <c r="K66" s="1080"/>
    </row>
    <row r="69" spans="2:11" ht="15" customHeight="1">
      <c r="B69" s="659" t="s">
        <v>307</v>
      </c>
    </row>
    <row r="70" spans="2:11" ht="15" customHeight="1">
      <c r="B70" s="659"/>
    </row>
    <row r="71" spans="2:11" ht="15.4">
      <c r="B71" s="629" t="s">
        <v>237</v>
      </c>
      <c r="C71" s="1073" t="s">
        <v>308</v>
      </c>
      <c r="D71" s="1074"/>
      <c r="E71" s="1075"/>
    </row>
    <row r="72" spans="2:11">
      <c r="B72" s="843" t="s">
        <v>243</v>
      </c>
      <c r="C72" s="1036" t="s">
        <v>309</v>
      </c>
      <c r="D72" s="1036"/>
      <c r="E72" s="1037"/>
    </row>
    <row r="73" spans="2:11" ht="33.75" customHeight="1">
      <c r="B73" s="843" t="s">
        <v>249</v>
      </c>
      <c r="C73" s="1036" t="s">
        <v>310</v>
      </c>
      <c r="D73" s="1036"/>
      <c r="E73" s="1037"/>
    </row>
    <row r="74" spans="2:11" ht="33" customHeight="1">
      <c r="B74" s="843" t="s">
        <v>256</v>
      </c>
      <c r="C74" s="1036" t="s">
        <v>311</v>
      </c>
      <c r="D74" s="1036"/>
      <c r="E74" s="1037"/>
    </row>
    <row r="75" spans="2:11">
      <c r="B75" s="843" t="s">
        <v>262</v>
      </c>
      <c r="C75" s="1036" t="s">
        <v>312</v>
      </c>
      <c r="D75" s="1036"/>
      <c r="E75" s="1037"/>
    </row>
    <row r="76" spans="2:11" ht="33" customHeight="1">
      <c r="B76" s="843" t="s">
        <v>268</v>
      </c>
      <c r="C76" s="1036" t="s">
        <v>313</v>
      </c>
      <c r="D76" s="1036"/>
      <c r="E76" s="1037"/>
    </row>
    <row r="77" spans="2:11" s="650" customFormat="1" ht="24.75" customHeight="1"/>
    <row r="78" spans="2:11" s="650" customFormat="1"/>
    <row r="79" spans="2:11" s="650" customFormat="1" ht="15.4">
      <c r="B79" s="651" t="s">
        <v>314</v>
      </c>
    </row>
    <row r="80" spans="2:11">
      <c r="B80" s="660" t="s">
        <v>315</v>
      </c>
      <c r="D80"/>
    </row>
    <row r="81" spans="2:4" s="650" customFormat="1">
      <c r="B81" s="654"/>
      <c r="D81"/>
    </row>
    <row r="82" spans="2:4" s="650" customFormat="1">
      <c r="B82" s="654"/>
    </row>
    <row r="83" spans="2:4" s="650" customFormat="1">
      <c r="B83" s="654"/>
    </row>
    <row r="84" spans="2:4" s="650" customFormat="1"/>
    <row r="85" spans="2:4" s="650" customFormat="1" ht="15.4">
      <c r="B85" s="659" t="s">
        <v>316</v>
      </c>
    </row>
    <row r="86" spans="2:4" s="650" customFormat="1">
      <c r="B86" s="660" t="s">
        <v>317</v>
      </c>
    </row>
    <row r="87" spans="2:4" s="650" customFormat="1"/>
    <row r="88" spans="2:4" s="650" customFormat="1"/>
    <row r="89" spans="2:4" s="650" customFormat="1"/>
    <row r="90" spans="2:4" s="650" customFormat="1"/>
    <row r="91" spans="2:4" s="650" customFormat="1"/>
    <row r="92" spans="2:4" s="650" customFormat="1"/>
    <row r="93" spans="2:4" s="650" customFormat="1" ht="15.4">
      <c r="B93" s="652" t="s">
        <v>318</v>
      </c>
    </row>
    <row r="94" spans="2:4" s="650" customFormat="1">
      <c r="B94" s="654" t="s">
        <v>319</v>
      </c>
    </row>
    <row r="95" spans="2:4" s="650" customFormat="1" ht="15.4" thickBot="1"/>
    <row r="96" spans="2:4" s="650" customFormat="1" ht="15.4">
      <c r="B96" s="624" t="s">
        <v>320</v>
      </c>
      <c r="C96" s="625" t="s">
        <v>321</v>
      </c>
    </row>
    <row r="97" spans="2:9" s="650" customFormat="1">
      <c r="B97" s="655" t="s">
        <v>277</v>
      </c>
      <c r="C97" s="661">
        <v>3</v>
      </c>
    </row>
    <row r="98" spans="2:9" s="650" customFormat="1">
      <c r="B98" s="655" t="s">
        <v>278</v>
      </c>
      <c r="C98" s="661">
        <v>2</v>
      </c>
    </row>
    <row r="99" spans="2:9" s="650" customFormat="1" ht="15.4" thickBot="1">
      <c r="B99" s="656" t="s">
        <v>279</v>
      </c>
      <c r="C99" s="662">
        <v>1</v>
      </c>
    </row>
    <row r="100" spans="2:9" s="650" customFormat="1">
      <c r="E100" s="10"/>
    </row>
    <row r="101" spans="2:9" s="650" customFormat="1"/>
    <row r="102" spans="2:9" s="650" customFormat="1">
      <c r="B102" s="649"/>
      <c r="C102" s="649"/>
      <c r="D102" s="649"/>
    </row>
    <row r="103" spans="2:9" ht="38.25" customHeight="1">
      <c r="B103" s="1040" t="s">
        <v>322</v>
      </c>
      <c r="C103" s="1042" t="s">
        <v>282</v>
      </c>
      <c r="D103" s="1038" t="s">
        <v>11</v>
      </c>
      <c r="E103" s="1039"/>
      <c r="F103" s="1038" t="s">
        <v>19</v>
      </c>
      <c r="G103" s="1039"/>
      <c r="H103" s="1038" t="s">
        <v>323</v>
      </c>
      <c r="I103" s="1079"/>
    </row>
    <row r="104" spans="2:9" s="666" customFormat="1" ht="15.4">
      <c r="B104" s="1041"/>
      <c r="C104" s="1043"/>
      <c r="D104" s="628" t="s">
        <v>288</v>
      </c>
      <c r="E104" s="628" t="s">
        <v>289</v>
      </c>
      <c r="F104" s="628" t="s">
        <v>288</v>
      </c>
      <c r="G104" s="628" t="s">
        <v>289</v>
      </c>
      <c r="H104" s="628" t="s">
        <v>288</v>
      </c>
      <c r="I104" s="628" t="s">
        <v>289</v>
      </c>
    </row>
    <row r="105" spans="2:9" ht="15.4">
      <c r="B105" s="663" t="s">
        <v>324</v>
      </c>
      <c r="C105" s="854">
        <v>0.25</v>
      </c>
      <c r="D105" s="626">
        <v>3</v>
      </c>
      <c r="E105" s="626">
        <f>D105*$C$105</f>
        <v>0.75</v>
      </c>
      <c r="F105" s="626">
        <v>2</v>
      </c>
      <c r="G105" s="626">
        <f t="shared" ref="G105:G111" si="3">F105*C105</f>
        <v>0.5</v>
      </c>
      <c r="H105" s="626">
        <v>2</v>
      </c>
      <c r="I105" s="626">
        <f t="shared" ref="I105:I111" si="4">H105*C105</f>
        <v>0.5</v>
      </c>
    </row>
    <row r="106" spans="2:9" ht="15.4">
      <c r="B106" s="627" t="s">
        <v>325</v>
      </c>
      <c r="C106" s="854">
        <v>0.1</v>
      </c>
      <c r="D106" s="626">
        <v>2</v>
      </c>
      <c r="E106" s="626">
        <f t="shared" ref="E106:E111" si="5">D106*C106</f>
        <v>0.2</v>
      </c>
      <c r="F106" s="626">
        <v>3</v>
      </c>
      <c r="G106" s="626">
        <f t="shared" si="3"/>
        <v>0.30000000000000004</v>
      </c>
      <c r="H106" s="626">
        <v>2</v>
      </c>
      <c r="I106" s="626">
        <f t="shared" si="4"/>
        <v>0.2</v>
      </c>
    </row>
    <row r="107" spans="2:9" ht="15.4">
      <c r="B107" s="627" t="s">
        <v>326</v>
      </c>
      <c r="C107" s="854">
        <v>0.1</v>
      </c>
      <c r="D107" s="626">
        <v>2</v>
      </c>
      <c r="E107" s="626">
        <f t="shared" si="5"/>
        <v>0.2</v>
      </c>
      <c r="F107" s="626">
        <v>3</v>
      </c>
      <c r="G107" s="626">
        <f t="shared" si="3"/>
        <v>0.30000000000000004</v>
      </c>
      <c r="H107" s="626">
        <v>3</v>
      </c>
      <c r="I107" s="626">
        <f t="shared" si="4"/>
        <v>0.30000000000000004</v>
      </c>
    </row>
    <row r="108" spans="2:9" ht="15.4">
      <c r="B108" s="627" t="s">
        <v>327</v>
      </c>
      <c r="C108" s="854">
        <v>0.1</v>
      </c>
      <c r="D108" s="626">
        <v>2</v>
      </c>
      <c r="E108" s="626">
        <f t="shared" si="5"/>
        <v>0.2</v>
      </c>
      <c r="F108" s="626">
        <v>3</v>
      </c>
      <c r="G108" s="626">
        <f t="shared" si="3"/>
        <v>0.30000000000000004</v>
      </c>
      <c r="H108" s="626">
        <v>3</v>
      </c>
      <c r="I108" s="626">
        <f t="shared" si="4"/>
        <v>0.30000000000000004</v>
      </c>
    </row>
    <row r="109" spans="2:9" ht="15.4">
      <c r="B109" s="627" t="s">
        <v>328</v>
      </c>
      <c r="C109" s="854">
        <v>0.15</v>
      </c>
      <c r="D109" s="626">
        <v>2</v>
      </c>
      <c r="E109" s="626">
        <f t="shared" si="5"/>
        <v>0.3</v>
      </c>
      <c r="F109" s="626">
        <v>2</v>
      </c>
      <c r="G109" s="626">
        <f t="shared" si="3"/>
        <v>0.3</v>
      </c>
      <c r="H109" s="626">
        <v>3</v>
      </c>
      <c r="I109" s="626">
        <f t="shared" si="4"/>
        <v>0.44999999999999996</v>
      </c>
    </row>
    <row r="110" spans="2:9" ht="15.4">
      <c r="B110" s="627" t="s">
        <v>329</v>
      </c>
      <c r="C110" s="854">
        <v>0.2</v>
      </c>
      <c r="D110" s="626">
        <v>2</v>
      </c>
      <c r="E110" s="626">
        <f t="shared" si="5"/>
        <v>0.4</v>
      </c>
      <c r="F110" s="626">
        <v>3</v>
      </c>
      <c r="G110" s="626">
        <f t="shared" si="3"/>
        <v>0.60000000000000009</v>
      </c>
      <c r="H110" s="626">
        <v>2</v>
      </c>
      <c r="I110" s="626">
        <f t="shared" si="4"/>
        <v>0.4</v>
      </c>
    </row>
    <row r="111" spans="2:9" ht="15.4">
      <c r="B111" s="627" t="s">
        <v>330</v>
      </c>
      <c r="C111" s="854">
        <v>0.1</v>
      </c>
      <c r="D111" s="626">
        <v>2</v>
      </c>
      <c r="E111" s="626">
        <f t="shared" si="5"/>
        <v>0.2</v>
      </c>
      <c r="F111" s="626">
        <v>3</v>
      </c>
      <c r="G111" s="626">
        <f t="shared" si="3"/>
        <v>0.30000000000000004</v>
      </c>
      <c r="H111" s="626">
        <v>2</v>
      </c>
      <c r="I111" s="626">
        <f t="shared" si="4"/>
        <v>0.2</v>
      </c>
    </row>
    <row r="112" spans="2:9" ht="29.25" customHeight="1">
      <c r="B112" s="628" t="s">
        <v>293</v>
      </c>
      <c r="C112" s="628" t="s">
        <v>331</v>
      </c>
      <c r="D112" s="628" t="s">
        <v>332</v>
      </c>
      <c r="E112" s="628">
        <f>SUM(E105:E111)</f>
        <v>2.25</v>
      </c>
      <c r="F112" s="628" t="s">
        <v>332</v>
      </c>
      <c r="G112" s="628">
        <f>SUM(G105:G111)</f>
        <v>2.6000000000000005</v>
      </c>
      <c r="H112" s="628" t="s">
        <v>332</v>
      </c>
      <c r="I112" s="664">
        <f>SUM(I105:I111)</f>
        <v>2.35</v>
      </c>
    </row>
    <row r="113" spans="2:27" s="650" customFormat="1"/>
    <row r="114" spans="2:27" s="650" customFormat="1">
      <c r="D114" s="665"/>
    </row>
    <row r="115" spans="2:27" s="650" customFormat="1" ht="15.4">
      <c r="B115" s="652" t="s">
        <v>333</v>
      </c>
    </row>
    <row r="116" spans="2:27" s="650" customFormat="1">
      <c r="B116" s="654" t="s">
        <v>334</v>
      </c>
    </row>
    <row r="117" spans="2:27" s="650" customFormat="1"/>
    <row r="118" spans="2:27" ht="15.75" customHeight="1">
      <c r="B118" s="1077" t="s">
        <v>335</v>
      </c>
      <c r="C118" s="1035" t="s">
        <v>336</v>
      </c>
      <c r="D118" s="1035" t="s">
        <v>337</v>
      </c>
      <c r="E118" s="1035" t="s">
        <v>338</v>
      </c>
      <c r="F118" s="1035" t="s">
        <v>339</v>
      </c>
      <c r="G118" s="1035"/>
      <c r="H118" s="650"/>
      <c r="I118" s="650"/>
      <c r="J118" s="650"/>
      <c r="K118" s="650"/>
      <c r="L118" s="650"/>
      <c r="M118" s="650"/>
      <c r="N118" s="650"/>
      <c r="O118" s="650"/>
      <c r="P118" s="650"/>
      <c r="Q118" s="650"/>
      <c r="R118" s="650"/>
      <c r="S118" s="650"/>
      <c r="T118" s="650"/>
      <c r="U118" s="650"/>
      <c r="V118" s="650"/>
      <c r="W118" s="650"/>
      <c r="X118" s="650"/>
      <c r="Y118" s="650"/>
      <c r="Z118" s="650"/>
      <c r="AA118" s="650"/>
    </row>
    <row r="119" spans="2:27" ht="21.75" customHeight="1">
      <c r="B119" s="1077"/>
      <c r="C119" s="1035"/>
      <c r="D119" s="1035"/>
      <c r="E119" s="1035"/>
      <c r="F119" s="1035"/>
      <c r="G119" s="1035"/>
      <c r="H119" s="650"/>
      <c r="I119" s="650"/>
      <c r="J119" s="650"/>
      <c r="K119" s="650"/>
      <c r="L119" s="650"/>
      <c r="M119" s="650"/>
      <c r="N119" s="650"/>
      <c r="O119" s="650"/>
      <c r="P119" s="650"/>
      <c r="Q119" s="650"/>
      <c r="R119" s="650"/>
      <c r="S119" s="650"/>
      <c r="T119" s="650"/>
      <c r="U119" s="650"/>
      <c r="V119" s="650"/>
      <c r="W119" s="650"/>
      <c r="X119" s="650"/>
      <c r="Y119" s="650"/>
      <c r="Z119" s="650"/>
      <c r="AA119" s="650"/>
    </row>
    <row r="120" spans="2:27" ht="40.5" customHeight="1">
      <c r="B120" s="630" t="s">
        <v>340</v>
      </c>
      <c r="C120" s="631"/>
      <c r="D120" s="630" t="s">
        <v>341</v>
      </c>
      <c r="E120" s="630" t="s">
        <v>342</v>
      </c>
      <c r="F120" s="1055" t="s">
        <v>343</v>
      </c>
      <c r="G120" s="1055"/>
      <c r="H120" s="650"/>
      <c r="I120" s="650"/>
      <c r="J120" s="650"/>
      <c r="K120" s="650"/>
      <c r="L120" s="650"/>
      <c r="M120" s="650"/>
      <c r="N120" s="650"/>
      <c r="O120" s="650"/>
      <c r="P120" s="650"/>
      <c r="Q120" s="650"/>
      <c r="R120" s="650"/>
      <c r="S120" s="650"/>
      <c r="T120" s="650"/>
      <c r="U120" s="650"/>
      <c r="V120" s="650"/>
      <c r="W120" s="650"/>
      <c r="X120" s="650"/>
      <c r="Y120" s="650"/>
      <c r="Z120" s="650"/>
      <c r="AA120" s="650"/>
    </row>
    <row r="121" spans="2:27" ht="207" customHeight="1">
      <c r="B121" s="632" t="s">
        <v>344</v>
      </c>
      <c r="C121" s="632" t="s">
        <v>345</v>
      </c>
      <c r="D121" s="632" t="s">
        <v>346</v>
      </c>
      <c r="E121" s="632" t="s">
        <v>347</v>
      </c>
      <c r="F121" s="1056" t="s">
        <v>348</v>
      </c>
      <c r="G121" s="1056"/>
      <c r="H121" s="650"/>
      <c r="I121" s="650"/>
      <c r="J121" s="650"/>
      <c r="K121" s="650"/>
      <c r="L121" s="650"/>
      <c r="M121" s="650"/>
      <c r="N121" s="650"/>
      <c r="O121" s="650"/>
      <c r="P121" s="650"/>
      <c r="Q121" s="650"/>
      <c r="R121" s="650"/>
      <c r="S121" s="650"/>
      <c r="T121" s="650"/>
      <c r="U121" s="650"/>
      <c r="V121" s="650"/>
      <c r="W121" s="650"/>
      <c r="X121" s="650"/>
      <c r="Y121" s="650"/>
      <c r="Z121" s="650"/>
      <c r="AA121" s="650"/>
    </row>
    <row r="122" spans="2:27" ht="184.5" customHeight="1">
      <c r="B122" s="632" t="s">
        <v>349</v>
      </c>
      <c r="C122" s="632" t="s">
        <v>350</v>
      </c>
      <c r="D122" s="632" t="s">
        <v>351</v>
      </c>
      <c r="E122" s="632" t="s">
        <v>352</v>
      </c>
      <c r="F122" s="1056" t="s">
        <v>353</v>
      </c>
      <c r="G122" s="1056"/>
      <c r="H122" s="650"/>
      <c r="I122" s="650"/>
      <c r="J122" s="650"/>
      <c r="K122" s="650"/>
      <c r="L122" s="650"/>
      <c r="M122" s="650"/>
      <c r="N122" s="650"/>
      <c r="O122" s="650"/>
      <c r="P122" s="650"/>
      <c r="Q122" s="650"/>
      <c r="R122" s="650"/>
      <c r="S122" s="650"/>
      <c r="T122" s="650"/>
      <c r="U122" s="650"/>
      <c r="V122" s="650"/>
      <c r="W122" s="650"/>
      <c r="X122" s="650"/>
      <c r="Y122" s="650"/>
      <c r="Z122" s="650"/>
      <c r="AA122" s="650"/>
    </row>
    <row r="123" spans="2:27" ht="226.5" customHeight="1">
      <c r="B123" s="632" t="s">
        <v>354</v>
      </c>
      <c r="C123" s="633" t="s">
        <v>355</v>
      </c>
      <c r="D123" s="633" t="s">
        <v>356</v>
      </c>
      <c r="E123" s="633" t="s">
        <v>357</v>
      </c>
      <c r="F123" s="1056" t="s">
        <v>358</v>
      </c>
      <c r="G123" s="1056"/>
      <c r="H123" s="650"/>
      <c r="I123" s="650"/>
      <c r="J123" s="650"/>
      <c r="K123" s="650"/>
      <c r="L123" s="650"/>
      <c r="M123" s="650"/>
      <c r="N123" s="650"/>
      <c r="O123" s="650"/>
      <c r="P123" s="650"/>
      <c r="Q123" s="650"/>
      <c r="R123" s="650"/>
      <c r="S123" s="650"/>
      <c r="T123" s="650"/>
      <c r="U123" s="650"/>
      <c r="V123" s="650"/>
      <c r="W123" s="650"/>
      <c r="X123" s="650"/>
      <c r="Y123" s="650"/>
      <c r="Z123" s="650"/>
      <c r="AA123" s="650"/>
    </row>
    <row r="124" spans="2:27" ht="249.75" customHeight="1">
      <c r="B124" s="632" t="s">
        <v>359</v>
      </c>
      <c r="C124" s="632" t="s">
        <v>360</v>
      </c>
      <c r="D124" s="632" t="s">
        <v>361</v>
      </c>
      <c r="E124" s="632" t="s">
        <v>362</v>
      </c>
      <c r="F124" s="1056" t="s">
        <v>363</v>
      </c>
      <c r="G124" s="1056"/>
      <c r="H124" s="650"/>
      <c r="I124" s="650"/>
      <c r="J124" s="650"/>
      <c r="K124" s="650"/>
      <c r="L124" s="650"/>
      <c r="M124" s="650"/>
      <c r="N124" s="650"/>
      <c r="O124" s="650"/>
      <c r="P124" s="650"/>
      <c r="Q124" s="650"/>
      <c r="R124" s="650"/>
      <c r="S124" s="650"/>
      <c r="T124" s="650"/>
      <c r="U124" s="650"/>
      <c r="V124" s="650"/>
      <c r="W124" s="650"/>
      <c r="X124" s="650"/>
      <c r="Y124" s="650"/>
      <c r="Z124" s="650"/>
      <c r="AA124" s="650"/>
    </row>
    <row r="125" spans="2:27" s="650" customFormat="1"/>
    <row r="126" spans="2:27" s="650" customFormat="1"/>
    <row r="127" spans="2:27" s="650" customFormat="1"/>
    <row r="128" spans="2:27" s="650" customFormat="1"/>
    <row r="129" s="650" customFormat="1"/>
    <row r="130" s="650" customFormat="1"/>
    <row r="131" s="650" customFormat="1"/>
    <row r="132" s="650" customFormat="1"/>
    <row r="133" s="650" customFormat="1"/>
    <row r="134" s="650" customFormat="1"/>
    <row r="135" s="650" customFormat="1"/>
    <row r="136" s="650" customFormat="1"/>
    <row r="137" s="650" customFormat="1"/>
    <row r="138" s="650" customFormat="1"/>
    <row r="139" s="650" customFormat="1"/>
    <row r="140" s="650" customFormat="1"/>
    <row r="141" s="650" customFormat="1"/>
    <row r="142" s="650" customFormat="1"/>
    <row r="143" s="650" customFormat="1"/>
    <row r="144" s="650" customFormat="1"/>
    <row r="145" s="650" customFormat="1"/>
    <row r="146" s="650" customFormat="1"/>
    <row r="147" s="650" customFormat="1"/>
    <row r="148" s="650" customFormat="1"/>
    <row r="149" s="650" customFormat="1"/>
    <row r="150" s="650" customFormat="1"/>
    <row r="151" s="650" customFormat="1"/>
    <row r="152" s="650" customFormat="1"/>
    <row r="153" s="650" customFormat="1"/>
    <row r="154" s="650" customFormat="1"/>
    <row r="155" s="650" customFormat="1"/>
    <row r="156" s="650" customFormat="1"/>
    <row r="157" s="650" customFormat="1"/>
    <row r="158" s="650" customFormat="1"/>
    <row r="159" s="650" customFormat="1"/>
    <row r="160" s="650" customFormat="1"/>
    <row r="161" s="650" customFormat="1"/>
    <row r="162" s="650" customFormat="1"/>
    <row r="163" s="650" customFormat="1"/>
    <row r="164" s="650" customFormat="1"/>
    <row r="165" s="650" customFormat="1"/>
    <row r="166" s="650" customFormat="1"/>
    <row r="167" s="650" customFormat="1"/>
    <row r="168" s="650" customFormat="1"/>
    <row r="169" s="650" customFormat="1"/>
    <row r="170" s="650" customFormat="1"/>
    <row r="171" s="650" customFormat="1"/>
    <row r="172" s="650" customFormat="1"/>
    <row r="173" s="650" customFormat="1"/>
    <row r="174" s="650" customFormat="1"/>
    <row r="175" s="650" customFormat="1"/>
    <row r="176" s="650" customFormat="1"/>
    <row r="177" s="650" customFormat="1"/>
    <row r="178" s="650" customFormat="1"/>
    <row r="179" s="650" customFormat="1"/>
  </sheetData>
  <mergeCells count="46">
    <mergeCell ref="F123:G123"/>
    <mergeCell ref="F124:G124"/>
    <mergeCell ref="F51:K51"/>
    <mergeCell ref="H103:I103"/>
    <mergeCell ref="F103:G103"/>
    <mergeCell ref="H66:K66"/>
    <mergeCell ref="F118:G119"/>
    <mergeCell ref="J56:K59"/>
    <mergeCell ref="H60:I64"/>
    <mergeCell ref="J60:K64"/>
    <mergeCell ref="F55:F65"/>
    <mergeCell ref="J65:K65"/>
    <mergeCell ref="H65:I65"/>
    <mergeCell ref="B2:G4"/>
    <mergeCell ref="F120:G120"/>
    <mergeCell ref="F121:G121"/>
    <mergeCell ref="F122:G122"/>
    <mergeCell ref="H56:I59"/>
    <mergeCell ref="B9:G15"/>
    <mergeCell ref="C75:E75"/>
    <mergeCell ref="C49:H49"/>
    <mergeCell ref="C71:E71"/>
    <mergeCell ref="C72:E72"/>
    <mergeCell ref="C73:E73"/>
    <mergeCell ref="C74:E74"/>
    <mergeCell ref="B51:D51"/>
    <mergeCell ref="B118:B119"/>
    <mergeCell ref="C118:C119"/>
    <mergeCell ref="D118:D119"/>
    <mergeCell ref="N24:O24"/>
    <mergeCell ref="B41:H41"/>
    <mergeCell ref="D43:E43"/>
    <mergeCell ref="F43:G43"/>
    <mergeCell ref="H43:I43"/>
    <mergeCell ref="C24:H24"/>
    <mergeCell ref="B33:H33"/>
    <mergeCell ref="B43:B44"/>
    <mergeCell ref="C43:C44"/>
    <mergeCell ref="F25:G25"/>
    <mergeCell ref="J43:K43"/>
    <mergeCell ref="L43:M43"/>
    <mergeCell ref="E118:E119"/>
    <mergeCell ref="C76:E76"/>
    <mergeCell ref="D103:E103"/>
    <mergeCell ref="B103:B104"/>
    <mergeCell ref="C103:C104"/>
  </mergeCells>
  <hyperlinks>
    <hyperlink ref="B19" r:id="rId1" xr:uid="{E44DDE72-9B4B-4DC8-8A07-F477844BF879}"/>
    <hyperlink ref="B80" r:id="rId2" xr:uid="{41DDA419-240F-4827-83C8-A4C17EE10DC5}"/>
    <hyperlink ref="B86" r:id="rId3" xr:uid="{A5753ABC-4761-4918-AFB0-BC889D60E936}"/>
    <hyperlink ref="B94" r:id="rId4" xr:uid="{3D635BA2-39E8-469C-9BC6-10B9E929EC3C}"/>
    <hyperlink ref="B116" r:id="rId5" xr:uid="{E0929822-8718-491B-B810-D24280150F73}"/>
    <hyperlink ref="D120" r:id="rId6" xr:uid="{5AADA0D4-58C2-4A82-8354-348F3C221C20}"/>
    <hyperlink ref="E120" r:id="rId7" xr:uid="{D5F25D4F-C9A8-45F4-9658-30A065B7F0E8}"/>
    <hyperlink ref="F120" r:id="rId8" xr:uid="{BC86D8F7-F944-4AA7-93D9-339E7EC63A39}"/>
    <hyperlink ref="B120" r:id="rId9" location="Fin_finalidad_del_proyecto" xr:uid="{B04184B5-8410-4BF4-B89F-4EF08F4558AB}"/>
  </hyperlinks>
  <pageMargins left="0.7" right="0.7" top="0.75" bottom="0.75" header="0.3" footer="0.3"/>
  <pageSetup paperSize="9" orientation="portrait" r:id="rId10"/>
  <drawing r:id="rId11"/>
  <legacy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FAAB-3D42-45F6-A423-48D9E32CE8D1}">
  <sheetPr>
    <tabColor theme="9"/>
  </sheetPr>
  <dimension ref="A1:V49"/>
  <sheetViews>
    <sheetView showGridLines="0" zoomScale="115" zoomScaleNormal="115" workbookViewId="0">
      <selection activeCell="W16" sqref="W16"/>
    </sheetView>
  </sheetViews>
  <sheetFormatPr defaultColWidth="11.42578125" defaultRowHeight="15.95"/>
  <cols>
    <col min="1" max="1" width="6.42578125" customWidth="1"/>
    <col min="2" max="2" width="8.42578125" style="17" customWidth="1"/>
    <col min="3" max="3" width="3" customWidth="1"/>
    <col min="4" max="6" width="9.140625"/>
    <col min="7" max="7" width="2" customWidth="1"/>
    <col min="8" max="10" width="9.140625"/>
    <col min="11" max="11" width="2.140625" customWidth="1"/>
    <col min="15" max="15" width="11.42578125" style="203"/>
    <col min="16" max="18" width="36.42578125" style="203" bestFit="1" customWidth="1"/>
    <col min="19" max="21" width="11.42578125" style="203"/>
  </cols>
  <sheetData>
    <row r="1" spans="1:22" s="203" customFormat="1" ht="15.75" customHeight="1"/>
    <row r="2" spans="1:22" s="290" customFormat="1" ht="17.649999999999999">
      <c r="B2" s="1026" t="s">
        <v>364</v>
      </c>
      <c r="C2" s="1027"/>
      <c r="D2" s="1027"/>
      <c r="E2" s="1027"/>
      <c r="F2" s="1027"/>
      <c r="G2" s="1027"/>
      <c r="H2" s="1027"/>
      <c r="I2" s="1027"/>
      <c r="J2" s="1027"/>
      <c r="K2" s="1027"/>
      <c r="L2" s="1027"/>
      <c r="M2" s="1027"/>
      <c r="N2" s="1028"/>
      <c r="O2" s="294"/>
      <c r="P2" s="294"/>
      <c r="Q2" s="293"/>
      <c r="R2" s="295"/>
      <c r="S2" s="295"/>
      <c r="T2" s="295"/>
      <c r="U2" s="293"/>
    </row>
    <row r="3" spans="1:22" s="293" customFormat="1" ht="5.25" customHeight="1">
      <c r="B3" s="298"/>
      <c r="E3" s="295"/>
      <c r="G3" s="297"/>
      <c r="I3" s="295"/>
      <c r="J3" s="295"/>
      <c r="P3" s="294"/>
      <c r="R3" s="295"/>
      <c r="S3" s="295"/>
      <c r="T3" s="295"/>
    </row>
    <row r="4" spans="1:22" s="292" customFormat="1" ht="113.25" customHeight="1">
      <c r="B4" s="668" t="s">
        <v>365</v>
      </c>
      <c r="D4" s="826" t="s">
        <v>366</v>
      </c>
      <c r="E4" s="827"/>
      <c r="F4" s="826" t="s">
        <v>367</v>
      </c>
      <c r="G4" s="291"/>
      <c r="H4" s="1029" t="s">
        <v>368</v>
      </c>
      <c r="I4" s="1030"/>
      <c r="J4" s="1031"/>
      <c r="K4" s="291"/>
      <c r="L4" s="1029" t="s">
        <v>369</v>
      </c>
      <c r="M4" s="1030"/>
      <c r="N4" s="1031"/>
      <c r="O4" s="296"/>
      <c r="P4"/>
      <c r="Q4"/>
      <c r="R4"/>
      <c r="S4" s="293"/>
      <c r="T4" s="293"/>
      <c r="U4" s="293"/>
      <c r="V4" s="290"/>
    </row>
    <row r="5" spans="1:22" s="292" customFormat="1" ht="17.25" customHeight="1">
      <c r="A5"/>
      <c r="B5" s="18"/>
      <c r="C5" s="203"/>
      <c r="D5" s="476"/>
      <c r="E5" s="476"/>
      <c r="F5" s="476"/>
      <c r="G5" s="476"/>
      <c r="H5" s="476"/>
      <c r="I5" s="476"/>
      <c r="J5" s="476"/>
      <c r="K5" s="476"/>
      <c r="L5" s="476"/>
      <c r="M5" s="476"/>
      <c r="N5" s="476"/>
      <c r="O5" s="203"/>
      <c r="P5" s="203"/>
      <c r="Q5" s="203"/>
      <c r="R5" s="203"/>
      <c r="S5" s="203"/>
      <c r="T5" s="203"/>
      <c r="U5" s="203"/>
      <c r="V5"/>
    </row>
    <row r="6" spans="1:22" s="292" customFormat="1" ht="114" customHeight="1">
      <c r="B6" s="668" t="s">
        <v>365</v>
      </c>
      <c r="D6" s="826" t="s">
        <v>370</v>
      </c>
      <c r="E6" s="827"/>
      <c r="F6" s="826" t="s">
        <v>371</v>
      </c>
      <c r="G6" s="291"/>
      <c r="H6" s="1029" t="s">
        <v>372</v>
      </c>
      <c r="I6" s="1030"/>
      <c r="J6" s="1031"/>
      <c r="K6" s="291"/>
      <c r="L6" s="1029" t="s">
        <v>373</v>
      </c>
      <c r="M6" s="1030"/>
      <c r="N6" s="1031"/>
      <c r="O6" s="296"/>
      <c r="P6" s="825"/>
      <c r="Q6"/>
      <c r="R6" s="293"/>
      <c r="S6" s="293"/>
      <c r="T6" s="293"/>
      <c r="U6" s="293"/>
      <c r="V6" s="290"/>
    </row>
    <row r="7" spans="1:22" s="292" customFormat="1" ht="17.25" customHeight="1">
      <c r="A7"/>
      <c r="B7" s="18"/>
      <c r="C7" s="203"/>
      <c r="D7" s="476"/>
      <c r="E7" s="476"/>
      <c r="F7" s="476"/>
      <c r="G7" s="476"/>
      <c r="H7" s="476"/>
      <c r="I7" s="476"/>
      <c r="J7" s="476"/>
      <c r="K7" s="476"/>
      <c r="L7" s="476"/>
      <c r="M7" s="476"/>
      <c r="N7" s="476"/>
      <c r="O7" s="203"/>
      <c r="P7" s="203"/>
      <c r="Q7" s="203"/>
      <c r="R7" s="203"/>
      <c r="S7" s="203"/>
      <c r="T7" s="203"/>
      <c r="U7" s="203"/>
      <c r="V7"/>
    </row>
    <row r="8" spans="1:22" s="292" customFormat="1" ht="114" customHeight="1">
      <c r="B8" s="668" t="s">
        <v>365</v>
      </c>
      <c r="D8" s="826" t="s">
        <v>374</v>
      </c>
      <c r="E8" s="827"/>
      <c r="F8" s="826" t="s">
        <v>375</v>
      </c>
      <c r="G8" s="291"/>
      <c r="H8" s="1029" t="s">
        <v>376</v>
      </c>
      <c r="I8" s="1030"/>
      <c r="J8" s="1031"/>
      <c r="K8" s="291"/>
      <c r="L8" s="1029" t="s">
        <v>377</v>
      </c>
      <c r="M8" s="1030"/>
      <c r="N8" s="1031"/>
      <c r="O8" s="296"/>
      <c r="P8" t="s">
        <v>378</v>
      </c>
      <c r="Q8" s="825" t="s">
        <v>379</v>
      </c>
      <c r="R8" t="s">
        <v>380</v>
      </c>
      <c r="S8" s="293"/>
      <c r="T8" s="293"/>
      <c r="U8" s="293"/>
      <c r="V8" s="290"/>
    </row>
    <row r="9" spans="1:22" s="293" customFormat="1" ht="23.25" customHeight="1">
      <c r="B9" s="299"/>
      <c r="C9" s="828"/>
      <c r="D9" s="829"/>
      <c r="E9" s="295"/>
      <c r="F9" s="828"/>
      <c r="G9" s="829"/>
      <c r="H9" s="829"/>
      <c r="I9" s="829"/>
      <c r="J9" s="829"/>
      <c r="K9" s="829"/>
      <c r="L9" s="829"/>
      <c r="M9" s="295"/>
      <c r="N9" s="829"/>
      <c r="O9" s="295"/>
      <c r="P9" s="294"/>
      <c r="Q9" s="295"/>
    </row>
    <row r="10" spans="1:22" s="292" customFormat="1" ht="112.5" customHeight="1">
      <c r="B10" s="668" t="s">
        <v>381</v>
      </c>
      <c r="C10" s="292" t="s">
        <v>170</v>
      </c>
      <c r="D10" s="1029" t="s">
        <v>382</v>
      </c>
      <c r="E10" s="1030"/>
      <c r="F10" s="1031"/>
      <c r="G10" s="827"/>
      <c r="H10" s="826" t="s">
        <v>383</v>
      </c>
      <c r="I10" s="827"/>
      <c r="J10" s="826" t="s">
        <v>384</v>
      </c>
      <c r="K10" s="827"/>
      <c r="L10" s="1029" t="s">
        <v>385</v>
      </c>
      <c r="M10" s="1030"/>
      <c r="N10" s="1031"/>
      <c r="O10" s="295"/>
      <c r="P10" s="825" t="s">
        <v>369</v>
      </c>
      <c r="Q10" t="s">
        <v>386</v>
      </c>
      <c r="R10" s="825" t="s">
        <v>379</v>
      </c>
      <c r="S10" s="293"/>
      <c r="T10" s="293"/>
      <c r="U10" s="293"/>
      <c r="V10" s="290"/>
    </row>
    <row r="11" spans="1:22" s="293" customFormat="1" ht="23.25" customHeight="1">
      <c r="B11" s="299"/>
      <c r="C11" s="828"/>
      <c r="D11" s="829"/>
      <c r="E11" s="295"/>
      <c r="F11" s="828"/>
      <c r="G11" s="829"/>
      <c r="H11" s="829"/>
      <c r="I11" s="829"/>
      <c r="J11" s="829"/>
      <c r="K11" s="829"/>
      <c r="L11" s="829"/>
      <c r="M11" s="295"/>
      <c r="N11" s="829"/>
      <c r="O11" s="295"/>
      <c r="P11" s="294"/>
      <c r="Q11" s="295"/>
    </row>
    <row r="12" spans="1:22" s="293" customFormat="1" ht="112.5" customHeight="1">
      <c r="B12" s="669" t="s">
        <v>387</v>
      </c>
      <c r="C12" s="830"/>
      <c r="D12" s="1032" t="s">
        <v>388</v>
      </c>
      <c r="E12" s="1033"/>
      <c r="F12" s="1033"/>
      <c r="G12" s="1033"/>
      <c r="H12" s="1033"/>
      <c r="I12" s="1033"/>
      <c r="J12" s="1033"/>
      <c r="K12" s="1033"/>
      <c r="L12" s="1033"/>
      <c r="M12" s="1033"/>
      <c r="N12" s="1034"/>
      <c r="O12" s="294"/>
      <c r="P12" s="294"/>
      <c r="Q12" s="295"/>
    </row>
    <row r="13" spans="1:22" s="293" customFormat="1" ht="23.25" customHeight="1">
      <c r="B13" s="299"/>
      <c r="C13" s="828"/>
      <c r="D13" s="829"/>
      <c r="E13" s="295"/>
      <c r="F13" s="828"/>
      <c r="G13" s="829"/>
      <c r="H13" s="829"/>
      <c r="I13" s="829"/>
      <c r="J13" s="829"/>
      <c r="K13" s="829"/>
      <c r="L13" s="829"/>
      <c r="M13" s="295"/>
      <c r="N13" s="829"/>
      <c r="O13" s="295"/>
      <c r="P13" s="294"/>
      <c r="Q13" s="295"/>
    </row>
    <row r="14" spans="1:22" s="290" customFormat="1" ht="103.5" customHeight="1">
      <c r="B14" s="667" t="s">
        <v>389</v>
      </c>
      <c r="C14" s="831"/>
      <c r="D14" s="824" t="s">
        <v>390</v>
      </c>
      <c r="E14" s="827"/>
      <c r="F14" s="824" t="s">
        <v>391</v>
      </c>
      <c r="G14" s="291"/>
      <c r="H14" s="1023" t="s">
        <v>392</v>
      </c>
      <c r="I14" s="1024"/>
      <c r="J14" s="1025"/>
      <c r="K14" s="291"/>
      <c r="L14" s="1023" t="s">
        <v>393</v>
      </c>
      <c r="M14" s="1024"/>
      <c r="N14" s="1025"/>
      <c r="O14" s="295"/>
      <c r="P14" s="295"/>
      <c r="Q14" s="295"/>
      <c r="R14" s="293"/>
      <c r="S14" s="293"/>
      <c r="T14" s="293"/>
      <c r="U14" s="293"/>
    </row>
    <row r="15" spans="1:22" s="293" customFormat="1" ht="23.25" customHeight="1">
      <c r="B15" s="299"/>
      <c r="C15" s="828"/>
      <c r="D15" s="829"/>
      <c r="E15" s="295"/>
      <c r="F15" s="828"/>
      <c r="G15" s="829"/>
      <c r="H15" s="829"/>
      <c r="I15" s="829"/>
      <c r="J15" s="829"/>
      <c r="K15" s="829"/>
      <c r="L15" s="829"/>
      <c r="M15" s="295"/>
      <c r="N15" s="829"/>
      <c r="O15" s="295"/>
      <c r="P15" s="294"/>
      <c r="Q15" s="295"/>
    </row>
    <row r="16" spans="1:22" s="290" customFormat="1" ht="109.5" customHeight="1">
      <c r="B16" s="667" t="s">
        <v>394</v>
      </c>
      <c r="C16" s="831"/>
      <c r="D16" s="1023" t="s">
        <v>395</v>
      </c>
      <c r="E16" s="1024"/>
      <c r="F16" s="1025"/>
      <c r="G16" s="827"/>
      <c r="H16" s="824" t="s">
        <v>396</v>
      </c>
      <c r="I16" s="827"/>
      <c r="J16" s="824" t="s">
        <v>397</v>
      </c>
      <c r="K16" s="827"/>
      <c r="L16" s="1023" t="s">
        <v>398</v>
      </c>
      <c r="M16" s="1024"/>
      <c r="N16" s="1025"/>
      <c r="O16" s="295"/>
      <c r="P16" s="295"/>
      <c r="Q16" s="295"/>
      <c r="R16" s="293"/>
      <c r="S16" s="293"/>
      <c r="T16" s="293"/>
      <c r="U16" s="293"/>
    </row>
    <row r="17" spans="1:22">
      <c r="B17" s="832"/>
      <c r="C17" s="476"/>
      <c r="D17" s="476"/>
      <c r="E17" s="476"/>
      <c r="F17" s="476"/>
      <c r="G17" s="476"/>
      <c r="H17" s="476"/>
      <c r="I17" s="476"/>
      <c r="J17" s="476"/>
      <c r="K17" s="476"/>
      <c r="L17" s="476"/>
      <c r="M17" s="476"/>
      <c r="N17" s="476"/>
    </row>
    <row r="18" spans="1:22" ht="99.4">
      <c r="A18" s="290"/>
      <c r="B18" s="667" t="s">
        <v>394</v>
      </c>
      <c r="C18" s="831"/>
      <c r="D18" s="1023" t="s">
        <v>399</v>
      </c>
      <c r="E18" s="1024"/>
      <c r="F18" s="1025"/>
      <c r="G18" s="827"/>
      <c r="H18" s="824" t="s">
        <v>400</v>
      </c>
      <c r="I18" s="827"/>
      <c r="J18" s="824" t="s">
        <v>401</v>
      </c>
      <c r="K18" s="827"/>
      <c r="L18" s="1023" t="s">
        <v>402</v>
      </c>
      <c r="M18" s="1024"/>
      <c r="N18" s="1025"/>
      <c r="O18" s="295"/>
      <c r="P18" s="295"/>
      <c r="Q18" s="295"/>
      <c r="R18" s="293"/>
      <c r="S18" s="293"/>
      <c r="T18" s="293"/>
      <c r="U18" s="293"/>
      <c r="V18" s="290"/>
    </row>
    <row r="19" spans="1:22">
      <c r="B19" s="832"/>
      <c r="C19" s="476"/>
      <c r="D19" s="476"/>
      <c r="E19" s="476"/>
      <c r="F19" s="476"/>
      <c r="G19" s="476"/>
      <c r="H19" s="476"/>
      <c r="I19" s="476"/>
      <c r="J19" s="476"/>
      <c r="K19" s="476"/>
      <c r="L19" s="476"/>
      <c r="M19" s="476"/>
      <c r="N19" s="476"/>
    </row>
    <row r="20" spans="1:22" ht="99.4">
      <c r="A20" s="290"/>
      <c r="B20" s="667" t="s">
        <v>394</v>
      </c>
      <c r="C20" s="831"/>
      <c r="D20" s="1023" t="s">
        <v>403</v>
      </c>
      <c r="E20" s="1024"/>
      <c r="F20" s="1025"/>
      <c r="G20" s="827"/>
      <c r="H20" s="824" t="s">
        <v>404</v>
      </c>
      <c r="I20" s="827"/>
      <c r="J20" s="824" t="s">
        <v>405</v>
      </c>
      <c r="K20" s="827"/>
      <c r="L20" s="1023" t="s">
        <v>406</v>
      </c>
      <c r="M20" s="1024"/>
      <c r="N20" s="1025"/>
      <c r="O20" s="295"/>
      <c r="P20" s="833"/>
      <c r="Q20" s="295"/>
      <c r="R20" s="293"/>
      <c r="S20" s="293"/>
      <c r="T20" s="293"/>
      <c r="U20" s="293"/>
      <c r="V20" s="290"/>
    </row>
    <row r="21" spans="1:22" ht="16.5" customHeight="1">
      <c r="B21" s="832"/>
      <c r="C21" s="476"/>
      <c r="D21" s="476"/>
      <c r="E21" s="476"/>
      <c r="F21" s="476"/>
      <c r="G21" s="476"/>
      <c r="H21" s="476"/>
      <c r="I21" s="476"/>
      <c r="J21" s="476"/>
      <c r="K21" s="476"/>
      <c r="L21" s="476"/>
      <c r="M21" s="476"/>
      <c r="N21" s="476"/>
    </row>
    <row r="22" spans="1:22" ht="87">
      <c r="A22" s="290"/>
      <c r="B22" s="667" t="s">
        <v>394</v>
      </c>
      <c r="C22" s="831"/>
      <c r="D22" s="1023" t="s">
        <v>407</v>
      </c>
      <c r="E22" s="1024"/>
      <c r="F22" s="1025"/>
      <c r="G22" s="827"/>
      <c r="H22" s="824" t="s">
        <v>408</v>
      </c>
      <c r="I22" s="827"/>
      <c r="J22" s="824" t="s">
        <v>409</v>
      </c>
      <c r="K22" s="827"/>
      <c r="L22" s="1023" t="s">
        <v>410</v>
      </c>
      <c r="M22" s="1024"/>
      <c r="N22" s="1025"/>
      <c r="O22" s="295"/>
      <c r="P22" s="833" t="s">
        <v>411</v>
      </c>
      <c r="Q22" s="295"/>
      <c r="R22" s="293"/>
      <c r="S22" s="293"/>
      <c r="T22" s="293"/>
      <c r="U22" s="293"/>
      <c r="V22" s="290"/>
    </row>
    <row r="23" spans="1:22">
      <c r="B23" s="18"/>
      <c r="C23" s="203"/>
      <c r="D23" s="203"/>
      <c r="E23" s="203"/>
      <c r="F23" s="203"/>
      <c r="G23" s="203"/>
      <c r="H23" s="203"/>
      <c r="I23" s="203"/>
      <c r="J23" s="203"/>
      <c r="K23" s="203"/>
      <c r="L23" s="203"/>
      <c r="M23" s="203"/>
      <c r="N23" s="203"/>
    </row>
    <row r="24" spans="1:22">
      <c r="B24" s="18"/>
      <c r="C24" s="203"/>
      <c r="D24" s="203"/>
      <c r="E24" s="203"/>
      <c r="F24" s="203"/>
      <c r="G24" s="203"/>
      <c r="H24" s="203"/>
      <c r="I24" s="203"/>
      <c r="J24" s="203"/>
      <c r="K24" s="203"/>
      <c r="L24" s="203"/>
      <c r="M24" s="203"/>
      <c r="N24" s="203"/>
    </row>
    <row r="25" spans="1:22">
      <c r="B25" s="18"/>
      <c r="C25" s="203"/>
      <c r="D25" s="203"/>
      <c r="E25" s="203"/>
      <c r="F25" s="203"/>
      <c r="G25" s="203"/>
      <c r="H25" s="203"/>
      <c r="I25" s="203"/>
      <c r="J25" s="203"/>
      <c r="K25" s="203"/>
      <c r="L25" s="203"/>
      <c r="M25" s="203"/>
      <c r="N25" s="203"/>
    </row>
    <row r="26" spans="1:22">
      <c r="B26" s="18"/>
      <c r="C26" s="203"/>
      <c r="D26" s="203"/>
      <c r="E26" s="203"/>
      <c r="F26" s="203"/>
      <c r="G26" s="203"/>
      <c r="H26" s="203"/>
      <c r="I26" s="203"/>
      <c r="J26" s="203"/>
      <c r="K26" s="203"/>
      <c r="L26" s="203"/>
      <c r="M26" s="203"/>
      <c r="N26" s="203"/>
    </row>
    <row r="27" spans="1:22">
      <c r="B27" s="18"/>
      <c r="C27" s="203"/>
      <c r="D27" s="203"/>
      <c r="E27" s="203"/>
      <c r="F27" s="203"/>
      <c r="G27" s="203"/>
      <c r="H27" s="203"/>
      <c r="I27" s="203"/>
      <c r="J27" s="203"/>
      <c r="K27" s="203"/>
      <c r="L27" s="203"/>
      <c r="M27" s="203"/>
      <c r="N27" s="203"/>
    </row>
    <row r="28" spans="1:22">
      <c r="B28" s="18"/>
      <c r="C28" s="203"/>
      <c r="D28" s="203"/>
      <c r="E28" s="203"/>
      <c r="F28" s="203"/>
      <c r="G28" s="203"/>
      <c r="H28" s="203"/>
      <c r="I28" s="203"/>
      <c r="J28" s="203"/>
      <c r="K28" s="203"/>
      <c r="L28" s="203"/>
      <c r="M28" s="203"/>
      <c r="N28" s="203"/>
    </row>
    <row r="29" spans="1:22">
      <c r="B29" s="18"/>
      <c r="C29" s="203"/>
      <c r="D29" s="203"/>
      <c r="E29" s="203"/>
      <c r="F29" s="203"/>
      <c r="G29" s="203"/>
      <c r="H29" s="203"/>
      <c r="I29" s="203"/>
      <c r="J29" s="203"/>
      <c r="K29" s="203"/>
      <c r="L29" s="203"/>
      <c r="M29" s="203"/>
      <c r="N29" s="203"/>
    </row>
    <row r="30" spans="1:22">
      <c r="B30" s="18"/>
      <c r="C30" s="203"/>
      <c r="D30" s="203"/>
      <c r="E30" s="203"/>
      <c r="F30" s="203"/>
      <c r="G30" s="203"/>
      <c r="H30" s="203"/>
      <c r="I30" s="203"/>
      <c r="J30" s="203"/>
      <c r="K30" s="203"/>
      <c r="L30" s="203"/>
      <c r="M30" s="203"/>
      <c r="N30" s="203"/>
    </row>
    <row r="31" spans="1:22">
      <c r="B31" s="18"/>
      <c r="C31" s="203"/>
      <c r="D31" s="203"/>
      <c r="E31" s="203"/>
      <c r="F31" s="203"/>
      <c r="G31" s="203"/>
      <c r="H31" s="203"/>
      <c r="I31" s="203"/>
      <c r="J31" s="203"/>
      <c r="K31" s="203"/>
      <c r="L31" s="203"/>
      <c r="M31" s="203"/>
      <c r="N31" s="203"/>
    </row>
    <row r="32" spans="1:22">
      <c r="B32" s="18"/>
      <c r="C32" s="203"/>
      <c r="D32" s="203"/>
      <c r="E32" s="203"/>
      <c r="F32" s="203"/>
      <c r="G32" s="203"/>
      <c r="H32" s="203"/>
      <c r="I32" s="203"/>
      <c r="J32" s="203"/>
      <c r="K32" s="203"/>
      <c r="L32" s="203"/>
      <c r="M32" s="203"/>
      <c r="N32" s="203"/>
    </row>
    <row r="33" spans="2:14">
      <c r="B33" s="18"/>
      <c r="C33" s="203"/>
      <c r="D33" s="203"/>
      <c r="E33" s="203"/>
      <c r="F33" s="203"/>
      <c r="G33" s="203"/>
      <c r="H33" s="203"/>
      <c r="I33" s="203"/>
      <c r="J33" s="203"/>
      <c r="K33" s="203"/>
      <c r="L33" s="203"/>
      <c r="M33" s="203"/>
      <c r="N33" s="203"/>
    </row>
    <row r="34" spans="2:14">
      <c r="B34" s="18"/>
      <c r="C34" s="203"/>
      <c r="D34" s="203"/>
      <c r="E34" s="203"/>
      <c r="F34" s="203"/>
      <c r="G34" s="203"/>
      <c r="H34" s="203"/>
      <c r="I34" s="203"/>
      <c r="J34" s="203"/>
      <c r="K34" s="203"/>
      <c r="L34" s="203"/>
      <c r="M34" s="203"/>
      <c r="N34" s="203"/>
    </row>
    <row r="35" spans="2:14">
      <c r="B35" s="18"/>
      <c r="C35" s="203"/>
      <c r="D35" s="203"/>
      <c r="E35" s="203"/>
      <c r="F35" s="203"/>
      <c r="G35" s="203"/>
      <c r="H35" s="203"/>
      <c r="I35" s="203"/>
      <c r="J35" s="203"/>
      <c r="K35" s="203"/>
      <c r="L35" s="203"/>
      <c r="M35" s="203"/>
      <c r="N35" s="203"/>
    </row>
    <row r="36" spans="2:14">
      <c r="B36" s="18"/>
      <c r="C36" s="203"/>
      <c r="D36" s="203"/>
      <c r="E36" s="203"/>
      <c r="F36" s="203"/>
      <c r="G36" s="203"/>
      <c r="H36" s="203"/>
      <c r="I36" s="203"/>
      <c r="J36" s="203"/>
      <c r="K36" s="203"/>
      <c r="L36" s="203"/>
      <c r="M36" s="203"/>
      <c r="N36" s="203"/>
    </row>
    <row r="37" spans="2:14">
      <c r="B37" s="18"/>
      <c r="C37" s="203"/>
      <c r="D37" s="203"/>
      <c r="E37" s="203"/>
      <c r="F37" s="203"/>
      <c r="G37" s="203"/>
      <c r="H37" s="203"/>
      <c r="I37" s="203"/>
      <c r="J37" s="203"/>
      <c r="K37" s="203"/>
      <c r="L37" s="203"/>
      <c r="M37" s="203"/>
      <c r="N37" s="203"/>
    </row>
    <row r="38" spans="2:14">
      <c r="B38" s="18"/>
      <c r="C38" s="203"/>
      <c r="D38" s="203"/>
      <c r="E38" s="203"/>
      <c r="F38" s="203"/>
      <c r="G38" s="203"/>
      <c r="H38" s="203"/>
      <c r="I38" s="203"/>
      <c r="J38" s="203"/>
      <c r="K38" s="203"/>
      <c r="L38" s="203"/>
      <c r="M38" s="203"/>
      <c r="N38" s="203"/>
    </row>
    <row r="39" spans="2:14">
      <c r="B39" s="18"/>
      <c r="C39" s="203"/>
      <c r="D39" s="203"/>
      <c r="E39" s="203"/>
      <c r="F39" s="203"/>
      <c r="G39" s="203"/>
      <c r="H39" s="203"/>
      <c r="I39" s="203"/>
      <c r="J39" s="203"/>
      <c r="K39" s="203"/>
      <c r="L39" s="203"/>
      <c r="M39" s="203"/>
      <c r="N39" s="203"/>
    </row>
    <row r="40" spans="2:14">
      <c r="B40" s="18"/>
      <c r="C40" s="203"/>
      <c r="D40" s="203"/>
      <c r="E40" s="203"/>
      <c r="F40" s="203"/>
      <c r="G40" s="203"/>
      <c r="H40" s="203"/>
      <c r="I40" s="203"/>
      <c r="J40" s="203"/>
      <c r="K40" s="203"/>
      <c r="L40" s="203"/>
      <c r="M40" s="203"/>
      <c r="N40" s="203"/>
    </row>
    <row r="41" spans="2:14">
      <c r="B41" s="18"/>
      <c r="C41" s="203"/>
      <c r="D41" s="203"/>
      <c r="E41" s="203"/>
      <c r="F41" s="203"/>
      <c r="G41" s="203"/>
      <c r="H41" s="203"/>
      <c r="I41" s="203"/>
      <c r="J41" s="203"/>
      <c r="K41" s="203"/>
      <c r="L41" s="203"/>
      <c r="M41" s="203"/>
      <c r="N41" s="203"/>
    </row>
    <row r="42" spans="2:14">
      <c r="B42" s="18"/>
      <c r="C42" s="203"/>
      <c r="D42" s="203"/>
      <c r="E42" s="203"/>
      <c r="F42" s="203"/>
      <c r="G42" s="203"/>
      <c r="H42" s="203"/>
      <c r="I42" s="203"/>
      <c r="J42" s="203"/>
      <c r="K42" s="203"/>
      <c r="L42" s="203"/>
      <c r="M42" s="203"/>
      <c r="N42" s="203"/>
    </row>
    <row r="43" spans="2:14">
      <c r="B43" s="18"/>
      <c r="C43" s="203"/>
      <c r="D43" s="203"/>
      <c r="E43" s="203"/>
      <c r="F43" s="203"/>
      <c r="G43" s="203"/>
      <c r="H43" s="203"/>
      <c r="I43" s="203"/>
      <c r="J43" s="203"/>
      <c r="K43" s="203"/>
      <c r="L43" s="203"/>
      <c r="M43" s="203"/>
      <c r="N43" s="203"/>
    </row>
    <row r="44" spans="2:14">
      <c r="B44" s="18"/>
      <c r="C44" s="203"/>
      <c r="D44" s="203"/>
      <c r="E44" s="203"/>
      <c r="F44" s="203"/>
      <c r="G44" s="203"/>
      <c r="H44" s="203"/>
      <c r="I44" s="203"/>
      <c r="J44" s="203"/>
      <c r="K44" s="203"/>
      <c r="L44" s="203"/>
      <c r="M44" s="203"/>
      <c r="N44" s="203"/>
    </row>
    <row r="45" spans="2:14">
      <c r="B45" s="18"/>
      <c r="C45" s="203"/>
      <c r="D45" s="203"/>
      <c r="E45" s="203"/>
      <c r="F45" s="203"/>
      <c r="G45" s="203"/>
      <c r="H45" s="203"/>
      <c r="I45" s="203"/>
      <c r="J45" s="203"/>
      <c r="K45" s="203"/>
      <c r="L45" s="203"/>
      <c r="M45" s="203"/>
      <c r="N45" s="203"/>
    </row>
    <row r="46" spans="2:14">
      <c r="B46" s="18"/>
      <c r="C46" s="203"/>
      <c r="D46" s="203"/>
      <c r="E46" s="203"/>
      <c r="F46" s="203"/>
      <c r="G46" s="203"/>
      <c r="H46" s="203"/>
      <c r="I46" s="203"/>
      <c r="J46" s="203"/>
      <c r="K46" s="203"/>
      <c r="L46" s="203"/>
      <c r="M46" s="203"/>
      <c r="N46" s="203"/>
    </row>
    <row r="47" spans="2:14">
      <c r="B47" s="18"/>
      <c r="C47" s="203"/>
      <c r="D47" s="203"/>
      <c r="E47" s="203"/>
      <c r="F47" s="203"/>
      <c r="G47" s="203"/>
      <c r="H47" s="203"/>
      <c r="I47" s="203"/>
      <c r="J47" s="203"/>
      <c r="K47" s="203"/>
      <c r="L47" s="203"/>
      <c r="M47" s="203"/>
      <c r="N47" s="203"/>
    </row>
    <row r="48" spans="2:14">
      <c r="B48" s="18"/>
      <c r="C48" s="203"/>
      <c r="D48" s="203"/>
      <c r="E48" s="203"/>
      <c r="F48" s="203"/>
      <c r="G48" s="203"/>
      <c r="H48" s="203"/>
      <c r="I48" s="203"/>
      <c r="J48" s="203"/>
      <c r="K48" s="203"/>
      <c r="L48" s="203"/>
      <c r="M48" s="203"/>
      <c r="N48" s="203"/>
    </row>
    <row r="49" spans="2:14">
      <c r="B49" s="18"/>
      <c r="C49" s="203"/>
      <c r="D49" s="203"/>
      <c r="E49" s="203"/>
      <c r="F49" s="203"/>
      <c r="G49" s="203"/>
      <c r="H49" s="203"/>
      <c r="I49" s="203"/>
      <c r="J49" s="203"/>
      <c r="K49" s="203"/>
      <c r="L49" s="203"/>
      <c r="M49" s="203"/>
      <c r="N49" s="203"/>
    </row>
  </sheetData>
  <mergeCells count="20">
    <mergeCell ref="D16:F16"/>
    <mergeCell ref="L16:N16"/>
    <mergeCell ref="B2:N2"/>
    <mergeCell ref="H4:J4"/>
    <mergeCell ref="L4:N4"/>
    <mergeCell ref="H6:J6"/>
    <mergeCell ref="L6:N6"/>
    <mergeCell ref="H8:J8"/>
    <mergeCell ref="L8:N8"/>
    <mergeCell ref="D10:F10"/>
    <mergeCell ref="L10:N10"/>
    <mergeCell ref="D12:N12"/>
    <mergeCell ref="H14:J14"/>
    <mergeCell ref="L14:N14"/>
    <mergeCell ref="D18:F18"/>
    <mergeCell ref="L18:N18"/>
    <mergeCell ref="D20:F20"/>
    <mergeCell ref="L20:N20"/>
    <mergeCell ref="D22:F22"/>
    <mergeCell ref="L22:N2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D096-6404-46FD-A19B-DA2B5C17F5C5}">
  <sheetPr>
    <tabColor theme="7"/>
  </sheetPr>
  <dimension ref="B2:V183"/>
  <sheetViews>
    <sheetView showGridLines="0" topLeftCell="E23" zoomScale="70" zoomScaleNormal="70" workbookViewId="0">
      <selection activeCell="E41" sqref="E41"/>
    </sheetView>
  </sheetViews>
  <sheetFormatPr defaultColWidth="11.42578125" defaultRowHeight="15"/>
  <cols>
    <col min="1" max="1" width="2.42578125" style="649" customWidth="1"/>
    <col min="2" max="3" width="29.7109375" style="649" customWidth="1"/>
    <col min="4" max="4" width="6" style="649" customWidth="1"/>
    <col min="5" max="5" width="24" style="649" customWidth="1"/>
    <col min="6" max="6" width="33" style="649" customWidth="1"/>
    <col min="7" max="7" width="13.85546875" style="649" bestFit="1" customWidth="1"/>
    <col min="8" max="8" width="16.28515625" style="649" customWidth="1"/>
    <col min="9" max="9" width="12.85546875" style="649" bestFit="1" customWidth="1"/>
    <col min="10" max="10" width="14.140625" style="649" customWidth="1"/>
    <col min="11" max="11" width="17.7109375" style="649" customWidth="1"/>
    <col min="12" max="12" width="16.28515625" style="649" customWidth="1"/>
    <col min="13" max="13" width="16.85546875" style="649" customWidth="1"/>
    <col min="14" max="14" width="27.42578125" style="650" customWidth="1"/>
    <col min="15" max="15" width="29.42578125" style="650" customWidth="1"/>
    <col min="16" max="16" width="22.7109375" style="650" customWidth="1"/>
    <col min="17" max="17" width="32" style="650" customWidth="1"/>
    <col min="18" max="22" width="11.42578125" style="650"/>
    <col min="23" max="16384" width="11.42578125" style="649"/>
  </cols>
  <sheetData>
    <row r="2" spans="2:22" ht="38.25" customHeight="1">
      <c r="B2" s="1114" t="s">
        <v>412</v>
      </c>
      <c r="C2" s="1114"/>
      <c r="D2" s="1114"/>
      <c r="E2" s="1114"/>
      <c r="F2" s="1114"/>
      <c r="G2" s="1114"/>
      <c r="H2" s="1114"/>
      <c r="I2" s="1114"/>
      <c r="J2" s="650"/>
      <c r="K2" s="650"/>
      <c r="L2" s="650"/>
      <c r="M2" s="650"/>
    </row>
    <row r="3" spans="2:22" ht="7.5" customHeight="1" thickBot="1">
      <c r="J3" s="650"/>
      <c r="K3" s="650"/>
      <c r="L3" s="650"/>
      <c r="M3" s="650"/>
    </row>
    <row r="4" spans="2:22" s="671" customFormat="1" ht="20.25" customHeight="1" thickBot="1">
      <c r="B4" s="1117" t="s">
        <v>413</v>
      </c>
      <c r="C4" s="1117"/>
      <c r="D4" s="1117"/>
      <c r="E4" s="1117"/>
      <c r="F4" s="1117"/>
      <c r="G4" s="1117"/>
      <c r="H4" s="1117"/>
      <c r="I4" s="1117"/>
      <c r="J4" s="1105" t="s">
        <v>414</v>
      </c>
      <c r="K4" s="1105"/>
      <c r="L4" s="1105"/>
      <c r="M4" s="1105"/>
      <c r="N4" s="1106" t="s">
        <v>415</v>
      </c>
      <c r="O4" s="1106"/>
      <c r="P4" s="1106"/>
      <c r="Q4" s="1106"/>
      <c r="R4" s="672"/>
      <c r="S4" s="672"/>
      <c r="T4" s="672"/>
      <c r="U4" s="672"/>
      <c r="V4" s="672"/>
    </row>
    <row r="5" spans="2:22" ht="6" customHeight="1" thickBot="1">
      <c r="J5" s="650"/>
      <c r="K5" s="650"/>
      <c r="L5" s="650"/>
      <c r="M5" s="650"/>
    </row>
    <row r="6" spans="2:22" ht="15.4">
      <c r="B6" s="1116" t="s">
        <v>416</v>
      </c>
      <c r="C6" s="1116"/>
      <c r="D6" s="1115" t="s">
        <v>417</v>
      </c>
      <c r="E6" s="1115"/>
      <c r="F6" s="1115" t="s">
        <v>418</v>
      </c>
      <c r="G6" s="1115" t="s">
        <v>419</v>
      </c>
      <c r="H6" s="1115"/>
      <c r="I6" s="1115"/>
      <c r="J6" s="1107" t="s">
        <v>420</v>
      </c>
      <c r="K6" s="1108" t="s">
        <v>421</v>
      </c>
      <c r="L6" s="1108" t="s">
        <v>422</v>
      </c>
      <c r="M6" s="1109" t="s">
        <v>423</v>
      </c>
      <c r="N6" s="1110" t="s">
        <v>424</v>
      </c>
      <c r="O6" s="1111" t="s">
        <v>425</v>
      </c>
      <c r="P6" s="1111" t="s">
        <v>426</v>
      </c>
      <c r="Q6" s="1112" t="s">
        <v>427</v>
      </c>
    </row>
    <row r="7" spans="2:22" ht="54.75" customHeight="1" thickBot="1">
      <c r="B7" s="1116"/>
      <c r="C7" s="1116"/>
      <c r="D7" s="1115"/>
      <c r="E7" s="1115"/>
      <c r="F7" s="1115"/>
      <c r="G7" s="697" t="s">
        <v>428</v>
      </c>
      <c r="H7" s="697" t="s">
        <v>429</v>
      </c>
      <c r="I7" s="698" t="s">
        <v>430</v>
      </c>
      <c r="J7" s="1107"/>
      <c r="K7" s="1108"/>
      <c r="L7" s="1108"/>
      <c r="M7" s="1109"/>
      <c r="N7" s="1110"/>
      <c r="O7" s="1111"/>
      <c r="P7" s="1111"/>
      <c r="Q7" s="1112"/>
    </row>
    <row r="8" spans="2:22" ht="45">
      <c r="B8" s="1128" t="s">
        <v>431</v>
      </c>
      <c r="C8" s="1128"/>
      <c r="D8" s="1127" t="s">
        <v>432</v>
      </c>
      <c r="E8" s="673" t="s">
        <v>433</v>
      </c>
      <c r="F8" s="674" t="s">
        <v>434</v>
      </c>
      <c r="G8" s="673" t="s">
        <v>435</v>
      </c>
      <c r="H8" s="673" t="s">
        <v>435</v>
      </c>
      <c r="I8" s="691"/>
      <c r="J8" s="715"/>
      <c r="K8" s="675"/>
      <c r="L8" s="675"/>
      <c r="M8" s="716" t="s">
        <v>435</v>
      </c>
      <c r="N8" s="1118"/>
      <c r="O8" s="1101"/>
      <c r="P8" s="1101"/>
      <c r="Q8" s="1102"/>
    </row>
    <row r="9" spans="2:22" ht="45">
      <c r="B9" s="1128"/>
      <c r="C9" s="1128"/>
      <c r="D9" s="1127"/>
      <c r="E9" s="673" t="s">
        <v>436</v>
      </c>
      <c r="F9" s="674" t="s">
        <v>437</v>
      </c>
      <c r="G9" s="673" t="s">
        <v>435</v>
      </c>
      <c r="H9" s="673" t="s">
        <v>435</v>
      </c>
      <c r="I9" s="691"/>
      <c r="J9" s="715"/>
      <c r="K9" s="675"/>
      <c r="L9" s="675"/>
      <c r="M9" s="716" t="s">
        <v>435</v>
      </c>
      <c r="N9" s="1118"/>
      <c r="O9" s="1101"/>
      <c r="P9" s="1101"/>
      <c r="Q9" s="1102"/>
    </row>
    <row r="10" spans="2:22" ht="90">
      <c r="B10" s="1128"/>
      <c r="C10" s="1128"/>
      <c r="D10" s="1127"/>
      <c r="E10" s="673" t="s">
        <v>438</v>
      </c>
      <c r="F10" s="674" t="s">
        <v>439</v>
      </c>
      <c r="G10" s="673"/>
      <c r="H10" s="673" t="s">
        <v>435</v>
      </c>
      <c r="I10" s="691"/>
      <c r="J10" s="715"/>
      <c r="K10" s="675" t="s">
        <v>435</v>
      </c>
      <c r="L10" s="675"/>
      <c r="M10" s="716"/>
      <c r="N10" s="1118"/>
      <c r="O10" s="1101"/>
      <c r="P10" s="1101"/>
      <c r="Q10" s="1102"/>
    </row>
    <row r="11" spans="2:22" ht="75">
      <c r="B11" s="1128"/>
      <c r="C11" s="1128"/>
      <c r="D11" s="1127"/>
      <c r="E11" s="673" t="s">
        <v>440</v>
      </c>
      <c r="F11" s="674" t="s">
        <v>441</v>
      </c>
      <c r="G11" s="673"/>
      <c r="H11" s="673"/>
      <c r="I11" s="691" t="s">
        <v>435</v>
      </c>
      <c r="J11" s="715" t="s">
        <v>435</v>
      </c>
      <c r="K11" s="675" t="s">
        <v>435</v>
      </c>
      <c r="L11" s="675"/>
      <c r="M11" s="716"/>
      <c r="N11" s="1118"/>
      <c r="O11" s="1101"/>
      <c r="P11" s="1101"/>
      <c r="Q11" s="1102"/>
    </row>
    <row r="12" spans="2:22" ht="108" customHeight="1">
      <c r="B12" s="1119" t="s">
        <v>442</v>
      </c>
      <c r="C12" s="1119"/>
      <c r="D12" s="1123" t="s">
        <v>443</v>
      </c>
      <c r="E12" s="682" t="s">
        <v>444</v>
      </c>
      <c r="F12" s="683" t="s">
        <v>445</v>
      </c>
      <c r="G12" s="682"/>
      <c r="H12" s="682" t="s">
        <v>435</v>
      </c>
      <c r="I12" s="694" t="s">
        <v>435</v>
      </c>
      <c r="J12" s="721"/>
      <c r="K12" s="684"/>
      <c r="L12" s="684"/>
      <c r="M12" s="699" t="s">
        <v>435</v>
      </c>
      <c r="N12" s="1103"/>
      <c r="O12" s="1104"/>
      <c r="P12" s="1104"/>
      <c r="Q12" s="1113"/>
    </row>
    <row r="13" spans="2:22" ht="54.75" customHeight="1">
      <c r="B13" s="1119"/>
      <c r="C13" s="1119"/>
      <c r="D13" s="1123"/>
      <c r="E13" s="685" t="s">
        <v>446</v>
      </c>
      <c r="F13" s="686" t="s">
        <v>447</v>
      </c>
      <c r="G13" s="685" t="s">
        <v>435</v>
      </c>
      <c r="H13" s="685"/>
      <c r="I13" s="695"/>
      <c r="J13" s="722"/>
      <c r="K13" s="687"/>
      <c r="L13" s="687" t="s">
        <v>435</v>
      </c>
      <c r="M13" s="700"/>
      <c r="N13" s="1103"/>
      <c r="O13" s="1104"/>
      <c r="P13" s="1104"/>
      <c r="Q13" s="1113"/>
    </row>
    <row r="14" spans="2:22" ht="75">
      <c r="B14" s="1119"/>
      <c r="C14" s="1119"/>
      <c r="D14" s="1123"/>
      <c r="E14" s="864" t="s">
        <v>448</v>
      </c>
      <c r="F14" s="865" t="s">
        <v>449</v>
      </c>
      <c r="G14" s="864" t="s">
        <v>435</v>
      </c>
      <c r="H14" s="864"/>
      <c r="I14" s="866"/>
      <c r="J14" s="867"/>
      <c r="K14" s="868"/>
      <c r="L14" s="868" t="s">
        <v>435</v>
      </c>
      <c r="M14" s="869"/>
      <c r="N14" s="1103"/>
      <c r="O14" s="1104"/>
      <c r="P14" s="1104"/>
      <c r="Q14" s="1113"/>
    </row>
    <row r="15" spans="2:22" ht="90">
      <c r="B15" s="1119"/>
      <c r="C15" s="1119"/>
      <c r="D15" s="1123"/>
      <c r="E15" s="864" t="s">
        <v>450</v>
      </c>
      <c r="F15" s="865" t="s">
        <v>451</v>
      </c>
      <c r="G15" s="864"/>
      <c r="H15" s="864" t="s">
        <v>435</v>
      </c>
      <c r="I15" s="866" t="s">
        <v>435</v>
      </c>
      <c r="J15" s="867"/>
      <c r="K15" s="868" t="s">
        <v>435</v>
      </c>
      <c r="L15" s="868"/>
      <c r="M15" s="869"/>
      <c r="N15" s="1103"/>
      <c r="O15" s="1104"/>
      <c r="P15" s="1104"/>
      <c r="Q15" s="1113"/>
    </row>
    <row r="16" spans="2:22" ht="75">
      <c r="B16" s="1119"/>
      <c r="C16" s="1119"/>
      <c r="D16" s="1123"/>
      <c r="E16" s="864" t="s">
        <v>452</v>
      </c>
      <c r="F16" s="865" t="s">
        <v>453</v>
      </c>
      <c r="G16" s="864"/>
      <c r="H16" s="864"/>
      <c r="I16" s="866" t="s">
        <v>435</v>
      </c>
      <c r="J16" s="867"/>
      <c r="K16" s="868" t="s">
        <v>435</v>
      </c>
      <c r="L16" s="868"/>
      <c r="M16" s="869"/>
      <c r="N16" s="1103"/>
      <c r="O16" s="1104"/>
      <c r="P16" s="1104"/>
      <c r="Q16" s="1113"/>
    </row>
    <row r="17" spans="2:17" ht="60">
      <c r="B17" s="1119"/>
      <c r="C17" s="1119"/>
      <c r="D17" s="1123"/>
      <c r="E17" s="864" t="s">
        <v>454</v>
      </c>
      <c r="F17" s="865" t="s">
        <v>455</v>
      </c>
      <c r="G17" s="864"/>
      <c r="H17" s="864"/>
      <c r="I17" s="866" t="s">
        <v>435</v>
      </c>
      <c r="J17" s="867"/>
      <c r="K17" s="868" t="s">
        <v>435</v>
      </c>
      <c r="L17" s="868"/>
      <c r="M17" s="869"/>
      <c r="N17" s="1103"/>
      <c r="O17" s="1104"/>
      <c r="P17" s="1104"/>
      <c r="Q17" s="1113"/>
    </row>
    <row r="18" spans="2:17" ht="78" customHeight="1">
      <c r="B18" s="1128" t="s">
        <v>456</v>
      </c>
      <c r="C18" s="1128"/>
      <c r="D18" s="1127" t="s">
        <v>457</v>
      </c>
      <c r="E18" s="673" t="s">
        <v>458</v>
      </c>
      <c r="F18" s="674" t="s">
        <v>459</v>
      </c>
      <c r="G18" s="673" t="s">
        <v>435</v>
      </c>
      <c r="H18" s="673"/>
      <c r="I18" s="691"/>
      <c r="J18" s="723"/>
      <c r="K18" s="675"/>
      <c r="L18" s="675"/>
      <c r="M18" s="716" t="s">
        <v>435</v>
      </c>
      <c r="N18" s="723"/>
      <c r="O18" s="675"/>
      <c r="P18" s="675"/>
      <c r="Q18" s="716"/>
    </row>
    <row r="19" spans="2:17" ht="78" customHeight="1">
      <c r="B19" s="1128"/>
      <c r="C19" s="1128"/>
      <c r="D19" s="1127"/>
      <c r="E19" s="673" t="s">
        <v>460</v>
      </c>
      <c r="F19" s="674" t="s">
        <v>461</v>
      </c>
      <c r="G19" s="673" t="s">
        <v>435</v>
      </c>
      <c r="H19" s="673" t="s">
        <v>435</v>
      </c>
      <c r="I19" s="691"/>
      <c r="J19" s="723"/>
      <c r="K19" s="675"/>
      <c r="L19" s="675" t="s">
        <v>435</v>
      </c>
      <c r="M19" s="716"/>
      <c r="N19" s="723"/>
      <c r="O19" s="675"/>
      <c r="P19" s="675"/>
      <c r="Q19" s="716"/>
    </row>
    <row r="20" spans="2:17" ht="78" customHeight="1">
      <c r="B20" s="1128"/>
      <c r="C20" s="1128"/>
      <c r="D20" s="1127"/>
      <c r="E20" s="673" t="s">
        <v>462</v>
      </c>
      <c r="F20" s="674" t="s">
        <v>463</v>
      </c>
      <c r="G20" s="673" t="s">
        <v>435</v>
      </c>
      <c r="H20" s="673"/>
      <c r="I20" s="691"/>
      <c r="J20" s="723"/>
      <c r="K20" s="675"/>
      <c r="L20" s="675" t="s">
        <v>435</v>
      </c>
      <c r="M20" s="716"/>
      <c r="N20" s="723"/>
      <c r="O20" s="675"/>
      <c r="P20" s="675"/>
      <c r="Q20" s="716"/>
    </row>
    <row r="21" spans="2:17" ht="78" customHeight="1">
      <c r="B21" s="1128"/>
      <c r="C21" s="1128"/>
      <c r="D21" s="1127"/>
      <c r="E21" s="673" t="s">
        <v>464</v>
      </c>
      <c r="F21" s="674" t="s">
        <v>465</v>
      </c>
      <c r="G21" s="673"/>
      <c r="H21" s="673" t="s">
        <v>435</v>
      </c>
      <c r="I21" s="691" t="s">
        <v>435</v>
      </c>
      <c r="J21" s="723"/>
      <c r="K21" s="675" t="s">
        <v>435</v>
      </c>
      <c r="L21" s="675"/>
      <c r="M21" s="716"/>
      <c r="N21" s="723"/>
      <c r="O21" s="675"/>
      <c r="P21" s="675"/>
      <c r="Q21" s="716"/>
    </row>
    <row r="22" spans="2:17" ht="60">
      <c r="B22" s="1128"/>
      <c r="C22" s="1128"/>
      <c r="D22" s="1127"/>
      <c r="E22" s="676" t="s">
        <v>466</v>
      </c>
      <c r="F22" s="677" t="s">
        <v>467</v>
      </c>
      <c r="G22" s="676"/>
      <c r="H22" s="676" t="s">
        <v>435</v>
      </c>
      <c r="I22" s="692" t="s">
        <v>435</v>
      </c>
      <c r="J22" s="717"/>
      <c r="K22" s="678" t="s">
        <v>435</v>
      </c>
      <c r="L22" s="678"/>
      <c r="M22" s="718"/>
      <c r="N22" s="729"/>
      <c r="O22" s="678"/>
      <c r="P22" s="678"/>
      <c r="Q22" s="718"/>
    </row>
    <row r="23" spans="2:17" ht="62.25" customHeight="1" thickBot="1">
      <c r="B23" s="1128"/>
      <c r="C23" s="1128"/>
      <c r="D23" s="1127"/>
      <c r="E23" s="679" t="s">
        <v>468</v>
      </c>
      <c r="F23" s="680" t="s">
        <v>469</v>
      </c>
      <c r="G23" s="679" t="s">
        <v>435</v>
      </c>
      <c r="H23" s="679"/>
      <c r="I23" s="693"/>
      <c r="J23" s="724" t="s">
        <v>435</v>
      </c>
      <c r="K23" s="681"/>
      <c r="L23" s="681"/>
      <c r="M23" s="720"/>
      <c r="N23" s="719"/>
      <c r="O23" s="681"/>
      <c r="P23" s="681"/>
      <c r="Q23" s="720"/>
    </row>
    <row r="24" spans="2:17" ht="54" customHeight="1">
      <c r="B24" s="1119" t="s">
        <v>470</v>
      </c>
      <c r="C24" s="1119"/>
      <c r="D24" s="1123" t="s">
        <v>471</v>
      </c>
      <c r="E24" s="682" t="s">
        <v>472</v>
      </c>
      <c r="F24" s="683" t="s">
        <v>473</v>
      </c>
      <c r="G24" s="682"/>
      <c r="H24" s="682" t="s">
        <v>435</v>
      </c>
      <c r="I24" s="694" t="s">
        <v>435</v>
      </c>
      <c r="J24" s="721"/>
      <c r="K24" s="684"/>
      <c r="L24" s="684"/>
      <c r="M24" s="699" t="s">
        <v>435</v>
      </c>
      <c r="N24" s="732"/>
      <c r="O24" s="684"/>
      <c r="P24" s="684"/>
      <c r="Q24" s="699"/>
    </row>
    <row r="25" spans="2:17" ht="54" customHeight="1">
      <c r="B25" s="1119"/>
      <c r="C25" s="1119"/>
      <c r="D25" s="1123"/>
      <c r="E25" s="685" t="s">
        <v>474</v>
      </c>
      <c r="F25" s="686" t="s">
        <v>475</v>
      </c>
      <c r="G25" s="685" t="s">
        <v>435</v>
      </c>
      <c r="H25" s="685"/>
      <c r="I25" s="695"/>
      <c r="J25" s="725" t="s">
        <v>435</v>
      </c>
      <c r="K25" s="687"/>
      <c r="L25" s="687"/>
      <c r="M25" s="700"/>
      <c r="N25" s="725"/>
      <c r="O25" s="687"/>
      <c r="P25" s="687"/>
      <c r="Q25" s="700"/>
    </row>
    <row r="26" spans="2:17" ht="54" customHeight="1">
      <c r="B26" s="1119"/>
      <c r="C26" s="1119"/>
      <c r="D26" s="1123"/>
      <c r="E26" s="685" t="s">
        <v>476</v>
      </c>
      <c r="F26" s="686" t="s">
        <v>477</v>
      </c>
      <c r="G26" s="685" t="s">
        <v>435</v>
      </c>
      <c r="H26" s="685"/>
      <c r="I26" s="695"/>
      <c r="J26" s="722" t="s">
        <v>435</v>
      </c>
      <c r="K26" s="687"/>
      <c r="L26" s="687"/>
      <c r="M26" s="700"/>
      <c r="N26" s="725"/>
      <c r="O26" s="687"/>
      <c r="P26" s="687"/>
      <c r="Q26" s="700"/>
    </row>
    <row r="27" spans="2:17" ht="75">
      <c r="B27" s="1119"/>
      <c r="C27" s="1119"/>
      <c r="D27" s="1123"/>
      <c r="E27" s="685" t="s">
        <v>478</v>
      </c>
      <c r="F27" s="686" t="s">
        <v>479</v>
      </c>
      <c r="G27" s="685" t="s">
        <v>435</v>
      </c>
      <c r="H27" s="685"/>
      <c r="I27" s="695"/>
      <c r="J27" s="725" t="s">
        <v>435</v>
      </c>
      <c r="K27" s="687"/>
      <c r="L27" s="687"/>
      <c r="M27" s="700"/>
      <c r="N27" s="725"/>
      <c r="O27" s="687"/>
      <c r="P27" s="687"/>
      <c r="Q27" s="700"/>
    </row>
    <row r="28" spans="2:17" ht="60.4" thickBot="1">
      <c r="B28" s="1119"/>
      <c r="C28" s="1119"/>
      <c r="D28" s="1123"/>
      <c r="E28" s="688" t="s">
        <v>480</v>
      </c>
      <c r="F28" s="689" t="s">
        <v>481</v>
      </c>
      <c r="G28" s="688" t="s">
        <v>435</v>
      </c>
      <c r="H28" s="688"/>
      <c r="I28" s="696"/>
      <c r="J28" s="726"/>
      <c r="K28" s="690" t="s">
        <v>435</v>
      </c>
      <c r="L28" s="690"/>
      <c r="M28" s="701"/>
      <c r="N28" s="726"/>
      <c r="O28" s="690"/>
      <c r="P28" s="690"/>
      <c r="Q28" s="701"/>
    </row>
    <row r="29" spans="2:17" ht="15" customHeight="1">
      <c r="B29" s="1126" t="s">
        <v>482</v>
      </c>
      <c r="C29" s="1126"/>
      <c r="D29" s="1125" t="s">
        <v>483</v>
      </c>
      <c r="E29" s="702"/>
      <c r="F29" s="703"/>
      <c r="G29" s="702"/>
      <c r="H29" s="702"/>
      <c r="I29" s="704"/>
      <c r="J29" s="727"/>
      <c r="K29" s="705"/>
      <c r="L29" s="705"/>
      <c r="M29" s="728"/>
      <c r="N29" s="733"/>
      <c r="O29" s="706"/>
      <c r="P29" s="706"/>
      <c r="Q29" s="707"/>
    </row>
    <row r="30" spans="2:17">
      <c r="B30" s="1126"/>
      <c r="C30" s="1126"/>
      <c r="D30" s="1125"/>
      <c r="E30" s="676"/>
      <c r="F30" s="677"/>
      <c r="G30" s="676"/>
      <c r="H30" s="676"/>
      <c r="I30" s="692"/>
      <c r="J30" s="729"/>
      <c r="K30" s="678"/>
      <c r="L30" s="678"/>
      <c r="M30" s="718"/>
      <c r="N30" s="734"/>
      <c r="O30" s="664"/>
      <c r="P30" s="664"/>
      <c r="Q30" s="708"/>
    </row>
    <row r="31" spans="2:17">
      <c r="B31" s="1126"/>
      <c r="C31" s="1126"/>
      <c r="D31" s="1125"/>
      <c r="E31" s="676"/>
      <c r="F31" s="677"/>
      <c r="G31" s="676"/>
      <c r="H31" s="676"/>
      <c r="I31" s="692"/>
      <c r="J31" s="729"/>
      <c r="K31" s="678"/>
      <c r="L31" s="678"/>
      <c r="M31" s="718"/>
      <c r="N31" s="734"/>
      <c r="O31" s="664"/>
      <c r="P31" s="664"/>
      <c r="Q31" s="708"/>
    </row>
    <row r="32" spans="2:17" ht="71.25" customHeight="1">
      <c r="B32" s="1126"/>
      <c r="C32" s="1126"/>
      <c r="D32" s="1125"/>
      <c r="E32" s="676"/>
      <c r="F32" s="677"/>
      <c r="G32" s="676"/>
      <c r="H32" s="676"/>
      <c r="I32" s="692"/>
      <c r="J32" s="729"/>
      <c r="K32" s="678"/>
      <c r="L32" s="678"/>
      <c r="M32" s="718"/>
      <c r="N32" s="734"/>
      <c r="O32" s="664"/>
      <c r="P32" s="664"/>
      <c r="Q32" s="708"/>
    </row>
    <row r="33" spans="2:22" ht="51" customHeight="1">
      <c r="B33" s="1126"/>
      <c r="C33" s="1126"/>
      <c r="D33" s="1125"/>
      <c r="E33" s="709"/>
      <c r="F33" s="710"/>
      <c r="G33" s="709"/>
      <c r="H33" s="709"/>
      <c r="I33" s="711"/>
      <c r="J33" s="730"/>
      <c r="K33" s="712"/>
      <c r="L33" s="712"/>
      <c r="M33" s="731"/>
      <c r="N33" s="735"/>
      <c r="O33" s="713"/>
      <c r="P33" s="713"/>
      <c r="Q33" s="714"/>
    </row>
    <row r="34" spans="2:22" s="884" customFormat="1" ht="15" customHeight="1">
      <c r="B34" s="1119" t="s">
        <v>484</v>
      </c>
      <c r="C34" s="1120"/>
      <c r="D34" s="1123" t="s">
        <v>485</v>
      </c>
      <c r="E34" s="682" t="s">
        <v>486</v>
      </c>
      <c r="F34" s="683" t="s">
        <v>487</v>
      </c>
      <c r="G34" s="682" t="s">
        <v>435</v>
      </c>
      <c r="H34" s="682"/>
      <c r="I34" s="694"/>
      <c r="J34" s="732" t="s">
        <v>435</v>
      </c>
      <c r="K34" s="684"/>
      <c r="L34" s="684"/>
      <c r="M34" s="699"/>
      <c r="N34" s="732"/>
      <c r="O34" s="684"/>
      <c r="P34" s="684"/>
      <c r="Q34" s="699"/>
      <c r="R34" s="650"/>
      <c r="S34" s="650"/>
      <c r="T34" s="650"/>
      <c r="U34" s="650"/>
      <c r="V34" s="650"/>
    </row>
    <row r="35" spans="2:22" ht="90">
      <c r="B35" s="1121"/>
      <c r="C35" s="1122"/>
      <c r="D35" s="1124"/>
      <c r="E35" s="685" t="s">
        <v>488</v>
      </c>
      <c r="F35" s="686" t="s">
        <v>489</v>
      </c>
      <c r="G35" s="685" t="s">
        <v>435</v>
      </c>
      <c r="H35" s="685"/>
      <c r="I35" s="695"/>
      <c r="J35" s="725" t="s">
        <v>435</v>
      </c>
      <c r="K35" s="687"/>
      <c r="L35" s="687"/>
      <c r="M35" s="700"/>
      <c r="N35" s="725"/>
      <c r="O35" s="687"/>
      <c r="P35" s="687"/>
      <c r="Q35" s="700"/>
    </row>
    <row r="36" spans="2:22" ht="53.25" customHeight="1">
      <c r="B36" s="1121"/>
      <c r="C36" s="1122"/>
      <c r="D36" s="1124"/>
      <c r="E36" s="685" t="s">
        <v>490</v>
      </c>
      <c r="F36" s="686" t="s">
        <v>491</v>
      </c>
      <c r="G36" s="685" t="s">
        <v>435</v>
      </c>
      <c r="H36" s="685"/>
      <c r="I36" s="695"/>
      <c r="J36" s="725"/>
      <c r="K36" s="687" t="s">
        <v>435</v>
      </c>
      <c r="L36" s="687"/>
      <c r="M36" s="700"/>
      <c r="N36" s="725"/>
      <c r="O36" s="687"/>
      <c r="P36" s="687"/>
      <c r="Q36" s="700"/>
    </row>
    <row r="37" spans="2:22" s="650" customFormat="1"/>
    <row r="38" spans="2:22" s="650" customFormat="1"/>
    <row r="39" spans="2:22" s="650" customFormat="1"/>
    <row r="40" spans="2:22" s="650" customFormat="1"/>
    <row r="41" spans="2:22" s="650" customFormat="1"/>
    <row r="42" spans="2:22" s="650" customFormat="1"/>
    <row r="43" spans="2:22" s="650" customFormat="1"/>
    <row r="44" spans="2:22" s="650" customFormat="1"/>
    <row r="45" spans="2:22" s="650" customFormat="1"/>
    <row r="46" spans="2:22" s="650" customFormat="1"/>
    <row r="47" spans="2:22" s="650" customFormat="1"/>
    <row r="48" spans="2:22" s="650" customFormat="1"/>
    <row r="49" s="650" customFormat="1"/>
    <row r="50" s="650" customFormat="1"/>
    <row r="51" s="650" customFormat="1"/>
    <row r="52" s="650" customFormat="1"/>
    <row r="53" s="650" customFormat="1"/>
    <row r="54" s="650" customFormat="1"/>
    <row r="55" s="650" customFormat="1"/>
    <row r="56" s="650" customFormat="1"/>
    <row r="57" s="650" customFormat="1"/>
    <row r="58" s="650" customFormat="1"/>
    <row r="59" s="650" customFormat="1"/>
    <row r="60" s="650" customFormat="1"/>
    <row r="61" s="650" customFormat="1"/>
    <row r="62" s="650" customFormat="1"/>
    <row r="63" s="650" customFormat="1"/>
    <row r="64" s="650" customFormat="1"/>
    <row r="65" s="650" customFormat="1"/>
    <row r="66" s="650" customFormat="1"/>
    <row r="67" s="650" customFormat="1"/>
    <row r="68" s="650" customFormat="1"/>
    <row r="69" s="650" customFormat="1"/>
    <row r="70" s="650" customFormat="1"/>
    <row r="71" s="650" customFormat="1"/>
    <row r="72" s="650" customFormat="1"/>
    <row r="73" s="650" customFormat="1"/>
    <row r="74" s="650" customFormat="1"/>
    <row r="75" s="650" customFormat="1"/>
    <row r="76" s="650" customFormat="1"/>
    <row r="77" s="650" customFormat="1"/>
    <row r="78" s="650" customFormat="1"/>
    <row r="79" s="650" customFormat="1"/>
    <row r="80" s="650" customFormat="1"/>
    <row r="81" s="650" customFormat="1"/>
    <row r="82" s="650" customFormat="1"/>
    <row r="83" s="650" customFormat="1"/>
    <row r="84" s="650" customFormat="1"/>
    <row r="85" s="650" customFormat="1"/>
    <row r="86" s="650" customFormat="1"/>
    <row r="87" s="650" customFormat="1"/>
    <row r="88" s="650" customFormat="1"/>
    <row r="89" s="650" customFormat="1"/>
    <row r="90" s="650" customFormat="1"/>
    <row r="91" s="650" customFormat="1"/>
    <row r="92" s="650" customFormat="1"/>
    <row r="93" s="650" customFormat="1"/>
    <row r="94" s="650" customFormat="1"/>
    <row r="95" s="650" customFormat="1"/>
    <row r="96" s="650" customFormat="1"/>
    <row r="97" s="650" customFormat="1"/>
    <row r="98" s="650" customFormat="1"/>
    <row r="99" s="650" customFormat="1"/>
    <row r="100" s="650" customFormat="1"/>
    <row r="101" s="650" customFormat="1"/>
    <row r="102" s="650" customFormat="1"/>
    <row r="103" s="650" customFormat="1"/>
    <row r="104" s="650" customFormat="1"/>
    <row r="105" s="650" customFormat="1"/>
    <row r="106" s="650" customFormat="1"/>
    <row r="107" s="650" customFormat="1"/>
    <row r="108" s="650" customFormat="1"/>
    <row r="109" s="650" customFormat="1"/>
    <row r="110" s="650" customFormat="1"/>
    <row r="111" s="650" customFormat="1"/>
    <row r="112" s="650" customFormat="1"/>
    <row r="113" s="650" customFormat="1"/>
    <row r="114" s="650" customFormat="1"/>
    <row r="115" s="650" customFormat="1"/>
    <row r="116" s="650" customFormat="1"/>
    <row r="117" s="650" customFormat="1"/>
    <row r="118" s="650" customFormat="1"/>
    <row r="119" s="650" customFormat="1"/>
    <row r="120" s="650" customFormat="1"/>
    <row r="121" s="650" customFormat="1"/>
    <row r="122" s="650" customFormat="1"/>
    <row r="123" s="650" customFormat="1"/>
    <row r="124" s="650" customFormat="1"/>
    <row r="125" s="650" customFormat="1"/>
    <row r="126" s="650" customFormat="1"/>
    <row r="127" s="650" customFormat="1"/>
    <row r="128" s="650" customFormat="1"/>
    <row r="129" s="650" customFormat="1"/>
    <row r="130" s="650" customFormat="1"/>
    <row r="131" s="650" customFormat="1"/>
    <row r="132" s="650" customFormat="1"/>
    <row r="133" s="650" customFormat="1"/>
    <row r="134" s="650" customFormat="1"/>
    <row r="135" s="650" customFormat="1"/>
    <row r="136" s="650" customFormat="1"/>
    <row r="137" s="650" customFormat="1"/>
    <row r="138" s="650" customFormat="1"/>
    <row r="139" s="650" customFormat="1"/>
    <row r="140" s="650" customFormat="1"/>
    <row r="141" s="650" customFormat="1"/>
    <row r="142" s="650" customFormat="1"/>
    <row r="143" s="650" customFormat="1"/>
    <row r="144" s="650" customFormat="1"/>
    <row r="145" s="650" customFormat="1"/>
    <row r="146" s="650" customFormat="1"/>
    <row r="147" s="650" customFormat="1"/>
    <row r="148" s="650" customFormat="1"/>
    <row r="149" s="650" customFormat="1"/>
    <row r="150" s="650" customFormat="1"/>
    <row r="151" s="650" customFormat="1"/>
    <row r="152" s="650" customFormat="1"/>
    <row r="153" s="650" customFormat="1"/>
    <row r="154" s="650" customFormat="1"/>
    <row r="155" s="650" customFormat="1"/>
    <row r="156" s="650" customFormat="1"/>
    <row r="157" s="650" customFormat="1"/>
    <row r="158" s="650" customFormat="1"/>
    <row r="159" s="650" customFormat="1"/>
    <row r="160" s="650" customFormat="1"/>
    <row r="161" s="650" customFormat="1"/>
    <row r="162" s="650" customFormat="1"/>
    <row r="163" s="650" customFormat="1"/>
    <row r="164" s="650" customFormat="1"/>
    <row r="165" s="650" customFormat="1"/>
    <row r="166" s="650" customFormat="1"/>
    <row r="167" s="650" customFormat="1"/>
    <row r="168" s="650" customFormat="1"/>
    <row r="169" s="650" customFormat="1"/>
    <row r="170" s="650" customFormat="1"/>
    <row r="171" s="650" customFormat="1"/>
    <row r="172" s="650" customFormat="1"/>
    <row r="173" s="650" customFormat="1"/>
    <row r="174" s="650" customFormat="1"/>
    <row r="175" s="650" customFormat="1"/>
    <row r="176" s="650" customFormat="1"/>
    <row r="177" s="650" customFormat="1"/>
    <row r="178" s="650" customFormat="1"/>
    <row r="179" s="650" customFormat="1"/>
    <row r="180" s="650" customFormat="1"/>
    <row r="181" s="650" customFormat="1"/>
    <row r="182" s="650" customFormat="1"/>
    <row r="183" s="650" customFormat="1"/>
  </sheetData>
  <mergeCells count="36">
    <mergeCell ref="N8:N11"/>
    <mergeCell ref="O8:O11"/>
    <mergeCell ref="B34:C36"/>
    <mergeCell ref="D34:D36"/>
    <mergeCell ref="D29:D33"/>
    <mergeCell ref="B29:C33"/>
    <mergeCell ref="D8:D11"/>
    <mergeCell ref="D12:D17"/>
    <mergeCell ref="D18:D23"/>
    <mergeCell ref="D24:D28"/>
    <mergeCell ref="B8:C11"/>
    <mergeCell ref="B12:C17"/>
    <mergeCell ref="B18:C23"/>
    <mergeCell ref="B24:C28"/>
    <mergeCell ref="B2:I2"/>
    <mergeCell ref="D6:E7"/>
    <mergeCell ref="F6:F7"/>
    <mergeCell ref="G6:I6"/>
    <mergeCell ref="B6:C7"/>
    <mergeCell ref="B4:I4"/>
    <mergeCell ref="P8:P11"/>
    <mergeCell ref="Q8:Q11"/>
    <mergeCell ref="N12:N17"/>
    <mergeCell ref="O12:O17"/>
    <mergeCell ref="J4:M4"/>
    <mergeCell ref="N4:Q4"/>
    <mergeCell ref="J6:J7"/>
    <mergeCell ref="K6:K7"/>
    <mergeCell ref="L6:L7"/>
    <mergeCell ref="M6:M7"/>
    <mergeCell ref="N6:N7"/>
    <mergeCell ref="O6:O7"/>
    <mergeCell ref="P6:P7"/>
    <mergeCell ref="Q6:Q7"/>
    <mergeCell ref="P12:P17"/>
    <mergeCell ref="Q12:Q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D488-4BCD-4946-8EE6-738F437D8A78}">
  <sheetPr>
    <tabColor theme="7"/>
  </sheetPr>
  <dimension ref="A1:J16"/>
  <sheetViews>
    <sheetView topLeftCell="O5" workbookViewId="0">
      <selection activeCell="O5" sqref="O5"/>
    </sheetView>
  </sheetViews>
  <sheetFormatPr defaultColWidth="11.42578125" defaultRowHeight="14.65"/>
  <cols>
    <col min="3" max="3" width="17.140625" customWidth="1"/>
  </cols>
  <sheetData>
    <row r="1" spans="1:10" ht="20.100000000000001">
      <c r="A1" s="1130" t="s">
        <v>413</v>
      </c>
      <c r="B1" s="1130"/>
      <c r="C1" s="1130"/>
      <c r="D1" s="1130"/>
      <c r="E1" s="1131"/>
      <c r="F1" s="289"/>
    </row>
    <row r="3" spans="1:10" ht="15.4">
      <c r="A3" s="1132" t="s">
        <v>417</v>
      </c>
      <c r="B3" s="1133"/>
      <c r="C3" s="1136" t="s">
        <v>418</v>
      </c>
      <c r="D3" s="1138" t="s">
        <v>419</v>
      </c>
      <c r="E3" s="1138"/>
      <c r="F3" s="1138"/>
    </row>
    <row r="4" spans="1:10" ht="38.65">
      <c r="A4" s="1134"/>
      <c r="B4" s="1135"/>
      <c r="C4" s="1137"/>
      <c r="D4" s="223" t="s">
        <v>492</v>
      </c>
      <c r="E4" s="223" t="s">
        <v>493</v>
      </c>
      <c r="F4" s="223" t="s">
        <v>494</v>
      </c>
      <c r="G4" s="223" t="s">
        <v>420</v>
      </c>
      <c r="H4" s="223" t="s">
        <v>421</v>
      </c>
      <c r="I4" s="223" t="s">
        <v>422</v>
      </c>
      <c r="J4" s="223" t="s">
        <v>423</v>
      </c>
    </row>
    <row r="5" spans="1:10" ht="84.95">
      <c r="A5" s="1129" t="s">
        <v>432</v>
      </c>
      <c r="B5" s="220" t="s">
        <v>495</v>
      </c>
      <c r="C5" s="221" t="s">
        <v>496</v>
      </c>
      <c r="D5" s="220" t="s">
        <v>497</v>
      </c>
      <c r="E5" s="220"/>
      <c r="F5" s="220"/>
      <c r="G5" s="220" t="s">
        <v>435</v>
      </c>
      <c r="H5" s="2"/>
      <c r="I5" s="2"/>
      <c r="J5" s="2"/>
    </row>
    <row r="6" spans="1:10" ht="141.4">
      <c r="A6" s="1129"/>
      <c r="B6" s="220" t="s">
        <v>498</v>
      </c>
      <c r="C6" s="221" t="s">
        <v>499</v>
      </c>
      <c r="D6" s="220"/>
      <c r="E6" s="220" t="s">
        <v>497</v>
      </c>
      <c r="F6" s="220"/>
      <c r="G6" s="2"/>
      <c r="H6" s="2"/>
      <c r="I6" s="2" t="s">
        <v>435</v>
      </c>
      <c r="J6" s="2"/>
    </row>
    <row r="7" spans="1:10" ht="99">
      <c r="A7" s="1129"/>
      <c r="B7" s="220" t="s">
        <v>500</v>
      </c>
      <c r="C7" s="221" t="s">
        <v>501</v>
      </c>
      <c r="D7" s="220" t="s">
        <v>497</v>
      </c>
      <c r="E7" s="220"/>
      <c r="F7" s="220"/>
      <c r="G7" s="2"/>
      <c r="H7" s="2"/>
      <c r="I7" s="2"/>
      <c r="J7" s="2"/>
    </row>
    <row r="8" spans="1:10" ht="141.4">
      <c r="A8" s="1129" t="s">
        <v>443</v>
      </c>
      <c r="B8" s="220" t="s">
        <v>502</v>
      </c>
      <c r="C8" s="221" t="s">
        <v>503</v>
      </c>
      <c r="D8" s="220" t="s">
        <v>497</v>
      </c>
      <c r="E8" s="220"/>
      <c r="F8" s="220"/>
      <c r="G8" s="2"/>
      <c r="H8" s="2"/>
      <c r="I8" s="2"/>
      <c r="J8" s="2"/>
    </row>
    <row r="9" spans="1:10" ht="141.4">
      <c r="A9" s="1129"/>
      <c r="B9" s="220" t="s">
        <v>504</v>
      </c>
      <c r="C9" s="221" t="s">
        <v>505</v>
      </c>
      <c r="D9" s="220" t="s">
        <v>497</v>
      </c>
      <c r="E9" s="220"/>
      <c r="F9" s="220"/>
      <c r="G9" s="2"/>
      <c r="H9" s="2"/>
      <c r="I9" s="2"/>
      <c r="J9" s="2"/>
    </row>
    <row r="10" spans="1:10" ht="127.35">
      <c r="A10" s="1129"/>
      <c r="B10" s="220" t="s">
        <v>506</v>
      </c>
      <c r="C10" s="221" t="s">
        <v>507</v>
      </c>
      <c r="D10" s="220" t="s">
        <v>497</v>
      </c>
      <c r="E10" s="220"/>
      <c r="F10" s="220"/>
      <c r="G10" s="2"/>
      <c r="H10" s="2"/>
      <c r="I10" s="2"/>
      <c r="J10" s="2"/>
    </row>
    <row r="11" spans="1:10" ht="127.35">
      <c r="A11" s="222" t="s">
        <v>457</v>
      </c>
      <c r="B11" s="220" t="s">
        <v>508</v>
      </c>
      <c r="C11" s="221" t="s">
        <v>509</v>
      </c>
      <c r="D11" s="220"/>
      <c r="E11" s="220" t="s">
        <v>497</v>
      </c>
      <c r="F11" s="220"/>
      <c r="G11" s="2"/>
      <c r="H11" s="2"/>
      <c r="I11" s="2"/>
      <c r="J11" s="2"/>
    </row>
    <row r="12" spans="1:10" ht="155.65">
      <c r="A12" s="1129" t="s">
        <v>471</v>
      </c>
      <c r="B12" s="220" t="s">
        <v>510</v>
      </c>
      <c r="C12" s="221" t="s">
        <v>511</v>
      </c>
      <c r="D12" s="220"/>
      <c r="E12" s="220" t="s">
        <v>497</v>
      </c>
      <c r="F12" s="220"/>
      <c r="G12" s="2"/>
      <c r="H12" s="2"/>
      <c r="I12" s="2"/>
      <c r="J12" s="2"/>
    </row>
    <row r="13" spans="1:10" ht="155.65">
      <c r="A13" s="1129"/>
      <c r="B13" s="220" t="s">
        <v>512</v>
      </c>
      <c r="C13" s="221" t="s">
        <v>513</v>
      </c>
      <c r="D13" s="220" t="s">
        <v>497</v>
      </c>
      <c r="E13" s="220"/>
      <c r="F13" s="220"/>
      <c r="G13" s="2"/>
      <c r="H13" s="2"/>
      <c r="I13" s="2"/>
      <c r="J13" s="2"/>
    </row>
    <row r="14" spans="1:10" ht="70.7">
      <c r="A14" s="1129" t="s">
        <v>483</v>
      </c>
      <c r="B14" s="220" t="s">
        <v>514</v>
      </c>
      <c r="C14" s="221" t="s">
        <v>515</v>
      </c>
      <c r="D14" s="220" t="s">
        <v>497</v>
      </c>
      <c r="E14" s="220"/>
      <c r="F14" s="220"/>
      <c r="G14" s="2"/>
      <c r="H14" s="2"/>
      <c r="I14" s="2"/>
      <c r="J14" s="2"/>
    </row>
    <row r="15" spans="1:10" ht="84.95">
      <c r="A15" s="1129"/>
      <c r="B15" s="220" t="s">
        <v>516</v>
      </c>
      <c r="C15" s="221" t="s">
        <v>517</v>
      </c>
      <c r="D15" s="220"/>
      <c r="E15" s="220" t="s">
        <v>497</v>
      </c>
      <c r="F15" s="220"/>
      <c r="G15" s="2"/>
      <c r="H15" s="2"/>
      <c r="I15" s="2"/>
      <c r="J15" s="2"/>
    </row>
    <row r="16" spans="1:10" ht="70.7">
      <c r="A16" s="222" t="s">
        <v>485</v>
      </c>
      <c r="B16" s="220" t="s">
        <v>518</v>
      </c>
      <c r="C16" s="221" t="s">
        <v>519</v>
      </c>
      <c r="D16" s="220" t="s">
        <v>497</v>
      </c>
      <c r="E16" s="220"/>
      <c r="F16" s="220"/>
      <c r="G16" s="2"/>
      <c r="H16" s="2"/>
      <c r="I16" s="2"/>
      <c r="J16" s="2"/>
    </row>
  </sheetData>
  <mergeCells count="8">
    <mergeCell ref="A12:A13"/>
    <mergeCell ref="A14:A15"/>
    <mergeCell ref="A1:E1"/>
    <mergeCell ref="A3:B4"/>
    <mergeCell ref="C3:C4"/>
    <mergeCell ref="D3:F3"/>
    <mergeCell ref="A5:A7"/>
    <mergeCell ref="A8:A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1:O78"/>
  <sheetViews>
    <sheetView showGridLines="0" topLeftCell="A55" zoomScale="85" zoomScaleNormal="85" workbookViewId="0">
      <selection activeCell="J51" sqref="J51"/>
    </sheetView>
  </sheetViews>
  <sheetFormatPr defaultColWidth="11.42578125" defaultRowHeight="15"/>
  <cols>
    <col min="1" max="1" width="2" style="650" customWidth="1"/>
    <col min="2" max="2" width="69.7109375" style="650" customWidth="1"/>
    <col min="3" max="3" width="49.7109375" style="650" customWidth="1"/>
    <col min="4" max="4" width="37" style="650" customWidth="1"/>
    <col min="5" max="5" width="35" style="650" customWidth="1"/>
    <col min="6" max="6" width="28" style="650" customWidth="1"/>
    <col min="7" max="7" width="22.7109375" style="650" customWidth="1"/>
    <col min="8" max="8" width="25.85546875" style="650" customWidth="1"/>
    <col min="9" max="9" width="43.7109375" style="650" customWidth="1"/>
    <col min="10" max="10" width="14.7109375" style="650" customWidth="1"/>
    <col min="11" max="11" width="11.42578125" style="650"/>
    <col min="12" max="12" width="18.85546875" style="650" customWidth="1"/>
    <col min="13" max="13" width="14.42578125" style="650" customWidth="1"/>
    <col min="14" max="16384" width="11.42578125" style="650"/>
  </cols>
  <sheetData>
    <row r="1" spans="2:10" ht="15.4" thickBot="1"/>
    <row r="2" spans="2:10" ht="92.25" customHeight="1" thickBot="1">
      <c r="B2" s="1140" t="s">
        <v>520</v>
      </c>
      <c r="C2" s="1141"/>
      <c r="D2" s="1141"/>
      <c r="E2" s="1141"/>
      <c r="F2" s="1141"/>
      <c r="G2" s="1141"/>
      <c r="H2" s="1141"/>
      <c r="I2" s="1141"/>
      <c r="J2" s="1142"/>
    </row>
    <row r="3" spans="2:10">
      <c r="B3" s="736"/>
      <c r="C3" s="736"/>
      <c r="D3" s="736"/>
      <c r="E3" s="736"/>
      <c r="F3" s="736"/>
      <c r="G3" s="736"/>
      <c r="H3" s="736"/>
      <c r="I3" s="736"/>
      <c r="J3" s="736"/>
    </row>
    <row r="4" spans="2:10" ht="15.4" thickBot="1">
      <c r="B4" s="649"/>
      <c r="C4" s="649"/>
      <c r="D4" s="737"/>
      <c r="E4" s="737"/>
      <c r="F4" s="649"/>
      <c r="G4" s="649"/>
      <c r="H4" s="649"/>
      <c r="I4" s="649"/>
      <c r="J4" s="649"/>
    </row>
    <row r="5" spans="2:10" ht="15.4">
      <c r="B5" s="763" t="s">
        <v>521</v>
      </c>
      <c r="C5" s="742" t="s">
        <v>522</v>
      </c>
      <c r="D5" s="764">
        <v>1.96</v>
      </c>
      <c r="E5" s="649"/>
      <c r="F5" s="649"/>
      <c r="G5" s="649"/>
      <c r="I5" s="649"/>
      <c r="J5" s="649"/>
    </row>
    <row r="6" spans="2:10" ht="15.4">
      <c r="B6" s="655" t="s">
        <v>523</v>
      </c>
      <c r="C6" s="743" t="s">
        <v>524</v>
      </c>
      <c r="D6" s="762">
        <v>0.05</v>
      </c>
      <c r="E6" s="649"/>
      <c r="G6" s="649"/>
      <c r="I6" s="649"/>
      <c r="J6" s="649"/>
    </row>
    <row r="7" spans="2:10" ht="30">
      <c r="B7" s="655" t="s">
        <v>525</v>
      </c>
      <c r="C7" s="743" t="s">
        <v>526</v>
      </c>
      <c r="D7" s="744">
        <v>315000</v>
      </c>
      <c r="E7" s="870" t="s">
        <v>527</v>
      </c>
      <c r="F7" s="649"/>
      <c r="G7" s="737"/>
      <c r="I7" s="649"/>
      <c r="J7" s="649"/>
    </row>
    <row r="8" spans="2:10" ht="15.4">
      <c r="B8" s="655" t="s">
        <v>528</v>
      </c>
      <c r="C8" s="743" t="s">
        <v>529</v>
      </c>
      <c r="D8" s="661">
        <v>0.5</v>
      </c>
      <c r="E8" s="649"/>
      <c r="F8" s="738"/>
      <c r="G8" s="739"/>
      <c r="I8" s="649"/>
      <c r="J8" s="649"/>
    </row>
    <row r="9" spans="2:10" ht="15.95" thickBot="1">
      <c r="B9" s="1155" t="s">
        <v>530</v>
      </c>
      <c r="C9" s="1156"/>
      <c r="D9" s="775">
        <f>(D7*D8*D8*D5*D5)/((D6*D6*(D7-1)+D8*D8*D5*D5))</f>
        <v>383.69328279924639</v>
      </c>
      <c r="E9" s="649"/>
      <c r="F9" s="649"/>
      <c r="G9" s="649"/>
      <c r="H9" s="649"/>
      <c r="I9" s="649"/>
      <c r="J9" s="649"/>
    </row>
    <row r="10" spans="2:10">
      <c r="B10" s="649"/>
      <c r="C10" s="649"/>
      <c r="G10" s="649"/>
      <c r="H10" s="649"/>
      <c r="I10" s="649"/>
      <c r="J10" s="649"/>
    </row>
    <row r="11" spans="2:10" ht="15.4" thickBot="1"/>
    <row r="12" spans="2:10" ht="15.75" customHeight="1">
      <c r="B12" s="1157" t="s">
        <v>531</v>
      </c>
      <c r="C12" s="1158"/>
      <c r="D12" s="1158"/>
      <c r="E12" s="1158"/>
      <c r="F12" s="1158"/>
      <c r="G12" s="1159"/>
    </row>
    <row r="13" spans="2:10" ht="87.75" customHeight="1" thickBot="1">
      <c r="B13" s="1160"/>
      <c r="C13" s="1161"/>
      <c r="D13" s="1161"/>
      <c r="E13" s="1161"/>
      <c r="F13" s="1161"/>
      <c r="G13" s="1162"/>
    </row>
    <row r="14" spans="2:10" ht="21" customHeight="1">
      <c r="B14" s="736"/>
      <c r="C14" s="736"/>
      <c r="D14" s="736"/>
      <c r="E14" s="736"/>
      <c r="F14" s="736"/>
      <c r="G14" s="736"/>
    </row>
    <row r="15" spans="2:10" ht="21" customHeight="1">
      <c r="B15" s="736" t="s">
        <v>532</v>
      </c>
      <c r="C15" s="789">
        <v>0.3</v>
      </c>
      <c r="D15" s="736" t="s">
        <v>533</v>
      </c>
      <c r="E15" s="736"/>
      <c r="F15" s="736"/>
      <c r="G15" s="736"/>
    </row>
    <row r="16" spans="2:10" ht="24.75" customHeight="1">
      <c r="B16" s="736" t="s">
        <v>534</v>
      </c>
      <c r="C16" s="789">
        <v>0.25</v>
      </c>
      <c r="D16" s="736"/>
      <c r="E16" s="736"/>
      <c r="F16" s="736"/>
      <c r="G16" s="736"/>
    </row>
    <row r="17" spans="2:7" ht="37.5" customHeight="1">
      <c r="B17" s="736" t="s">
        <v>535</v>
      </c>
      <c r="C17" s="789">
        <v>0.2</v>
      </c>
      <c r="D17" s="871">
        <f>SUM(C15:C19)</f>
        <v>1</v>
      </c>
      <c r="E17" s="736"/>
      <c r="F17" s="736"/>
      <c r="G17" s="736"/>
    </row>
    <row r="18" spans="2:7" ht="21" customHeight="1">
      <c r="B18" s="736" t="s">
        <v>536</v>
      </c>
      <c r="C18" s="789">
        <v>0.15</v>
      </c>
      <c r="D18" s="736"/>
      <c r="E18" s="736"/>
      <c r="F18" s="736"/>
      <c r="G18" s="736"/>
    </row>
    <row r="19" spans="2:7" ht="21" customHeight="1">
      <c r="B19" s="736" t="s">
        <v>537</v>
      </c>
      <c r="C19" s="789">
        <v>0.1</v>
      </c>
      <c r="D19" s="736"/>
      <c r="E19" s="736"/>
      <c r="F19" s="736"/>
      <c r="G19" s="736"/>
    </row>
    <row r="20" spans="2:7" ht="21" customHeight="1">
      <c r="B20" s="736"/>
      <c r="C20" s="789"/>
      <c r="D20" s="736"/>
      <c r="E20" s="736"/>
      <c r="F20" s="736"/>
      <c r="G20" s="736"/>
    </row>
    <row r="21" spans="2:7" ht="21" customHeight="1">
      <c r="B21" s="736"/>
      <c r="C21" s="736"/>
      <c r="D21" s="736"/>
      <c r="E21" s="736"/>
      <c r="F21" s="736"/>
      <c r="G21" s="736"/>
    </row>
    <row r="22" spans="2:7" ht="21" customHeight="1">
      <c r="B22" s="876"/>
      <c r="C22" s="877" t="s">
        <v>538</v>
      </c>
      <c r="D22" s="878" t="s">
        <v>539</v>
      </c>
      <c r="E22" s="879" t="s">
        <v>540</v>
      </c>
      <c r="F22" s="880" t="s">
        <v>541</v>
      </c>
      <c r="G22" s="736"/>
    </row>
    <row r="23" spans="2:7" ht="19.5" customHeight="1">
      <c r="B23" s="872" t="s">
        <v>542</v>
      </c>
      <c r="C23" s="790">
        <v>5</v>
      </c>
      <c r="D23" s="791">
        <v>1</v>
      </c>
      <c r="E23" s="741">
        <v>1</v>
      </c>
      <c r="F23" s="883">
        <v>1</v>
      </c>
      <c r="G23" s="736"/>
    </row>
    <row r="24" spans="2:7" ht="19.5" customHeight="1">
      <c r="B24" s="873" t="s">
        <v>543</v>
      </c>
      <c r="C24" s="874" t="s">
        <v>544</v>
      </c>
      <c r="D24" s="875" t="s">
        <v>545</v>
      </c>
      <c r="E24" s="882" t="s">
        <v>545</v>
      </c>
      <c r="F24" s="881" t="s">
        <v>546</v>
      </c>
      <c r="G24" s="736"/>
    </row>
    <row r="25" spans="2:7" ht="19.5" customHeight="1"/>
    <row r="26" spans="2:7" ht="36.75" customHeight="1" thickBot="1">
      <c r="B26" s="747" t="s">
        <v>547</v>
      </c>
      <c r="C26" s="746" t="s">
        <v>548</v>
      </c>
      <c r="D26" s="670"/>
      <c r="E26" s="765" t="s">
        <v>549</v>
      </c>
      <c r="F26" s="766">
        <v>0.6</v>
      </c>
    </row>
    <row r="27" spans="2:7" ht="15.4">
      <c r="B27" s="776" t="s">
        <v>550</v>
      </c>
      <c r="C27" s="745">
        <f>D7</f>
        <v>315000</v>
      </c>
    </row>
    <row r="28" spans="2:7" ht="15.95" thickBot="1">
      <c r="B28" s="770" t="s">
        <v>551</v>
      </c>
      <c r="C28" s="777">
        <f>100</f>
        <v>100</v>
      </c>
      <c r="D28" s="670">
        <v>100</v>
      </c>
      <c r="E28" s="670"/>
    </row>
    <row r="29" spans="2:7" ht="15.4" thickBot="1">
      <c r="C29" s="741"/>
      <c r="D29" s="670"/>
      <c r="E29" s="670"/>
    </row>
    <row r="30" spans="2:7" ht="15.95" thickBot="1">
      <c r="B30" s="778" t="s">
        <v>552</v>
      </c>
      <c r="C30" s="779" t="s">
        <v>553</v>
      </c>
      <c r="D30" s="780" t="s">
        <v>554</v>
      </c>
      <c r="E30" s="781" t="s">
        <v>555</v>
      </c>
      <c r="F30" s="782" t="s">
        <v>556</v>
      </c>
    </row>
    <row r="31" spans="2:7">
      <c r="B31" s="1143">
        <v>1</v>
      </c>
      <c r="C31" s="1145" t="s">
        <v>557</v>
      </c>
      <c r="D31" s="748" t="s">
        <v>558</v>
      </c>
      <c r="E31" s="749">
        <f>C28*F26</f>
        <v>60</v>
      </c>
      <c r="F31" s="760">
        <f>E31/C28</f>
        <v>0.6</v>
      </c>
    </row>
    <row r="32" spans="2:7" ht="15.4" thickBot="1">
      <c r="B32" s="1144"/>
      <c r="C32" s="1146"/>
      <c r="D32" s="750" t="s">
        <v>2</v>
      </c>
      <c r="E32" s="751">
        <f>+C28-E31</f>
        <v>40</v>
      </c>
      <c r="F32" s="752">
        <f>E32/C28</f>
        <v>0.4</v>
      </c>
    </row>
    <row r="33" spans="2:7">
      <c r="B33" s="1147">
        <v>2</v>
      </c>
      <c r="C33" s="1148" t="s">
        <v>559</v>
      </c>
      <c r="D33" s="666">
        <v>3</v>
      </c>
      <c r="E33" s="666">
        <v>40</v>
      </c>
      <c r="F33" s="754">
        <f>+E33/$C$28</f>
        <v>0.4</v>
      </c>
      <c r="G33" s="757"/>
    </row>
    <row r="34" spans="2:7">
      <c r="B34" s="1147"/>
      <c r="C34" s="1148"/>
      <c r="D34" s="666">
        <v>4</v>
      </c>
      <c r="E34" s="666">
        <v>12</v>
      </c>
      <c r="F34" s="754">
        <f>+E34/$C$28</f>
        <v>0.12</v>
      </c>
      <c r="G34" s="757"/>
    </row>
    <row r="35" spans="2:7">
      <c r="B35" s="1147"/>
      <c r="C35" s="1148"/>
      <c r="D35" s="666">
        <v>5</v>
      </c>
      <c r="E35" s="666">
        <v>26</v>
      </c>
      <c r="F35" s="754">
        <f>+E35/$C$28</f>
        <v>0.26</v>
      </c>
      <c r="G35" s="757"/>
    </row>
    <row r="36" spans="2:7" ht="15.4" thickBot="1">
      <c r="B36" s="1147"/>
      <c r="C36" s="1148"/>
      <c r="D36" s="666">
        <v>6</v>
      </c>
      <c r="E36" s="753">
        <v>22</v>
      </c>
      <c r="F36" s="754">
        <f>+E36/$C$28</f>
        <v>0.22</v>
      </c>
      <c r="G36" s="761">
        <f>C28-E37</f>
        <v>0</v>
      </c>
    </row>
    <row r="37" spans="2:7" ht="15.95" thickBot="1">
      <c r="B37" s="758">
        <v>3</v>
      </c>
      <c r="C37" s="759" t="s">
        <v>560</v>
      </c>
      <c r="D37" s="755"/>
      <c r="E37" s="756">
        <f>SUM(E33:E36)</f>
        <v>100</v>
      </c>
      <c r="F37" s="885">
        <f>SUM(F33:F36)</f>
        <v>1</v>
      </c>
    </row>
    <row r="38" spans="2:7" ht="15.4" thickBot="1"/>
    <row r="39" spans="2:7" ht="15.95" thickBot="1">
      <c r="B39" s="1149" t="s">
        <v>561</v>
      </c>
      <c r="C39" s="1150"/>
      <c r="D39" s="1150"/>
      <c r="E39" s="1150"/>
      <c r="F39" s="1151"/>
    </row>
    <row r="40" spans="2:7" ht="4.5" customHeight="1" thickBot="1"/>
    <row r="41" spans="2:7" ht="19.5" customHeight="1">
      <c r="B41" s="740" t="s">
        <v>562</v>
      </c>
      <c r="C41" s="767">
        <f>+D7</f>
        <v>315000</v>
      </c>
      <c r="D41" s="652"/>
    </row>
    <row r="42" spans="2:7">
      <c r="B42" s="768" t="s">
        <v>563</v>
      </c>
      <c r="C42" s="769">
        <f>F34+F35+F36</f>
        <v>0.6</v>
      </c>
    </row>
    <row r="43" spans="2:7" ht="15.95" thickBot="1">
      <c r="B43" s="770" t="s">
        <v>564</v>
      </c>
      <c r="C43" s="771">
        <f>+C41*C42</f>
        <v>189000</v>
      </c>
      <c r="D43" s="652"/>
    </row>
    <row r="44" spans="2:7" ht="4.5" customHeight="1" thickBot="1"/>
    <row r="45" spans="2:7">
      <c r="B45" s="772" t="s">
        <v>565</v>
      </c>
      <c r="C45" s="773">
        <f>+F31</f>
        <v>0.6</v>
      </c>
    </row>
    <row r="46" spans="2:7" ht="15.4">
      <c r="B46" s="774" t="s">
        <v>564</v>
      </c>
      <c r="C46" s="771">
        <f>+C43*C45</f>
        <v>113400</v>
      </c>
    </row>
    <row r="47" spans="2:7">
      <c r="C47" s="670"/>
      <c r="D47" s="670"/>
    </row>
    <row r="48" spans="2:7" ht="15.4" thickBot="1"/>
    <row r="49" spans="2:12" s="649" customFormat="1" ht="15.4">
      <c r="B49" s="1152" t="s">
        <v>566</v>
      </c>
      <c r="C49" s="1153"/>
      <c r="D49" s="1153"/>
      <c r="E49" s="778" t="s">
        <v>567</v>
      </c>
      <c r="F49" s="781" t="s">
        <v>568</v>
      </c>
      <c r="G49" s="782" t="s">
        <v>569</v>
      </c>
    </row>
    <row r="50" spans="2:12" s="649" customFormat="1" ht="15.4">
      <c r="B50" s="783" t="s">
        <v>570</v>
      </c>
      <c r="C50" s="784">
        <v>1</v>
      </c>
      <c r="E50" s="785">
        <f>C46*C50</f>
        <v>113400</v>
      </c>
      <c r="F50" s="786">
        <f>E50*1</f>
        <v>113400</v>
      </c>
      <c r="G50" s="787">
        <f>F50*12</f>
        <v>1360800</v>
      </c>
      <c r="L50" s="788"/>
    </row>
    <row r="51" spans="2:12" s="649" customFormat="1" ht="15.4">
      <c r="L51" s="788"/>
    </row>
    <row r="52" spans="2:12" s="649" customFormat="1" ht="24.75" customHeight="1">
      <c r="B52" s="778" t="s">
        <v>571</v>
      </c>
      <c r="C52" s="779" t="s">
        <v>572</v>
      </c>
      <c r="D52" s="782" t="s">
        <v>573</v>
      </c>
    </row>
    <row r="53" spans="2:12" s="649" customFormat="1" ht="12" customHeight="1">
      <c r="B53" s="792">
        <v>2025</v>
      </c>
      <c r="C53" s="793">
        <v>315329</v>
      </c>
      <c r="D53" s="794"/>
      <c r="E53" s="799"/>
      <c r="K53" s="795"/>
      <c r="L53" s="795"/>
    </row>
    <row r="54" spans="2:12" s="649" customFormat="1" ht="66.75" customHeight="1">
      <c r="B54" s="796">
        <v>2026</v>
      </c>
      <c r="C54" s="797">
        <v>318597</v>
      </c>
      <c r="D54" s="798">
        <f>+C54/C53-1</f>
        <v>1.0363778783429423E-2</v>
      </c>
      <c r="E54" s="799"/>
      <c r="I54" s="870" t="s">
        <v>574</v>
      </c>
      <c r="K54" s="795"/>
      <c r="L54" s="795"/>
    </row>
    <row r="55" spans="2:12" s="649" customFormat="1" ht="12" customHeight="1">
      <c r="B55" s="796">
        <v>2027</v>
      </c>
      <c r="C55" s="797">
        <v>322031</v>
      </c>
      <c r="D55" s="798">
        <f>+C55/C54-1</f>
        <v>1.0778507016701244E-2</v>
      </c>
      <c r="E55" s="800"/>
      <c r="K55" s="795"/>
      <c r="L55" s="795"/>
    </row>
    <row r="56" spans="2:12" s="649" customFormat="1" ht="12" customHeight="1">
      <c r="B56" s="796">
        <v>2028</v>
      </c>
      <c r="C56" s="797">
        <v>325477</v>
      </c>
      <c r="D56" s="798">
        <f>+C56/C55-1</f>
        <v>1.0700833149603683E-2</v>
      </c>
      <c r="E56" s="800"/>
      <c r="J56" s="801"/>
      <c r="K56" s="802"/>
      <c r="L56" s="802"/>
    </row>
    <row r="57" spans="2:12" s="649" customFormat="1" ht="12" customHeight="1">
      <c r="B57" s="803">
        <v>2029</v>
      </c>
      <c r="C57" s="804">
        <v>329023</v>
      </c>
      <c r="D57" s="805">
        <v>1.9599999999999999E-2</v>
      </c>
      <c r="E57" s="800"/>
    </row>
    <row r="58" spans="2:12" s="649" customFormat="1" ht="12" customHeight="1">
      <c r="B58" s="666"/>
      <c r="C58" s="797"/>
      <c r="D58" s="797"/>
      <c r="E58" s="806"/>
      <c r="F58" s="800"/>
    </row>
    <row r="59" spans="2:12" s="649" customFormat="1">
      <c r="D59" s="807"/>
      <c r="G59" s="666"/>
      <c r="L59" s="795"/>
    </row>
    <row r="60" spans="2:12" s="649" customFormat="1" ht="16.5" customHeight="1">
      <c r="B60" s="1154" t="s">
        <v>575</v>
      </c>
      <c r="C60" s="1154"/>
      <c r="D60" s="1154"/>
      <c r="E60" s="1154"/>
      <c r="F60" s="1154"/>
      <c r="G60" s="1154"/>
      <c r="H60" s="1154"/>
      <c r="L60" s="795"/>
    </row>
    <row r="61" spans="2:12" s="649" customFormat="1" ht="6" customHeight="1" thickBot="1">
      <c r="L61" s="795"/>
    </row>
    <row r="62" spans="2:12" s="649" customFormat="1" ht="15.75" customHeight="1">
      <c r="B62" s="814"/>
      <c r="C62" s="815">
        <v>2025</v>
      </c>
      <c r="D62" s="815">
        <f>+C62+1</f>
        <v>2026</v>
      </c>
      <c r="E62" s="815">
        <f t="shared" ref="E62:H62" si="0">+D62+1</f>
        <v>2027</v>
      </c>
      <c r="F62" s="815">
        <f t="shared" si="0"/>
        <v>2028</v>
      </c>
      <c r="G62" s="815">
        <f t="shared" si="0"/>
        <v>2029</v>
      </c>
      <c r="H62" s="816">
        <f t="shared" si="0"/>
        <v>2030</v>
      </c>
      <c r="L62" s="795"/>
    </row>
    <row r="63" spans="2:12" s="649" customFormat="1" ht="15.95" thickBot="1">
      <c r="B63" s="817"/>
      <c r="C63" s="818">
        <v>1</v>
      </c>
      <c r="D63" s="818">
        <v>2</v>
      </c>
      <c r="E63" s="818">
        <v>3</v>
      </c>
      <c r="F63" s="818">
        <v>4</v>
      </c>
      <c r="G63" s="818">
        <v>5</v>
      </c>
      <c r="H63" s="819">
        <v>6</v>
      </c>
      <c r="L63" s="795"/>
    </row>
    <row r="64" spans="2:12" s="649" customFormat="1" ht="19.5" customHeight="1">
      <c r="B64" s="808" t="s">
        <v>570</v>
      </c>
      <c r="C64" s="795">
        <f>G50</f>
        <v>1360800</v>
      </c>
      <c r="D64" s="795">
        <f>C64+C64*D54</f>
        <v>1374903.0301684907</v>
      </c>
      <c r="E64" s="795">
        <f>D64+D64*D55</f>
        <v>1389722.4321264457</v>
      </c>
      <c r="F64" s="795">
        <f>E64+E64*D56</f>
        <v>1404593.6199968923</v>
      </c>
      <c r="G64" s="795">
        <f>F64+F64*D57</f>
        <v>1432123.6549488313</v>
      </c>
      <c r="H64" s="975">
        <f>G64+G64*E57</f>
        <v>1432123.6549488313</v>
      </c>
      <c r="J64" s="809"/>
    </row>
    <row r="65" spans="2:15" s="649" customFormat="1" ht="19.5" customHeight="1" thickBot="1">
      <c r="B65" s="810"/>
      <c r="C65" s="811"/>
      <c r="D65" s="811"/>
      <c r="E65" s="811"/>
      <c r="F65" s="811"/>
      <c r="G65" s="811"/>
      <c r="H65" s="812"/>
      <c r="J65" s="809"/>
    </row>
    <row r="66" spans="2:15" s="649" customFormat="1" ht="15.4" thickBot="1">
      <c r="C66" s="738"/>
      <c r="D66" s="738"/>
      <c r="E66" s="738"/>
      <c r="F66" s="738"/>
      <c r="G66" s="738"/>
      <c r="H66" s="738"/>
      <c r="J66" s="809"/>
    </row>
    <row r="67" spans="2:15" s="649" customFormat="1">
      <c r="C67" s="809"/>
      <c r="D67" s="813"/>
    </row>
    <row r="68" spans="2:15" s="649" customFormat="1">
      <c r="C68" s="809"/>
      <c r="D68" s="890"/>
    </row>
    <row r="69" spans="2:15" s="649" customFormat="1">
      <c r="B69" s="650"/>
      <c r="C69" s="887"/>
      <c r="D69" s="888"/>
      <c r="E69" s="650"/>
      <c r="F69" s="650"/>
      <c r="G69" s="650"/>
      <c r="H69" s="650"/>
      <c r="I69" s="650"/>
      <c r="J69" s="650"/>
      <c r="K69" s="650"/>
      <c r="L69" s="650"/>
      <c r="M69" s="650"/>
      <c r="N69" s="650"/>
      <c r="O69" s="650"/>
    </row>
    <row r="70" spans="2:15" s="649" customFormat="1" ht="20.25" customHeight="1">
      <c r="B70" s="741"/>
      <c r="C70" s="1139"/>
      <c r="D70" s="1139"/>
      <c r="E70" s="1139"/>
      <c r="F70" s="1139"/>
      <c r="G70" s="1139"/>
      <c r="H70" s="1139"/>
      <c r="I70" s="650"/>
      <c r="J70" s="650"/>
      <c r="K70" s="650"/>
      <c r="L70" s="650"/>
      <c r="M70" s="650"/>
      <c r="N70" s="650"/>
      <c r="O70" s="650"/>
    </row>
    <row r="71" spans="2:15" s="649" customFormat="1" ht="20.25" customHeight="1">
      <c r="B71" s="891"/>
      <c r="C71" s="889"/>
      <c r="D71" s="889"/>
      <c r="E71" s="889"/>
      <c r="F71" s="889"/>
      <c r="G71" s="889"/>
      <c r="H71" s="889"/>
      <c r="I71" s="650"/>
      <c r="J71" s="650"/>
      <c r="K71" s="650"/>
      <c r="L71" s="650"/>
      <c r="M71" s="650"/>
      <c r="N71" s="650"/>
      <c r="O71" s="650"/>
    </row>
    <row r="72" spans="2:15" s="649" customFormat="1" ht="20.25" customHeight="1">
      <c r="B72" s="891"/>
      <c r="C72" s="889"/>
      <c r="D72" s="889"/>
      <c r="E72" s="889"/>
      <c r="F72" s="889"/>
      <c r="G72" s="889"/>
      <c r="H72" s="889"/>
      <c r="I72" s="650"/>
      <c r="J72" s="650"/>
      <c r="K72" s="650"/>
      <c r="L72" s="650"/>
      <c r="M72" s="650"/>
      <c r="N72" s="650"/>
      <c r="O72" s="650"/>
    </row>
    <row r="73" spans="2:15" s="649" customFormat="1" ht="19.5" customHeight="1">
      <c r="B73" s="892"/>
      <c r="C73" s="886"/>
      <c r="D73" s="886"/>
      <c r="E73" s="886"/>
      <c r="F73" s="886"/>
      <c r="G73" s="886"/>
      <c r="H73" s="886"/>
      <c r="I73" s="650"/>
      <c r="J73" s="650"/>
      <c r="K73" s="650"/>
      <c r="L73" s="650"/>
      <c r="M73" s="650"/>
      <c r="N73" s="650"/>
      <c r="O73" s="650"/>
    </row>
    <row r="74" spans="2:15" s="649" customFormat="1" ht="19.5" customHeight="1">
      <c r="B74" s="892"/>
      <c r="C74" s="886"/>
      <c r="D74" s="886"/>
      <c r="E74" s="886"/>
      <c r="F74" s="886"/>
      <c r="G74" s="886"/>
      <c r="H74" s="886"/>
      <c r="I74" s="650"/>
      <c r="J74" s="650"/>
      <c r="K74" s="650"/>
      <c r="L74" s="650"/>
      <c r="M74" s="650"/>
      <c r="N74" s="650"/>
      <c r="O74" s="650"/>
    </row>
    <row r="75" spans="2:15" s="649" customFormat="1">
      <c r="B75" s="650"/>
      <c r="C75" s="650"/>
      <c r="D75" s="893"/>
      <c r="E75" s="893"/>
      <c r="F75" s="893"/>
      <c r="G75" s="893"/>
      <c r="H75" s="893"/>
      <c r="I75" s="650"/>
      <c r="J75" s="650"/>
      <c r="K75" s="650"/>
      <c r="L75" s="650"/>
      <c r="M75" s="650"/>
      <c r="N75" s="650"/>
      <c r="O75" s="650"/>
    </row>
    <row r="76" spans="2:15" s="649" customFormat="1" ht="23.25" customHeight="1">
      <c r="D76" s="894"/>
      <c r="E76" s="895"/>
      <c r="F76" s="895"/>
      <c r="G76" s="895"/>
      <c r="H76" s="895"/>
    </row>
    <row r="77" spans="2:15" s="649" customFormat="1"/>
    <row r="78" spans="2:15" s="649" customFormat="1"/>
  </sheetData>
  <mergeCells count="11">
    <mergeCell ref="C70:H70"/>
    <mergeCell ref="B2:J2"/>
    <mergeCell ref="B31:B32"/>
    <mergeCell ref="C31:C32"/>
    <mergeCell ref="B33:B36"/>
    <mergeCell ref="C33:C36"/>
    <mergeCell ref="B39:F39"/>
    <mergeCell ref="B49:D49"/>
    <mergeCell ref="B60:H60"/>
    <mergeCell ref="B9:C9"/>
    <mergeCell ref="B12:G13"/>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1064-C9F4-4988-B825-C58132A2F1A1}">
  <dimension ref="A1:M45"/>
  <sheetViews>
    <sheetView workbookViewId="0">
      <selection activeCell="O23" sqref="O23"/>
    </sheetView>
  </sheetViews>
  <sheetFormatPr defaultColWidth="9.140625" defaultRowHeight="14.65"/>
  <cols>
    <col min="1" max="1" width="9.140625" style="577"/>
    <col min="2" max="6" width="21.7109375" style="577" customWidth="1"/>
    <col min="7" max="7" width="42.7109375" style="577" customWidth="1"/>
    <col min="8" max="8" width="36.42578125" style="577" bestFit="1" customWidth="1"/>
    <col min="9" max="16384" width="9.140625" style="577"/>
  </cols>
  <sheetData>
    <row r="1" spans="1:13" ht="15">
      <c r="A1" s="855"/>
      <c r="B1" s="855"/>
      <c r="C1" s="855"/>
      <c r="D1" s="855"/>
      <c r="E1" s="855"/>
      <c r="F1" s="855"/>
      <c r="G1" s="855"/>
      <c r="H1" s="855"/>
      <c r="I1" s="855"/>
      <c r="J1" s="855"/>
      <c r="K1" s="855"/>
      <c r="L1" s="855"/>
      <c r="M1" s="855"/>
    </row>
    <row r="2" spans="1:13" ht="15">
      <c r="A2" s="855"/>
      <c r="B2" s="1163" t="s">
        <v>576</v>
      </c>
      <c r="C2" s="1163"/>
      <c r="D2" s="1163"/>
      <c r="E2" s="1164"/>
      <c r="F2" s="1164"/>
      <c r="G2" s="1163"/>
      <c r="H2" s="855"/>
      <c r="I2" s="855"/>
      <c r="J2" s="855"/>
      <c r="K2" s="855"/>
      <c r="L2" s="855"/>
      <c r="M2" s="855"/>
    </row>
    <row r="3" spans="1:13" ht="15">
      <c r="A3" s="855"/>
      <c r="B3" s="1163"/>
      <c r="C3" s="1163"/>
      <c r="D3" s="1163"/>
      <c r="E3" s="1165"/>
      <c r="F3" s="1165"/>
      <c r="G3" s="1163"/>
      <c r="H3" s="855"/>
      <c r="I3" s="855"/>
      <c r="J3" s="855"/>
      <c r="K3" s="855"/>
      <c r="L3" s="855"/>
      <c r="M3" s="855"/>
    </row>
    <row r="4" spans="1:13" ht="15">
      <c r="A4" s="855"/>
      <c r="B4" s="1163"/>
      <c r="C4" s="1163"/>
      <c r="D4" s="1163"/>
      <c r="E4" s="1166"/>
      <c r="F4" s="1166"/>
      <c r="G4" s="1163"/>
      <c r="H4" s="855"/>
      <c r="I4" s="855"/>
      <c r="J4" s="855"/>
      <c r="K4" s="855"/>
      <c r="L4" s="855"/>
      <c r="M4" s="855"/>
    </row>
    <row r="5" spans="1:13" ht="15">
      <c r="A5" s="855"/>
      <c r="B5" s="855"/>
      <c r="C5" s="855"/>
      <c r="D5" s="855"/>
      <c r="E5" s="855"/>
      <c r="F5" s="855"/>
      <c r="G5" s="855"/>
      <c r="H5" s="855"/>
      <c r="I5" s="855"/>
      <c r="J5" s="855"/>
      <c r="K5" s="855"/>
      <c r="L5" s="855"/>
      <c r="M5" s="855"/>
    </row>
    <row r="6" spans="1:13" ht="30">
      <c r="A6" s="855"/>
      <c r="B6" s="908" t="s">
        <v>577</v>
      </c>
      <c r="C6" s="908" t="s">
        <v>578</v>
      </c>
      <c r="D6" s="909" t="s">
        <v>579</v>
      </c>
      <c r="E6" s="909" t="s">
        <v>580</v>
      </c>
      <c r="F6" s="909" t="s">
        <v>581</v>
      </c>
      <c r="G6" s="855"/>
      <c r="H6" s="907" t="s">
        <v>582</v>
      </c>
      <c r="I6" s="855"/>
      <c r="J6" s="855"/>
      <c r="K6" s="855"/>
      <c r="L6" s="855"/>
      <c r="M6" s="855"/>
    </row>
    <row r="7" spans="1:13" ht="15">
      <c r="A7" s="855"/>
      <c r="B7" s="856" t="s">
        <v>583</v>
      </c>
      <c r="C7" s="855">
        <v>2010</v>
      </c>
      <c r="D7" s="855">
        <v>50</v>
      </c>
      <c r="E7" s="855">
        <v>100000</v>
      </c>
      <c r="F7" s="976">
        <f>(E7/D7)^(1/(2024-C7))-1</f>
        <v>0.72102768599031353</v>
      </c>
      <c r="G7" s="855"/>
      <c r="H7" s="855"/>
      <c r="I7" s="855"/>
      <c r="J7" s="855"/>
      <c r="K7" s="855"/>
      <c r="L7" s="855"/>
      <c r="M7" s="855"/>
    </row>
    <row r="8" spans="1:13" ht="15">
      <c r="A8" s="855"/>
      <c r="B8" s="856" t="s">
        <v>584</v>
      </c>
      <c r="C8" s="855">
        <v>2016</v>
      </c>
      <c r="D8" s="855">
        <v>50</v>
      </c>
      <c r="E8" s="855">
        <v>10000</v>
      </c>
      <c r="F8" s="976">
        <f>(E8/D8)^(1/(2024-C8))-1</f>
        <v>0.9392274474868576</v>
      </c>
      <c r="G8" s="855"/>
      <c r="H8" s="855"/>
      <c r="I8" s="855"/>
      <c r="J8" s="855"/>
      <c r="K8" s="855"/>
      <c r="L8" s="855"/>
      <c r="M8" s="855"/>
    </row>
    <row r="9" spans="1:13" ht="15">
      <c r="A9" s="855"/>
      <c r="B9" s="855"/>
      <c r="C9" s="855"/>
      <c r="D9" s="855"/>
      <c r="E9" s="855"/>
      <c r="F9" s="855"/>
      <c r="G9" s="855"/>
      <c r="H9" s="855"/>
      <c r="I9" s="855"/>
      <c r="J9" s="855"/>
      <c r="K9" s="855"/>
      <c r="L9" s="855"/>
      <c r="M9" s="855"/>
    </row>
    <row r="10" spans="1:13" ht="15">
      <c r="A10" s="855"/>
      <c r="B10" s="906"/>
      <c r="C10" s="906"/>
      <c r="D10" s="906"/>
      <c r="E10" s="906"/>
      <c r="F10" s="906"/>
      <c r="G10" s="855"/>
      <c r="H10" s="855"/>
      <c r="I10" s="855"/>
      <c r="J10" s="855"/>
      <c r="K10" s="855"/>
      <c r="L10" s="855"/>
      <c r="M10" s="855"/>
    </row>
    <row r="11" spans="1:13" ht="15">
      <c r="A11" s="855"/>
      <c r="B11" s="896"/>
      <c r="C11" s="896"/>
      <c r="D11" s="897"/>
      <c r="E11" s="897"/>
      <c r="F11" s="897"/>
      <c r="G11" s="856"/>
      <c r="H11" s="855"/>
      <c r="I11" s="855"/>
      <c r="J11" s="855"/>
      <c r="K11" s="855"/>
      <c r="L11" s="855"/>
      <c r="M11" s="855"/>
    </row>
    <row r="12" spans="1:13" ht="15">
      <c r="A12" s="855"/>
      <c r="B12" s="855"/>
      <c r="C12" s="855"/>
      <c r="D12" s="855"/>
      <c r="E12" s="855"/>
      <c r="F12" s="898"/>
      <c r="G12" s="899"/>
      <c r="H12" s="855"/>
      <c r="I12" s="855"/>
      <c r="J12" s="855"/>
      <c r="K12" s="855"/>
      <c r="L12" s="855"/>
      <c r="M12" s="855"/>
    </row>
    <row r="13" spans="1:13" ht="15">
      <c r="A13" s="855"/>
      <c r="B13" s="855"/>
      <c r="C13" s="855"/>
      <c r="D13" s="855"/>
      <c r="E13" s="855"/>
      <c r="F13" s="898"/>
      <c r="G13" s="856"/>
      <c r="H13" s="855"/>
      <c r="I13" s="855"/>
      <c r="J13" s="855"/>
      <c r="K13" s="855"/>
      <c r="L13" s="855"/>
      <c r="M13" s="855"/>
    </row>
    <row r="14" spans="1:13" ht="15">
      <c r="A14" s="855"/>
      <c r="B14" s="855"/>
      <c r="C14" s="855"/>
      <c r="D14" s="855"/>
      <c r="E14" s="855"/>
      <c r="F14" s="898"/>
      <c r="G14" s="856"/>
      <c r="H14" s="855"/>
      <c r="I14" s="855"/>
      <c r="J14" s="855"/>
      <c r="K14" s="855"/>
      <c r="L14" s="855"/>
      <c r="M14" s="855"/>
    </row>
    <row r="15" spans="1:13" ht="15">
      <c r="A15" s="855"/>
      <c r="B15" s="855"/>
      <c r="C15" s="855"/>
      <c r="D15" s="855"/>
      <c r="E15" s="855"/>
      <c r="F15" s="977"/>
      <c r="G15" s="856"/>
      <c r="H15" s="855"/>
      <c r="I15" s="855"/>
      <c r="J15" s="855"/>
      <c r="K15" s="855"/>
      <c r="L15" s="855"/>
      <c r="M15" s="855"/>
    </row>
    <row r="16" spans="1:13" ht="15">
      <c r="A16" s="855"/>
      <c r="B16" s="856"/>
      <c r="C16" s="856"/>
      <c r="D16" s="900"/>
      <c r="E16" s="900"/>
      <c r="F16" s="978"/>
      <c r="G16" s="855"/>
      <c r="H16" s="855"/>
      <c r="I16" s="855"/>
      <c r="J16" s="855"/>
      <c r="K16" s="855"/>
      <c r="L16" s="855"/>
      <c r="M16" s="855"/>
    </row>
    <row r="17" spans="1:13" ht="15">
      <c r="A17" s="855"/>
      <c r="B17" s="856"/>
      <c r="C17" s="856"/>
      <c r="D17" s="1167"/>
      <c r="E17" s="1167"/>
      <c r="F17" s="978"/>
      <c r="G17" s="855"/>
      <c r="H17" s="855"/>
      <c r="I17" s="855"/>
      <c r="J17" s="855"/>
      <c r="K17" s="855"/>
      <c r="L17" s="855"/>
      <c r="M17" s="855"/>
    </row>
    <row r="18" spans="1:13" ht="15">
      <c r="A18" s="855"/>
      <c r="B18" s="856"/>
      <c r="C18" s="856"/>
      <c r="D18" s="1167"/>
      <c r="E18" s="1167"/>
      <c r="F18" s="978"/>
      <c r="G18" s="855"/>
      <c r="H18" s="855"/>
      <c r="I18" s="855"/>
      <c r="J18" s="855"/>
      <c r="K18" s="855"/>
      <c r="L18" s="855"/>
      <c r="M18" s="855"/>
    </row>
    <row r="19" spans="1:13" ht="15">
      <c r="A19" s="855"/>
      <c r="B19" s="856"/>
      <c r="C19" s="856"/>
      <c r="D19" s="1167"/>
      <c r="E19" s="1167"/>
      <c r="F19" s="978"/>
      <c r="G19" s="901"/>
      <c r="H19" s="855"/>
      <c r="I19" s="855"/>
      <c r="J19" s="855"/>
      <c r="K19" s="855"/>
      <c r="L19" s="855"/>
      <c r="M19" s="855"/>
    </row>
    <row r="20" spans="1:13" ht="15">
      <c r="A20" s="855"/>
      <c r="B20" s="856"/>
      <c r="C20" s="856"/>
      <c r="D20" s="1167"/>
      <c r="E20" s="1167"/>
      <c r="F20" s="978"/>
      <c r="G20" s="855"/>
      <c r="H20" s="855"/>
      <c r="I20" s="855"/>
      <c r="J20" s="855"/>
      <c r="K20" s="855"/>
      <c r="L20" s="855"/>
      <c r="M20" s="855"/>
    </row>
    <row r="21" spans="1:13" ht="15">
      <c r="A21" s="855"/>
      <c r="B21" s="856"/>
      <c r="C21" s="856"/>
      <c r="D21" s="856"/>
      <c r="E21" s="856"/>
      <c r="F21" s="856"/>
      <c r="G21" s="855"/>
      <c r="H21" s="855"/>
      <c r="I21" s="855"/>
      <c r="J21" s="855"/>
      <c r="K21" s="855"/>
      <c r="L21" s="855"/>
      <c r="M21" s="855"/>
    </row>
    <row r="22" spans="1:13" ht="15">
      <c r="A22" s="855"/>
      <c r="B22" s="902"/>
      <c r="C22" s="902"/>
      <c r="D22" s="855"/>
      <c r="E22" s="855"/>
      <c r="F22" s="855"/>
      <c r="G22" s="855"/>
      <c r="H22" s="855"/>
      <c r="I22" s="855"/>
      <c r="J22" s="855"/>
      <c r="K22" s="855"/>
      <c r="L22" s="855"/>
      <c r="M22" s="855"/>
    </row>
    <row r="23" spans="1:13" ht="15">
      <c r="A23" s="855"/>
      <c r="B23" s="855"/>
      <c r="C23" s="855"/>
      <c r="D23" s="855"/>
      <c r="E23" s="855"/>
      <c r="F23" s="855"/>
      <c r="G23" s="855"/>
      <c r="H23" s="855"/>
      <c r="I23" s="855"/>
      <c r="J23" s="855"/>
      <c r="K23" s="855"/>
      <c r="L23" s="855"/>
      <c r="M23" s="855"/>
    </row>
    <row r="24" spans="1:13" ht="15">
      <c r="A24" s="855"/>
      <c r="B24" s="905"/>
      <c r="C24" s="905"/>
      <c r="D24" s="905"/>
      <c r="E24" s="905"/>
      <c r="F24" s="905"/>
      <c r="G24" s="905"/>
      <c r="H24" s="855"/>
      <c r="I24" s="855"/>
      <c r="J24" s="855"/>
      <c r="K24" s="855"/>
      <c r="L24" s="855"/>
      <c r="M24" s="855"/>
    </row>
    <row r="25" spans="1:13" ht="15">
      <c r="A25" s="855"/>
      <c r="B25" s="905"/>
      <c r="C25" s="905"/>
      <c r="D25" s="905"/>
      <c r="E25" s="905"/>
      <c r="F25" s="905"/>
      <c r="G25" s="905"/>
      <c r="H25" s="855"/>
      <c r="I25" s="855"/>
      <c r="J25" s="855"/>
      <c r="K25" s="855"/>
      <c r="L25" s="855"/>
      <c r="M25" s="855"/>
    </row>
    <row r="26" spans="1:13" ht="15">
      <c r="A26" s="855"/>
      <c r="B26" s="905"/>
      <c r="C26" s="905"/>
      <c r="D26" s="905"/>
      <c r="E26" s="905"/>
      <c r="F26" s="905"/>
      <c r="G26" s="905"/>
      <c r="H26" s="855"/>
      <c r="I26" s="855"/>
      <c r="J26" s="855"/>
      <c r="K26" s="855"/>
      <c r="L26" s="855"/>
      <c r="M26" s="855"/>
    </row>
    <row r="27" spans="1:13" ht="15">
      <c r="A27" s="855"/>
      <c r="B27" s="855"/>
      <c r="C27" s="855"/>
      <c r="D27" s="855"/>
      <c r="E27" s="855"/>
      <c r="F27" s="855"/>
      <c r="G27" s="855"/>
      <c r="H27" s="855"/>
      <c r="I27" s="855"/>
      <c r="J27" s="855"/>
      <c r="K27" s="855"/>
      <c r="L27" s="855"/>
      <c r="M27" s="855"/>
    </row>
    <row r="28" spans="1:13" ht="15">
      <c r="A28" s="855"/>
      <c r="B28" s="903"/>
      <c r="C28" s="903"/>
      <c r="D28" s="904"/>
      <c r="E28" s="899"/>
      <c r="F28" s="855"/>
      <c r="G28" s="855"/>
      <c r="H28" s="855"/>
      <c r="I28" s="855"/>
      <c r="J28" s="855"/>
      <c r="K28" s="855"/>
      <c r="L28" s="855"/>
      <c r="M28" s="855"/>
    </row>
    <row r="29" spans="1:13" ht="15">
      <c r="A29" s="855"/>
      <c r="B29" s="903"/>
      <c r="C29" s="903"/>
      <c r="D29" s="855"/>
      <c r="E29" s="855"/>
      <c r="F29" s="855"/>
      <c r="G29" s="855"/>
      <c r="H29" s="855"/>
      <c r="I29" s="855"/>
      <c r="J29" s="855"/>
      <c r="K29" s="855"/>
      <c r="L29" s="855"/>
      <c r="M29" s="855"/>
    </row>
    <row r="30" spans="1:13" ht="15">
      <c r="A30" s="855"/>
      <c r="B30" s="903"/>
      <c r="C30" s="903"/>
      <c r="D30" s="856"/>
      <c r="E30" s="855"/>
      <c r="F30" s="855"/>
      <c r="G30" s="855"/>
      <c r="H30" s="855"/>
      <c r="I30" s="855"/>
      <c r="J30" s="855"/>
      <c r="K30" s="855"/>
      <c r="L30" s="855"/>
      <c r="M30" s="855"/>
    </row>
    <row r="31" spans="1:13" ht="15">
      <c r="A31" s="855"/>
      <c r="B31" s="855"/>
      <c r="C31" s="855"/>
      <c r="D31" s="855"/>
      <c r="E31" s="855"/>
      <c r="F31" s="855"/>
      <c r="G31" s="855"/>
      <c r="H31" s="855"/>
      <c r="I31" s="855"/>
      <c r="J31" s="855"/>
      <c r="K31" s="855"/>
      <c r="L31" s="855"/>
      <c r="M31" s="855"/>
    </row>
    <row r="32" spans="1:13" ht="15">
      <c r="A32" s="855"/>
      <c r="B32" s="855"/>
      <c r="C32" s="855"/>
      <c r="D32" s="855"/>
      <c r="E32" s="855"/>
      <c r="F32" s="855"/>
      <c r="G32" s="855"/>
      <c r="H32" s="855"/>
      <c r="I32" s="855"/>
      <c r="J32" s="855"/>
      <c r="K32" s="855"/>
      <c r="L32" s="855"/>
      <c r="M32" s="855"/>
    </row>
    <row r="33" spans="1:13" ht="15">
      <c r="A33" s="855"/>
      <c r="B33" s="855"/>
      <c r="C33" s="855"/>
      <c r="D33" s="855"/>
      <c r="E33" s="855"/>
      <c r="F33" s="855"/>
      <c r="G33" s="855"/>
      <c r="H33" s="855"/>
      <c r="I33" s="855"/>
      <c r="J33" s="855"/>
      <c r="K33" s="855"/>
      <c r="L33" s="855"/>
      <c r="M33" s="855"/>
    </row>
    <row r="34" spans="1:13" ht="15">
      <c r="A34" s="855"/>
      <c r="B34" s="855"/>
      <c r="C34" s="855"/>
      <c r="D34" s="855"/>
      <c r="E34" s="855"/>
      <c r="F34" s="855"/>
      <c r="G34" s="855"/>
      <c r="H34" s="855"/>
      <c r="I34" s="855"/>
      <c r="J34" s="855"/>
      <c r="K34" s="855"/>
      <c r="L34" s="855"/>
      <c r="M34" s="855"/>
    </row>
    <row r="35" spans="1:13" ht="15">
      <c r="A35" s="855"/>
      <c r="B35" s="855"/>
      <c r="C35" s="855"/>
      <c r="D35" s="855"/>
      <c r="E35" s="855"/>
      <c r="F35" s="855"/>
      <c r="G35" s="855"/>
      <c r="H35" s="855"/>
      <c r="I35" s="855"/>
      <c r="J35" s="855"/>
      <c r="K35" s="855"/>
      <c r="L35" s="855"/>
      <c r="M35" s="855"/>
    </row>
    <row r="36" spans="1:13" ht="15">
      <c r="A36" s="855"/>
      <c r="B36" s="855"/>
      <c r="C36" s="855"/>
      <c r="D36" s="855"/>
      <c r="E36" s="855"/>
      <c r="F36" s="855"/>
      <c r="G36" s="855"/>
      <c r="H36" s="855"/>
      <c r="I36" s="855"/>
      <c r="J36" s="855"/>
      <c r="K36" s="855"/>
      <c r="L36" s="855"/>
      <c r="M36" s="855"/>
    </row>
    <row r="37" spans="1:13" ht="15">
      <c r="A37" s="855"/>
      <c r="B37" s="855"/>
      <c r="C37" s="855"/>
      <c r="D37" s="855"/>
      <c r="E37" s="855"/>
      <c r="F37" s="855"/>
      <c r="G37" s="855"/>
      <c r="H37" s="855"/>
      <c r="I37" s="855"/>
      <c r="J37" s="855"/>
      <c r="K37" s="855"/>
      <c r="L37" s="855"/>
      <c r="M37" s="855"/>
    </row>
    <row r="38" spans="1:13" ht="15">
      <c r="A38" s="855"/>
      <c r="B38" s="855"/>
      <c r="C38" s="855"/>
      <c r="D38" s="855"/>
      <c r="E38" s="855"/>
      <c r="F38" s="855"/>
      <c r="G38" s="855"/>
      <c r="H38" s="855"/>
      <c r="I38" s="855"/>
      <c r="J38" s="855"/>
      <c r="K38" s="855"/>
      <c r="L38" s="855"/>
      <c r="M38" s="855"/>
    </row>
    <row r="39" spans="1:13" ht="15">
      <c r="A39" s="855"/>
      <c r="B39" s="855"/>
      <c r="C39" s="855"/>
      <c r="D39" s="855"/>
      <c r="E39" s="855"/>
      <c r="F39" s="855"/>
      <c r="G39" s="855"/>
      <c r="H39" s="855"/>
      <c r="I39" s="855"/>
      <c r="J39" s="855"/>
      <c r="K39" s="855"/>
      <c r="L39" s="855"/>
      <c r="M39" s="855"/>
    </row>
    <row r="40" spans="1:13" ht="15">
      <c r="A40" s="855"/>
      <c r="B40" s="855"/>
      <c r="C40" s="855"/>
      <c r="D40" s="855"/>
      <c r="E40" s="855"/>
      <c r="F40" s="855"/>
      <c r="G40" s="855"/>
      <c r="H40" s="855"/>
      <c r="I40" s="855"/>
      <c r="J40" s="855"/>
      <c r="K40" s="855"/>
      <c r="L40" s="855"/>
      <c r="M40" s="855"/>
    </row>
    <row r="41" spans="1:13" ht="15">
      <c r="A41" s="855"/>
      <c r="B41" s="855"/>
      <c r="C41" s="855"/>
      <c r="D41" s="855"/>
      <c r="E41" s="855"/>
      <c r="F41" s="855"/>
      <c r="G41" s="855"/>
      <c r="H41" s="855"/>
      <c r="I41" s="855"/>
      <c r="J41" s="855"/>
      <c r="K41" s="855"/>
      <c r="L41" s="855"/>
      <c r="M41" s="855"/>
    </row>
    <row r="42" spans="1:13" ht="15">
      <c r="A42" s="855"/>
      <c r="B42" s="855"/>
      <c r="C42" s="855"/>
      <c r="D42" s="855"/>
      <c r="E42" s="855"/>
      <c r="F42" s="855"/>
      <c r="G42" s="855"/>
      <c r="H42" s="855"/>
      <c r="I42" s="855"/>
      <c r="J42" s="855"/>
      <c r="K42" s="855"/>
      <c r="L42" s="855"/>
      <c r="M42" s="855"/>
    </row>
    <row r="43" spans="1:13" ht="15">
      <c r="A43" s="855"/>
      <c r="B43" s="855"/>
      <c r="C43" s="855"/>
      <c r="D43" s="855"/>
      <c r="E43" s="855"/>
      <c r="F43" s="855"/>
      <c r="G43" s="855"/>
      <c r="H43" s="855"/>
      <c r="I43" s="855"/>
      <c r="J43" s="855"/>
      <c r="K43" s="855"/>
      <c r="L43" s="855"/>
      <c r="M43" s="855"/>
    </row>
    <row r="44" spans="1:13" ht="15">
      <c r="A44" s="855"/>
      <c r="B44" s="855"/>
      <c r="C44" s="855"/>
      <c r="D44" s="855"/>
      <c r="E44" s="855"/>
      <c r="F44" s="855"/>
      <c r="G44" s="855"/>
      <c r="H44" s="855"/>
      <c r="I44" s="855"/>
      <c r="J44" s="855"/>
      <c r="K44" s="855"/>
      <c r="L44" s="855"/>
      <c r="M44" s="855"/>
    </row>
    <row r="45" spans="1:13" ht="15">
      <c r="A45" s="855"/>
      <c r="B45" s="855"/>
      <c r="C45" s="855"/>
      <c r="D45" s="855"/>
      <c r="E45" s="855"/>
      <c r="F45" s="855"/>
      <c r="G45" s="855"/>
      <c r="H45" s="855"/>
      <c r="I45" s="855"/>
      <c r="J45" s="855"/>
      <c r="K45" s="855"/>
      <c r="L45" s="855"/>
      <c r="M45" s="855"/>
    </row>
  </sheetData>
  <mergeCells count="5">
    <mergeCell ref="B2:G4"/>
    <mergeCell ref="D17:E17"/>
    <mergeCell ref="D18:E18"/>
    <mergeCell ref="D19:E19"/>
    <mergeCell ref="D20:E2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D038-E4D1-4221-AC97-E00B96B0DE00}">
  <sheetPr>
    <tabColor rgb="FF5B9BD5"/>
  </sheetPr>
  <dimension ref="A1"/>
  <sheetViews>
    <sheetView workbookViewId="0">
      <selection activeCell="C2" sqref="C2"/>
    </sheetView>
  </sheetViews>
  <sheetFormatPr defaultColWidth="8.85546875" defaultRowHeight="14.6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80"/>
  <sheetViews>
    <sheetView workbookViewId="0">
      <selection activeCell="C52" sqref="C52"/>
    </sheetView>
  </sheetViews>
  <sheetFormatPr defaultColWidth="11.42578125" defaultRowHeight="14.65"/>
  <cols>
    <col min="1" max="1" width="51.140625" customWidth="1"/>
    <col min="2" max="2" width="51" customWidth="1"/>
    <col min="3" max="3" width="28.42578125" customWidth="1"/>
    <col min="4" max="4" width="25.28515625" customWidth="1"/>
    <col min="5" max="5" width="19.42578125" customWidth="1"/>
    <col min="6" max="6" width="25" customWidth="1"/>
    <col min="7" max="7" width="18" customWidth="1"/>
    <col min="8" max="8" width="18" bestFit="1" customWidth="1"/>
    <col min="9" max="9" width="22.42578125" customWidth="1"/>
    <col min="10" max="10" width="16.28515625" bestFit="1" customWidth="1"/>
    <col min="11" max="11" width="11.85546875" customWidth="1"/>
    <col min="12" max="12" width="18.28515625" customWidth="1"/>
    <col min="13" max="14" width="15.7109375" customWidth="1"/>
  </cols>
  <sheetData>
    <row r="3" spans="2:2">
      <c r="B3" s="5" t="s">
        <v>585</v>
      </c>
    </row>
    <row r="4" spans="2:2">
      <c r="B4" t="s">
        <v>586</v>
      </c>
    </row>
    <row r="5" spans="2:2">
      <c r="B5" t="s">
        <v>587</v>
      </c>
    </row>
    <row r="6" spans="2:2">
      <c r="B6" t="s">
        <v>588</v>
      </c>
    </row>
    <row r="8" spans="2:2">
      <c r="B8" s="5" t="s">
        <v>589</v>
      </c>
    </row>
    <row r="9" spans="2:2" ht="15">
      <c r="B9" s="6" t="s">
        <v>590</v>
      </c>
    </row>
    <row r="10" spans="2:2" ht="15.95">
      <c r="B10" s="910" t="s">
        <v>591</v>
      </c>
    </row>
    <row r="13" spans="2:2">
      <c r="B13" s="5" t="s">
        <v>592</v>
      </c>
    </row>
    <row r="14" spans="2:2">
      <c r="B14" t="s">
        <v>593</v>
      </c>
    </row>
    <row r="15" spans="2:2">
      <c r="B15" t="s">
        <v>594</v>
      </c>
    </row>
    <row r="18" spans="2:2">
      <c r="B18" s="5" t="s">
        <v>595</v>
      </c>
    </row>
    <row r="19" spans="2:2">
      <c r="B19" t="s">
        <v>596</v>
      </c>
    </row>
    <row r="20" spans="2:2">
      <c r="B20" t="s">
        <v>597</v>
      </c>
    </row>
    <row r="21" spans="2:2">
      <c r="B21" t="s">
        <v>598</v>
      </c>
    </row>
    <row r="25" spans="2:2">
      <c r="B25" s="5" t="s">
        <v>599</v>
      </c>
    </row>
    <row r="26" spans="2:2">
      <c r="B26" t="s">
        <v>600</v>
      </c>
    </row>
    <row r="27" spans="2:2">
      <c r="B27" t="s">
        <v>601</v>
      </c>
    </row>
    <row r="28" spans="2:2">
      <c r="B28" t="s">
        <v>602</v>
      </c>
    </row>
    <row r="29" spans="2:2" ht="34.35">
      <c r="B29" s="911" t="s">
        <v>603</v>
      </c>
    </row>
    <row r="34" spans="2:2">
      <c r="B34" s="5" t="s">
        <v>604</v>
      </c>
    </row>
    <row r="35" spans="2:2" ht="45.75" customHeight="1">
      <c r="B35" s="825" t="s">
        <v>605</v>
      </c>
    </row>
    <row r="36" spans="2:2">
      <c r="B36" t="s">
        <v>606</v>
      </c>
    </row>
    <row r="37" spans="2:2">
      <c r="B37" t="s">
        <v>607</v>
      </c>
    </row>
    <row r="38" spans="2:2">
      <c r="B38" t="s">
        <v>608</v>
      </c>
    </row>
    <row r="43" spans="2:2" ht="18.399999999999999">
      <c r="B43" s="7" t="s">
        <v>70</v>
      </c>
    </row>
    <row r="44" spans="2:2">
      <c r="B44" s="8" t="s">
        <v>609</v>
      </c>
    </row>
    <row r="45" spans="2:2">
      <c r="B45" t="s">
        <v>610</v>
      </c>
    </row>
    <row r="46" spans="2:2">
      <c r="B46" t="s">
        <v>611</v>
      </c>
    </row>
    <row r="47" spans="2:2">
      <c r="B47" t="s">
        <v>612</v>
      </c>
    </row>
    <row r="48" spans="2:2">
      <c r="B48" t="s">
        <v>613</v>
      </c>
    </row>
    <row r="49" spans="2:2">
      <c r="B49" t="s">
        <v>614</v>
      </c>
    </row>
    <row r="50" spans="2:2">
      <c r="B50" t="s">
        <v>615</v>
      </c>
    </row>
    <row r="51" spans="2:2">
      <c r="B51" t="s">
        <v>616</v>
      </c>
    </row>
    <row r="52" spans="2:2">
      <c r="B52" t="s">
        <v>617</v>
      </c>
    </row>
    <row r="53" spans="2:2">
      <c r="B53" t="s">
        <v>618</v>
      </c>
    </row>
    <row r="54" spans="2:2">
      <c r="B54" t="s">
        <v>619</v>
      </c>
    </row>
    <row r="55" spans="2:2">
      <c r="B55" t="s">
        <v>620</v>
      </c>
    </row>
    <row r="56" spans="2:2" ht="29.1">
      <c r="B56" s="825" t="s">
        <v>621</v>
      </c>
    </row>
    <row r="57" spans="2:2" ht="34.35">
      <c r="B57" s="912" t="s">
        <v>622</v>
      </c>
    </row>
    <row r="59" spans="2:2">
      <c r="B59" s="8" t="s">
        <v>623</v>
      </c>
    </row>
    <row r="60" spans="2:2">
      <c r="B60" t="s">
        <v>624</v>
      </c>
    </row>
    <row r="61" spans="2:2">
      <c r="B61" t="s">
        <v>625</v>
      </c>
    </row>
    <row r="62" spans="2:2">
      <c r="B62" t="s">
        <v>613</v>
      </c>
    </row>
    <row r="63" spans="2:2">
      <c r="B63" t="s">
        <v>614</v>
      </c>
    </row>
    <row r="64" spans="2:2">
      <c r="B64" t="s">
        <v>615</v>
      </c>
    </row>
    <row r="65" spans="2:3">
      <c r="B65" t="s">
        <v>616</v>
      </c>
    </row>
    <row r="66" spans="2:3">
      <c r="B66" t="s">
        <v>617</v>
      </c>
    </row>
    <row r="67" spans="2:3">
      <c r="B67" t="s">
        <v>620</v>
      </c>
    </row>
    <row r="68" spans="2:3">
      <c r="B68" t="s">
        <v>626</v>
      </c>
    </row>
    <row r="69" spans="2:3">
      <c r="B69" t="s">
        <v>627</v>
      </c>
    </row>
    <row r="70" spans="2:3">
      <c r="B70" t="s">
        <v>628</v>
      </c>
    </row>
    <row r="71" spans="2:3">
      <c r="B71" t="s">
        <v>629</v>
      </c>
    </row>
    <row r="72" spans="2:3">
      <c r="B72" t="s">
        <v>630</v>
      </c>
    </row>
    <row r="73" spans="2:3">
      <c r="B73" t="s">
        <v>631</v>
      </c>
    </row>
    <row r="74" spans="2:3">
      <c r="B74" t="s">
        <v>632</v>
      </c>
    </row>
    <row r="75" spans="2:3">
      <c r="B75" s="9"/>
      <c r="C75" s="9"/>
    </row>
    <row r="76" spans="2:3">
      <c r="B76" s="5" t="s">
        <v>633</v>
      </c>
      <c r="C76" s="9"/>
    </row>
    <row r="79" spans="2:3">
      <c r="B79" s="10" t="s">
        <v>634</v>
      </c>
      <c r="C79" s="2"/>
    </row>
    <row r="80" spans="2:3">
      <c r="B80" t="s">
        <v>635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G70"/>
  <sheetViews>
    <sheetView topLeftCell="B50" zoomScale="115" zoomScaleNormal="115" workbookViewId="0">
      <selection activeCell="B7" sqref="B7:E10"/>
    </sheetView>
  </sheetViews>
  <sheetFormatPr defaultColWidth="11.42578125" defaultRowHeight="14.65"/>
  <cols>
    <col min="5" max="5" width="32.7109375" customWidth="1"/>
    <col min="8" max="8" width="21.7109375" customWidth="1"/>
    <col min="9" max="33" width="11.42578125" style="203"/>
  </cols>
  <sheetData>
    <row r="1" spans="1:8" s="203" customFormat="1"/>
    <row r="2" spans="1:8" s="203" customFormat="1" ht="26.1">
      <c r="A2" s="1168" t="s">
        <v>636</v>
      </c>
      <c r="B2" s="1168"/>
      <c r="C2" s="1168"/>
      <c r="D2" s="1168"/>
      <c r="E2" s="1168"/>
      <c r="F2" s="1168"/>
      <c r="G2" s="1168"/>
      <c r="H2" s="1168"/>
    </row>
    <row r="3" spans="1:8" s="203" customFormat="1"/>
    <row r="4" spans="1:8">
      <c r="A4" s="1172" t="s">
        <v>637</v>
      </c>
      <c r="B4" s="1172"/>
      <c r="C4" s="1172"/>
      <c r="D4" s="1172"/>
      <c r="E4" s="1172"/>
      <c r="F4" s="1172"/>
      <c r="G4" s="1172"/>
      <c r="H4" s="1172"/>
    </row>
    <row r="5" spans="1:8">
      <c r="A5" s="1172"/>
      <c r="B5" s="1172"/>
      <c r="C5" s="1172"/>
      <c r="D5" s="1172"/>
      <c r="E5" s="1172"/>
      <c r="F5" s="1172"/>
      <c r="G5" s="1172"/>
      <c r="H5" s="1172"/>
    </row>
    <row r="6" spans="1:8">
      <c r="A6" s="359" t="s">
        <v>638</v>
      </c>
      <c r="B6" s="1173" t="s">
        <v>639</v>
      </c>
      <c r="C6" s="1173"/>
      <c r="D6" s="1173"/>
      <c r="E6" s="1173"/>
      <c r="F6" s="1173" t="s">
        <v>289</v>
      </c>
      <c r="G6" s="1173"/>
      <c r="H6" s="1173"/>
    </row>
    <row r="7" spans="1:8">
      <c r="A7" s="1169">
        <v>1</v>
      </c>
      <c r="B7" s="1170" t="s">
        <v>640</v>
      </c>
      <c r="C7" s="1170"/>
      <c r="D7" s="1170"/>
      <c r="E7" s="1170"/>
      <c r="F7" s="1170" t="s">
        <v>641</v>
      </c>
      <c r="G7" s="1170"/>
      <c r="H7" s="1170"/>
    </row>
    <row r="8" spans="1:8">
      <c r="A8" s="1169"/>
      <c r="B8" s="1170"/>
      <c r="C8" s="1170"/>
      <c r="D8" s="1170"/>
      <c r="E8" s="1170"/>
      <c r="F8" s="1170"/>
      <c r="G8" s="1170"/>
      <c r="H8" s="1170"/>
    </row>
    <row r="9" spans="1:8">
      <c r="A9" s="1169"/>
      <c r="B9" s="1170"/>
      <c r="C9" s="1170"/>
      <c r="D9" s="1170"/>
      <c r="E9" s="1170"/>
      <c r="F9" s="1170"/>
      <c r="G9" s="1170"/>
      <c r="H9" s="1170"/>
    </row>
    <row r="10" spans="1:8">
      <c r="A10" s="1169"/>
      <c r="B10" s="1170"/>
      <c r="C10" s="1170"/>
      <c r="D10" s="1170"/>
      <c r="E10" s="1170"/>
      <c r="F10" s="1170"/>
      <c r="G10" s="1170"/>
      <c r="H10" s="1170"/>
    </row>
    <row r="11" spans="1:8">
      <c r="A11" s="1169">
        <v>2</v>
      </c>
      <c r="B11" s="1170" t="s">
        <v>642</v>
      </c>
      <c r="C11" s="1170"/>
      <c r="D11" s="1170"/>
      <c r="E11" s="1170"/>
      <c r="F11" s="1171" t="s">
        <v>2</v>
      </c>
      <c r="G11" s="1171"/>
      <c r="H11" s="1171"/>
    </row>
    <row r="12" spans="1:8">
      <c r="A12" s="1169"/>
      <c r="B12" s="1170"/>
      <c r="C12" s="1170"/>
      <c r="D12" s="1170"/>
      <c r="E12" s="1170"/>
      <c r="F12" s="1171"/>
      <c r="G12" s="1171"/>
      <c r="H12" s="1171"/>
    </row>
    <row r="13" spans="1:8">
      <c r="A13" s="1169"/>
      <c r="B13" s="1170"/>
      <c r="C13" s="1170"/>
      <c r="D13" s="1170"/>
      <c r="E13" s="1170"/>
      <c r="F13" s="1171"/>
      <c r="G13" s="1171"/>
      <c r="H13" s="1171"/>
    </row>
    <row r="14" spans="1:8">
      <c r="A14" s="1169"/>
      <c r="B14" s="1170"/>
      <c r="C14" s="1170"/>
      <c r="D14" s="1170"/>
      <c r="E14" s="1170"/>
      <c r="F14" s="1171"/>
      <c r="G14" s="1171"/>
      <c r="H14" s="1171"/>
    </row>
    <row r="15" spans="1:8">
      <c r="A15" s="1169">
        <v>3</v>
      </c>
      <c r="B15" s="1170" t="s">
        <v>643</v>
      </c>
      <c r="C15" s="1170"/>
      <c r="D15" s="1170"/>
      <c r="E15" s="1170"/>
      <c r="F15" s="1171" t="s">
        <v>644</v>
      </c>
      <c r="G15" s="1171"/>
      <c r="H15" s="1171"/>
    </row>
    <row r="16" spans="1:8">
      <c r="A16" s="1169"/>
      <c r="B16" s="1170"/>
      <c r="C16" s="1170"/>
      <c r="D16" s="1170"/>
      <c r="E16" s="1170"/>
      <c r="F16" s="1171"/>
      <c r="G16" s="1171"/>
      <c r="H16" s="1171"/>
    </row>
    <row r="17" spans="1:8">
      <c r="A17" s="1169"/>
      <c r="B17" s="1170"/>
      <c r="C17" s="1170"/>
      <c r="D17" s="1170"/>
      <c r="E17" s="1170"/>
      <c r="F17" s="1171"/>
      <c r="G17" s="1171"/>
      <c r="H17" s="1171"/>
    </row>
    <row r="18" spans="1:8">
      <c r="A18" s="1169"/>
      <c r="B18" s="1170"/>
      <c r="C18" s="1170"/>
      <c r="D18" s="1170"/>
      <c r="E18" s="1170"/>
      <c r="F18" s="1171"/>
      <c r="G18" s="1171"/>
      <c r="H18" s="1171"/>
    </row>
    <row r="19" spans="1:8">
      <c r="A19" s="1169">
        <v>4</v>
      </c>
      <c r="B19" s="1170" t="s">
        <v>645</v>
      </c>
      <c r="C19" s="1170"/>
      <c r="D19" s="1170"/>
      <c r="E19" s="1170"/>
      <c r="F19" s="1171" t="s">
        <v>646</v>
      </c>
      <c r="G19" s="1171"/>
      <c r="H19" s="1171"/>
    </row>
    <row r="20" spans="1:8">
      <c r="A20" s="1169"/>
      <c r="B20" s="1170"/>
      <c r="C20" s="1170"/>
      <c r="D20" s="1170"/>
      <c r="E20" s="1170"/>
      <c r="F20" s="1171"/>
      <c r="G20" s="1171"/>
      <c r="H20" s="1171"/>
    </row>
    <row r="21" spans="1:8">
      <c r="A21" s="1169"/>
      <c r="B21" s="1170"/>
      <c r="C21" s="1170"/>
      <c r="D21" s="1170"/>
      <c r="E21" s="1170"/>
      <c r="F21" s="1171"/>
      <c r="G21" s="1171"/>
      <c r="H21" s="1171"/>
    </row>
    <row r="22" spans="1:8">
      <c r="A22" s="1169"/>
      <c r="B22" s="1170"/>
      <c r="C22" s="1170"/>
      <c r="D22" s="1170"/>
      <c r="E22" s="1170"/>
      <c r="F22" s="1171"/>
      <c r="G22" s="1171"/>
      <c r="H22" s="1171"/>
    </row>
    <row r="23" spans="1:8">
      <c r="A23" s="1169">
        <v>5</v>
      </c>
      <c r="B23" s="1170" t="s">
        <v>647</v>
      </c>
      <c r="C23" s="1170"/>
      <c r="D23" s="1170"/>
      <c r="E23" s="1170"/>
      <c r="F23" s="1171" t="s">
        <v>648</v>
      </c>
      <c r="G23" s="1171"/>
      <c r="H23" s="1171"/>
    </row>
    <row r="24" spans="1:8">
      <c r="A24" s="1169"/>
      <c r="B24" s="1170"/>
      <c r="C24" s="1170"/>
      <c r="D24" s="1170"/>
      <c r="E24" s="1170"/>
      <c r="F24" s="1171"/>
      <c r="G24" s="1171"/>
      <c r="H24" s="1171"/>
    </row>
    <row r="25" spans="1:8">
      <c r="A25" s="1169"/>
      <c r="B25" s="1170"/>
      <c r="C25" s="1170"/>
      <c r="D25" s="1170"/>
      <c r="E25" s="1170"/>
      <c r="F25" s="1171"/>
      <c r="G25" s="1171"/>
      <c r="H25" s="1171"/>
    </row>
    <row r="26" spans="1:8">
      <c r="A26" s="1169"/>
      <c r="B26" s="1170"/>
      <c r="C26" s="1170"/>
      <c r="D26" s="1170"/>
      <c r="E26" s="1170"/>
      <c r="F26" s="1171"/>
      <c r="G26" s="1171"/>
      <c r="H26" s="1171"/>
    </row>
    <row r="27" spans="1:8">
      <c r="A27" s="1169">
        <v>6</v>
      </c>
      <c r="B27" s="1170" t="s">
        <v>649</v>
      </c>
      <c r="C27" s="1170"/>
      <c r="D27" s="1170"/>
      <c r="E27" s="1170"/>
      <c r="F27" s="1171" t="s">
        <v>646</v>
      </c>
      <c r="G27" s="1171"/>
      <c r="H27" s="1171"/>
    </row>
    <row r="28" spans="1:8">
      <c r="A28" s="1169"/>
      <c r="B28" s="1170"/>
      <c r="C28" s="1170"/>
      <c r="D28" s="1170"/>
      <c r="E28" s="1170"/>
      <c r="F28" s="1171"/>
      <c r="G28" s="1171"/>
      <c r="H28" s="1171"/>
    </row>
    <row r="29" spans="1:8">
      <c r="A29" s="1169"/>
      <c r="B29" s="1170"/>
      <c r="C29" s="1170"/>
      <c r="D29" s="1170"/>
      <c r="E29" s="1170"/>
      <c r="F29" s="1171"/>
      <c r="G29" s="1171"/>
      <c r="H29" s="1171"/>
    </row>
    <row r="30" spans="1:8">
      <c r="A30" s="1169"/>
      <c r="B30" s="1170"/>
      <c r="C30" s="1170"/>
      <c r="D30" s="1170"/>
      <c r="E30" s="1170"/>
      <c r="F30" s="1171"/>
      <c r="G30" s="1171"/>
      <c r="H30" s="1171"/>
    </row>
    <row r="31" spans="1:8">
      <c r="A31" s="1169">
        <v>7</v>
      </c>
      <c r="B31" s="1170" t="s">
        <v>650</v>
      </c>
      <c r="C31" s="1170"/>
      <c r="D31" s="1170"/>
      <c r="E31" s="1170"/>
      <c r="F31" s="1171" t="s">
        <v>648</v>
      </c>
      <c r="G31" s="1171"/>
      <c r="H31" s="1171"/>
    </row>
    <row r="32" spans="1:8">
      <c r="A32" s="1169"/>
      <c r="B32" s="1170"/>
      <c r="C32" s="1170"/>
      <c r="D32" s="1170"/>
      <c r="E32" s="1170"/>
      <c r="F32" s="1171"/>
      <c r="G32" s="1171"/>
      <c r="H32" s="1171"/>
    </row>
    <row r="33" spans="1:8">
      <c r="A33" s="1169"/>
      <c r="B33" s="1170"/>
      <c r="C33" s="1170"/>
      <c r="D33" s="1170"/>
      <c r="E33" s="1170"/>
      <c r="F33" s="1171"/>
      <c r="G33" s="1171"/>
      <c r="H33" s="1171"/>
    </row>
    <row r="34" spans="1:8">
      <c r="A34" s="1169"/>
      <c r="B34" s="1170"/>
      <c r="C34" s="1170"/>
      <c r="D34" s="1170"/>
      <c r="E34" s="1170"/>
      <c r="F34" s="1171"/>
      <c r="G34" s="1171"/>
      <c r="H34" s="1171"/>
    </row>
    <row r="35" spans="1:8">
      <c r="A35" s="1169">
        <v>8</v>
      </c>
      <c r="B35" s="1170" t="s">
        <v>651</v>
      </c>
      <c r="C35" s="1170"/>
      <c r="D35" s="1170"/>
      <c r="E35" s="1170"/>
      <c r="F35" s="1171" t="s">
        <v>652</v>
      </c>
      <c r="G35" s="1171"/>
      <c r="H35" s="1171"/>
    </row>
    <row r="36" spans="1:8">
      <c r="A36" s="1169"/>
      <c r="B36" s="1170"/>
      <c r="C36" s="1170"/>
      <c r="D36" s="1170"/>
      <c r="E36" s="1170"/>
      <c r="F36" s="1171"/>
      <c r="G36" s="1171"/>
      <c r="H36" s="1171"/>
    </row>
    <row r="37" spans="1:8">
      <c r="A37" s="1169"/>
      <c r="B37" s="1170"/>
      <c r="C37" s="1170"/>
      <c r="D37" s="1170"/>
      <c r="E37" s="1170"/>
      <c r="F37" s="1171"/>
      <c r="G37" s="1171"/>
      <c r="H37" s="1171"/>
    </row>
    <row r="38" spans="1:8">
      <c r="A38" s="1169"/>
      <c r="B38" s="1170"/>
      <c r="C38" s="1170"/>
      <c r="D38" s="1170"/>
      <c r="E38" s="1170"/>
      <c r="F38" s="1171"/>
      <c r="G38" s="1171"/>
      <c r="H38" s="1171"/>
    </row>
    <row r="39" spans="1:8">
      <c r="A39" s="1169">
        <v>9</v>
      </c>
      <c r="B39" s="1170" t="s">
        <v>653</v>
      </c>
      <c r="C39" s="1170"/>
      <c r="D39" s="1170"/>
      <c r="E39" s="1170"/>
      <c r="F39" s="1171" t="s">
        <v>654</v>
      </c>
      <c r="G39" s="1171"/>
      <c r="H39" s="1171"/>
    </row>
    <row r="40" spans="1:8">
      <c r="A40" s="1169"/>
      <c r="B40" s="1170"/>
      <c r="C40" s="1170"/>
      <c r="D40" s="1170"/>
      <c r="E40" s="1170"/>
      <c r="F40" s="1171"/>
      <c r="G40" s="1171"/>
      <c r="H40" s="1171"/>
    </row>
    <row r="41" spans="1:8">
      <c r="A41" s="1169"/>
      <c r="B41" s="1170"/>
      <c r="C41" s="1170"/>
      <c r="D41" s="1170"/>
      <c r="E41" s="1170"/>
      <c r="F41" s="1171"/>
      <c r="G41" s="1171"/>
      <c r="H41" s="1171"/>
    </row>
    <row r="42" spans="1:8">
      <c r="A42" s="1169"/>
      <c r="B42" s="1170"/>
      <c r="C42" s="1170"/>
      <c r="D42" s="1170"/>
      <c r="E42" s="1170"/>
      <c r="F42" s="1171"/>
      <c r="G42" s="1171"/>
      <c r="H42" s="1171"/>
    </row>
    <row r="43" spans="1:8">
      <c r="A43" s="1169">
        <v>10</v>
      </c>
      <c r="B43" s="1170" t="s">
        <v>655</v>
      </c>
      <c r="C43" s="1170"/>
      <c r="D43" s="1170"/>
      <c r="E43" s="1170"/>
      <c r="F43" s="1171" t="s">
        <v>656</v>
      </c>
      <c r="G43" s="1171"/>
      <c r="H43" s="1171"/>
    </row>
    <row r="44" spans="1:8">
      <c r="A44" s="1169"/>
      <c r="B44" s="1170"/>
      <c r="C44" s="1170"/>
      <c r="D44" s="1170"/>
      <c r="E44" s="1170"/>
      <c r="F44" s="1171"/>
      <c r="G44" s="1171"/>
      <c r="H44" s="1171"/>
    </row>
    <row r="45" spans="1:8">
      <c r="A45" s="1169"/>
      <c r="B45" s="1170"/>
      <c r="C45" s="1170"/>
      <c r="D45" s="1170"/>
      <c r="E45" s="1170"/>
      <c r="F45" s="1171"/>
      <c r="G45" s="1171"/>
      <c r="H45" s="1171"/>
    </row>
    <row r="46" spans="1:8">
      <c r="A46" s="1169"/>
      <c r="B46" s="1170"/>
      <c r="C46" s="1170"/>
      <c r="D46" s="1170"/>
      <c r="E46" s="1170"/>
      <c r="F46" s="1171"/>
      <c r="G46" s="1171"/>
      <c r="H46" s="1171"/>
    </row>
    <row r="47" spans="1:8">
      <c r="A47" s="1169">
        <v>11</v>
      </c>
      <c r="B47" s="1170" t="s">
        <v>657</v>
      </c>
      <c r="C47" s="1170"/>
      <c r="D47" s="1170"/>
      <c r="E47" s="1170"/>
      <c r="F47" s="1171" t="s">
        <v>658</v>
      </c>
      <c r="G47" s="1171"/>
      <c r="H47" s="1171"/>
    </row>
    <row r="48" spans="1:8">
      <c r="A48" s="1169"/>
      <c r="B48" s="1170"/>
      <c r="C48" s="1170"/>
      <c r="D48" s="1170"/>
      <c r="E48" s="1170"/>
      <c r="F48" s="1171"/>
      <c r="G48" s="1171"/>
      <c r="H48" s="1171"/>
    </row>
    <row r="49" spans="1:8">
      <c r="A49" s="1169"/>
      <c r="B49" s="1170"/>
      <c r="C49" s="1170"/>
      <c r="D49" s="1170"/>
      <c r="E49" s="1170"/>
      <c r="F49" s="1171"/>
      <c r="G49" s="1171"/>
      <c r="H49" s="1171"/>
    </row>
    <row r="50" spans="1:8">
      <c r="A50" s="1169"/>
      <c r="B50" s="1170"/>
      <c r="C50" s="1170"/>
      <c r="D50" s="1170"/>
      <c r="E50" s="1170"/>
      <c r="F50" s="1171"/>
      <c r="G50" s="1171"/>
      <c r="H50" s="1171"/>
    </row>
    <row r="51" spans="1:8">
      <c r="A51" s="1169">
        <v>12</v>
      </c>
      <c r="B51" s="1170" t="s">
        <v>659</v>
      </c>
      <c r="C51" s="1170"/>
      <c r="D51" s="1170"/>
      <c r="E51" s="1170"/>
      <c r="F51" s="1171" t="s">
        <v>660</v>
      </c>
      <c r="G51" s="1171"/>
      <c r="H51" s="1171"/>
    </row>
    <row r="52" spans="1:8">
      <c r="A52" s="1169"/>
      <c r="B52" s="1170"/>
      <c r="C52" s="1170"/>
      <c r="D52" s="1170"/>
      <c r="E52" s="1170"/>
      <c r="F52" s="1171"/>
      <c r="G52" s="1171"/>
      <c r="H52" s="1171"/>
    </row>
    <row r="53" spans="1:8">
      <c r="A53" s="1169"/>
      <c r="B53" s="1170"/>
      <c r="C53" s="1170"/>
      <c r="D53" s="1170"/>
      <c r="E53" s="1170"/>
      <c r="F53" s="1171"/>
      <c r="G53" s="1171"/>
      <c r="H53" s="1171"/>
    </row>
    <row r="54" spans="1:8">
      <c r="A54" s="1169"/>
      <c r="B54" s="1170"/>
      <c r="C54" s="1170"/>
      <c r="D54" s="1170"/>
      <c r="E54" s="1170"/>
      <c r="F54" s="1171"/>
      <c r="G54" s="1171"/>
      <c r="H54" s="1171"/>
    </row>
    <row r="55" spans="1:8">
      <c r="A55" s="1169">
        <v>13</v>
      </c>
      <c r="B55" s="1170" t="s">
        <v>661</v>
      </c>
      <c r="C55" s="1170"/>
      <c r="D55" s="1170"/>
      <c r="E55" s="1170"/>
      <c r="F55" s="1171" t="s">
        <v>662</v>
      </c>
      <c r="G55" s="1171"/>
      <c r="H55" s="1171"/>
    </row>
    <row r="56" spans="1:8">
      <c r="A56" s="1169"/>
      <c r="B56" s="1170"/>
      <c r="C56" s="1170"/>
      <c r="D56" s="1170"/>
      <c r="E56" s="1170"/>
      <c r="F56" s="1171"/>
      <c r="G56" s="1171"/>
      <c r="H56" s="1171"/>
    </row>
    <row r="57" spans="1:8">
      <c r="A57" s="1169"/>
      <c r="B57" s="1170"/>
      <c r="C57" s="1170"/>
      <c r="D57" s="1170"/>
      <c r="E57" s="1170"/>
      <c r="F57" s="1171"/>
      <c r="G57" s="1171"/>
      <c r="H57" s="1171"/>
    </row>
    <row r="58" spans="1:8">
      <c r="A58" s="1169"/>
      <c r="B58" s="1170"/>
      <c r="C58" s="1170"/>
      <c r="D58" s="1170"/>
      <c r="E58" s="1170"/>
      <c r="F58" s="1171"/>
      <c r="G58" s="1171"/>
      <c r="H58" s="1171"/>
    </row>
    <row r="59" spans="1:8">
      <c r="A59" s="1169">
        <v>14</v>
      </c>
      <c r="B59" s="1170" t="s">
        <v>663</v>
      </c>
      <c r="C59" s="1170"/>
      <c r="D59" s="1170"/>
      <c r="E59" s="1170"/>
      <c r="F59" s="1171" t="s">
        <v>648</v>
      </c>
      <c r="G59" s="1171"/>
      <c r="H59" s="1171"/>
    </row>
    <row r="60" spans="1:8">
      <c r="A60" s="1169"/>
      <c r="B60" s="1170"/>
      <c r="C60" s="1170"/>
      <c r="D60" s="1170"/>
      <c r="E60" s="1170"/>
      <c r="F60" s="1171"/>
      <c r="G60" s="1171"/>
      <c r="H60" s="1171"/>
    </row>
    <row r="61" spans="1:8">
      <c r="A61" s="1169"/>
      <c r="B61" s="1170"/>
      <c r="C61" s="1170"/>
      <c r="D61" s="1170"/>
      <c r="E61" s="1170"/>
      <c r="F61" s="1171"/>
      <c r="G61" s="1171"/>
      <c r="H61" s="1171"/>
    </row>
    <row r="62" spans="1:8">
      <c r="A62" s="1169"/>
      <c r="B62" s="1170"/>
      <c r="C62" s="1170"/>
      <c r="D62" s="1170"/>
      <c r="E62" s="1170"/>
      <c r="F62" s="1171"/>
      <c r="G62" s="1171"/>
      <c r="H62" s="1171"/>
    </row>
    <row r="63" spans="1:8">
      <c r="A63" s="1169">
        <v>15</v>
      </c>
      <c r="B63" s="1170" t="s">
        <v>664</v>
      </c>
      <c r="C63" s="1170"/>
      <c r="D63" s="1170"/>
      <c r="E63" s="1170"/>
      <c r="F63" s="1171" t="s">
        <v>665</v>
      </c>
      <c r="G63" s="1171"/>
      <c r="H63" s="1171"/>
    </row>
    <row r="64" spans="1:8">
      <c r="A64" s="1169"/>
      <c r="B64" s="1170"/>
      <c r="C64" s="1170"/>
      <c r="D64" s="1170"/>
      <c r="E64" s="1170"/>
      <c r="F64" s="1171"/>
      <c r="G64" s="1171"/>
      <c r="H64" s="1171"/>
    </row>
    <row r="65" spans="1:8">
      <c r="A65" s="1169"/>
      <c r="B65" s="1170"/>
      <c r="C65" s="1170"/>
      <c r="D65" s="1170"/>
      <c r="E65" s="1170"/>
      <c r="F65" s="1171"/>
      <c r="G65" s="1171"/>
      <c r="H65" s="1171"/>
    </row>
    <row r="66" spans="1:8">
      <c r="A66" s="1169"/>
      <c r="B66" s="1170"/>
      <c r="C66" s="1170"/>
      <c r="D66" s="1170"/>
      <c r="E66" s="1170"/>
      <c r="F66" s="1171"/>
      <c r="G66" s="1171"/>
      <c r="H66" s="1171"/>
    </row>
    <row r="67" spans="1:8">
      <c r="A67" s="1169">
        <v>16</v>
      </c>
      <c r="B67" s="1170" t="s">
        <v>666</v>
      </c>
      <c r="C67" s="1170"/>
      <c r="D67" s="1170"/>
      <c r="E67" s="1170"/>
      <c r="F67" s="1171" t="s">
        <v>667</v>
      </c>
      <c r="G67" s="1171"/>
      <c r="H67" s="1171"/>
    </row>
    <row r="68" spans="1:8">
      <c r="A68" s="1169"/>
      <c r="B68" s="1170"/>
      <c r="C68" s="1170"/>
      <c r="D68" s="1170"/>
      <c r="E68" s="1170"/>
      <c r="F68" s="1171"/>
      <c r="G68" s="1171"/>
      <c r="H68" s="1171"/>
    </row>
    <row r="69" spans="1:8">
      <c r="A69" s="1169"/>
      <c r="B69" s="1170"/>
      <c r="C69" s="1170"/>
      <c r="D69" s="1170"/>
      <c r="E69" s="1170"/>
      <c r="F69" s="1171"/>
      <c r="G69" s="1171"/>
      <c r="H69" s="1171"/>
    </row>
    <row r="70" spans="1:8">
      <c r="A70" s="1169"/>
      <c r="B70" s="1170"/>
      <c r="C70" s="1170"/>
      <c r="D70" s="1170"/>
      <c r="E70" s="1170"/>
      <c r="F70" s="1171"/>
      <c r="G70" s="1171"/>
      <c r="H70" s="1171"/>
    </row>
  </sheetData>
  <mergeCells count="52">
    <mergeCell ref="A4:H5"/>
    <mergeCell ref="B6:E6"/>
    <mergeCell ref="F6:H6"/>
    <mergeCell ref="A7:A10"/>
    <mergeCell ref="B7:E10"/>
    <mergeCell ref="F7:H10"/>
    <mergeCell ref="A11:A14"/>
    <mergeCell ref="B11:E14"/>
    <mergeCell ref="F11:H14"/>
    <mergeCell ref="A15:A18"/>
    <mergeCell ref="B15:E18"/>
    <mergeCell ref="F15:H18"/>
    <mergeCell ref="A19:A22"/>
    <mergeCell ref="B19:E22"/>
    <mergeCell ref="F19:H22"/>
    <mergeCell ref="A23:A26"/>
    <mergeCell ref="B23:E26"/>
    <mergeCell ref="F23:H26"/>
    <mergeCell ref="A27:A30"/>
    <mergeCell ref="B27:E30"/>
    <mergeCell ref="F27:H30"/>
    <mergeCell ref="A31:A34"/>
    <mergeCell ref="B31:E34"/>
    <mergeCell ref="F31:H34"/>
    <mergeCell ref="A35:A38"/>
    <mergeCell ref="B35:E38"/>
    <mergeCell ref="F35:H38"/>
    <mergeCell ref="A39:A42"/>
    <mergeCell ref="B39:E42"/>
    <mergeCell ref="F39:H42"/>
    <mergeCell ref="A43:A46"/>
    <mergeCell ref="B43:E46"/>
    <mergeCell ref="F43:H46"/>
    <mergeCell ref="A47:A50"/>
    <mergeCell ref="B47:E50"/>
    <mergeCell ref="F47:H50"/>
    <mergeCell ref="A2:H2"/>
    <mergeCell ref="A67:A70"/>
    <mergeCell ref="B67:E70"/>
    <mergeCell ref="F67:H70"/>
    <mergeCell ref="A59:A62"/>
    <mergeCell ref="B59:E62"/>
    <mergeCell ref="F59:H62"/>
    <mergeCell ref="A63:A66"/>
    <mergeCell ref="B63:E66"/>
    <mergeCell ref="F63:H66"/>
    <mergeCell ref="A51:A54"/>
    <mergeCell ref="B51:E54"/>
    <mergeCell ref="F51:H54"/>
    <mergeCell ref="A55:A58"/>
    <mergeCell ref="B55:E58"/>
    <mergeCell ref="F55:H5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B642A-A4C4-4DBA-8D33-35854A839640}">
  <sheetPr>
    <tabColor rgb="FFFFFF00"/>
  </sheetPr>
  <dimension ref="A1:AF337"/>
  <sheetViews>
    <sheetView zoomScale="85" zoomScaleNormal="85" workbookViewId="0">
      <selection activeCell="A4" sqref="A4:F4"/>
    </sheetView>
  </sheetViews>
  <sheetFormatPr defaultColWidth="11.42578125" defaultRowHeight="14.65"/>
  <cols>
    <col min="1" max="1" width="40.42578125" customWidth="1"/>
    <col min="2" max="2" width="26.140625" customWidth="1"/>
    <col min="3" max="3" width="35.140625" customWidth="1"/>
    <col min="4" max="4" width="21.7109375" customWidth="1"/>
    <col min="5" max="5" width="28.140625" customWidth="1"/>
    <col min="6" max="6" width="27" customWidth="1"/>
    <col min="7" max="32" width="11.42578125" style="203"/>
  </cols>
  <sheetData>
    <row r="1" spans="1:8" s="203" customFormat="1"/>
    <row r="2" spans="1:8" s="203" customFormat="1"/>
    <row r="3" spans="1:8" s="203" customFormat="1"/>
    <row r="4" spans="1:8" s="203" customFormat="1" ht="26.1">
      <c r="A4" s="1168" t="s">
        <v>636</v>
      </c>
      <c r="B4" s="1168"/>
      <c r="C4" s="1168"/>
      <c r="D4" s="1168"/>
      <c r="E4" s="1168"/>
      <c r="F4" s="1168"/>
      <c r="G4" s="240"/>
      <c r="H4" s="240"/>
    </row>
    <row r="5" spans="1:8" s="203" customFormat="1"/>
    <row r="6" spans="1:8" s="203" customFormat="1" ht="15" thickBot="1"/>
    <row r="7" spans="1:8" ht="18.95" thickBot="1">
      <c r="A7" s="1174" t="s">
        <v>668</v>
      </c>
      <c r="B7" s="1177" t="s">
        <v>669</v>
      </c>
      <c r="C7" s="1180" t="s">
        <v>670</v>
      </c>
      <c r="D7" s="1181"/>
      <c r="E7" s="1182" t="s">
        <v>671</v>
      </c>
      <c r="F7" s="1183"/>
    </row>
    <row r="8" spans="1:8" ht="16.350000000000001" thickTop="1">
      <c r="A8" s="1175"/>
      <c r="B8" s="1178"/>
      <c r="C8" s="226" t="s">
        <v>672</v>
      </c>
      <c r="D8" s="1184" t="s">
        <v>673</v>
      </c>
      <c r="E8" s="228" t="s">
        <v>672</v>
      </c>
      <c r="F8" s="1184" t="s">
        <v>673</v>
      </c>
    </row>
    <row r="9" spans="1:8" ht="16.350000000000001" thickBot="1">
      <c r="A9" s="1176"/>
      <c r="B9" s="1179"/>
      <c r="C9" s="227" t="s">
        <v>674</v>
      </c>
      <c r="D9" s="1185"/>
      <c r="E9" s="229" t="s">
        <v>674</v>
      </c>
      <c r="F9" s="1185"/>
    </row>
    <row r="10" spans="1:8" ht="23.1" thickTop="1" thickBot="1">
      <c r="A10" s="230" t="s">
        <v>675</v>
      </c>
      <c r="B10" s="231"/>
      <c r="C10" s="232"/>
      <c r="D10" s="232"/>
      <c r="E10" s="232"/>
      <c r="F10" s="232"/>
    </row>
    <row r="11" spans="1:8" ht="22.7" thickBot="1">
      <c r="A11" s="233" t="s">
        <v>676</v>
      </c>
      <c r="B11" s="234"/>
      <c r="C11" s="234"/>
      <c r="D11" s="234"/>
      <c r="E11" s="234"/>
      <c r="F11" s="234"/>
    </row>
    <row r="12" spans="1:8" ht="22.7" thickBot="1">
      <c r="A12" s="235" t="s">
        <v>677</v>
      </c>
      <c r="B12" s="232"/>
      <c r="C12" s="232"/>
      <c r="D12" s="232"/>
      <c r="E12" s="232"/>
      <c r="F12" s="232"/>
    </row>
    <row r="13" spans="1:8" ht="22.7" thickBot="1">
      <c r="A13" s="233" t="s">
        <v>678</v>
      </c>
      <c r="B13" s="234"/>
      <c r="C13" s="234"/>
      <c r="D13" s="234"/>
      <c r="E13" s="234"/>
      <c r="F13" s="234"/>
    </row>
    <row r="14" spans="1:8" ht="22.7" thickBot="1">
      <c r="A14" s="235" t="s">
        <v>679</v>
      </c>
      <c r="B14" s="232"/>
      <c r="C14" s="232"/>
      <c r="D14" s="232"/>
      <c r="E14" s="232"/>
      <c r="F14" s="232"/>
    </row>
    <row r="15" spans="1:8" ht="22.7" thickBot="1">
      <c r="A15" s="236" t="s">
        <v>680</v>
      </c>
      <c r="B15" s="237" t="s">
        <v>681</v>
      </c>
      <c r="C15" s="238"/>
      <c r="D15" s="239" t="s">
        <v>682</v>
      </c>
      <c r="E15" s="238"/>
      <c r="F15" s="239" t="s">
        <v>682</v>
      </c>
    </row>
    <row r="16" spans="1:8" s="203" customFormat="1"/>
    <row r="17" s="203" customFormat="1"/>
    <row r="18" s="203" customFormat="1"/>
    <row r="19" s="203" customFormat="1"/>
    <row r="20" s="203" customFormat="1"/>
    <row r="21" s="203" customFormat="1"/>
    <row r="22" s="203" customFormat="1"/>
    <row r="23" s="203" customFormat="1"/>
    <row r="24" s="203" customFormat="1"/>
    <row r="25" s="203" customFormat="1"/>
    <row r="26" s="203" customFormat="1"/>
    <row r="27" s="203" customFormat="1"/>
    <row r="28" s="203" customFormat="1"/>
    <row r="29" s="203" customFormat="1"/>
    <row r="30" s="203" customFormat="1"/>
    <row r="31" s="203" customFormat="1"/>
    <row r="32" s="203" customFormat="1"/>
    <row r="33" s="203" customFormat="1"/>
    <row r="34" s="203" customFormat="1"/>
    <row r="35" s="203" customFormat="1"/>
    <row r="36" s="203" customFormat="1"/>
    <row r="37" s="203" customFormat="1"/>
    <row r="38" s="203" customFormat="1"/>
    <row r="39" s="203" customFormat="1"/>
    <row r="40" s="203" customFormat="1"/>
    <row r="41" s="203" customFormat="1"/>
    <row r="42" s="203" customFormat="1"/>
    <row r="43" s="203" customFormat="1"/>
    <row r="44" s="203" customFormat="1"/>
    <row r="45" s="203" customFormat="1"/>
    <row r="46" s="203" customFormat="1"/>
    <row r="47" s="203" customFormat="1"/>
    <row r="48" s="203" customFormat="1"/>
    <row r="49" s="203" customFormat="1"/>
    <row r="50" s="203" customFormat="1"/>
    <row r="51" s="203" customFormat="1"/>
    <row r="52" s="203" customFormat="1"/>
    <row r="53" s="203" customFormat="1"/>
    <row r="54" s="203" customFormat="1"/>
    <row r="55" s="203" customFormat="1"/>
    <row r="56" s="203" customFormat="1"/>
    <row r="57" s="203" customFormat="1"/>
    <row r="58" s="203" customFormat="1"/>
    <row r="59" s="203" customFormat="1"/>
    <row r="60" s="203" customFormat="1"/>
    <row r="61" s="203" customFormat="1"/>
    <row r="62" s="203" customFormat="1"/>
    <row r="63" s="203" customFormat="1"/>
    <row r="64" s="203" customFormat="1"/>
    <row r="65" s="203" customFormat="1"/>
    <row r="66" s="203" customFormat="1"/>
    <row r="67" s="203" customFormat="1"/>
    <row r="68" s="203" customFormat="1"/>
    <row r="69" s="203" customFormat="1"/>
    <row r="70" s="203" customFormat="1"/>
    <row r="71" s="203" customFormat="1"/>
    <row r="72" s="203" customFormat="1"/>
    <row r="73" s="203" customFormat="1"/>
    <row r="74" s="203" customFormat="1"/>
    <row r="75" s="203" customFormat="1"/>
    <row r="76" s="203" customFormat="1"/>
    <row r="77" s="203" customFormat="1"/>
    <row r="78" s="203" customFormat="1"/>
    <row r="79" s="203" customFormat="1"/>
    <row r="80" s="203" customFormat="1"/>
    <row r="81" s="203" customFormat="1"/>
    <row r="82" s="203" customFormat="1"/>
    <row r="83" s="203" customFormat="1"/>
    <row r="84" s="203" customFormat="1"/>
    <row r="85" s="203" customFormat="1"/>
    <row r="86" s="203" customFormat="1"/>
    <row r="87" s="203" customFormat="1"/>
    <row r="88" s="203" customFormat="1"/>
    <row r="89" s="203" customFormat="1"/>
    <row r="90" s="203" customFormat="1"/>
    <row r="91" s="203" customFormat="1"/>
    <row r="92" s="203" customFormat="1"/>
    <row r="93" s="203" customFormat="1"/>
    <row r="94" s="203" customFormat="1"/>
    <row r="95" s="203" customFormat="1"/>
    <row r="96" s="203" customFormat="1"/>
    <row r="97" s="203" customFormat="1"/>
    <row r="98" s="203" customFormat="1"/>
    <row r="99" s="203" customFormat="1"/>
    <row r="100" s="203" customFormat="1"/>
    <row r="101" s="203" customFormat="1"/>
    <row r="102" s="203" customFormat="1"/>
    <row r="103" s="203" customFormat="1"/>
    <row r="104" s="203" customFormat="1"/>
    <row r="105" s="203" customFormat="1"/>
    <row r="106" s="203" customFormat="1"/>
    <row r="107" s="203" customFormat="1"/>
    <row r="108" s="203" customFormat="1"/>
    <row r="109" s="203" customFormat="1"/>
    <row r="110" s="203" customFormat="1"/>
    <row r="111" s="203" customFormat="1"/>
    <row r="112" s="203" customFormat="1"/>
    <row r="113" s="203" customFormat="1"/>
    <row r="114" s="203" customFormat="1"/>
    <row r="115" s="203" customFormat="1"/>
    <row r="116" s="203" customFormat="1"/>
    <row r="117" s="203" customFormat="1"/>
    <row r="118" s="203" customFormat="1"/>
    <row r="119" s="203" customFormat="1"/>
    <row r="120" s="203" customFormat="1"/>
    <row r="121" s="203" customFormat="1"/>
    <row r="122" s="203" customFormat="1"/>
    <row r="123" s="203" customFormat="1"/>
    <row r="124" s="203" customFormat="1"/>
    <row r="125" s="203" customFormat="1"/>
    <row r="126" s="203" customFormat="1"/>
    <row r="127" s="203" customFormat="1"/>
    <row r="128" s="203" customFormat="1"/>
    <row r="129" s="203" customFormat="1"/>
    <row r="130" s="203" customFormat="1"/>
    <row r="131" s="203" customFormat="1"/>
    <row r="132" s="203" customFormat="1"/>
    <row r="133" s="203" customFormat="1"/>
    <row r="134" s="203" customFormat="1"/>
    <row r="135" s="203" customFormat="1"/>
    <row r="136" s="203" customFormat="1"/>
    <row r="137" s="203" customFormat="1"/>
    <row r="138" s="203" customFormat="1"/>
    <row r="139" s="203" customFormat="1"/>
    <row r="140" s="203" customFormat="1"/>
    <row r="141" s="203" customFormat="1"/>
    <row r="142" s="203" customFormat="1"/>
    <row r="143" s="203" customFormat="1"/>
    <row r="144" s="203" customFormat="1"/>
    <row r="145" s="203" customFormat="1"/>
    <row r="146" s="203" customFormat="1"/>
    <row r="147" s="203" customFormat="1"/>
    <row r="148" s="203" customFormat="1"/>
    <row r="149" s="203" customFormat="1"/>
    <row r="150" s="203" customFormat="1"/>
    <row r="151" s="203" customFormat="1"/>
    <row r="152" s="203" customFormat="1"/>
    <row r="153" s="203" customFormat="1"/>
    <row r="154" s="203" customFormat="1"/>
    <row r="155" s="203" customFormat="1"/>
    <row r="156" s="203" customFormat="1"/>
    <row r="157" s="203" customFormat="1"/>
    <row r="158" s="203" customFormat="1"/>
    <row r="159" s="203" customFormat="1"/>
    <row r="160" s="203" customFormat="1"/>
    <row r="161" s="203" customFormat="1"/>
    <row r="162" s="203" customFormat="1"/>
    <row r="163" s="203" customFormat="1"/>
    <row r="164" s="203" customFormat="1"/>
    <row r="165" s="203" customFormat="1"/>
    <row r="166" s="203" customFormat="1"/>
    <row r="167" s="203" customFormat="1"/>
    <row r="168" s="203" customFormat="1"/>
    <row r="169" s="203" customFormat="1"/>
    <row r="170" s="203" customFormat="1"/>
    <row r="171" s="203" customFormat="1"/>
    <row r="172" s="203" customFormat="1"/>
    <row r="173" s="203" customFormat="1"/>
    <row r="174" s="203" customFormat="1"/>
    <row r="175" s="203" customFormat="1"/>
    <row r="176" s="203" customFormat="1"/>
    <row r="177" s="203" customFormat="1"/>
    <row r="178" s="203" customFormat="1"/>
    <row r="179" s="203" customFormat="1"/>
    <row r="180" s="203" customFormat="1"/>
    <row r="181" s="203" customFormat="1"/>
    <row r="182" s="203" customFormat="1"/>
    <row r="183" s="203" customFormat="1"/>
    <row r="184" s="203" customFormat="1"/>
    <row r="185" s="203" customFormat="1"/>
    <row r="186" s="203" customFormat="1"/>
    <row r="187" s="203" customFormat="1"/>
    <row r="188" s="203" customFormat="1"/>
    <row r="189" s="203" customFormat="1"/>
    <row r="190" s="203" customFormat="1"/>
    <row r="191" s="203" customFormat="1"/>
    <row r="192" s="203" customFormat="1"/>
    <row r="193" s="203" customFormat="1"/>
    <row r="194" s="203" customFormat="1"/>
    <row r="195" s="203" customFormat="1"/>
    <row r="196" s="203" customFormat="1"/>
    <row r="197" s="203" customFormat="1"/>
    <row r="198" s="203" customFormat="1"/>
    <row r="199" s="203" customFormat="1"/>
    <row r="200" s="203" customFormat="1"/>
    <row r="201" s="203" customFormat="1"/>
    <row r="202" s="203" customFormat="1"/>
    <row r="203" s="203" customFormat="1"/>
    <row r="204" s="203" customFormat="1"/>
    <row r="205" s="203" customFormat="1"/>
    <row r="206" s="203" customFormat="1"/>
    <row r="207" s="203" customFormat="1"/>
    <row r="208" s="203" customFormat="1"/>
    <row r="209" s="203" customFormat="1"/>
    <row r="210" s="203" customFormat="1"/>
    <row r="211" s="203" customFormat="1"/>
    <row r="212" s="203" customFormat="1"/>
    <row r="213" s="203" customFormat="1"/>
    <row r="214" s="203" customFormat="1"/>
    <row r="215" s="203" customFormat="1"/>
    <row r="216" s="203" customFormat="1"/>
    <row r="217" s="203" customFormat="1"/>
    <row r="218" s="203" customFormat="1"/>
    <row r="219" s="203" customFormat="1"/>
    <row r="220" s="203" customFormat="1"/>
    <row r="221" s="203" customFormat="1"/>
    <row r="222" s="203" customFormat="1"/>
    <row r="223" s="203" customFormat="1"/>
    <row r="224" s="203" customFormat="1"/>
    <row r="225" s="203" customFormat="1"/>
    <row r="226" s="203" customFormat="1"/>
    <row r="227" s="203" customFormat="1"/>
    <row r="228" s="203" customFormat="1"/>
    <row r="229" s="203" customFormat="1"/>
    <row r="230" s="203" customFormat="1"/>
    <row r="231" s="203" customFormat="1"/>
    <row r="232" s="203" customFormat="1"/>
    <row r="233" s="203" customFormat="1"/>
    <row r="234" s="203" customFormat="1"/>
    <row r="235" s="203" customFormat="1"/>
    <row r="236" s="203" customFormat="1"/>
    <row r="237" s="203" customFormat="1"/>
    <row r="238" s="203" customFormat="1"/>
    <row r="239" s="203" customFormat="1"/>
    <row r="240" s="203" customFormat="1"/>
    <row r="241" s="203" customFormat="1"/>
    <row r="242" s="203" customFormat="1"/>
    <row r="243" s="203" customFormat="1"/>
    <row r="244" s="203" customFormat="1"/>
    <row r="245" s="203" customFormat="1"/>
    <row r="246" s="203" customFormat="1"/>
    <row r="247" s="203" customFormat="1"/>
    <row r="248" s="203" customFormat="1"/>
    <row r="249" s="203" customFormat="1"/>
    <row r="250" s="203" customFormat="1"/>
    <row r="251" s="203" customFormat="1"/>
    <row r="252" s="203" customFormat="1"/>
    <row r="253" s="203" customFormat="1"/>
    <row r="254" s="203" customFormat="1"/>
    <row r="255" s="203" customFormat="1"/>
    <row r="256" s="203" customFormat="1"/>
    <row r="257" s="203" customFormat="1"/>
    <row r="258" s="203" customFormat="1"/>
    <row r="259" s="203" customFormat="1"/>
    <row r="260" s="203" customFormat="1"/>
    <row r="261" s="203" customFormat="1"/>
    <row r="262" s="203" customFormat="1"/>
    <row r="263" s="203" customFormat="1"/>
    <row r="264" s="203" customFormat="1"/>
    <row r="265" s="203" customFormat="1"/>
    <row r="266" s="203" customFormat="1"/>
    <row r="267" s="203" customFormat="1"/>
    <row r="268" s="203" customFormat="1"/>
    <row r="269" s="203" customFormat="1"/>
    <row r="270" s="203" customFormat="1"/>
    <row r="271" s="203" customFormat="1"/>
    <row r="272" s="203" customFormat="1"/>
    <row r="273" s="203" customFormat="1"/>
    <row r="274" s="203" customFormat="1"/>
    <row r="275" s="203" customFormat="1"/>
    <row r="276" s="203" customFormat="1"/>
    <row r="277" s="203" customFormat="1"/>
    <row r="278" s="203" customFormat="1"/>
    <row r="279" s="203" customFormat="1"/>
    <row r="280" s="203" customFormat="1"/>
    <row r="281" s="203" customFormat="1"/>
    <row r="282" s="203" customFormat="1"/>
    <row r="283" s="203" customFormat="1"/>
    <row r="284" s="203" customFormat="1"/>
    <row r="285" s="203" customFormat="1"/>
    <row r="286" s="203" customFormat="1"/>
    <row r="287" s="203" customFormat="1"/>
    <row r="288" s="203" customFormat="1"/>
    <row r="289" s="203" customFormat="1"/>
    <row r="290" s="203" customFormat="1"/>
    <row r="291" s="203" customFormat="1"/>
    <row r="292" s="203" customFormat="1"/>
    <row r="293" s="203" customFormat="1"/>
    <row r="294" s="203" customFormat="1"/>
    <row r="295" s="203" customFormat="1"/>
    <row r="296" s="203" customFormat="1"/>
    <row r="297" s="203" customFormat="1"/>
    <row r="298" s="203" customFormat="1"/>
    <row r="299" s="203" customFormat="1"/>
    <row r="300" s="203" customFormat="1"/>
    <row r="301" s="203" customFormat="1"/>
    <row r="302" s="203" customFormat="1"/>
    <row r="303" s="203" customFormat="1"/>
    <row r="304" s="203" customFormat="1"/>
    <row r="305" s="203" customFormat="1"/>
    <row r="306" s="203" customFormat="1"/>
    <row r="307" s="203" customFormat="1"/>
    <row r="308" s="203" customFormat="1"/>
    <row r="309" s="203" customFormat="1"/>
    <row r="310" s="203" customFormat="1"/>
    <row r="311" s="203" customFormat="1"/>
    <row r="312" s="203" customFormat="1"/>
    <row r="313" s="203" customFormat="1"/>
    <row r="314" s="203" customFormat="1"/>
    <row r="315" s="203" customFormat="1"/>
    <row r="316" s="203" customFormat="1"/>
    <row r="317" s="203" customFormat="1"/>
    <row r="318" s="203" customFormat="1"/>
    <row r="319" s="203" customFormat="1"/>
    <row r="320" s="203" customFormat="1"/>
    <row r="321" s="203" customFormat="1"/>
    <row r="322" s="203" customFormat="1"/>
    <row r="323" s="203" customFormat="1"/>
    <row r="324" s="203" customFormat="1"/>
    <row r="325" s="203" customFormat="1"/>
    <row r="326" s="203" customFormat="1"/>
    <row r="327" s="203" customFormat="1"/>
    <row r="328" s="203" customFormat="1"/>
    <row r="329" s="203" customFormat="1"/>
    <row r="330" s="203" customFormat="1"/>
    <row r="331" s="203" customFormat="1"/>
    <row r="332" s="203" customFormat="1"/>
    <row r="333" s="203" customFormat="1"/>
    <row r="334" s="203" customFormat="1"/>
    <row r="335" s="203" customFormat="1"/>
    <row r="336" s="203" customFormat="1"/>
    <row r="337" s="203" customFormat="1"/>
  </sheetData>
  <mergeCells count="7">
    <mergeCell ref="A4:F4"/>
    <mergeCell ref="A7:A9"/>
    <mergeCell ref="B7:B9"/>
    <mergeCell ref="C7:D7"/>
    <mergeCell ref="E7:F7"/>
    <mergeCell ref="D8:D9"/>
    <mergeCell ref="F8:F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Z60"/>
  <sheetViews>
    <sheetView topLeftCell="E11" zoomScale="85" zoomScaleNormal="85" workbookViewId="0">
      <selection activeCell="E11" sqref="E11"/>
    </sheetView>
  </sheetViews>
  <sheetFormatPr defaultColWidth="11.42578125" defaultRowHeight="14.65"/>
  <cols>
    <col min="1" max="1" width="29.140625" bestFit="1" customWidth="1"/>
    <col min="2" max="2" width="44.42578125" bestFit="1" customWidth="1"/>
    <col min="3" max="4" width="34.28515625" customWidth="1"/>
    <col min="5" max="5" width="20.28515625" customWidth="1"/>
    <col min="6" max="6" width="20.140625" bestFit="1" customWidth="1"/>
    <col min="7" max="7" width="30.140625" bestFit="1" customWidth="1"/>
    <col min="8" max="8" width="15.42578125" bestFit="1" customWidth="1"/>
    <col min="9" max="9" width="13" bestFit="1" customWidth="1"/>
    <col min="10" max="10" width="18.85546875" bestFit="1" customWidth="1"/>
    <col min="11" max="11" width="26.42578125" customWidth="1"/>
    <col min="12" max="12" width="15.42578125" bestFit="1" customWidth="1"/>
    <col min="13" max="13" width="13" bestFit="1" customWidth="1"/>
    <col min="14" max="14" width="18.85546875" bestFit="1" customWidth="1"/>
    <col min="15" max="15" width="30" customWidth="1"/>
    <col min="16" max="16" width="13" customWidth="1"/>
    <col min="17" max="17" width="13" bestFit="1" customWidth="1"/>
    <col min="18" max="18" width="16.42578125" bestFit="1" customWidth="1"/>
    <col min="19" max="19" width="12.85546875" bestFit="1" customWidth="1"/>
    <col min="20" max="20" width="15.42578125" bestFit="1" customWidth="1"/>
    <col min="21" max="21" width="13" bestFit="1" customWidth="1"/>
    <col min="22" max="22" width="18.85546875" bestFit="1" customWidth="1"/>
    <col min="23" max="23" width="25.42578125" bestFit="1" customWidth="1"/>
    <col min="24" max="24" width="9" bestFit="1" customWidth="1"/>
    <col min="25" max="25" width="13" bestFit="1" customWidth="1"/>
    <col min="26" max="26" width="16.42578125" bestFit="1" customWidth="1"/>
    <col min="27" max="27" width="25.28515625" customWidth="1"/>
  </cols>
  <sheetData>
    <row r="1" spans="1:23">
      <c r="A1" s="1188" t="s">
        <v>683</v>
      </c>
      <c r="B1" s="1188"/>
      <c r="C1" s="1188"/>
      <c r="D1" s="1188"/>
      <c r="E1" s="1188"/>
      <c r="F1" s="1188"/>
      <c r="G1" s="1188"/>
      <c r="H1" s="1188"/>
      <c r="I1" s="1188"/>
      <c r="J1" s="1188"/>
      <c r="K1" s="1188"/>
      <c r="L1" s="1188"/>
      <c r="M1" s="1188"/>
      <c r="N1" s="1188"/>
      <c r="O1" s="1188"/>
      <c r="P1" s="1188"/>
      <c r="Q1" s="1188"/>
      <c r="R1" s="1188"/>
      <c r="S1" s="1188"/>
      <c r="T1" s="1188"/>
      <c r="U1" s="1188"/>
      <c r="V1" s="1188"/>
      <c r="W1" s="1188"/>
    </row>
    <row r="2" spans="1:23">
      <c r="A2" s="1189"/>
      <c r="B2" s="1189"/>
      <c r="C2" s="1189"/>
      <c r="D2" s="1189"/>
      <c r="E2" s="1189"/>
      <c r="F2" s="1189"/>
      <c r="G2" s="1189"/>
      <c r="H2" s="1189"/>
      <c r="I2" s="1189"/>
      <c r="J2" s="1189"/>
      <c r="K2" s="1189"/>
      <c r="L2" s="1189"/>
      <c r="M2" s="1189"/>
      <c r="N2" s="1189"/>
      <c r="O2" s="1189"/>
      <c r="P2" s="1189"/>
      <c r="Q2" s="1189"/>
      <c r="R2" s="1189"/>
      <c r="S2" s="1189"/>
      <c r="T2" s="1189"/>
      <c r="U2" s="1189"/>
      <c r="V2" s="1189"/>
      <c r="W2" s="1189"/>
    </row>
    <row r="3" spans="1:23">
      <c r="A3" s="25"/>
      <c r="B3" s="20"/>
      <c r="C3" s="20"/>
      <c r="D3" s="20"/>
      <c r="E3" s="20"/>
      <c r="F3" s="20"/>
      <c r="G3" s="20"/>
      <c r="H3" s="20"/>
      <c r="I3" s="20"/>
      <c r="J3" s="20"/>
      <c r="K3" s="20"/>
      <c r="L3" s="20"/>
      <c r="M3" s="20"/>
      <c r="N3" s="20"/>
      <c r="O3" s="20"/>
      <c r="P3" s="20"/>
      <c r="Q3" s="20"/>
      <c r="R3" s="20"/>
      <c r="S3" s="20"/>
      <c r="T3" s="20"/>
      <c r="U3" s="20"/>
      <c r="V3" s="20"/>
      <c r="W3" s="21"/>
    </row>
    <row r="4" spans="1:23">
      <c r="A4" s="26"/>
      <c r="B4" s="15"/>
      <c r="C4" s="15"/>
      <c r="D4" s="15"/>
      <c r="E4" s="15"/>
      <c r="F4" s="15"/>
      <c r="G4" s="15"/>
      <c r="H4" s="15"/>
      <c r="I4" s="15"/>
      <c r="J4" s="15"/>
      <c r="K4" s="15"/>
      <c r="L4" s="15"/>
      <c r="M4" s="15"/>
      <c r="N4" s="15"/>
      <c r="O4" s="15"/>
      <c r="P4" s="15"/>
      <c r="Q4" s="15"/>
      <c r="R4" s="15"/>
      <c r="S4" s="15"/>
      <c r="T4" s="15"/>
      <c r="U4" s="15"/>
      <c r="V4" s="15"/>
      <c r="W4" s="22"/>
    </row>
    <row r="5" spans="1:23">
      <c r="A5" s="26"/>
      <c r="B5" s="15" t="s">
        <v>684</v>
      </c>
      <c r="C5" s="15"/>
      <c r="D5" s="15"/>
      <c r="E5" s="15"/>
      <c r="F5" s="15"/>
      <c r="G5" s="15"/>
      <c r="H5" s="15"/>
      <c r="I5" s="15"/>
      <c r="J5" s="15"/>
      <c r="K5" s="15"/>
      <c r="L5" s="15"/>
      <c r="M5" s="15"/>
      <c r="N5" s="15"/>
      <c r="O5" s="15"/>
      <c r="P5" s="15"/>
      <c r="Q5" s="15"/>
      <c r="R5" s="15"/>
      <c r="S5" s="15"/>
      <c r="T5" s="15"/>
      <c r="U5" s="15"/>
      <c r="V5" s="15"/>
      <c r="W5" s="15"/>
    </row>
    <row r="6" spans="1:23">
      <c r="A6" s="26"/>
      <c r="B6" s="15"/>
      <c r="C6" s="15"/>
      <c r="D6" s="15"/>
      <c r="E6" s="15"/>
      <c r="F6" s="15"/>
      <c r="G6" s="15"/>
      <c r="H6" s="15"/>
      <c r="I6" s="15"/>
      <c r="J6" s="15"/>
      <c r="K6" s="15"/>
      <c r="L6" s="15"/>
      <c r="M6" s="15"/>
      <c r="N6" s="15"/>
      <c r="O6" s="15"/>
      <c r="P6" s="15"/>
      <c r="Q6" s="15"/>
      <c r="R6" s="15"/>
      <c r="S6" s="15"/>
      <c r="T6" s="15"/>
      <c r="U6" s="15"/>
      <c r="V6" s="15"/>
      <c r="W6" s="22"/>
    </row>
    <row r="7" spans="1:23">
      <c r="A7" s="26"/>
      <c r="B7" s="15"/>
      <c r="C7" s="15"/>
      <c r="D7" s="15"/>
      <c r="E7" s="15"/>
      <c r="F7" s="15"/>
      <c r="G7" s="15"/>
      <c r="H7" s="15"/>
      <c r="I7" s="15"/>
      <c r="J7" s="15"/>
      <c r="K7" s="15"/>
      <c r="L7" s="15"/>
      <c r="M7" s="15"/>
      <c r="N7" s="15"/>
      <c r="O7" s="15"/>
      <c r="P7" s="15"/>
      <c r="Q7" s="15"/>
      <c r="R7" s="15"/>
      <c r="S7" s="15"/>
      <c r="T7" s="15"/>
      <c r="U7" s="15"/>
      <c r="V7" s="15"/>
      <c r="W7" s="22"/>
    </row>
    <row r="8" spans="1:23">
      <c r="A8" s="26"/>
      <c r="B8" s="15"/>
      <c r="C8" s="15"/>
      <c r="D8" s="15"/>
      <c r="E8" s="15"/>
      <c r="F8" s="15"/>
      <c r="G8" s="15"/>
      <c r="H8" s="15"/>
      <c r="I8" s="15"/>
      <c r="J8" s="15"/>
      <c r="K8" s="15"/>
      <c r="L8" s="15"/>
      <c r="M8" s="15"/>
      <c r="N8" s="15"/>
      <c r="O8" s="15"/>
      <c r="P8" s="15"/>
      <c r="Q8" s="15"/>
      <c r="R8" s="15"/>
      <c r="S8" s="15"/>
      <c r="T8" s="15"/>
      <c r="U8" s="15"/>
      <c r="V8" s="15"/>
      <c r="W8" s="22"/>
    </row>
    <row r="9" spans="1:23">
      <c r="A9" s="26"/>
      <c r="B9" s="15"/>
      <c r="C9" s="15"/>
      <c r="D9" s="15"/>
      <c r="E9" s="15"/>
      <c r="F9" s="15"/>
      <c r="G9" s="15"/>
      <c r="H9" s="15"/>
      <c r="I9" s="15"/>
      <c r="J9" s="15"/>
      <c r="K9" s="15"/>
      <c r="L9" s="15"/>
      <c r="M9" s="15"/>
      <c r="N9" s="15"/>
      <c r="O9" s="15"/>
      <c r="P9" s="15"/>
      <c r="Q9" s="15"/>
      <c r="R9" s="15"/>
      <c r="S9" s="15"/>
      <c r="T9" s="15"/>
      <c r="U9" s="15"/>
      <c r="V9" s="15"/>
      <c r="W9" s="22"/>
    </row>
    <row r="10" spans="1:23">
      <c r="A10" s="26"/>
      <c r="B10" s="15"/>
      <c r="C10" s="15"/>
      <c r="D10" s="15"/>
      <c r="E10" s="15"/>
      <c r="F10" s="15"/>
      <c r="G10" s="15"/>
      <c r="H10" s="15"/>
      <c r="I10" s="15"/>
      <c r="J10" s="15"/>
      <c r="K10" s="15"/>
      <c r="L10" s="15"/>
      <c r="M10" s="15"/>
      <c r="N10" s="15"/>
      <c r="O10" s="15"/>
      <c r="P10" s="15"/>
      <c r="Q10" s="15"/>
      <c r="R10" s="15"/>
      <c r="S10" s="15"/>
      <c r="T10" s="15"/>
      <c r="U10" s="15"/>
      <c r="V10" s="15"/>
      <c r="W10" s="22"/>
    </row>
    <row r="11" spans="1:23">
      <c r="A11" s="26"/>
      <c r="B11" s="15"/>
      <c r="C11" s="15"/>
      <c r="D11" s="15"/>
      <c r="E11" s="15"/>
      <c r="F11" s="15"/>
      <c r="G11" s="15"/>
      <c r="H11" s="15"/>
      <c r="I11" s="15"/>
      <c r="J11" s="15"/>
      <c r="K11" s="15"/>
      <c r="L11" s="15"/>
      <c r="M11" s="15"/>
      <c r="N11" s="15"/>
      <c r="O11" s="15"/>
      <c r="P11" s="15"/>
      <c r="Q11" s="15"/>
      <c r="R11" s="15"/>
      <c r="S11" s="15"/>
      <c r="T11" s="15"/>
      <c r="U11" s="15"/>
      <c r="V11" s="15"/>
      <c r="W11" s="22"/>
    </row>
    <row r="12" spans="1:23">
      <c r="A12" s="26"/>
      <c r="B12" s="15"/>
      <c r="C12" s="15"/>
      <c r="D12" s="15"/>
      <c r="E12" s="15"/>
      <c r="F12" s="15"/>
      <c r="G12" s="15"/>
      <c r="H12" s="15"/>
      <c r="I12" s="15"/>
      <c r="J12" s="15"/>
      <c r="K12" s="15"/>
      <c r="L12" s="15"/>
      <c r="M12" s="15"/>
      <c r="N12" s="15"/>
      <c r="O12" s="15"/>
      <c r="P12" s="15"/>
      <c r="Q12" s="15"/>
      <c r="R12" s="15"/>
      <c r="S12" s="15"/>
      <c r="T12" s="15"/>
      <c r="U12" s="15"/>
      <c r="V12" s="15"/>
      <c r="W12" s="22"/>
    </row>
    <row r="13" spans="1:23">
      <c r="A13" s="26"/>
      <c r="B13" s="15"/>
      <c r="C13" s="15"/>
      <c r="D13" s="15"/>
      <c r="E13" s="15"/>
      <c r="F13" s="15"/>
      <c r="G13" s="15"/>
      <c r="H13" s="15"/>
      <c r="I13" s="15"/>
      <c r="J13" s="15"/>
      <c r="K13" s="15"/>
      <c r="L13" s="15"/>
      <c r="M13" s="15"/>
      <c r="N13" s="15"/>
      <c r="O13" s="15"/>
      <c r="P13" s="15"/>
      <c r="Q13" s="15"/>
      <c r="R13" s="15"/>
      <c r="S13" s="15"/>
      <c r="T13" s="15"/>
      <c r="U13" s="15"/>
      <c r="V13" s="15"/>
      <c r="W13" s="22"/>
    </row>
    <row r="14" spans="1:23">
      <c r="A14" s="26"/>
      <c r="B14" s="15"/>
      <c r="C14" s="15"/>
      <c r="D14" s="15"/>
      <c r="E14" s="15"/>
      <c r="F14" s="15"/>
      <c r="G14" s="15"/>
      <c r="H14" s="15"/>
      <c r="I14" s="15"/>
      <c r="J14" s="15"/>
      <c r="K14" s="15"/>
      <c r="L14" s="15"/>
      <c r="M14" s="15"/>
      <c r="N14" s="15"/>
      <c r="O14" s="15"/>
      <c r="P14" s="15"/>
      <c r="Q14" s="15"/>
      <c r="R14" s="15"/>
      <c r="S14" s="15"/>
      <c r="T14" s="15"/>
      <c r="U14" s="15"/>
      <c r="V14" s="15"/>
      <c r="W14" s="22"/>
    </row>
    <row r="15" spans="1:23">
      <c r="A15" s="26"/>
      <c r="B15" s="15"/>
      <c r="C15" s="15"/>
      <c r="D15" s="15"/>
      <c r="E15" s="15"/>
      <c r="F15" s="15"/>
      <c r="G15" s="15"/>
      <c r="H15" s="15"/>
      <c r="I15" s="15"/>
      <c r="J15" s="15"/>
      <c r="K15" s="15"/>
      <c r="L15" s="15"/>
      <c r="M15" s="15"/>
      <c r="N15" s="15"/>
      <c r="O15" s="15"/>
      <c r="P15" s="15"/>
      <c r="Q15" s="15"/>
      <c r="R15" s="15"/>
      <c r="S15" s="15"/>
      <c r="T15" s="15"/>
      <c r="U15" s="15"/>
      <c r="V15" s="15"/>
      <c r="W15" s="22"/>
    </row>
    <row r="16" spans="1:23">
      <c r="A16" s="26"/>
      <c r="B16" s="15"/>
      <c r="C16" s="15"/>
      <c r="D16" s="15"/>
      <c r="E16" s="15"/>
      <c r="F16" s="15"/>
      <c r="G16" s="15"/>
      <c r="H16" s="15"/>
      <c r="I16" s="15"/>
      <c r="J16" s="15"/>
      <c r="K16" s="15"/>
      <c r="L16" s="15"/>
      <c r="M16" s="15"/>
      <c r="N16" s="15"/>
      <c r="O16" s="15"/>
      <c r="P16" s="15"/>
      <c r="Q16" s="15"/>
      <c r="R16" s="15"/>
      <c r="S16" s="15"/>
      <c r="T16" s="15"/>
      <c r="U16" s="15"/>
      <c r="V16" s="15"/>
      <c r="W16" s="22"/>
    </row>
    <row r="17" spans="1:23">
      <c r="A17" s="26"/>
      <c r="B17" s="15" t="e" vm="1">
        <v>#VALUE!</v>
      </c>
      <c r="C17" s="15"/>
      <c r="D17" s="15"/>
      <c r="E17" s="15"/>
      <c r="F17" s="15"/>
      <c r="G17" s="15"/>
      <c r="H17" s="15"/>
      <c r="I17" s="15"/>
      <c r="J17" s="15"/>
      <c r="K17" s="15"/>
      <c r="L17" s="15"/>
      <c r="M17" s="15"/>
      <c r="N17" s="15"/>
      <c r="O17" s="15"/>
      <c r="P17" s="15"/>
      <c r="Q17" s="15"/>
      <c r="R17" s="15"/>
      <c r="S17" s="15"/>
      <c r="T17" s="15"/>
      <c r="U17" s="15"/>
      <c r="V17" s="15"/>
      <c r="W17" s="22"/>
    </row>
    <row r="18" spans="1:23">
      <c r="A18" s="26"/>
      <c r="B18" s="15"/>
      <c r="C18" s="15"/>
      <c r="D18" s="15"/>
      <c r="E18" s="15"/>
      <c r="F18" s="15"/>
      <c r="G18" s="15"/>
      <c r="H18" s="15"/>
      <c r="I18" s="15"/>
      <c r="J18" s="15"/>
      <c r="K18" s="15"/>
      <c r="L18" s="15"/>
      <c r="M18" s="15"/>
      <c r="N18" s="15"/>
      <c r="O18" s="15"/>
      <c r="P18" s="15"/>
      <c r="Q18" s="15"/>
      <c r="R18" s="15"/>
      <c r="S18" s="15"/>
      <c r="T18" s="15"/>
      <c r="U18" s="15"/>
      <c r="V18" s="15"/>
      <c r="W18" s="22"/>
    </row>
    <row r="19" spans="1:23">
      <c r="A19" s="26"/>
      <c r="B19" s="15"/>
      <c r="C19" s="15"/>
      <c r="D19" s="15"/>
      <c r="E19" s="15"/>
      <c r="F19" s="15"/>
      <c r="G19" s="15"/>
      <c r="H19" s="15"/>
      <c r="I19" s="15"/>
      <c r="J19" s="15"/>
      <c r="K19" s="15"/>
      <c r="L19" s="15"/>
      <c r="M19" s="15"/>
      <c r="N19" s="15"/>
      <c r="O19" s="15"/>
      <c r="P19" s="15"/>
      <c r="Q19" s="15"/>
      <c r="R19" s="15"/>
      <c r="S19" s="15"/>
      <c r="T19" s="15"/>
      <c r="U19" s="15"/>
      <c r="V19" s="15"/>
      <c r="W19" s="22"/>
    </row>
    <row r="20" spans="1:23">
      <c r="A20" s="26"/>
      <c r="B20" s="15"/>
      <c r="C20" s="15"/>
      <c r="D20" s="15"/>
      <c r="E20" s="15"/>
      <c r="F20" s="15"/>
      <c r="G20" s="15"/>
      <c r="H20" s="15"/>
      <c r="I20" s="15"/>
      <c r="J20" s="15"/>
      <c r="K20" s="15"/>
      <c r="L20" s="15"/>
      <c r="M20" s="15"/>
      <c r="N20" s="15"/>
      <c r="O20" s="15"/>
      <c r="P20" s="15"/>
      <c r="Q20" s="15"/>
      <c r="R20" s="15"/>
      <c r="S20" s="15"/>
      <c r="T20" s="15"/>
      <c r="U20" s="15"/>
      <c r="V20" s="15"/>
      <c r="W20" s="22"/>
    </row>
    <row r="21" spans="1:23">
      <c r="A21" s="26"/>
      <c r="B21" s="15"/>
      <c r="C21" s="15"/>
      <c r="D21" s="15"/>
      <c r="E21" s="15"/>
      <c r="F21" s="15"/>
      <c r="G21" s="15"/>
      <c r="H21" s="15"/>
      <c r="I21" s="15"/>
      <c r="J21" s="15"/>
      <c r="K21" s="15"/>
      <c r="L21" s="15"/>
      <c r="M21" s="15"/>
      <c r="N21" s="15"/>
      <c r="O21" s="15"/>
      <c r="P21" s="15"/>
      <c r="Q21" s="15"/>
      <c r="R21" s="15"/>
      <c r="S21" s="15"/>
      <c r="T21" s="15"/>
      <c r="U21" s="15"/>
      <c r="V21" s="15"/>
      <c r="W21" s="22"/>
    </row>
    <row r="22" spans="1:23">
      <c r="A22" s="26"/>
      <c r="B22" s="15"/>
      <c r="C22" s="15"/>
      <c r="D22" s="15"/>
      <c r="E22" s="15"/>
      <c r="F22" s="15"/>
      <c r="G22" s="15"/>
      <c r="H22" s="15"/>
      <c r="I22" s="15"/>
      <c r="J22" s="15"/>
      <c r="K22" s="15"/>
      <c r="L22" s="15"/>
      <c r="M22" s="15"/>
      <c r="N22" s="15"/>
      <c r="O22" s="15"/>
      <c r="P22" s="15"/>
      <c r="Q22" s="15"/>
      <c r="R22" s="15"/>
      <c r="S22" s="15"/>
      <c r="T22" s="15"/>
      <c r="U22" s="15"/>
      <c r="V22" s="15"/>
      <c r="W22" s="22"/>
    </row>
    <row r="23" spans="1:23">
      <c r="A23" s="26"/>
      <c r="B23" s="15"/>
      <c r="C23" s="15"/>
      <c r="D23" s="15"/>
      <c r="E23" s="15"/>
      <c r="F23" s="15"/>
      <c r="G23" s="15"/>
      <c r="H23" s="15"/>
      <c r="I23" s="15"/>
      <c r="J23" s="15"/>
      <c r="K23" s="15"/>
      <c r="L23" s="15"/>
      <c r="M23" s="15"/>
      <c r="N23" s="15"/>
      <c r="O23" s="15"/>
      <c r="P23" s="15"/>
      <c r="Q23" s="15"/>
      <c r="R23" s="15"/>
      <c r="S23" s="15"/>
      <c r="T23" s="15"/>
      <c r="U23" s="15"/>
      <c r="V23" s="15"/>
      <c r="W23" s="22"/>
    </row>
    <row r="24" spans="1:23">
      <c r="A24" s="26"/>
      <c r="B24" s="15"/>
      <c r="C24" s="15"/>
      <c r="D24" s="15"/>
      <c r="E24" s="15"/>
      <c r="F24" s="15"/>
      <c r="G24" s="15"/>
      <c r="H24" s="15"/>
      <c r="I24" s="15"/>
      <c r="J24" s="15"/>
      <c r="K24" s="15"/>
      <c r="L24" s="15"/>
      <c r="M24" s="15"/>
      <c r="N24" s="15"/>
      <c r="O24" s="15"/>
      <c r="P24" s="15"/>
      <c r="Q24" s="15"/>
      <c r="R24" s="15"/>
      <c r="S24" s="15"/>
      <c r="T24" s="15"/>
      <c r="U24" s="15"/>
      <c r="V24" s="15"/>
      <c r="W24" s="22"/>
    </row>
    <row r="25" spans="1:23">
      <c r="A25" s="26"/>
      <c r="B25" s="15"/>
      <c r="C25" s="15"/>
      <c r="D25" s="15"/>
      <c r="E25" s="15"/>
      <c r="F25" s="15"/>
      <c r="G25" s="15"/>
      <c r="H25" s="15"/>
      <c r="I25" s="15"/>
      <c r="J25" s="15"/>
      <c r="K25" s="15"/>
      <c r="L25" s="15"/>
      <c r="M25" s="15"/>
      <c r="N25" s="15"/>
      <c r="O25" s="15"/>
      <c r="P25" s="15"/>
      <c r="Q25" s="15"/>
      <c r="R25" s="15"/>
      <c r="S25" s="15"/>
      <c r="T25" s="15"/>
      <c r="U25" s="15"/>
      <c r="V25" s="15"/>
      <c r="W25" s="22"/>
    </row>
    <row r="26" spans="1:23">
      <c r="A26" s="26"/>
      <c r="B26" s="15"/>
      <c r="C26" s="15"/>
      <c r="D26" s="15"/>
      <c r="E26" s="15"/>
      <c r="F26" s="15"/>
      <c r="G26" s="15"/>
      <c r="H26" s="15"/>
      <c r="I26" s="15"/>
      <c r="J26" s="15"/>
      <c r="K26" s="15"/>
      <c r="L26" s="15"/>
      <c r="M26" s="15"/>
      <c r="N26" s="15"/>
      <c r="O26" s="15"/>
      <c r="P26" s="15"/>
      <c r="Q26" s="15"/>
      <c r="R26" s="15"/>
      <c r="S26" s="15"/>
      <c r="T26" s="15"/>
      <c r="U26" s="15"/>
      <c r="V26" s="15"/>
      <c r="W26" s="22"/>
    </row>
    <row r="27" spans="1:23">
      <c r="A27" s="26"/>
      <c r="B27" s="15"/>
      <c r="C27" s="15"/>
      <c r="D27" s="15"/>
      <c r="E27" s="15"/>
      <c r="F27" s="15"/>
      <c r="G27" s="15"/>
      <c r="H27" s="15"/>
      <c r="I27" s="15"/>
      <c r="J27" s="15"/>
      <c r="K27" s="15"/>
      <c r="L27" s="15"/>
      <c r="M27" s="15"/>
      <c r="N27" s="15"/>
      <c r="O27" s="15"/>
      <c r="P27" s="15"/>
      <c r="Q27" s="15"/>
      <c r="R27" s="15"/>
      <c r="S27" s="15"/>
      <c r="T27" s="15"/>
      <c r="U27" s="15"/>
      <c r="V27" s="15"/>
      <c r="W27" s="22"/>
    </row>
    <row r="28" spans="1:23">
      <c r="A28" s="26"/>
      <c r="B28" s="15"/>
      <c r="C28" s="15"/>
      <c r="D28" s="15"/>
      <c r="E28" s="15"/>
      <c r="F28" s="15"/>
      <c r="G28" s="15"/>
      <c r="H28" s="15"/>
      <c r="I28" s="15"/>
      <c r="J28" s="15"/>
      <c r="K28" s="15"/>
      <c r="L28" s="15"/>
      <c r="M28" s="15"/>
      <c r="N28" s="15"/>
      <c r="O28" s="15"/>
      <c r="P28" s="15"/>
      <c r="Q28" s="15"/>
      <c r="R28" s="15"/>
      <c r="S28" s="15"/>
      <c r="T28" s="15"/>
      <c r="U28" s="15"/>
      <c r="V28" s="15"/>
      <c r="W28" s="22"/>
    </row>
    <row r="29" spans="1:23">
      <c r="A29" s="26"/>
      <c r="B29" s="15"/>
      <c r="C29" s="15"/>
      <c r="D29" s="15"/>
      <c r="E29" s="15"/>
      <c r="F29" s="15"/>
      <c r="G29" s="15"/>
      <c r="H29" s="15"/>
      <c r="I29" s="15"/>
      <c r="J29" s="15"/>
      <c r="K29" s="15"/>
      <c r="L29" s="15"/>
      <c r="M29" s="15"/>
      <c r="N29" s="15"/>
      <c r="O29" s="15"/>
      <c r="P29" s="15"/>
      <c r="Q29" s="15"/>
      <c r="R29" s="15"/>
      <c r="S29" s="15"/>
      <c r="T29" s="15"/>
      <c r="U29" s="15"/>
      <c r="V29" s="15"/>
      <c r="W29" s="22"/>
    </row>
    <row r="30" spans="1:23">
      <c r="A30" s="26"/>
      <c r="B30" s="15"/>
      <c r="C30" s="15"/>
      <c r="D30" s="15"/>
      <c r="E30" s="15"/>
      <c r="F30" s="15"/>
      <c r="G30" s="15"/>
      <c r="H30" s="15"/>
      <c r="I30" s="15"/>
      <c r="J30" s="15"/>
      <c r="K30" s="15"/>
      <c r="L30" s="15"/>
      <c r="M30" s="15"/>
      <c r="N30" s="15"/>
      <c r="O30" s="15"/>
      <c r="P30" s="15"/>
      <c r="Q30" s="15"/>
      <c r="R30" s="15"/>
      <c r="S30" s="15"/>
      <c r="T30" s="15"/>
      <c r="U30" s="15"/>
      <c r="V30" s="15"/>
      <c r="W30" s="22"/>
    </row>
    <row r="31" spans="1:23">
      <c r="A31" s="26"/>
      <c r="B31" s="15"/>
      <c r="C31" s="15"/>
      <c r="D31" s="15"/>
      <c r="E31" s="15"/>
      <c r="F31" s="15"/>
      <c r="G31" s="15"/>
      <c r="H31" s="15"/>
      <c r="I31" s="15"/>
      <c r="J31" s="15"/>
      <c r="K31" s="15"/>
      <c r="L31" s="15"/>
      <c r="M31" s="15"/>
      <c r="N31" s="15"/>
      <c r="O31" s="15"/>
      <c r="P31" s="15"/>
      <c r="Q31" s="15"/>
      <c r="R31" s="15"/>
      <c r="S31" s="15"/>
      <c r="T31" s="15"/>
      <c r="U31" s="15"/>
      <c r="V31" s="15"/>
      <c r="W31" s="22"/>
    </row>
    <row r="32" spans="1:23">
      <c r="A32" s="26"/>
      <c r="B32" s="15"/>
      <c r="C32" s="15"/>
      <c r="D32" s="15"/>
      <c r="E32" s="15"/>
      <c r="F32" s="15"/>
      <c r="G32" s="15"/>
      <c r="H32" s="15"/>
      <c r="I32" s="15"/>
      <c r="J32" s="15"/>
      <c r="K32" s="15"/>
      <c r="L32" s="15"/>
      <c r="M32" s="15"/>
      <c r="N32" s="15"/>
      <c r="O32" s="15"/>
      <c r="P32" s="15"/>
      <c r="Q32" s="15"/>
      <c r="R32" s="15"/>
      <c r="S32" s="15"/>
      <c r="T32" s="15"/>
      <c r="U32" s="15"/>
      <c r="V32" s="15"/>
      <c r="W32" s="22"/>
    </row>
    <row r="33" spans="1:26">
      <c r="A33" s="27"/>
      <c r="B33" s="23"/>
      <c r="C33" s="23"/>
      <c r="D33" s="23"/>
      <c r="E33" s="23"/>
      <c r="F33" s="23"/>
      <c r="G33" s="23"/>
      <c r="H33" s="23"/>
      <c r="I33" s="23"/>
      <c r="J33" s="23"/>
      <c r="K33" s="23"/>
      <c r="L33" s="23"/>
      <c r="M33" s="23"/>
      <c r="N33" s="23"/>
      <c r="O33" s="23"/>
      <c r="P33" s="23"/>
      <c r="Q33" s="23"/>
      <c r="R33" s="23"/>
      <c r="S33" s="23"/>
      <c r="T33" s="23"/>
      <c r="U33" s="23"/>
      <c r="V33" s="23"/>
      <c r="W33" s="24"/>
    </row>
    <row r="36" spans="1:26" ht="15" thickBot="1">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spans="1:26" s="307" customFormat="1" ht="15.95">
      <c r="A37" s="302" t="s">
        <v>685</v>
      </c>
      <c r="B37" s="303" t="s">
        <v>686</v>
      </c>
      <c r="C37" s="310" t="s">
        <v>687</v>
      </c>
      <c r="D37" s="311" t="s">
        <v>688</v>
      </c>
      <c r="E37" s="311" t="s">
        <v>689</v>
      </c>
      <c r="F37" s="322" t="s">
        <v>690</v>
      </c>
      <c r="G37" s="308" t="s">
        <v>691</v>
      </c>
      <c r="H37" s="309" t="s">
        <v>689</v>
      </c>
      <c r="I37" s="309" t="s">
        <v>692</v>
      </c>
      <c r="J37" s="322" t="s">
        <v>690</v>
      </c>
      <c r="K37" s="310" t="s">
        <v>693</v>
      </c>
      <c r="L37" s="311" t="s">
        <v>689</v>
      </c>
      <c r="M37" s="311" t="s">
        <v>692</v>
      </c>
      <c r="N37" s="322" t="s">
        <v>690</v>
      </c>
      <c r="O37" s="308" t="s">
        <v>694</v>
      </c>
      <c r="P37" s="309" t="s">
        <v>689</v>
      </c>
      <c r="Q37" s="309" t="s">
        <v>692</v>
      </c>
      <c r="R37" s="322" t="s">
        <v>690</v>
      </c>
      <c r="S37" s="310" t="s">
        <v>695</v>
      </c>
      <c r="T37" s="311" t="s">
        <v>696</v>
      </c>
      <c r="U37" s="311" t="s">
        <v>692</v>
      </c>
      <c r="V37" s="322" t="s">
        <v>690</v>
      </c>
      <c r="W37" s="308" t="s">
        <v>697</v>
      </c>
      <c r="X37" s="309" t="s">
        <v>689</v>
      </c>
      <c r="Y37" s="309" t="s">
        <v>692</v>
      </c>
      <c r="Z37" s="322" t="s">
        <v>690</v>
      </c>
    </row>
    <row r="38" spans="1:26" s="307" customFormat="1" ht="15.95">
      <c r="A38" s="330"/>
      <c r="B38" s="327"/>
      <c r="C38" s="317" t="s">
        <v>698</v>
      </c>
      <c r="D38" s="534">
        <v>1</v>
      </c>
      <c r="E38" s="319">
        <v>17500000</v>
      </c>
      <c r="F38" s="323">
        <f>+D38*E38</f>
        <v>17500000</v>
      </c>
      <c r="G38" s="320"/>
      <c r="H38" s="321">
        <v>4000000</v>
      </c>
      <c r="I38" s="316">
        <v>1</v>
      </c>
      <c r="J38" s="323">
        <f>+H38*I38</f>
        <v>4000000</v>
      </c>
      <c r="K38" s="317" t="s">
        <v>699</v>
      </c>
      <c r="L38" s="318">
        <v>3000000</v>
      </c>
      <c r="M38" s="319">
        <v>1</v>
      </c>
      <c r="N38" s="323">
        <f>+L38*M38</f>
        <v>3000000</v>
      </c>
      <c r="O38" s="320" t="s">
        <v>700</v>
      </c>
      <c r="P38" s="321"/>
      <c r="Q38" s="316"/>
      <c r="R38" s="323"/>
      <c r="S38" s="317" t="s">
        <v>701</v>
      </c>
      <c r="T38" s="318">
        <v>2000000</v>
      </c>
      <c r="U38" s="319">
        <v>1</v>
      </c>
      <c r="V38" s="323">
        <f>+T38*U38</f>
        <v>2000000</v>
      </c>
      <c r="W38" s="320"/>
      <c r="X38" s="321"/>
      <c r="Y38" s="316"/>
      <c r="Z38" s="323"/>
    </row>
    <row r="39" spans="1:26" s="307" customFormat="1" ht="15.95">
      <c r="A39" s="330"/>
      <c r="B39" s="327"/>
      <c r="C39" s="317" t="s">
        <v>702</v>
      </c>
      <c r="D39" s="534">
        <v>1</v>
      </c>
      <c r="E39" s="319">
        <v>5000000</v>
      </c>
      <c r="F39" s="323">
        <f t="shared" ref="F39:F52" si="0">+D39*E39</f>
        <v>5000000</v>
      </c>
      <c r="G39" s="320"/>
      <c r="H39" s="316"/>
      <c r="I39" s="316"/>
      <c r="J39" s="324"/>
      <c r="K39" s="317"/>
      <c r="L39" s="319"/>
      <c r="M39" s="319"/>
      <c r="N39" s="324"/>
      <c r="O39" s="320"/>
      <c r="P39" s="316"/>
      <c r="Q39" s="316"/>
      <c r="R39" s="324"/>
      <c r="S39" s="317"/>
      <c r="T39" s="319"/>
      <c r="U39" s="319"/>
      <c r="V39" s="324"/>
      <c r="W39" s="320"/>
      <c r="X39" s="316"/>
      <c r="Y39" s="316"/>
      <c r="Z39" s="324"/>
    </row>
    <row r="40" spans="1:26" s="307" customFormat="1" ht="15.95">
      <c r="A40" s="331"/>
      <c r="B40" s="329"/>
      <c r="C40" s="312" t="s">
        <v>703</v>
      </c>
      <c r="D40" s="313">
        <v>1</v>
      </c>
      <c r="E40" s="313">
        <v>600000</v>
      </c>
      <c r="F40" s="323">
        <f t="shared" si="0"/>
        <v>600000</v>
      </c>
      <c r="G40" s="304"/>
      <c r="H40" s="217"/>
      <c r="I40" s="217"/>
      <c r="J40" s="325"/>
      <c r="K40" s="312"/>
      <c r="L40" s="313"/>
      <c r="M40" s="313"/>
      <c r="N40" s="325"/>
      <c r="O40" s="304"/>
      <c r="P40" s="217"/>
      <c r="Q40" s="217"/>
      <c r="R40" s="325"/>
      <c r="S40" s="312"/>
      <c r="T40" s="313"/>
      <c r="U40" s="313"/>
      <c r="V40" s="325"/>
      <c r="W40" s="304"/>
      <c r="X40" s="217"/>
      <c r="Y40" s="217"/>
      <c r="Z40" s="325"/>
    </row>
    <row r="41" spans="1:26" s="307" customFormat="1" ht="15.95">
      <c r="A41" s="331"/>
      <c r="B41" s="329"/>
      <c r="C41" s="312" t="s">
        <v>704</v>
      </c>
      <c r="D41" s="313">
        <v>1</v>
      </c>
      <c r="E41" s="313">
        <v>10500000</v>
      </c>
      <c r="F41" s="323">
        <f t="shared" si="0"/>
        <v>10500000</v>
      </c>
      <c r="G41" s="304"/>
      <c r="H41" s="217"/>
      <c r="I41" s="217"/>
      <c r="J41" s="325"/>
      <c r="K41" s="312"/>
      <c r="L41" s="313"/>
      <c r="M41" s="313"/>
      <c r="N41" s="325"/>
      <c r="O41" s="304"/>
      <c r="P41" s="217"/>
      <c r="Q41" s="217"/>
      <c r="R41" s="325"/>
      <c r="S41" s="312"/>
      <c r="T41" s="313"/>
      <c r="U41" s="313"/>
      <c r="V41" s="325"/>
      <c r="W41" s="304"/>
      <c r="X41" s="217"/>
      <c r="Y41" s="217"/>
      <c r="Z41" s="325"/>
    </row>
    <row r="42" spans="1:26" s="307" customFormat="1" ht="15.95">
      <c r="A42" s="331"/>
      <c r="B42" s="329"/>
      <c r="C42" s="312" t="s">
        <v>705</v>
      </c>
      <c r="D42" s="313">
        <v>1</v>
      </c>
      <c r="E42" s="313">
        <v>8520000</v>
      </c>
      <c r="F42" s="323">
        <f t="shared" si="0"/>
        <v>8520000</v>
      </c>
      <c r="G42" s="304"/>
      <c r="H42" s="217"/>
      <c r="I42" s="217"/>
      <c r="J42" s="325"/>
      <c r="K42" s="312"/>
      <c r="L42" s="313"/>
      <c r="M42" s="313"/>
      <c r="N42" s="325"/>
      <c r="O42" s="304"/>
      <c r="P42" s="217"/>
      <c r="Q42" s="217"/>
      <c r="R42" s="325"/>
      <c r="S42" s="312"/>
      <c r="T42" s="313"/>
      <c r="U42" s="313"/>
      <c r="V42" s="325"/>
      <c r="W42" s="304"/>
      <c r="X42" s="217"/>
      <c r="Y42" s="217"/>
      <c r="Z42" s="325"/>
    </row>
    <row r="43" spans="1:26" s="307" customFormat="1" ht="15.95">
      <c r="A43" s="331"/>
      <c r="B43" s="329"/>
      <c r="C43" s="312" t="s">
        <v>706</v>
      </c>
      <c r="D43" s="313">
        <v>1</v>
      </c>
      <c r="E43" s="313">
        <v>8000000</v>
      </c>
      <c r="F43" s="323">
        <f t="shared" si="0"/>
        <v>8000000</v>
      </c>
      <c r="G43" s="304"/>
      <c r="H43" s="217"/>
      <c r="I43" s="217"/>
      <c r="J43" s="325"/>
      <c r="K43" s="312"/>
      <c r="L43" s="313"/>
      <c r="M43" s="313"/>
      <c r="N43" s="325"/>
      <c r="O43" s="304"/>
      <c r="P43" s="217"/>
      <c r="Q43" s="217"/>
      <c r="R43" s="325"/>
      <c r="S43" s="312"/>
      <c r="T43" s="313"/>
      <c r="U43" s="313"/>
      <c r="V43" s="325"/>
      <c r="W43" s="304"/>
      <c r="X43" s="217"/>
      <c r="Y43" s="217"/>
      <c r="Z43" s="325"/>
    </row>
    <row r="44" spans="1:26" s="307" customFormat="1" ht="15.95">
      <c r="A44" s="331"/>
      <c r="B44" s="329"/>
      <c r="C44" s="312" t="s">
        <v>707</v>
      </c>
      <c r="D44" s="313">
        <v>1</v>
      </c>
      <c r="E44" s="313">
        <v>1800000</v>
      </c>
      <c r="F44" s="323">
        <f t="shared" si="0"/>
        <v>1800000</v>
      </c>
      <c r="G44" s="304"/>
      <c r="H44" s="217"/>
      <c r="I44" s="217"/>
      <c r="J44" s="325"/>
      <c r="K44" s="312"/>
      <c r="L44" s="313"/>
      <c r="M44" s="313"/>
      <c r="N44" s="325"/>
      <c r="O44" s="304"/>
      <c r="P44" s="217"/>
      <c r="Q44" s="217"/>
      <c r="R44" s="325"/>
      <c r="S44" s="312"/>
      <c r="T44" s="313"/>
      <c r="U44" s="313"/>
      <c r="V44" s="325"/>
      <c r="W44" s="304"/>
      <c r="X44" s="217"/>
      <c r="Y44" s="217"/>
      <c r="Z44" s="325"/>
    </row>
    <row r="45" spans="1:26" s="307" customFormat="1" ht="15.95">
      <c r="A45" s="331"/>
      <c r="B45" s="329"/>
      <c r="C45" s="312" t="s">
        <v>708</v>
      </c>
      <c r="D45" s="313">
        <v>1</v>
      </c>
      <c r="E45" s="313">
        <v>1200000</v>
      </c>
      <c r="F45" s="323">
        <f t="shared" si="0"/>
        <v>1200000</v>
      </c>
      <c r="G45" s="304"/>
      <c r="H45" s="217"/>
      <c r="I45" s="217"/>
      <c r="J45" s="325"/>
      <c r="K45" s="312"/>
      <c r="L45" s="313"/>
      <c r="M45" s="313"/>
      <c r="N45" s="325"/>
      <c r="O45" s="304"/>
      <c r="P45" s="217"/>
      <c r="Q45" s="217"/>
      <c r="R45" s="325"/>
      <c r="S45" s="312"/>
      <c r="T45" s="313"/>
      <c r="U45" s="313"/>
      <c r="V45" s="325"/>
      <c r="W45" s="304"/>
      <c r="X45" s="217"/>
      <c r="Y45" s="217"/>
      <c r="Z45" s="325"/>
    </row>
    <row r="46" spans="1:26" s="307" customFormat="1" ht="15.95">
      <c r="A46" s="331"/>
      <c r="B46" s="329"/>
      <c r="C46" s="312" t="s">
        <v>709</v>
      </c>
      <c r="D46" s="313">
        <v>3</v>
      </c>
      <c r="E46" s="313">
        <v>1500000</v>
      </c>
      <c r="F46" s="323">
        <f t="shared" si="0"/>
        <v>4500000</v>
      </c>
      <c r="G46" s="304"/>
      <c r="H46" s="217"/>
      <c r="I46" s="217"/>
      <c r="J46" s="325"/>
      <c r="K46" s="312"/>
      <c r="L46" s="313"/>
      <c r="M46" s="313"/>
      <c r="N46" s="325"/>
      <c r="O46" s="304"/>
      <c r="P46" s="217"/>
      <c r="Q46" s="217"/>
      <c r="R46" s="325"/>
      <c r="S46" s="312"/>
      <c r="T46" s="313"/>
      <c r="U46" s="313"/>
      <c r="V46" s="325"/>
      <c r="W46" s="304"/>
      <c r="X46" s="217"/>
      <c r="Y46" s="217"/>
      <c r="Z46" s="325"/>
    </row>
    <row r="47" spans="1:26" s="307" customFormat="1" ht="15.95">
      <c r="A47" s="331"/>
      <c r="B47" s="329"/>
      <c r="C47" s="312" t="s">
        <v>710</v>
      </c>
      <c r="D47" s="313">
        <v>1</v>
      </c>
      <c r="E47" s="313">
        <v>500000</v>
      </c>
      <c r="F47" s="323">
        <f t="shared" si="0"/>
        <v>500000</v>
      </c>
      <c r="G47" s="304"/>
      <c r="H47" s="217"/>
      <c r="I47" s="217"/>
      <c r="J47" s="325"/>
      <c r="K47" s="312"/>
      <c r="L47" s="313"/>
      <c r="M47" s="313"/>
      <c r="N47" s="325"/>
      <c r="O47" s="304"/>
      <c r="P47" s="217"/>
      <c r="Q47" s="217"/>
      <c r="R47" s="325"/>
      <c r="S47" s="312"/>
      <c r="T47" s="313"/>
      <c r="U47" s="313"/>
      <c r="V47" s="325"/>
      <c r="W47" s="304"/>
      <c r="X47" s="217"/>
      <c r="Y47" s="217"/>
      <c r="Z47" s="325"/>
    </row>
    <row r="48" spans="1:26" s="307" customFormat="1" ht="15.95">
      <c r="A48" s="331"/>
      <c r="B48" s="329"/>
      <c r="C48" s="312" t="s">
        <v>711</v>
      </c>
      <c r="D48" s="313">
        <v>1</v>
      </c>
      <c r="E48" s="313">
        <v>6500000</v>
      </c>
      <c r="F48" s="323">
        <f t="shared" si="0"/>
        <v>6500000</v>
      </c>
      <c r="G48" s="304"/>
      <c r="H48" s="217"/>
      <c r="I48" s="217"/>
      <c r="J48" s="325"/>
      <c r="K48" s="312"/>
      <c r="L48" s="313"/>
      <c r="M48" s="313"/>
      <c r="N48" s="325"/>
      <c r="O48" s="304"/>
      <c r="P48" s="217"/>
      <c r="Q48" s="217"/>
      <c r="R48" s="325"/>
      <c r="S48" s="312"/>
      <c r="T48" s="313"/>
      <c r="U48" s="313"/>
      <c r="V48" s="325"/>
      <c r="W48" s="304"/>
      <c r="X48" s="217"/>
      <c r="Y48" s="217"/>
      <c r="Z48" s="325"/>
    </row>
    <row r="49" spans="1:26" s="307" customFormat="1" ht="15.95">
      <c r="A49" s="331"/>
      <c r="B49" s="329"/>
      <c r="C49" s="312" t="s">
        <v>712</v>
      </c>
      <c r="D49" s="313">
        <v>1</v>
      </c>
      <c r="E49" s="313">
        <v>900000</v>
      </c>
      <c r="F49" s="323">
        <f t="shared" si="0"/>
        <v>900000</v>
      </c>
      <c r="G49" s="304"/>
      <c r="H49" s="217"/>
      <c r="I49" s="217"/>
      <c r="J49" s="325"/>
      <c r="K49" s="312"/>
      <c r="L49" s="313"/>
      <c r="M49" s="313"/>
      <c r="N49" s="325"/>
      <c r="O49" s="304"/>
      <c r="P49" s="217"/>
      <c r="Q49" s="217"/>
      <c r="R49" s="325"/>
      <c r="S49" s="312"/>
      <c r="T49" s="313"/>
      <c r="U49" s="313"/>
      <c r="V49" s="325"/>
      <c r="W49" s="304"/>
      <c r="X49" s="217"/>
      <c r="Y49" s="217"/>
      <c r="Z49" s="325"/>
    </row>
    <row r="50" spans="1:26" s="307" customFormat="1" ht="15.95">
      <c r="A50" s="328"/>
      <c r="B50" s="329"/>
      <c r="C50" s="312" t="s">
        <v>713</v>
      </c>
      <c r="D50" s="313">
        <v>4</v>
      </c>
      <c r="E50" s="313">
        <v>2000000</v>
      </c>
      <c r="F50" s="323">
        <f t="shared" si="0"/>
        <v>8000000</v>
      </c>
      <c r="G50" s="304"/>
      <c r="H50" s="217"/>
      <c r="I50" s="217"/>
      <c r="J50" s="325"/>
      <c r="K50" s="312"/>
      <c r="L50" s="313"/>
      <c r="M50" s="313"/>
      <c r="N50" s="325"/>
      <c r="O50" s="304"/>
      <c r="P50" s="217"/>
      <c r="Q50" s="217"/>
      <c r="R50" s="325"/>
      <c r="S50" s="312"/>
      <c r="T50" s="313"/>
      <c r="U50" s="313"/>
      <c r="V50" s="325"/>
      <c r="W50" s="304"/>
      <c r="X50" s="217"/>
      <c r="Y50" s="217"/>
      <c r="Z50" s="325"/>
    </row>
    <row r="51" spans="1:26" s="307" customFormat="1" ht="16.350000000000001" thickBot="1">
      <c r="A51" s="328"/>
      <c r="B51" s="329"/>
      <c r="C51" s="314" t="s">
        <v>714</v>
      </c>
      <c r="D51" s="315">
        <v>4</v>
      </c>
      <c r="E51" s="315">
        <v>930000</v>
      </c>
      <c r="F51" s="323">
        <f t="shared" si="0"/>
        <v>3720000</v>
      </c>
      <c r="G51" s="305"/>
      <c r="H51" s="306"/>
      <c r="I51" s="306"/>
      <c r="J51" s="326"/>
      <c r="K51" s="314"/>
      <c r="L51" s="315"/>
      <c r="M51" s="315"/>
      <c r="N51" s="326"/>
      <c r="O51" s="305"/>
      <c r="P51" s="306"/>
      <c r="Q51" s="306"/>
      <c r="R51" s="326"/>
      <c r="S51" s="314"/>
      <c r="T51" s="315"/>
      <c r="U51" s="315"/>
      <c r="V51" s="326"/>
      <c r="W51" s="305"/>
      <c r="X51" s="306"/>
      <c r="Y51" s="306"/>
      <c r="Z51" s="326"/>
    </row>
    <row r="52" spans="1:26" s="307" customFormat="1" ht="15.95">
      <c r="A52" s="328"/>
      <c r="B52" s="329"/>
      <c r="C52" s="312" t="s">
        <v>715</v>
      </c>
      <c r="D52" s="313">
        <v>11</v>
      </c>
      <c r="E52" s="313">
        <v>72000</v>
      </c>
      <c r="F52" s="323">
        <f t="shared" si="0"/>
        <v>792000</v>
      </c>
      <c r="G52" s="304"/>
      <c r="H52" s="217"/>
      <c r="I52" s="217"/>
      <c r="J52" s="325"/>
      <c r="K52" s="312"/>
      <c r="L52" s="313"/>
      <c r="M52" s="313"/>
      <c r="N52" s="325"/>
      <c r="O52" s="304"/>
      <c r="P52" s="217"/>
      <c r="Q52" s="217"/>
      <c r="R52" s="325"/>
      <c r="S52" s="312"/>
      <c r="T52" s="313"/>
      <c r="U52" s="313"/>
      <c r="V52" s="325"/>
      <c r="W52" s="304"/>
      <c r="X52" s="217"/>
      <c r="Y52" s="217"/>
      <c r="Z52" s="325"/>
    </row>
    <row r="53" spans="1:26" s="307" customFormat="1" ht="16.350000000000001" thickBot="1">
      <c r="A53" s="328" t="s">
        <v>716</v>
      </c>
      <c r="B53" s="329"/>
      <c r="C53" s="314" t="s">
        <v>717</v>
      </c>
      <c r="D53" s="315">
        <v>5</v>
      </c>
      <c r="E53" s="315">
        <v>125000</v>
      </c>
      <c r="F53" s="323">
        <f>SUM(F38:F52)</f>
        <v>78032000</v>
      </c>
      <c r="G53" s="305"/>
      <c r="H53" s="306"/>
      <c r="I53" s="306"/>
      <c r="J53" s="326">
        <f>SUM(J38:J52)</f>
        <v>4000000</v>
      </c>
      <c r="K53" s="314"/>
      <c r="L53" s="315"/>
      <c r="M53" s="315"/>
      <c r="N53" s="326">
        <f>SUM(N38:N52)</f>
        <v>3000000</v>
      </c>
      <c r="O53" s="305"/>
      <c r="P53" s="306"/>
      <c r="Q53" s="306"/>
      <c r="R53" s="326">
        <f>SUM(R38:R52)</f>
        <v>0</v>
      </c>
      <c r="S53" s="314"/>
      <c r="T53" s="315"/>
      <c r="U53" s="315"/>
      <c r="V53" s="326">
        <f>SUM(V38:V52)</f>
        <v>2000000</v>
      </c>
      <c r="W53" s="305"/>
      <c r="X53" s="306"/>
      <c r="Y53" s="306"/>
      <c r="Z53" s="326">
        <f>SUM(Z38:Z52)</f>
        <v>0</v>
      </c>
    </row>
    <row r="55" spans="1:26" ht="15" thickBot="1"/>
    <row r="56" spans="1:26" ht="18.399999999999999">
      <c r="A56" s="1186" t="s">
        <v>718</v>
      </c>
      <c r="B56" s="1187"/>
      <c r="C56" s="1187"/>
      <c r="D56" s="1187"/>
      <c r="E56" s="1187"/>
      <c r="F56" s="1187"/>
      <c r="G56" s="332" t="s">
        <v>719</v>
      </c>
      <c r="H56" s="332"/>
      <c r="I56" s="332"/>
      <c r="J56" s="332"/>
      <c r="K56" s="333" t="s">
        <v>720</v>
      </c>
      <c r="L56" s="240"/>
      <c r="M56" s="203"/>
      <c r="N56" s="203"/>
      <c r="O56" s="203"/>
      <c r="P56" s="203"/>
      <c r="Q56" s="203"/>
      <c r="R56" s="203"/>
      <c r="S56" s="203"/>
    </row>
    <row r="57" spans="1:26">
      <c r="A57" s="224"/>
      <c r="B57" s="13" t="s">
        <v>721</v>
      </c>
      <c r="C57" s="13" t="s">
        <v>722</v>
      </c>
      <c r="D57" s="13" t="s">
        <v>723</v>
      </c>
      <c r="E57" s="13" t="s">
        <v>724</v>
      </c>
      <c r="F57" s="13" t="s">
        <v>725</v>
      </c>
      <c r="G57" s="241" t="s">
        <v>722</v>
      </c>
      <c r="H57" s="241" t="s">
        <v>723</v>
      </c>
      <c r="I57" s="241" t="s">
        <v>724</v>
      </c>
      <c r="J57" s="241" t="s">
        <v>725</v>
      </c>
      <c r="K57" s="334"/>
    </row>
    <row r="58" spans="1:26">
      <c r="A58" s="224" t="s">
        <v>726</v>
      </c>
      <c r="B58" s="2"/>
      <c r="C58" s="2"/>
      <c r="D58" s="2"/>
      <c r="E58" s="2"/>
      <c r="F58" s="2"/>
      <c r="G58" s="2"/>
      <c r="H58" s="2"/>
      <c r="I58" s="2"/>
      <c r="J58" s="2"/>
      <c r="K58" s="334"/>
    </row>
    <row r="59" spans="1:26">
      <c r="A59" s="224" t="s">
        <v>695</v>
      </c>
      <c r="B59" s="2"/>
      <c r="C59" s="2"/>
      <c r="D59" s="2"/>
      <c r="E59" s="2"/>
      <c r="F59" s="2"/>
      <c r="G59" s="2"/>
      <c r="H59" s="2"/>
      <c r="I59" s="2"/>
      <c r="J59" s="2"/>
      <c r="K59" s="334"/>
    </row>
    <row r="60" spans="1:26" ht="15" thickBot="1">
      <c r="A60" s="335"/>
      <c r="B60" s="336"/>
      <c r="C60" s="336"/>
      <c r="D60" s="336"/>
      <c r="E60" s="336"/>
      <c r="F60" s="336"/>
      <c r="G60" s="336"/>
      <c r="H60" s="336"/>
      <c r="I60" s="336"/>
      <c r="J60" s="336"/>
      <c r="K60" s="337"/>
    </row>
  </sheetData>
  <mergeCells count="2">
    <mergeCell ref="A56:F56"/>
    <mergeCell ref="A1:W2"/>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77E0-4BFD-48C6-8923-BC66CAAC50FE}">
  <sheetPr>
    <tabColor rgb="FFFFFF00"/>
  </sheetPr>
  <dimension ref="A2:D18"/>
  <sheetViews>
    <sheetView topLeftCell="A7" workbookViewId="0">
      <selection activeCell="D24" sqref="D24"/>
    </sheetView>
  </sheetViews>
  <sheetFormatPr defaultColWidth="11.42578125" defaultRowHeight="14.65"/>
  <cols>
    <col min="1" max="1" width="38.7109375" customWidth="1"/>
    <col min="2" max="2" width="16.42578125" customWidth="1"/>
    <col min="3" max="3" width="18.85546875" customWidth="1"/>
    <col min="4" max="4" width="27.7109375" customWidth="1"/>
  </cols>
  <sheetData>
    <row r="2" spans="1:4" ht="29.1">
      <c r="A2" s="914" t="s">
        <v>727</v>
      </c>
      <c r="B2" s="914" t="s">
        <v>542</v>
      </c>
      <c r="C2" s="914" t="s">
        <v>728</v>
      </c>
      <c r="D2" s="914" t="s">
        <v>729</v>
      </c>
    </row>
    <row r="3" spans="1:4" s="123" customFormat="1" ht="43.7">
      <c r="A3" s="916" t="s">
        <v>730</v>
      </c>
      <c r="B3" s="915">
        <v>1</v>
      </c>
      <c r="C3" s="919">
        <v>12000000</v>
      </c>
      <c r="D3" s="919">
        <v>12000000</v>
      </c>
    </row>
    <row r="4" spans="1:4" s="123" customFormat="1">
      <c r="A4" s="918" t="s">
        <v>731</v>
      </c>
      <c r="B4" s="917">
        <v>1</v>
      </c>
      <c r="C4" s="920">
        <v>5000000</v>
      </c>
      <c r="D4" s="920">
        <v>5000000</v>
      </c>
    </row>
    <row r="5" spans="1:4" s="123" customFormat="1" ht="29.1">
      <c r="A5" s="918" t="s">
        <v>732</v>
      </c>
      <c r="B5" s="917">
        <v>1</v>
      </c>
      <c r="C5" s="920">
        <v>3000000</v>
      </c>
      <c r="D5" s="920">
        <v>3000000</v>
      </c>
    </row>
    <row r="6" spans="1:4" s="123" customFormat="1">
      <c r="A6" s="916" t="s">
        <v>733</v>
      </c>
      <c r="B6" s="915">
        <v>1</v>
      </c>
      <c r="C6" s="919">
        <v>500000</v>
      </c>
      <c r="D6" s="919">
        <v>500000</v>
      </c>
    </row>
    <row r="7" spans="1:4" s="123" customFormat="1">
      <c r="A7" s="916" t="s">
        <v>734</v>
      </c>
      <c r="B7" s="915">
        <v>1</v>
      </c>
      <c r="C7" s="919">
        <v>2000000</v>
      </c>
      <c r="D7" s="919">
        <v>2000000</v>
      </c>
    </row>
    <row r="8" spans="1:4" s="123" customFormat="1">
      <c r="A8" s="916" t="s">
        <v>735</v>
      </c>
      <c r="B8" s="915">
        <v>1</v>
      </c>
      <c r="C8" s="919">
        <v>2500000</v>
      </c>
      <c r="D8" s="919">
        <v>2500000</v>
      </c>
    </row>
    <row r="9" spans="1:4" s="123" customFormat="1" ht="29.1">
      <c r="A9" s="916" t="s">
        <v>736</v>
      </c>
      <c r="B9" s="915">
        <v>1</v>
      </c>
      <c r="C9" s="919">
        <v>3000000</v>
      </c>
      <c r="D9" s="919">
        <v>3000000</v>
      </c>
    </row>
    <row r="10" spans="1:4" s="123" customFormat="1" ht="29.1">
      <c r="A10" s="916" t="s">
        <v>737</v>
      </c>
      <c r="B10" s="915">
        <v>2</v>
      </c>
      <c r="C10" s="919">
        <v>1200000</v>
      </c>
      <c r="D10" s="919">
        <v>2400000</v>
      </c>
    </row>
    <row r="11" spans="1:4" s="123" customFormat="1" ht="29.1">
      <c r="A11" s="918" t="s">
        <v>738</v>
      </c>
      <c r="B11" s="917">
        <v>3</v>
      </c>
      <c r="C11" s="920">
        <v>3000000</v>
      </c>
      <c r="D11" s="920">
        <v>9000000</v>
      </c>
    </row>
    <row r="12" spans="1:4" s="123" customFormat="1">
      <c r="A12" s="918" t="s">
        <v>739</v>
      </c>
      <c r="B12" s="917">
        <v>2</v>
      </c>
      <c r="C12" s="920">
        <v>2000000</v>
      </c>
      <c r="D12" s="920">
        <v>4000000</v>
      </c>
    </row>
    <row r="13" spans="1:4" s="123" customFormat="1">
      <c r="A13" s="918" t="s">
        <v>740</v>
      </c>
      <c r="B13" s="917">
        <v>5</v>
      </c>
      <c r="C13" s="920">
        <v>900000</v>
      </c>
      <c r="D13" s="920">
        <v>4500000</v>
      </c>
    </row>
    <row r="14" spans="1:4" s="123" customFormat="1">
      <c r="A14" s="918" t="s">
        <v>741</v>
      </c>
      <c r="B14" s="917">
        <v>5</v>
      </c>
      <c r="C14" s="920">
        <v>500000</v>
      </c>
      <c r="D14" s="920">
        <v>2500000</v>
      </c>
    </row>
    <row r="15" spans="1:4" s="123" customFormat="1">
      <c r="A15" s="918" t="s">
        <v>742</v>
      </c>
      <c r="B15" s="917">
        <v>1</v>
      </c>
      <c r="C15" s="920">
        <v>1200000</v>
      </c>
      <c r="D15" s="920">
        <v>1200000</v>
      </c>
    </row>
    <row r="16" spans="1:4" s="123" customFormat="1">
      <c r="A16" s="918" t="s">
        <v>743</v>
      </c>
      <c r="B16" s="917">
        <v>2</v>
      </c>
      <c r="C16" s="920">
        <v>1500000</v>
      </c>
      <c r="D16" s="920">
        <v>3000000</v>
      </c>
    </row>
    <row r="17" spans="1:4" s="123" customFormat="1">
      <c r="A17" s="918" t="s">
        <v>744</v>
      </c>
      <c r="B17" s="917">
        <v>10</v>
      </c>
      <c r="C17" s="923">
        <v>800000</v>
      </c>
      <c r="D17" s="923">
        <v>8000000</v>
      </c>
    </row>
    <row r="18" spans="1:4">
      <c r="C18" s="922" t="s">
        <v>745</v>
      </c>
      <c r="D18" s="921">
        <f>SUM(D3:D17)</f>
        <v>62600000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CG27"/>
  <sheetViews>
    <sheetView topLeftCell="F8" zoomScaleNormal="100" workbookViewId="0">
      <selection activeCell="I42" sqref="I42"/>
    </sheetView>
  </sheetViews>
  <sheetFormatPr defaultColWidth="11.42578125" defaultRowHeight="14.65"/>
  <cols>
    <col min="1" max="1" width="31.28515625" customWidth="1"/>
    <col min="2" max="2" width="16.28515625" customWidth="1"/>
    <col min="3" max="3" width="20.28515625" customWidth="1"/>
    <col min="4" max="4" width="28.42578125" customWidth="1"/>
    <col min="5" max="5" width="23" customWidth="1"/>
    <col min="6" max="6" width="16.42578125" customWidth="1"/>
    <col min="7" max="8" width="14" bestFit="1" customWidth="1"/>
    <col min="9" max="9" width="18.140625" customWidth="1"/>
    <col min="10" max="10" width="14.42578125" bestFit="1" customWidth="1"/>
    <col min="11" max="11" width="26.85546875" customWidth="1"/>
    <col min="12" max="12" width="32.42578125" customWidth="1"/>
    <col min="13" max="13" width="21.42578125" customWidth="1"/>
    <col min="14" max="14" width="27.140625" customWidth="1"/>
    <col min="15" max="47" width="11.42578125" style="203"/>
  </cols>
  <sheetData>
    <row r="1" spans="1:85" s="203" customFormat="1"/>
    <row r="2" spans="1:85" s="203" customFormat="1"/>
    <row r="3" spans="1:85" ht="28.35">
      <c r="A3" s="1188" t="s">
        <v>636</v>
      </c>
      <c r="B3" s="1188"/>
      <c r="C3" s="1188"/>
      <c r="D3" s="1188"/>
      <c r="E3" s="1188"/>
      <c r="F3" s="1188"/>
      <c r="G3" s="1188"/>
      <c r="H3" s="1188"/>
      <c r="I3" s="1188"/>
      <c r="J3" s="1188"/>
      <c r="K3" s="1188"/>
      <c r="L3" s="1188"/>
      <c r="M3" s="1188"/>
      <c r="N3" s="1188"/>
    </row>
    <row r="4" spans="1:85" s="203" customFormat="1"/>
    <row r="5" spans="1:85" s="361" customFormat="1" ht="28.35">
      <c r="A5" s="1190" t="s">
        <v>746</v>
      </c>
      <c r="B5" s="1190"/>
      <c r="C5" s="1190"/>
      <c r="D5" s="1190"/>
      <c r="E5" s="1190"/>
      <c r="F5" s="1190"/>
      <c r="G5" s="1190"/>
      <c r="H5" s="1190"/>
      <c r="I5" s="1190"/>
      <c r="J5" s="1190"/>
      <c r="K5" s="1190"/>
      <c r="L5" s="1190"/>
      <c r="M5" s="1190"/>
      <c r="N5" s="1190"/>
      <c r="O5" s="360"/>
      <c r="P5" s="360"/>
      <c r="Q5" s="360"/>
      <c r="R5" s="360"/>
      <c r="S5" s="360"/>
      <c r="T5" s="360"/>
      <c r="U5" s="360"/>
      <c r="V5" s="360"/>
      <c r="W5" s="360"/>
      <c r="X5" s="360"/>
      <c r="Y5" s="360"/>
      <c r="Z5" s="360"/>
      <c r="AA5" s="360"/>
      <c r="AB5" s="360"/>
      <c r="AC5" s="360"/>
      <c r="AD5" s="360"/>
      <c r="AE5" s="360"/>
      <c r="AF5" s="360"/>
      <c r="AG5" s="360"/>
      <c r="AH5" s="360"/>
      <c r="AI5" s="360"/>
      <c r="AJ5" s="360"/>
      <c r="AK5" s="360"/>
      <c r="AL5" s="360"/>
      <c r="AM5" s="360"/>
      <c r="AN5" s="360"/>
      <c r="AO5" s="360"/>
      <c r="AP5" s="360"/>
      <c r="AQ5" s="360"/>
      <c r="AR5" s="360"/>
      <c r="AS5" s="360"/>
      <c r="AT5" s="360"/>
      <c r="AU5" s="360"/>
    </row>
    <row r="6" spans="1:85" s="203" customFormat="1"/>
    <row r="7" spans="1:85" ht="15.95">
      <c r="A7" s="339" t="s">
        <v>747</v>
      </c>
      <c r="B7" s="339" t="s">
        <v>748</v>
      </c>
      <c r="C7" s="339" t="s">
        <v>749</v>
      </c>
      <c r="D7" s="339"/>
      <c r="E7" s="339"/>
      <c r="F7" s="1191" t="s">
        <v>750</v>
      </c>
      <c r="G7" s="1192"/>
      <c r="H7" s="1192"/>
      <c r="I7" s="1192"/>
      <c r="J7" s="1193"/>
      <c r="K7" s="340"/>
      <c r="L7" s="2"/>
      <c r="M7" s="2"/>
      <c r="N7" s="2"/>
    </row>
    <row r="8" spans="1:85" s="9" customFormat="1" ht="43.7">
      <c r="A8" s="19" t="s">
        <v>686</v>
      </c>
      <c r="B8" s="19" t="s">
        <v>751</v>
      </c>
      <c r="C8" s="19" t="s">
        <v>752</v>
      </c>
      <c r="D8" s="19" t="s">
        <v>690</v>
      </c>
      <c r="E8" s="19" t="s">
        <v>753</v>
      </c>
      <c r="F8" s="19" t="s">
        <v>754</v>
      </c>
      <c r="G8" s="19" t="s">
        <v>755</v>
      </c>
      <c r="H8" s="19" t="s">
        <v>756</v>
      </c>
      <c r="I8" s="19" t="s">
        <v>757</v>
      </c>
      <c r="J8" s="19" t="s">
        <v>758</v>
      </c>
      <c r="K8" s="338" t="s">
        <v>759</v>
      </c>
      <c r="L8" s="341" t="s">
        <v>760</v>
      </c>
      <c r="M8" s="341" t="s">
        <v>761</v>
      </c>
      <c r="N8" s="341" t="s">
        <v>762</v>
      </c>
      <c r="O8" s="342"/>
      <c r="P8" s="342"/>
      <c r="Q8" s="342"/>
      <c r="R8" s="342"/>
      <c r="S8" s="342"/>
      <c r="T8" s="342"/>
      <c r="U8" s="342"/>
      <c r="V8" s="342"/>
      <c r="W8" s="342"/>
      <c r="X8" s="342"/>
      <c r="Y8" s="342"/>
      <c r="Z8" s="342"/>
      <c r="AA8" s="342"/>
      <c r="AB8" s="342"/>
      <c r="AC8" s="342"/>
      <c r="AD8" s="342"/>
      <c r="AE8" s="342"/>
      <c r="AF8" s="342"/>
      <c r="AG8" s="342"/>
      <c r="AH8" s="342"/>
      <c r="AI8" s="342"/>
      <c r="AJ8" s="342"/>
      <c r="AK8" s="342"/>
      <c r="AL8" s="342"/>
      <c r="AM8" s="342"/>
      <c r="AN8" s="342"/>
      <c r="AO8" s="342"/>
      <c r="AP8" s="342"/>
      <c r="AQ8" s="342"/>
      <c r="AR8" s="342"/>
      <c r="AS8" s="342"/>
      <c r="AT8" s="342"/>
      <c r="AU8" s="342"/>
      <c r="AV8" s="342"/>
      <c r="AW8" s="342"/>
      <c r="AX8" s="342"/>
      <c r="AY8" s="342"/>
      <c r="AZ8" s="342"/>
      <c r="BA8" s="342"/>
      <c r="BB8" s="342"/>
      <c r="BC8" s="342"/>
      <c r="BD8" s="342"/>
      <c r="BE8" s="342"/>
      <c r="BF8" s="342"/>
      <c r="BG8" s="342"/>
      <c r="BH8" s="342"/>
      <c r="BI8" s="342"/>
      <c r="BJ8" s="342"/>
      <c r="BK8" s="342"/>
      <c r="BL8" s="342"/>
      <c r="BM8" s="342"/>
      <c r="BN8" s="342"/>
      <c r="BO8" s="342"/>
      <c r="BP8" s="342"/>
      <c r="BQ8" s="342"/>
      <c r="BR8" s="342"/>
      <c r="BS8" s="342"/>
      <c r="BT8" s="342"/>
      <c r="BU8" s="342"/>
      <c r="BV8" s="342"/>
      <c r="BW8" s="342"/>
      <c r="BX8" s="342"/>
      <c r="BY8" s="342"/>
      <c r="BZ8" s="342"/>
      <c r="CA8" s="342"/>
      <c r="CB8" s="342"/>
      <c r="CC8" s="342"/>
      <c r="CD8" s="342"/>
      <c r="CE8" s="342"/>
      <c r="CF8" s="342"/>
      <c r="CG8" s="342"/>
    </row>
    <row r="9" spans="1:85" ht="24.95">
      <c r="A9" s="109" t="str">
        <f>inversiones!A5</f>
        <v>Software (licencias básicas: CRM, contabilidad, diseño)</v>
      </c>
      <c r="B9" s="109">
        <f>inversiones!B5</f>
        <v>1</v>
      </c>
      <c r="C9" s="924">
        <f>inversiones!C5</f>
        <v>3000000</v>
      </c>
      <c r="D9" s="924">
        <f>inversiones!D5</f>
        <v>3000000</v>
      </c>
      <c r="E9" s="267">
        <v>5</v>
      </c>
      <c r="F9" s="4">
        <f t="shared" ref="F9:F17" si="0">$D9/$E9</f>
        <v>600000</v>
      </c>
      <c r="G9" s="4">
        <f t="shared" ref="G9:J17" si="1">$D9/$E9</f>
        <v>600000</v>
      </c>
      <c r="H9" s="4">
        <f t="shared" si="1"/>
        <v>600000</v>
      </c>
      <c r="I9" s="4">
        <f t="shared" si="1"/>
        <v>600000</v>
      </c>
      <c r="J9" s="4">
        <f t="shared" si="1"/>
        <v>600000</v>
      </c>
      <c r="K9" s="265">
        <f t="shared" ref="K9:K17" si="2">SUM(F9:J9)</f>
        <v>3000000</v>
      </c>
      <c r="L9" s="266">
        <f t="shared" ref="L9:L17" si="3">D9-K9</f>
        <v>0</v>
      </c>
      <c r="M9" s="270">
        <f t="shared" ref="M9:M17" si="4">L9</f>
        <v>0</v>
      </c>
      <c r="N9" s="271">
        <f t="shared" ref="N9:N17" si="5">+M9-L9</f>
        <v>0</v>
      </c>
    </row>
    <row r="10" spans="1:85" ht="24.95">
      <c r="A10" s="109" t="str">
        <f>inversiones!A10</f>
        <v>Dispositivos de prueba (celulares/tabletas para testeo)</v>
      </c>
      <c r="B10" s="109">
        <f>inversiones!B10</f>
        <v>2</v>
      </c>
      <c r="C10" s="924">
        <f>inversiones!C10</f>
        <v>1200000</v>
      </c>
      <c r="D10" s="924">
        <f>inversiones!D10</f>
        <v>2400000</v>
      </c>
      <c r="E10" s="267">
        <v>5</v>
      </c>
      <c r="F10" s="4">
        <f t="shared" si="0"/>
        <v>480000</v>
      </c>
      <c r="G10" s="4">
        <f t="shared" si="1"/>
        <v>480000</v>
      </c>
      <c r="H10" s="4">
        <f t="shared" si="1"/>
        <v>480000</v>
      </c>
      <c r="I10" s="4">
        <f t="shared" si="1"/>
        <v>480000</v>
      </c>
      <c r="J10" s="4">
        <f t="shared" si="1"/>
        <v>480000</v>
      </c>
      <c r="K10" s="265">
        <f t="shared" si="2"/>
        <v>2400000</v>
      </c>
      <c r="L10" s="266">
        <f t="shared" si="3"/>
        <v>0</v>
      </c>
      <c r="M10" s="270">
        <f t="shared" si="4"/>
        <v>0</v>
      </c>
      <c r="N10" s="271">
        <f t="shared" si="5"/>
        <v>0</v>
      </c>
    </row>
    <row r="11" spans="1:85" ht="24.95">
      <c r="A11" s="109" t="str">
        <f>inversiones!A11</f>
        <v>Computadores de desarrollo (ingenieros, diseño, IA)</v>
      </c>
      <c r="B11" s="109">
        <f>inversiones!B11</f>
        <v>3</v>
      </c>
      <c r="C11" s="924">
        <f>inversiones!C11</f>
        <v>3000000</v>
      </c>
      <c r="D11" s="924">
        <f>inversiones!D11</f>
        <v>9000000</v>
      </c>
      <c r="E11" s="267">
        <v>5</v>
      </c>
      <c r="F11" s="4">
        <f t="shared" si="0"/>
        <v>1800000</v>
      </c>
      <c r="G11" s="4">
        <f t="shared" si="1"/>
        <v>1800000</v>
      </c>
      <c r="H11" s="4">
        <f t="shared" si="1"/>
        <v>1800000</v>
      </c>
      <c r="I11" s="4">
        <f t="shared" si="1"/>
        <v>1800000</v>
      </c>
      <c r="J11" s="4">
        <f t="shared" si="1"/>
        <v>1800000</v>
      </c>
      <c r="K11" s="265">
        <f t="shared" si="2"/>
        <v>9000000</v>
      </c>
      <c r="L11" s="266">
        <f t="shared" si="3"/>
        <v>0</v>
      </c>
      <c r="M11" s="270">
        <f t="shared" si="4"/>
        <v>0</v>
      </c>
      <c r="N11" s="271">
        <f t="shared" si="5"/>
        <v>0</v>
      </c>
    </row>
    <row r="12" spans="1:85" ht="24.95">
      <c r="A12" s="109" t="str">
        <f>inversiones!A12</f>
        <v>Laptops administrativas / comerciales</v>
      </c>
      <c r="B12" s="109">
        <f>inversiones!B12</f>
        <v>2</v>
      </c>
      <c r="C12" s="924">
        <f>inversiones!C12</f>
        <v>2000000</v>
      </c>
      <c r="D12" s="924">
        <f>inversiones!D12</f>
        <v>4000000</v>
      </c>
      <c r="E12" s="267">
        <v>5</v>
      </c>
      <c r="F12" s="4">
        <f t="shared" si="0"/>
        <v>800000</v>
      </c>
      <c r="G12" s="4">
        <f t="shared" si="1"/>
        <v>800000</v>
      </c>
      <c r="H12" s="4">
        <f t="shared" si="1"/>
        <v>800000</v>
      </c>
      <c r="I12" s="4">
        <f t="shared" si="1"/>
        <v>800000</v>
      </c>
      <c r="J12" s="4">
        <f t="shared" si="1"/>
        <v>800000</v>
      </c>
      <c r="K12" s="265">
        <f t="shared" si="2"/>
        <v>4000000</v>
      </c>
      <c r="L12" s="266">
        <f t="shared" si="3"/>
        <v>0</v>
      </c>
      <c r="M12" s="270">
        <f t="shared" si="4"/>
        <v>0</v>
      </c>
      <c r="N12" s="271">
        <f t="shared" si="5"/>
        <v>0</v>
      </c>
    </row>
    <row r="13" spans="1:85">
      <c r="A13" s="109" t="str">
        <f>inversiones!A13</f>
        <v>Escritorios operativos</v>
      </c>
      <c r="B13" s="109">
        <f>inversiones!B13</f>
        <v>5</v>
      </c>
      <c r="C13" s="924">
        <f>inversiones!C13</f>
        <v>900000</v>
      </c>
      <c r="D13" s="924">
        <f>inversiones!D13</f>
        <v>4500000</v>
      </c>
      <c r="E13" s="267">
        <v>10</v>
      </c>
      <c r="F13" s="4">
        <f t="shared" si="0"/>
        <v>450000</v>
      </c>
      <c r="G13" s="4">
        <f t="shared" si="1"/>
        <v>450000</v>
      </c>
      <c r="H13" s="4">
        <f t="shared" si="1"/>
        <v>450000</v>
      </c>
      <c r="I13" s="4">
        <f t="shared" si="1"/>
        <v>450000</v>
      </c>
      <c r="J13" s="4">
        <f t="shared" si="1"/>
        <v>450000</v>
      </c>
      <c r="K13" s="265">
        <f t="shared" si="2"/>
        <v>2250000</v>
      </c>
      <c r="L13" s="266">
        <f t="shared" si="3"/>
        <v>2250000</v>
      </c>
      <c r="M13" s="270">
        <f t="shared" si="4"/>
        <v>2250000</v>
      </c>
      <c r="N13" s="271">
        <f t="shared" si="5"/>
        <v>0</v>
      </c>
    </row>
    <row r="14" spans="1:85">
      <c r="A14" s="109" t="str">
        <f>inversiones!A14</f>
        <v>Sillas ergonómicas</v>
      </c>
      <c r="B14" s="109">
        <f>inversiones!B14</f>
        <v>5</v>
      </c>
      <c r="C14" s="924">
        <f>inversiones!C14</f>
        <v>500000</v>
      </c>
      <c r="D14" s="924">
        <f>inversiones!D14</f>
        <v>2500000</v>
      </c>
      <c r="E14" s="267">
        <v>10</v>
      </c>
      <c r="F14" s="4">
        <f t="shared" si="0"/>
        <v>250000</v>
      </c>
      <c r="G14" s="4">
        <f t="shared" si="1"/>
        <v>250000</v>
      </c>
      <c r="H14" s="4">
        <f t="shared" si="1"/>
        <v>250000</v>
      </c>
      <c r="I14" s="4">
        <f t="shared" si="1"/>
        <v>250000</v>
      </c>
      <c r="J14" s="4">
        <f t="shared" si="1"/>
        <v>250000</v>
      </c>
      <c r="K14" s="265">
        <f t="shared" si="2"/>
        <v>1250000</v>
      </c>
      <c r="L14" s="266">
        <f t="shared" si="3"/>
        <v>1250000</v>
      </c>
      <c r="M14" s="270">
        <f t="shared" si="4"/>
        <v>1250000</v>
      </c>
      <c r="N14" s="271">
        <f t="shared" si="5"/>
        <v>0</v>
      </c>
    </row>
    <row r="15" spans="1:85">
      <c r="A15" s="109" t="str">
        <f>inversiones!A15</f>
        <v>Router y red local</v>
      </c>
      <c r="B15" s="109">
        <f>inversiones!B15</f>
        <v>1</v>
      </c>
      <c r="C15" s="924">
        <f>inversiones!C15</f>
        <v>1200000</v>
      </c>
      <c r="D15" s="924">
        <f>inversiones!D15</f>
        <v>1200000</v>
      </c>
      <c r="E15" s="267">
        <v>5</v>
      </c>
      <c r="F15" s="4">
        <f t="shared" si="0"/>
        <v>240000</v>
      </c>
      <c r="G15" s="4">
        <f t="shared" si="1"/>
        <v>240000</v>
      </c>
      <c r="H15" s="4">
        <f t="shared" si="1"/>
        <v>240000</v>
      </c>
      <c r="I15" s="4">
        <f t="shared" si="1"/>
        <v>240000</v>
      </c>
      <c r="J15" s="4">
        <f t="shared" si="1"/>
        <v>240000</v>
      </c>
      <c r="K15" s="265">
        <f t="shared" si="2"/>
        <v>1200000</v>
      </c>
      <c r="L15" s="266">
        <f t="shared" si="3"/>
        <v>0</v>
      </c>
      <c r="M15" s="270">
        <f t="shared" si="4"/>
        <v>0</v>
      </c>
      <c r="N15" s="271">
        <f t="shared" si="5"/>
        <v>0</v>
      </c>
    </row>
    <row r="16" spans="1:85" ht="24.95">
      <c r="A16" s="109" t="str">
        <f>inversiones!A16</f>
        <v>Pantallas para monitoreo de alertas</v>
      </c>
      <c r="B16" s="109">
        <f>inversiones!B16</f>
        <v>2</v>
      </c>
      <c r="C16" s="924">
        <f>inversiones!C16</f>
        <v>1500000</v>
      </c>
      <c r="D16" s="924">
        <f>inversiones!D16</f>
        <v>3000000</v>
      </c>
      <c r="E16" s="267">
        <v>5</v>
      </c>
      <c r="F16" s="4">
        <f t="shared" si="0"/>
        <v>600000</v>
      </c>
      <c r="G16" s="4">
        <f t="shared" si="1"/>
        <v>600000</v>
      </c>
      <c r="H16" s="4">
        <f t="shared" si="1"/>
        <v>600000</v>
      </c>
      <c r="I16" s="4">
        <f t="shared" si="1"/>
        <v>600000</v>
      </c>
      <c r="J16" s="4">
        <f t="shared" si="1"/>
        <v>600000</v>
      </c>
      <c r="K16" s="265">
        <f t="shared" si="2"/>
        <v>3000000</v>
      </c>
      <c r="L16" s="266">
        <f t="shared" si="3"/>
        <v>0</v>
      </c>
      <c r="M16" s="270">
        <f t="shared" si="4"/>
        <v>0</v>
      </c>
      <c r="N16" s="271">
        <f t="shared" si="5"/>
        <v>0</v>
      </c>
    </row>
    <row r="17" spans="1:14" ht="24.95">
      <c r="A17" s="109" t="str">
        <f>inversiones!A17</f>
        <v>Tablets para validación con usuarios / EPS</v>
      </c>
      <c r="B17" s="109">
        <f>inversiones!B17</f>
        <v>10</v>
      </c>
      <c r="C17" s="924">
        <f>inversiones!C17</f>
        <v>800000</v>
      </c>
      <c r="D17" s="924">
        <f>inversiones!D17</f>
        <v>8000000</v>
      </c>
      <c r="E17" s="267">
        <v>5</v>
      </c>
      <c r="F17" s="4">
        <f t="shared" si="0"/>
        <v>1600000</v>
      </c>
      <c r="G17" s="4">
        <f t="shared" si="1"/>
        <v>1600000</v>
      </c>
      <c r="H17" s="4">
        <f t="shared" si="1"/>
        <v>1600000</v>
      </c>
      <c r="I17" s="4">
        <f t="shared" si="1"/>
        <v>1600000</v>
      </c>
      <c r="J17" s="4">
        <f t="shared" si="1"/>
        <v>1600000</v>
      </c>
      <c r="K17" s="265">
        <f t="shared" si="2"/>
        <v>8000000</v>
      </c>
      <c r="L17" s="266">
        <f t="shared" si="3"/>
        <v>0</v>
      </c>
      <c r="M17" s="270">
        <f t="shared" si="4"/>
        <v>0</v>
      </c>
      <c r="N17" s="271">
        <f t="shared" si="5"/>
        <v>0</v>
      </c>
    </row>
    <row r="18" spans="1:14">
      <c r="A18" s="109"/>
      <c r="B18" s="109"/>
      <c r="C18" s="568" t="str">
        <f>inversiones!C18</f>
        <v>Total Activos</v>
      </c>
      <c r="D18" s="925">
        <f>SUM(D9:D17)</f>
        <v>37600000</v>
      </c>
      <c r="E18" s="268"/>
      <c r="F18" s="268">
        <f>SUM(F9:F17)</f>
        <v>6820000</v>
      </c>
      <c r="G18" s="268">
        <f t="shared" ref="G18:J18" si="6">SUM(G9:G17)</f>
        <v>6820000</v>
      </c>
      <c r="H18" s="268">
        <f t="shared" si="6"/>
        <v>6820000</v>
      </c>
      <c r="I18" s="268">
        <f t="shared" si="6"/>
        <v>6820000</v>
      </c>
      <c r="J18" s="268">
        <f t="shared" si="6"/>
        <v>6820000</v>
      </c>
      <c r="K18" s="926" t="s">
        <v>763</v>
      </c>
      <c r="L18" s="926">
        <f>SUM(L9:L17)</f>
        <v>3500000</v>
      </c>
      <c r="M18" s="268"/>
      <c r="N18" s="3"/>
    </row>
    <row r="19" spans="1:14" s="203" customFormat="1">
      <c r="D19" s="203">
        <f>inversiones!D18</f>
        <v>62600000</v>
      </c>
      <c r="F19" s="204"/>
    </row>
    <row r="20" spans="1:14" s="203" customFormat="1"/>
    <row r="21" spans="1:14" s="203" customFormat="1">
      <c r="A21" s="203" t="s">
        <v>764</v>
      </c>
    </row>
    <row r="22" spans="1:14" s="203" customFormat="1">
      <c r="A22" s="203" t="s">
        <v>765</v>
      </c>
    </row>
    <row r="23" spans="1:14" s="203" customFormat="1">
      <c r="A23" s="203" t="s">
        <v>766</v>
      </c>
    </row>
    <row r="24" spans="1:14" s="203" customFormat="1">
      <c r="A24" s="203" t="s">
        <v>767</v>
      </c>
    </row>
    <row r="25" spans="1:14" s="203" customFormat="1"/>
    <row r="26" spans="1:14" s="203" customFormat="1"/>
    <row r="27" spans="1:14" s="203" customFormat="1"/>
  </sheetData>
  <mergeCells count="3">
    <mergeCell ref="A3:N3"/>
    <mergeCell ref="A5:N5"/>
    <mergeCell ref="F7:J7"/>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2:L124"/>
  <sheetViews>
    <sheetView topLeftCell="A64" zoomScale="85" zoomScaleNormal="85" workbookViewId="0">
      <selection activeCell="D88" sqref="D88"/>
    </sheetView>
  </sheetViews>
  <sheetFormatPr defaultColWidth="11.42578125" defaultRowHeight="13.5" customHeight="1"/>
  <cols>
    <col min="1" max="1" width="11.42578125" style="116"/>
    <col min="2" max="2" width="36.140625" style="116" customWidth="1"/>
    <col min="3" max="3" width="30.28515625" style="116" bestFit="1" customWidth="1"/>
    <col min="4" max="4" width="19.85546875" style="116" customWidth="1"/>
    <col min="5" max="5" width="15.42578125" style="116" bestFit="1" customWidth="1"/>
    <col min="6" max="6" width="34" style="116" bestFit="1" customWidth="1"/>
    <col min="7" max="7" width="20.28515625" style="116" bestFit="1" customWidth="1"/>
    <col min="8" max="8" width="20.7109375" style="116" bestFit="1" customWidth="1"/>
    <col min="9" max="10" width="22.42578125" style="116" customWidth="1"/>
    <col min="11" max="16384" width="11.42578125" style="116"/>
  </cols>
  <sheetData>
    <row r="2" spans="2:8" ht="21.75" customHeight="1">
      <c r="B2" s="1194" t="s">
        <v>768</v>
      </c>
      <c r="C2" s="1194"/>
      <c r="D2" s="1194"/>
      <c r="E2" s="1194"/>
      <c r="F2" s="1194"/>
      <c r="G2" s="1194"/>
      <c r="H2" s="1194"/>
    </row>
    <row r="4" spans="2:8" ht="18" customHeight="1">
      <c r="B4" s="1195" t="s">
        <v>769</v>
      </c>
      <c r="C4" s="1195"/>
      <c r="D4" s="1195"/>
      <c r="E4" s="1195"/>
      <c r="F4" s="1195"/>
      <c r="G4" s="1195"/>
      <c r="H4" s="1195"/>
    </row>
    <row r="5" spans="2:8" ht="11.65"/>
    <row r="6" spans="2:8" ht="15.75" customHeight="1">
      <c r="B6" s="1201" t="s">
        <v>770</v>
      </c>
      <c r="C6" s="1201"/>
      <c r="D6" s="1201"/>
    </row>
    <row r="7" spans="2:8" ht="31.5" customHeight="1">
      <c r="B7" s="531" t="s">
        <v>771</v>
      </c>
      <c r="C7" s="532" t="s">
        <v>772</v>
      </c>
      <c r="D7" s="533" t="s">
        <v>773</v>
      </c>
    </row>
    <row r="8" spans="2:8" ht="47.25" customHeight="1">
      <c r="B8" s="927" t="s">
        <v>774</v>
      </c>
      <c r="C8" s="929" t="s">
        <v>775</v>
      </c>
      <c r="D8" s="987">
        <v>30000</v>
      </c>
      <c r="E8" s="558"/>
    </row>
    <row r="9" spans="2:8" ht="18.75" customHeight="1">
      <c r="E9" s="114"/>
    </row>
    <row r="10" spans="2:8" ht="18.75" customHeight="1">
      <c r="D10" s="111"/>
    </row>
    <row r="11" spans="2:8" ht="18.75" customHeight="1">
      <c r="B11" s="935" t="s">
        <v>776</v>
      </c>
      <c r="C11" s="936" t="s">
        <v>772</v>
      </c>
      <c r="D11" s="937" t="s">
        <v>773</v>
      </c>
      <c r="E11" s="114"/>
    </row>
    <row r="12" spans="2:8" ht="23.25" customHeight="1">
      <c r="B12" s="938" t="s">
        <v>777</v>
      </c>
      <c r="C12" s="939" t="s">
        <v>778</v>
      </c>
      <c r="D12" s="940">
        <v>90000</v>
      </c>
      <c r="E12" s="114"/>
    </row>
    <row r="13" spans="2:8" ht="34.5" customHeight="1">
      <c r="B13" s="931" t="s">
        <v>779</v>
      </c>
      <c r="C13" s="928" t="s">
        <v>780</v>
      </c>
      <c r="D13" s="933">
        <v>500000</v>
      </c>
      <c r="E13" s="114"/>
    </row>
    <row r="14" spans="2:8" ht="40.5" customHeight="1">
      <c r="B14" s="932" t="s">
        <v>781</v>
      </c>
      <c r="C14" s="930" t="s">
        <v>782</v>
      </c>
      <c r="D14" s="934">
        <v>400000</v>
      </c>
      <c r="E14" s="114">
        <f>SUM(D12:D14)</f>
        <v>990000</v>
      </c>
    </row>
    <row r="15" spans="2:8" ht="29.25" customHeight="1">
      <c r="E15" s="114"/>
    </row>
    <row r="16" spans="2:8" ht="11.65">
      <c r="E16" s="120"/>
    </row>
    <row r="17" spans="2:10" ht="21.75" customHeight="1">
      <c r="B17" s="1200" t="s">
        <v>783</v>
      </c>
      <c r="C17" s="1200"/>
      <c r="D17" s="941">
        <f>SUM(D8:D8)+ SUM(D12:D14)</f>
        <v>1020000</v>
      </c>
      <c r="E17" s="120"/>
    </row>
    <row r="18" spans="2:10" ht="11.65">
      <c r="E18" s="120"/>
      <c r="G18" s="113"/>
    </row>
    <row r="19" spans="2:10" ht="11.65">
      <c r="E19" s="120"/>
      <c r="G19" s="113"/>
      <c r="I19" s="536">
        <f>+SUM('[1]2.A. Estudio Inversiones'!G7:G13)</f>
        <v>51920000</v>
      </c>
    </row>
    <row r="20" spans="2:10" ht="17.649999999999999">
      <c r="B20" s="1195" t="s">
        <v>784</v>
      </c>
      <c r="C20" s="1195"/>
      <c r="D20" s="1195"/>
      <c r="E20" s="1195"/>
      <c r="F20" s="1195"/>
      <c r="G20" s="1195"/>
      <c r="H20" s="1195"/>
      <c r="I20" s="536"/>
    </row>
    <row r="21" spans="2:10" ht="11.65">
      <c r="E21" s="120"/>
      <c r="G21" s="113"/>
      <c r="I21" s="965" t="s">
        <v>785</v>
      </c>
      <c r="J21" s="966"/>
    </row>
    <row r="22" spans="2:10" ht="23.1">
      <c r="B22" s="552" t="s">
        <v>786</v>
      </c>
      <c r="C22" s="553" t="s">
        <v>787</v>
      </c>
      <c r="D22" s="553" t="s">
        <v>788</v>
      </c>
      <c r="E22" s="553" t="s">
        <v>789</v>
      </c>
      <c r="F22" s="553" t="s">
        <v>790</v>
      </c>
      <c r="G22" s="554" t="s">
        <v>791</v>
      </c>
      <c r="H22" s="552" t="s">
        <v>792</v>
      </c>
      <c r="I22" s="967">
        <v>10000</v>
      </c>
      <c r="J22" s="962"/>
    </row>
    <row r="23" spans="2:10" ht="11.65">
      <c r="B23" s="112" t="s">
        <v>793</v>
      </c>
      <c r="C23" s="113">
        <v>1</v>
      </c>
      <c r="D23" s="535">
        <f>'Plantilla Nomina'!C8</f>
        <v>10000000</v>
      </c>
      <c r="E23" s="949">
        <f>'Plantilla Nomina'!O8</f>
        <v>5093866.666666667</v>
      </c>
      <c r="F23" s="535">
        <f>D23+E23</f>
        <v>15093866.666666668</v>
      </c>
      <c r="G23" s="543">
        <f>+F23*12</f>
        <v>181126400</v>
      </c>
      <c r="H23" s="546"/>
      <c r="I23" s="557">
        <f>G23/$I$22</f>
        <v>18112.64</v>
      </c>
      <c r="J23" s="963"/>
    </row>
    <row r="24" spans="2:10" ht="11.65">
      <c r="B24" s="110" t="s">
        <v>794</v>
      </c>
      <c r="C24" s="544">
        <v>2</v>
      </c>
      <c r="D24" s="535">
        <f>'Plantilla Nomina'!C9</f>
        <v>4500000</v>
      </c>
      <c r="E24" s="949">
        <f>'Plantilla Nomina'!O9</f>
        <v>2292240</v>
      </c>
      <c r="F24" s="535">
        <f t="shared" ref="F24:F26" si="0">D24+E24</f>
        <v>6792240</v>
      </c>
      <c r="G24" s="543">
        <f>+F24*12</f>
        <v>81506880</v>
      </c>
      <c r="H24" s="546"/>
      <c r="I24" s="557">
        <f t="shared" ref="I24:I26" si="1">G24/$I$22</f>
        <v>8150.6880000000001</v>
      </c>
      <c r="J24" s="963"/>
    </row>
    <row r="25" spans="2:10" ht="11.65">
      <c r="B25" s="110" t="s">
        <v>795</v>
      </c>
      <c r="C25" s="544">
        <v>1</v>
      </c>
      <c r="D25" s="535">
        <v>2400000</v>
      </c>
      <c r="E25" s="949">
        <v>1456028.0000000002</v>
      </c>
      <c r="F25" s="535">
        <f t="shared" si="0"/>
        <v>3856028</v>
      </c>
      <c r="G25" s="543">
        <f>+F25*12</f>
        <v>46272336</v>
      </c>
      <c r="H25" s="546"/>
      <c r="I25" s="557">
        <f t="shared" si="1"/>
        <v>4627.2335999999996</v>
      </c>
      <c r="J25" s="963"/>
    </row>
    <row r="26" spans="2:10" ht="11.65">
      <c r="B26" s="538" t="s">
        <v>796</v>
      </c>
      <c r="C26" s="539">
        <v>1</v>
      </c>
      <c r="D26" s="540">
        <v>1750000</v>
      </c>
      <c r="E26" s="950">
        <v>1124926.6666666667</v>
      </c>
      <c r="F26" s="535">
        <f t="shared" si="0"/>
        <v>2874926.666666667</v>
      </c>
      <c r="G26" s="543">
        <f>+F26*12</f>
        <v>34499120</v>
      </c>
      <c r="H26" s="547"/>
      <c r="I26" s="557">
        <f t="shared" si="1"/>
        <v>3449.9119999999998</v>
      </c>
      <c r="J26" s="963"/>
    </row>
    <row r="27" spans="2:10" ht="12.95" customHeight="1">
      <c r="B27" s="1212" t="s">
        <v>797</v>
      </c>
      <c r="C27" s="1201"/>
      <c r="D27" s="1201"/>
      <c r="E27" s="1201"/>
      <c r="F27" s="1213"/>
      <c r="G27" s="556">
        <f>SUM(G23:G26)</f>
        <v>343404736</v>
      </c>
      <c r="H27" s="548"/>
      <c r="I27" s="569">
        <f>SUM(I23:I26)</f>
        <v>34340.473599999998</v>
      </c>
      <c r="J27" s="964"/>
    </row>
    <row r="28" spans="2:10" ht="11.65">
      <c r="E28" s="120"/>
      <c r="G28" s="113"/>
      <c r="I28" s="536"/>
    </row>
    <row r="29" spans="2:10" ht="17.649999999999999">
      <c r="B29" s="1195" t="s">
        <v>798</v>
      </c>
      <c r="C29" s="1195"/>
      <c r="D29" s="1195"/>
      <c r="E29" s="1195"/>
      <c r="F29" s="1195"/>
      <c r="G29" s="1195"/>
      <c r="H29" s="1195"/>
      <c r="I29" s="536"/>
    </row>
    <row r="30" spans="2:10" ht="11.65">
      <c r="E30" s="120"/>
      <c r="G30" s="113"/>
      <c r="I30" s="536"/>
    </row>
    <row r="31" spans="2:10" ht="23.1">
      <c r="B31" s="552" t="s">
        <v>786</v>
      </c>
      <c r="C31" s="553" t="s">
        <v>787</v>
      </c>
      <c r="D31" s="553" t="s">
        <v>788</v>
      </c>
      <c r="E31" s="553" t="s">
        <v>789</v>
      </c>
      <c r="F31" s="553" t="s">
        <v>790</v>
      </c>
      <c r="G31" s="554" t="s">
        <v>791</v>
      </c>
      <c r="I31" s="536"/>
    </row>
    <row r="32" spans="2:10" ht="11.65">
      <c r="B32" s="550" t="s">
        <v>799</v>
      </c>
      <c r="C32" s="117">
        <v>1</v>
      </c>
      <c r="D32" s="118">
        <v>4000000</v>
      </c>
      <c r="E32" s="951">
        <v>2037546.6666666665</v>
      </c>
      <c r="F32" s="535">
        <f>D32+E32</f>
        <v>6037546.666666666</v>
      </c>
      <c r="G32" s="543">
        <f>+F32*12</f>
        <v>72450560</v>
      </c>
      <c r="I32" s="536"/>
    </row>
    <row r="33" spans="2:10" ht="11.65">
      <c r="B33" s="550" t="s">
        <v>800</v>
      </c>
      <c r="C33" s="117">
        <v>1</v>
      </c>
      <c r="D33" s="118">
        <v>2500000</v>
      </c>
      <c r="E33" s="951">
        <v>1506966.6666666667</v>
      </c>
      <c r="F33" s="535">
        <f t="shared" ref="F33:F36" si="2">D33+E33</f>
        <v>4006966.666666667</v>
      </c>
      <c r="G33" s="543">
        <f>+F33*12</f>
        <v>48083600</v>
      </c>
      <c r="I33" s="536"/>
    </row>
    <row r="34" spans="2:10" ht="11.65">
      <c r="B34" s="551" t="s">
        <v>801</v>
      </c>
      <c r="C34" s="549">
        <v>1</v>
      </c>
      <c r="D34" s="118">
        <v>1800000</v>
      </c>
      <c r="E34" s="951">
        <v>1150396</v>
      </c>
      <c r="F34" s="535">
        <f t="shared" si="2"/>
        <v>2950396</v>
      </c>
      <c r="G34" s="543">
        <f>+F34*12</f>
        <v>35404752</v>
      </c>
      <c r="I34" s="536"/>
    </row>
    <row r="35" spans="2:10" ht="11.65">
      <c r="B35" s="550" t="s">
        <v>802</v>
      </c>
      <c r="C35" s="117">
        <v>1</v>
      </c>
      <c r="D35" s="118">
        <v>2000000</v>
      </c>
      <c r="E35" s="951">
        <v>1252273.3333333333</v>
      </c>
      <c r="F35" s="535">
        <f t="shared" si="2"/>
        <v>3252273.333333333</v>
      </c>
      <c r="G35" s="543">
        <f>+F35*12</f>
        <v>39027280</v>
      </c>
      <c r="I35" s="536"/>
    </row>
    <row r="36" spans="2:10" ht="11.65">
      <c r="B36" s="550" t="s">
        <v>803</v>
      </c>
      <c r="C36" s="117">
        <v>1</v>
      </c>
      <c r="D36" s="118">
        <v>1423500</v>
      </c>
      <c r="E36" s="951">
        <v>958611.91999999981</v>
      </c>
      <c r="F36" s="535">
        <f t="shared" si="2"/>
        <v>2382111.92</v>
      </c>
      <c r="G36" s="543">
        <f>+F36*12</f>
        <v>28585343.039999999</v>
      </c>
      <c r="I36" s="536"/>
    </row>
    <row r="37" spans="2:10" ht="11.65">
      <c r="B37" s="1204" t="s">
        <v>804</v>
      </c>
      <c r="C37" s="1205"/>
      <c r="D37" s="1205"/>
      <c r="E37" s="1205"/>
      <c r="F37" s="1205"/>
      <c r="G37" s="555">
        <f>SUM(G32:G36)</f>
        <v>223551535.03999999</v>
      </c>
      <c r="I37" s="536"/>
    </row>
    <row r="38" spans="2:10" ht="11.65">
      <c r="E38" s="120"/>
      <c r="G38" s="113"/>
      <c r="I38" s="536"/>
    </row>
    <row r="39" spans="2:10" ht="11.65">
      <c r="E39" s="120"/>
      <c r="G39" s="113"/>
      <c r="I39" s="536"/>
    </row>
    <row r="40" spans="2:10" ht="17.25" customHeight="1">
      <c r="B40" s="1195" t="s">
        <v>805</v>
      </c>
      <c r="C40" s="1195"/>
      <c r="D40" s="1195"/>
      <c r="E40" s="1195"/>
      <c r="F40" s="1195"/>
      <c r="G40" s="1195"/>
      <c r="H40" s="1195"/>
    </row>
    <row r="41" spans="2:10" ht="11.65">
      <c r="E41" s="120"/>
      <c r="G41" s="113"/>
    </row>
    <row r="42" spans="2:10" ht="23.1">
      <c r="B42" s="959" t="s">
        <v>806</v>
      </c>
      <c r="C42" s="1214" t="s">
        <v>807</v>
      </c>
      <c r="D42" s="1214"/>
      <c r="E42" s="936" t="s">
        <v>808</v>
      </c>
      <c r="F42" s="936" t="s">
        <v>809</v>
      </c>
      <c r="G42" s="960"/>
      <c r="H42" s="961" t="s">
        <v>810</v>
      </c>
      <c r="I42" s="116" t="s">
        <v>811</v>
      </c>
    </row>
    <row r="43" spans="2:10" ht="24" customHeight="1">
      <c r="B43" s="952" t="s">
        <v>812</v>
      </c>
      <c r="C43" s="1215" t="s">
        <v>545</v>
      </c>
      <c r="D43" s="1215"/>
      <c r="E43" s="953">
        <v>12</v>
      </c>
      <c r="F43" s="954">
        <v>2000000</v>
      </c>
      <c r="G43" s="955"/>
      <c r="H43" s="954">
        <f t="shared" ref="H43:H48" si="3">+F43*E43</f>
        <v>24000000</v>
      </c>
      <c r="I43" s="958" t="s">
        <v>545</v>
      </c>
      <c r="J43" s="11" t="s">
        <v>813</v>
      </c>
    </row>
    <row r="44" spans="2:10" ht="24" customHeight="1">
      <c r="B44" s="956" t="s">
        <v>814</v>
      </c>
      <c r="C44" s="1215" t="s">
        <v>545</v>
      </c>
      <c r="D44" s="1215"/>
      <c r="E44" s="953">
        <v>12</v>
      </c>
      <c r="F44" s="954">
        <v>600000</v>
      </c>
      <c r="G44" s="955"/>
      <c r="H44" s="954">
        <f t="shared" si="3"/>
        <v>7200000</v>
      </c>
      <c r="I44" s="958" t="s">
        <v>545</v>
      </c>
      <c r="J44" s="11" t="s">
        <v>813</v>
      </c>
    </row>
    <row r="45" spans="2:10" ht="24" customHeight="1">
      <c r="B45" s="952" t="s">
        <v>815</v>
      </c>
      <c r="C45" s="1215" t="s">
        <v>545</v>
      </c>
      <c r="D45" s="1215"/>
      <c r="E45" s="953">
        <v>12</v>
      </c>
      <c r="F45" s="954">
        <v>350000</v>
      </c>
      <c r="G45" s="955"/>
      <c r="H45" s="954">
        <f t="shared" si="3"/>
        <v>4200000</v>
      </c>
      <c r="I45" s="958" t="s">
        <v>816</v>
      </c>
      <c r="J45" s="11" t="s">
        <v>813</v>
      </c>
    </row>
    <row r="46" spans="2:10" ht="24" customHeight="1">
      <c r="B46" s="956" t="s">
        <v>817</v>
      </c>
      <c r="C46" s="1215" t="s">
        <v>816</v>
      </c>
      <c r="D46" s="1215"/>
      <c r="E46" s="953">
        <v>4</v>
      </c>
      <c r="F46" s="954">
        <v>800000</v>
      </c>
      <c r="G46" s="955"/>
      <c r="H46" s="954">
        <f t="shared" si="3"/>
        <v>3200000</v>
      </c>
      <c r="I46" s="958" t="s">
        <v>545</v>
      </c>
      <c r="J46" s="11" t="s">
        <v>813</v>
      </c>
    </row>
    <row r="47" spans="2:10" ht="24" customHeight="1">
      <c r="B47" s="956" t="s">
        <v>818</v>
      </c>
      <c r="C47" s="1202" t="s">
        <v>545</v>
      </c>
      <c r="D47" s="1203"/>
      <c r="E47" s="953">
        <v>12</v>
      </c>
      <c r="F47" s="954">
        <v>300000</v>
      </c>
      <c r="G47" s="953"/>
      <c r="H47" s="954">
        <f t="shared" si="3"/>
        <v>3600000</v>
      </c>
      <c r="I47" s="537"/>
    </row>
    <row r="48" spans="2:10" ht="11.65">
      <c r="B48" s="952" t="s">
        <v>819</v>
      </c>
      <c r="C48" s="1202" t="s">
        <v>820</v>
      </c>
      <c r="D48" s="1203"/>
      <c r="E48" s="953">
        <v>1</v>
      </c>
      <c r="F48" s="954">
        <v>5000000</v>
      </c>
      <c r="G48" s="953"/>
      <c r="H48" s="954">
        <f t="shared" si="3"/>
        <v>5000000</v>
      </c>
    </row>
    <row r="49" spans="2:10" ht="11.65">
      <c r="B49" s="1206" t="s">
        <v>821</v>
      </c>
      <c r="C49" s="1206"/>
      <c r="D49" s="1206"/>
      <c r="E49" s="1206"/>
      <c r="F49" s="1206"/>
      <c r="G49" s="1206"/>
      <c r="H49" s="957">
        <f>SUM(H43:H48)</f>
        <v>47200000</v>
      </c>
    </row>
    <row r="50" spans="2:10" ht="11.65"/>
    <row r="51" spans="2:10" ht="11.65"/>
    <row r="52" spans="2:10" ht="11.65"/>
    <row r="53" spans="2:10" ht="11.65"/>
    <row r="54" spans="2:10" ht="12" customHeight="1">
      <c r="J54" s="535"/>
    </row>
    <row r="55" spans="2:10" ht="18" customHeight="1">
      <c r="J55" s="535"/>
    </row>
    <row r="56" spans="2:10" ht="12" customHeight="1">
      <c r="J56" s="535"/>
    </row>
    <row r="57" spans="2:10" ht="12" customHeight="1">
      <c r="B57" s="1198" t="s">
        <v>822</v>
      </c>
      <c r="C57" s="1198"/>
      <c r="D57" s="1199"/>
      <c r="E57" s="19" t="s">
        <v>823</v>
      </c>
      <c r="J57" s="535"/>
    </row>
    <row r="58" spans="2:10" ht="12" customHeight="1">
      <c r="C58" s="985" t="s">
        <v>824</v>
      </c>
      <c r="D58" s="12"/>
      <c r="E58" s="115">
        <f>D8</f>
        <v>30000</v>
      </c>
      <c r="J58" s="535"/>
    </row>
    <row r="59" spans="2:10" ht="12" customHeight="1">
      <c r="C59" s="108" t="s">
        <v>825</v>
      </c>
      <c r="D59" s="12"/>
      <c r="E59" s="115">
        <f>E14</f>
        <v>990000</v>
      </c>
      <c r="J59" s="535"/>
    </row>
    <row r="60" spans="2:10" ht="12" customHeight="1">
      <c r="C60" s="12" t="s">
        <v>826</v>
      </c>
      <c r="D60" s="12"/>
      <c r="E60" s="990">
        <f>+I27</f>
        <v>34340.473599999998</v>
      </c>
      <c r="J60" s="535"/>
    </row>
    <row r="61" spans="2:10" ht="18.399999999999999">
      <c r="B61" s="1196" t="s">
        <v>827</v>
      </c>
      <c r="C61" s="1196"/>
      <c r="D61" s="1197"/>
      <c r="E61" s="570">
        <f>SUM(E58:E60)</f>
        <v>1054340.4735999999</v>
      </c>
      <c r="J61" s="535"/>
    </row>
    <row r="62" spans="2:10" ht="15.95" customHeight="1">
      <c r="J62" s="535"/>
    </row>
    <row r="63" spans="2:10" ht="17.649999999999999">
      <c r="C63" s="1195" t="s">
        <v>828</v>
      </c>
      <c r="D63" s="1195"/>
      <c r="E63" s="1195"/>
      <c r="F63" s="1195"/>
      <c r="G63" s="1195"/>
      <c r="J63" s="535"/>
    </row>
    <row r="64" spans="2:10" ht="11.65">
      <c r="J64" s="535"/>
    </row>
    <row r="65" spans="3:12" ht="23.1">
      <c r="C65" s="968" t="s">
        <v>829</v>
      </c>
      <c r="D65" s="558">
        <f>+H49</f>
        <v>47200000</v>
      </c>
      <c r="J65" s="535"/>
    </row>
    <row r="66" spans="3:12" ht="11.65">
      <c r="J66" s="535"/>
    </row>
    <row r="67" spans="3:12" ht="12" customHeight="1">
      <c r="J67" s="535"/>
    </row>
    <row r="68" spans="3:12" ht="18" customHeight="1">
      <c r="J68" s="535"/>
    </row>
    <row r="69" spans="3:12" ht="14.65">
      <c r="C69" s="2"/>
      <c r="D69" s="19" t="s">
        <v>823</v>
      </c>
      <c r="E69" s="124" t="s">
        <v>830</v>
      </c>
      <c r="J69" s="535"/>
    </row>
    <row r="70" spans="3:12" ht="14.1" customHeight="1">
      <c r="C70" s="16" t="s">
        <v>831</v>
      </c>
      <c r="D70" s="485">
        <f>+I22</f>
        <v>10000</v>
      </c>
      <c r="E70" s="571">
        <f ca="1">SUM(D70:E70)</f>
        <v>0</v>
      </c>
      <c r="J70" s="535"/>
      <c r="L70" s="113"/>
    </row>
    <row r="71" spans="3:12" ht="12.95" customHeight="1">
      <c r="C71" s="2" t="s">
        <v>832</v>
      </c>
      <c r="D71" s="486"/>
      <c r="J71" s="535"/>
      <c r="K71" s="541"/>
      <c r="L71" s="113"/>
    </row>
    <row r="72" spans="3:12" ht="12" customHeight="1">
      <c r="C72" s="2" t="s">
        <v>833</v>
      </c>
      <c r="D72" s="487">
        <v>1</v>
      </c>
      <c r="J72" s="535"/>
      <c r="K72" s="541"/>
      <c r="L72" s="113"/>
    </row>
    <row r="73" spans="3:12" ht="12.95" customHeight="1">
      <c r="C73" s="2" t="s">
        <v>834</v>
      </c>
      <c r="D73" s="486">
        <f>+D65*D72</f>
        <v>47200000</v>
      </c>
      <c r="F73" s="119"/>
      <c r="H73" s="535"/>
      <c r="K73" s="542"/>
      <c r="L73" s="113"/>
    </row>
    <row r="74" spans="3:12" ht="14.65">
      <c r="C74" s="2" t="s">
        <v>835</v>
      </c>
      <c r="D74" s="559">
        <f>+D73/D70</f>
        <v>4720</v>
      </c>
      <c r="F74" s="119"/>
      <c r="H74" s="535"/>
      <c r="K74" s="542"/>
      <c r="L74" s="113"/>
    </row>
    <row r="75" spans="3:12" ht="11.65">
      <c r="F75" s="119"/>
      <c r="H75" s="535"/>
      <c r="K75" s="542"/>
      <c r="L75" s="113"/>
    </row>
    <row r="76" spans="3:12" ht="17.649999999999999">
      <c r="C76" s="1195" t="s">
        <v>836</v>
      </c>
      <c r="D76" s="1195"/>
      <c r="E76" s="1195"/>
      <c r="F76" s="1195"/>
      <c r="G76" s="1195"/>
      <c r="H76" s="535"/>
      <c r="K76" s="542"/>
      <c r="L76" s="113"/>
    </row>
    <row r="77" spans="3:12" ht="14.65">
      <c r="C77"/>
      <c r="D77"/>
      <c r="E77"/>
      <c r="F77" s="119"/>
      <c r="H77" s="535"/>
      <c r="K77" s="542"/>
      <c r="L77" s="113"/>
    </row>
    <row r="78" spans="3:12" ht="15">
      <c r="C78" s="1207" t="s">
        <v>837</v>
      </c>
      <c r="D78" s="1207"/>
      <c r="E78" s="1207"/>
      <c r="F78" s="1207"/>
      <c r="G78" s="1207"/>
      <c r="H78" s="535"/>
      <c r="K78" s="542"/>
      <c r="L78" s="113"/>
    </row>
    <row r="79" spans="3:12" ht="11.65">
      <c r="H79" s="535"/>
      <c r="K79" s="541"/>
      <c r="L79" s="113"/>
    </row>
    <row r="80" spans="3:12" ht="34.700000000000003">
      <c r="C80" s="1208" t="s">
        <v>770</v>
      </c>
      <c r="D80" s="1210">
        <v>0.03</v>
      </c>
      <c r="F80" s="913" t="s">
        <v>838</v>
      </c>
      <c r="G80" s="913"/>
      <c r="H80" s="535"/>
      <c r="K80" s="541"/>
      <c r="L80" s="113"/>
    </row>
    <row r="81" spans="3:12" ht="12" customHeight="1">
      <c r="C81" s="1209"/>
      <c r="D81" s="1211"/>
      <c r="F81" s="913"/>
      <c r="G81" s="913"/>
      <c r="H81" s="535"/>
      <c r="K81" s="541"/>
      <c r="L81" s="113"/>
    </row>
    <row r="82" spans="3:12" ht="12" customHeight="1">
      <c r="C82"/>
      <c r="D82"/>
      <c r="E82"/>
      <c r="F82" s="119"/>
      <c r="H82" s="535"/>
      <c r="K82" s="541"/>
      <c r="L82" s="113"/>
    </row>
    <row r="83" spans="3:12" ht="21" customHeight="1">
      <c r="C83"/>
      <c r="D83"/>
      <c r="E83"/>
      <c r="F83" s="119"/>
      <c r="H83" s="535"/>
      <c r="K83" s="541"/>
      <c r="L83" s="113"/>
    </row>
    <row r="84" spans="3:12" ht="12.95" customHeight="1">
      <c r="C84" s="2"/>
      <c r="D84" s="106" t="s">
        <v>770</v>
      </c>
      <c r="E84" s="120"/>
      <c r="F84" s="119"/>
      <c r="H84" s="535"/>
      <c r="K84" s="541"/>
      <c r="L84" s="113"/>
    </row>
    <row r="85" spans="3:12" ht="24" customHeight="1">
      <c r="C85" s="2" t="s">
        <v>839</v>
      </c>
      <c r="D85" s="12">
        <f>+E61</f>
        <v>1054340.4735999999</v>
      </c>
      <c r="E85" s="120"/>
      <c r="F85" s="119"/>
      <c r="H85" s="535"/>
      <c r="K85" s="541"/>
      <c r="L85" s="113"/>
    </row>
    <row r="86" spans="3:12" ht="12" customHeight="1">
      <c r="C86" s="969" t="s">
        <v>840</v>
      </c>
      <c r="D86" s="282">
        <f>+D74</f>
        <v>4720</v>
      </c>
      <c r="E86" s="120"/>
      <c r="F86" s="119"/>
      <c r="H86" s="535"/>
      <c r="K86" s="541"/>
      <c r="L86" s="113"/>
    </row>
    <row r="87" spans="3:12" ht="25.5" customHeight="1">
      <c r="C87" s="969" t="s">
        <v>841</v>
      </c>
      <c r="D87" s="107">
        <f>D80</f>
        <v>0.03</v>
      </c>
      <c r="E87" s="120"/>
      <c r="F87" s="119"/>
      <c r="H87" s="535"/>
      <c r="K87" s="541"/>
      <c r="L87" s="113"/>
    </row>
    <row r="88" spans="3:12" ht="12.95" customHeight="1">
      <c r="C88" s="970" t="s">
        <v>842</v>
      </c>
      <c r="D88" s="121">
        <f>+(D85+D86)/(1-D87)</f>
        <v>1091814.9212371134</v>
      </c>
      <c r="E88" s="120"/>
      <c r="F88" s="119"/>
      <c r="H88" s="535"/>
      <c r="K88" s="541"/>
      <c r="L88" s="113"/>
    </row>
    <row r="89" spans="3:12" ht="22.5" customHeight="1">
      <c r="K89" s="541"/>
      <c r="L89" s="113"/>
    </row>
    <row r="90" spans="3:12" ht="12" customHeight="1">
      <c r="K90" s="545"/>
    </row>
    <row r="91" spans="3:12" ht="12" customHeight="1">
      <c r="K91" s="545"/>
    </row>
    <row r="92" spans="3:12" ht="12" customHeight="1">
      <c r="K92" s="545"/>
    </row>
    <row r="93" spans="3:12" ht="12" customHeight="1">
      <c r="K93" s="545"/>
    </row>
    <row r="94" spans="3:12" ht="12" customHeight="1">
      <c r="K94" s="545"/>
    </row>
    <row r="95" spans="3:12" ht="12" customHeight="1">
      <c r="K95" s="545"/>
    </row>
    <row r="96" spans="3:12" ht="12" customHeight="1">
      <c r="K96" s="545"/>
    </row>
    <row r="97" spans="11:11" ht="12" customHeight="1">
      <c r="K97" s="545"/>
    </row>
    <row r="98" spans="11:11" ht="12" customHeight="1">
      <c r="K98" s="545"/>
    </row>
    <row r="99" spans="11:11" ht="12" customHeight="1">
      <c r="K99" s="545"/>
    </row>
    <row r="100" spans="11:11" ht="12" customHeight="1"/>
    <row r="101" spans="11:11" ht="12" customHeight="1"/>
    <row r="102" spans="11:11" ht="12" customHeight="1"/>
    <row r="103" spans="11:11" ht="12" customHeight="1"/>
    <row r="104" spans="11:11" ht="12" customHeight="1"/>
    <row r="105" spans="11:11" ht="12" customHeight="1"/>
    <row r="106" spans="11:11" ht="12" customHeight="1"/>
    <row r="107" spans="11:11" ht="12" customHeight="1"/>
    <row r="108" spans="11:11" ht="12" customHeight="1"/>
    <row r="109" spans="11:11" ht="12" customHeight="1"/>
    <row r="110" spans="11:11" ht="12" customHeight="1"/>
    <row r="111" spans="11:11" ht="12" customHeight="1"/>
    <row r="112" spans="11:11" ht="12" customHeight="1"/>
    <row r="113" ht="11.65"/>
    <row r="114" ht="11.65"/>
    <row r="115" ht="11.65"/>
    <row r="116" ht="11.65"/>
    <row r="117" ht="11.65"/>
    <row r="118" ht="11.65"/>
    <row r="119" ht="11.65"/>
    <row r="120" ht="11.65"/>
    <row r="121" ht="11.65"/>
    <row r="122" ht="11.65"/>
    <row r="123" ht="11.65"/>
    <row r="124" ht="11.65"/>
  </sheetData>
  <mergeCells count="24">
    <mergeCell ref="C78:G78"/>
    <mergeCell ref="C80:C81"/>
    <mergeCell ref="D80:D81"/>
    <mergeCell ref="B27:F27"/>
    <mergeCell ref="C42:D42"/>
    <mergeCell ref="C43:D43"/>
    <mergeCell ref="C44:D44"/>
    <mergeCell ref="C76:G76"/>
    <mergeCell ref="C63:G63"/>
    <mergeCell ref="C45:D45"/>
    <mergeCell ref="C46:D46"/>
    <mergeCell ref="B2:H2"/>
    <mergeCell ref="B4:H4"/>
    <mergeCell ref="B61:D61"/>
    <mergeCell ref="B57:D57"/>
    <mergeCell ref="B17:C17"/>
    <mergeCell ref="B6:D6"/>
    <mergeCell ref="C47:D47"/>
    <mergeCell ref="C48:D48"/>
    <mergeCell ref="B37:F37"/>
    <mergeCell ref="B29:H29"/>
    <mergeCell ref="B49:G49"/>
    <mergeCell ref="B40:H40"/>
    <mergeCell ref="B20:H20"/>
  </mergeCells>
  <phoneticPr fontId="7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H47"/>
  <sheetViews>
    <sheetView topLeftCell="A33" zoomScale="115" zoomScaleNormal="115" workbookViewId="0">
      <selection activeCell="C42" sqref="C42"/>
    </sheetView>
  </sheetViews>
  <sheetFormatPr defaultColWidth="11.42578125" defaultRowHeight="14.65"/>
  <cols>
    <col min="1" max="1" width="23.28515625" customWidth="1"/>
    <col min="2" max="2" width="37" customWidth="1"/>
    <col min="3" max="3" width="36.28515625" customWidth="1"/>
    <col min="4" max="4" width="16" customWidth="1"/>
    <col min="5" max="5" width="22.42578125" customWidth="1"/>
    <col min="6" max="6" width="19.7109375" bestFit="1" customWidth="1"/>
    <col min="7" max="7" width="22.42578125" customWidth="1"/>
    <col min="8" max="8" width="15.42578125" customWidth="1"/>
  </cols>
  <sheetData>
    <row r="1" spans="1:4" s="203" customFormat="1"/>
    <row r="2" spans="1:4" s="203" customFormat="1">
      <c r="A2" s="1217" t="s">
        <v>636</v>
      </c>
      <c r="B2" s="1217"/>
      <c r="C2" s="1217"/>
    </row>
    <row r="3" spans="1:4" s="203" customFormat="1"/>
    <row r="4" spans="1:4">
      <c r="A4" s="1216" t="s">
        <v>843</v>
      </c>
      <c r="B4" s="1216"/>
      <c r="C4" s="1216"/>
    </row>
    <row r="5" spans="1:4">
      <c r="A5" s="2"/>
      <c r="B5" s="2" t="s">
        <v>844</v>
      </c>
      <c r="C5" s="2"/>
    </row>
    <row r="6" spans="1:4">
      <c r="A6" s="2" t="s">
        <v>823</v>
      </c>
      <c r="B6" s="511">
        <f>+'Identificación de costos'!D70</f>
        <v>10000</v>
      </c>
      <c r="C6" s="512"/>
    </row>
    <row r="7" spans="1:4">
      <c r="A7" s="2"/>
      <c r="B7" s="513"/>
      <c r="C7" s="514"/>
    </row>
    <row r="8" spans="1:4">
      <c r="C8" t="s">
        <v>845</v>
      </c>
    </row>
    <row r="9" spans="1:4">
      <c r="A9" t="s">
        <v>846</v>
      </c>
      <c r="C9" t="s">
        <v>823</v>
      </c>
    </row>
    <row r="10" spans="1:4">
      <c r="C10" s="573">
        <f>+'Identificación de costos'!D72</f>
        <v>1</v>
      </c>
      <c r="D10" s="573"/>
    </row>
    <row r="11" spans="1:4">
      <c r="B11" s="484">
        <f>+'Identificación de costos'!D65</f>
        <v>47200000</v>
      </c>
      <c r="C11" s="572">
        <f>+B11*C10</f>
        <v>47200000</v>
      </c>
      <c r="D11" s="572"/>
    </row>
    <row r="12" spans="1:4">
      <c r="A12" t="s">
        <v>847</v>
      </c>
      <c r="B12" s="1">
        <f>'C. inversiones y costos ctables'!F19</f>
        <v>0</v>
      </c>
      <c r="C12" s="572">
        <f>+B12*'Identificación de costos'!D72</f>
        <v>0</v>
      </c>
      <c r="D12" s="572"/>
    </row>
    <row r="13" spans="1:4">
      <c r="B13" s="1"/>
    </row>
    <row r="14" spans="1:4">
      <c r="A14" s="2"/>
      <c r="B14" s="19" t="s">
        <v>823</v>
      </c>
    </row>
    <row r="15" spans="1:4">
      <c r="A15" s="2" t="s">
        <v>848</v>
      </c>
      <c r="B15" s="515">
        <f>+C11</f>
        <v>47200000</v>
      </c>
      <c r="D15" s="14"/>
    </row>
    <row r="16" spans="1:4">
      <c r="A16" s="2" t="s">
        <v>849</v>
      </c>
      <c r="B16" s="269">
        <f>+C12</f>
        <v>0</v>
      </c>
    </row>
    <row r="17" spans="1:7">
      <c r="A17" s="2" t="s">
        <v>850</v>
      </c>
      <c r="B17" s="269">
        <f>+'Identificación de costos'!D88</f>
        <v>1091814.9212371134</v>
      </c>
    </row>
    <row r="18" spans="1:7">
      <c r="A18" s="2" t="s">
        <v>839</v>
      </c>
      <c r="B18" s="269">
        <f>+'Identificación de costos'!D85</f>
        <v>1054340.4735999999</v>
      </c>
      <c r="E18" s="574">
        <f>+B17-B18</f>
        <v>37474.44763711351</v>
      </c>
    </row>
    <row r="19" spans="1:7" ht="23.1">
      <c r="A19" s="2" t="s">
        <v>851</v>
      </c>
      <c r="B19" s="575">
        <f>+(B15+B16)/(B17-B18)</f>
        <v>1259.5249023298375</v>
      </c>
    </row>
    <row r="21" spans="1:7">
      <c r="A21" s="2" t="s">
        <v>852</v>
      </c>
      <c r="B21" s="972">
        <f>+'Identificación de costos'!I22</f>
        <v>10000</v>
      </c>
    </row>
    <row r="22" spans="1:7">
      <c r="A22" s="517" t="s">
        <v>853</v>
      </c>
      <c r="B22" s="518">
        <f>+B21-B19</f>
        <v>8740.4750976701616</v>
      </c>
    </row>
    <row r="24" spans="1:7">
      <c r="A24" s="19" t="s">
        <v>854</v>
      </c>
      <c r="B24" s="19"/>
      <c r="E24" s="19" t="s">
        <v>854</v>
      </c>
      <c r="F24" s="19"/>
      <c r="G24" s="357"/>
    </row>
    <row r="25" spans="1:7">
      <c r="A25" s="2" t="s">
        <v>855</v>
      </c>
      <c r="B25" s="3">
        <f>+B19*B17</f>
        <v>1375168082.0334344</v>
      </c>
      <c r="E25" s="2" t="s">
        <v>855</v>
      </c>
      <c r="F25" s="3">
        <f>+B21*B17</f>
        <v>10918149212.371134</v>
      </c>
      <c r="G25" s="272"/>
    </row>
    <row r="26" spans="1:7">
      <c r="A26" s="2" t="s">
        <v>856</v>
      </c>
      <c r="B26" s="519">
        <f>+B18*B19</f>
        <v>1327968082.0334344</v>
      </c>
      <c r="E26" s="2" t="s">
        <v>856</v>
      </c>
      <c r="F26" s="519">
        <f>+B21*B18</f>
        <v>10543404736</v>
      </c>
      <c r="G26" s="477"/>
    </row>
    <row r="27" spans="1:7">
      <c r="A27" s="2" t="s">
        <v>857</v>
      </c>
      <c r="B27" s="520">
        <f>+B25-B26</f>
        <v>47200000</v>
      </c>
      <c r="E27" s="2" t="s">
        <v>857</v>
      </c>
      <c r="F27" s="520">
        <f>+F25-F26</f>
        <v>374744476.3711338</v>
      </c>
      <c r="G27" s="477"/>
    </row>
    <row r="28" spans="1:7">
      <c r="A28" s="2" t="s">
        <v>858</v>
      </c>
      <c r="B28" s="516">
        <f>+B15</f>
        <v>47200000</v>
      </c>
      <c r="E28" s="2" t="s">
        <v>858</v>
      </c>
      <c r="F28" s="516">
        <f>+B28</f>
        <v>47200000</v>
      </c>
      <c r="G28" s="971"/>
    </row>
    <row r="29" spans="1:7">
      <c r="A29" s="2" t="s">
        <v>859</v>
      </c>
      <c r="B29" s="3">
        <f>+B16</f>
        <v>0</v>
      </c>
      <c r="E29" s="2" t="s">
        <v>859</v>
      </c>
      <c r="F29" s="3">
        <f>+B29</f>
        <v>0</v>
      </c>
      <c r="G29" s="272"/>
    </row>
    <row r="30" spans="1:7">
      <c r="A30" s="16" t="s">
        <v>860</v>
      </c>
      <c r="B30" s="521">
        <f>+B27-B28-B29</f>
        <v>0</v>
      </c>
      <c r="E30" s="16" t="s">
        <v>860</v>
      </c>
      <c r="F30" s="521">
        <f>+F27-F28-F29</f>
        <v>327544476.3711338</v>
      </c>
      <c r="G30" s="971"/>
    </row>
    <row r="31" spans="1:7">
      <c r="B31" s="14"/>
    </row>
    <row r="34" spans="2:8" s="560" customFormat="1" ht="22.5" customHeight="1">
      <c r="B34" s="1218" t="s">
        <v>861</v>
      </c>
      <c r="C34" s="1219"/>
      <c r="D34" s="1219"/>
      <c r="E34" s="1219"/>
      <c r="F34" s="1219"/>
      <c r="G34" s="1219"/>
      <c r="H34" s="1219"/>
    </row>
    <row r="35" spans="2:8" s="560" customFormat="1" ht="11.65"/>
    <row r="36" spans="2:8" s="560" customFormat="1" ht="11.65"/>
    <row r="37" spans="2:8" s="560" customFormat="1" ht="11.65"/>
    <row r="38" spans="2:8" s="560" customFormat="1" ht="11.65">
      <c r="B38" s="973" t="s">
        <v>862</v>
      </c>
      <c r="C38" s="974">
        <v>0.05</v>
      </c>
    </row>
    <row r="39" spans="2:8" s="122" customFormat="1" ht="18.75" customHeight="1">
      <c r="B39" s="561" t="s">
        <v>823</v>
      </c>
      <c r="C39" s="358">
        <v>2025</v>
      </c>
      <c r="D39" s="358">
        <f>+C39+1</f>
        <v>2026</v>
      </c>
      <c r="E39" s="358">
        <f>+D39+1</f>
        <v>2027</v>
      </c>
      <c r="F39" s="358">
        <f>+E39+1</f>
        <v>2028</v>
      </c>
      <c r="G39" s="358">
        <f>+F39+1</f>
        <v>2029</v>
      </c>
      <c r="H39" s="358">
        <f>+G39+1</f>
        <v>2030</v>
      </c>
    </row>
    <row r="40" spans="2:8" s="560" customFormat="1" ht="15.75" customHeight="1">
      <c r="B40" s="562" t="s">
        <v>863</v>
      </c>
      <c r="C40" s="563">
        <v>1</v>
      </c>
      <c r="D40" s="563">
        <v>1</v>
      </c>
      <c r="E40" s="563">
        <v>1</v>
      </c>
      <c r="F40" s="563">
        <v>1</v>
      </c>
      <c r="G40" s="563">
        <v>1</v>
      </c>
      <c r="H40" s="979">
        <v>1</v>
      </c>
    </row>
    <row r="41" spans="2:8" s="560" customFormat="1" ht="15.75" customHeight="1">
      <c r="B41" s="562" t="s">
        <v>864</v>
      </c>
      <c r="C41" s="564">
        <f>B28</f>
        <v>47200000</v>
      </c>
      <c r="D41" s="564">
        <f t="shared" ref="D41:H44" si="0">C41*(1+$C$38)</f>
        <v>49560000</v>
      </c>
      <c r="E41" s="564">
        <f t="shared" si="0"/>
        <v>52038000</v>
      </c>
      <c r="F41" s="564">
        <f t="shared" si="0"/>
        <v>54639900</v>
      </c>
      <c r="G41" s="564">
        <f t="shared" si="0"/>
        <v>57371895</v>
      </c>
      <c r="H41" s="564">
        <f t="shared" si="0"/>
        <v>60240489.75</v>
      </c>
    </row>
    <row r="42" spans="2:8" s="560" customFormat="1" ht="15.75" customHeight="1">
      <c r="B42" s="562" t="s">
        <v>865</v>
      </c>
      <c r="C42" s="564">
        <f>B29</f>
        <v>0</v>
      </c>
      <c r="D42" s="564">
        <f t="shared" si="0"/>
        <v>0</v>
      </c>
      <c r="E42" s="564">
        <f t="shared" si="0"/>
        <v>0</v>
      </c>
      <c r="F42" s="564">
        <f t="shared" si="0"/>
        <v>0</v>
      </c>
      <c r="G42" s="564">
        <f t="shared" si="0"/>
        <v>0</v>
      </c>
      <c r="H42" s="564">
        <f t="shared" si="0"/>
        <v>0</v>
      </c>
    </row>
    <row r="43" spans="2:8" s="560" customFormat="1" ht="15.75" customHeight="1">
      <c r="B43" s="562" t="s">
        <v>866</v>
      </c>
      <c r="C43" s="564">
        <f>'Identificación de costos'!E61</f>
        <v>1054340.4735999999</v>
      </c>
      <c r="D43" s="564">
        <f t="shared" si="0"/>
        <v>1107057.49728</v>
      </c>
      <c r="E43" s="564">
        <f t="shared" si="0"/>
        <v>1162410.3721440001</v>
      </c>
      <c r="F43" s="564">
        <f t="shared" si="0"/>
        <v>1220530.8907512003</v>
      </c>
      <c r="G43" s="564">
        <f t="shared" si="0"/>
        <v>1281557.4352887603</v>
      </c>
      <c r="H43" s="564">
        <f t="shared" si="0"/>
        <v>1345635.3070531983</v>
      </c>
    </row>
    <row r="44" spans="2:8" s="560" customFormat="1" ht="15.75" customHeight="1">
      <c r="B44" s="562" t="s">
        <v>867</v>
      </c>
      <c r="C44" s="564">
        <f>B17</f>
        <v>1091814.9212371134</v>
      </c>
      <c r="D44" s="564">
        <f t="shared" si="0"/>
        <v>1146405.6672989691</v>
      </c>
      <c r="E44" s="564">
        <f t="shared" si="0"/>
        <v>1203725.9506639177</v>
      </c>
      <c r="F44" s="564">
        <f t="shared" si="0"/>
        <v>1263912.2481971136</v>
      </c>
      <c r="G44" s="564">
        <f t="shared" si="0"/>
        <v>1327107.8606069693</v>
      </c>
      <c r="H44" s="564">
        <f t="shared" si="0"/>
        <v>1393463.2536373178</v>
      </c>
    </row>
    <row r="45" spans="2:8" s="560" customFormat="1" ht="15.75" customHeight="1">
      <c r="B45" s="565" t="s">
        <v>868</v>
      </c>
      <c r="C45" s="980">
        <f t="shared" ref="C45:H45" si="1">(C41+C42)/(C44-C43)</f>
        <v>1259.5249023298375</v>
      </c>
      <c r="D45" s="980">
        <f t="shared" si="1"/>
        <v>1259.52490232984</v>
      </c>
      <c r="E45" s="980">
        <f t="shared" si="1"/>
        <v>1259.52490232984</v>
      </c>
      <c r="F45" s="980">
        <f t="shared" si="1"/>
        <v>1259.524902329842</v>
      </c>
      <c r="G45" s="980">
        <f t="shared" si="1"/>
        <v>1259.5249023298434</v>
      </c>
      <c r="H45" s="980">
        <f t="shared" si="1"/>
        <v>1259.5249023298427</v>
      </c>
    </row>
    <row r="46" spans="2:8" s="560" customFormat="1" ht="11.65"/>
    <row r="47" spans="2:8" s="560" customFormat="1" ht="21" customHeight="1" thickBot="1">
      <c r="B47" s="566" t="s">
        <v>869</v>
      </c>
      <c r="C47" s="567">
        <f>'Estudio de Mercado-Encuesta'!C64</f>
        <v>1360800</v>
      </c>
      <c r="D47" s="567">
        <f>'Estudio de Mercado-Encuesta'!D64</f>
        <v>1374903.0301684907</v>
      </c>
      <c r="E47" s="567">
        <f>'Estudio de Mercado-Encuesta'!E64</f>
        <v>1389722.4321264457</v>
      </c>
      <c r="F47" s="567">
        <f>'Estudio de Mercado-Encuesta'!F64</f>
        <v>1404593.6199968923</v>
      </c>
      <c r="G47" s="567">
        <f>'Estudio de Mercado-Encuesta'!G64</f>
        <v>1432123.6549488313</v>
      </c>
      <c r="H47" s="567">
        <f>'Estudio de Mercado-Encuesta'!H64</f>
        <v>1432123.6549488313</v>
      </c>
    </row>
  </sheetData>
  <mergeCells count="3">
    <mergeCell ref="A4:C4"/>
    <mergeCell ref="A2:C2"/>
    <mergeCell ref="B34:H3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V164"/>
  <sheetViews>
    <sheetView topLeftCell="F1" zoomScaleNormal="100" workbookViewId="0">
      <selection activeCell="C8" sqref="C8"/>
    </sheetView>
  </sheetViews>
  <sheetFormatPr defaultColWidth="11.42578125" defaultRowHeight="14.65"/>
  <cols>
    <col min="1" max="2" width="30.85546875" style="30" customWidth="1"/>
    <col min="3" max="3" width="29" style="30" customWidth="1"/>
    <col min="4" max="4" width="19.140625" style="30" customWidth="1"/>
    <col min="5" max="5" width="17.85546875" style="30" bestFit="1" customWidth="1"/>
    <col min="6" max="6" width="17.42578125" style="30" bestFit="1" customWidth="1"/>
    <col min="7" max="7" width="14.85546875" style="30" bestFit="1" customWidth="1"/>
    <col min="8" max="8" width="15.7109375" style="30" bestFit="1" customWidth="1"/>
    <col min="9" max="9" width="14.85546875" style="30" bestFit="1" customWidth="1"/>
    <col min="10" max="10" width="18.28515625" style="30" bestFit="1" customWidth="1"/>
    <col min="11" max="11" width="17.140625" style="30" bestFit="1" customWidth="1"/>
    <col min="12" max="12" width="16.85546875" style="30" bestFit="1" customWidth="1"/>
    <col min="13" max="13" width="17.140625" style="30" bestFit="1" customWidth="1"/>
    <col min="14" max="14" width="16.7109375" style="30" bestFit="1" customWidth="1"/>
    <col min="15" max="15" width="18" style="30" customWidth="1"/>
    <col min="16" max="16" width="18.42578125" style="30" customWidth="1"/>
    <col min="17" max="17" width="17.85546875" style="30" customWidth="1"/>
    <col min="18" max="18" width="15.7109375" style="30" customWidth="1"/>
    <col min="19" max="19" width="16.7109375" style="30" customWidth="1"/>
    <col min="20" max="20" width="18.85546875" style="30" bestFit="1" customWidth="1"/>
    <col min="21" max="21" width="25.85546875" style="30" customWidth="1"/>
    <col min="22" max="22" width="22.28515625" style="30" customWidth="1"/>
    <col min="23" max="16384" width="11.42578125" style="30"/>
  </cols>
  <sheetData>
    <row r="1" spans="1:22" s="300" customFormat="1"/>
    <row r="2" spans="1:22" s="300" customFormat="1" ht="30.95">
      <c r="A2" s="1220" t="s">
        <v>636</v>
      </c>
      <c r="B2" s="1220"/>
      <c r="C2" s="1220"/>
      <c r="D2" s="1220"/>
      <c r="E2" s="1220"/>
      <c r="F2" s="1220"/>
      <c r="G2" s="1220"/>
      <c r="H2" s="1220"/>
      <c r="I2" s="1220"/>
      <c r="J2" s="1220"/>
      <c r="K2" s="1220"/>
      <c r="L2" s="1220"/>
      <c r="M2" s="1220"/>
      <c r="N2" s="1220"/>
      <c r="O2" s="1220"/>
      <c r="P2" s="1220"/>
      <c r="Q2" s="1220"/>
      <c r="R2" s="1220"/>
      <c r="S2" s="1220"/>
      <c r="T2" s="1220"/>
    </row>
    <row r="3" spans="1:22" s="300" customFormat="1"/>
    <row r="4" spans="1:22" ht="15" thickBot="1">
      <c r="A4" s="28"/>
      <c r="B4" s="28"/>
      <c r="C4" s="28"/>
      <c r="D4" s="28"/>
      <c r="E4" s="1221" t="s">
        <v>870</v>
      </c>
      <c r="F4" s="1221"/>
      <c r="G4" s="1221"/>
      <c r="H4" s="1221"/>
      <c r="I4" s="1221"/>
      <c r="J4" s="1221"/>
      <c r="K4" s="1221"/>
      <c r="L4" s="1221"/>
      <c r="M4" s="1221"/>
      <c r="N4" s="1221"/>
      <c r="O4" s="29"/>
      <c r="P4" s="1222" t="s">
        <v>871</v>
      </c>
      <c r="Q4" s="1222"/>
      <c r="R4" s="1222"/>
      <c r="S4" s="28"/>
      <c r="T4" s="28"/>
    </row>
    <row r="5" spans="1:22" ht="15" customHeight="1">
      <c r="A5" s="28"/>
      <c r="B5" s="28"/>
      <c r="C5" s="28"/>
      <c r="D5" s="245"/>
      <c r="E5" s="1223" t="s">
        <v>872</v>
      </c>
      <c r="F5" s="1224"/>
      <c r="G5" s="1225"/>
      <c r="H5" s="1226" t="s">
        <v>873</v>
      </c>
      <c r="I5" s="1227"/>
      <c r="J5" s="1228"/>
      <c r="K5" s="1229" t="s">
        <v>874</v>
      </c>
      <c r="L5" s="1230"/>
      <c r="M5" s="1230"/>
      <c r="N5" s="1231"/>
      <c r="O5" s="244"/>
      <c r="P5" s="29"/>
      <c r="Q5" s="29"/>
      <c r="R5" s="29"/>
      <c r="S5" s="28"/>
      <c r="T5" s="28"/>
    </row>
    <row r="6" spans="1:22">
      <c r="A6" s="28"/>
      <c r="B6" s="28"/>
      <c r="C6" s="28"/>
      <c r="D6" s="245"/>
      <c r="E6" s="248">
        <v>8.5000000000000006E-2</v>
      </c>
      <c r="F6" s="32">
        <v>0.12</v>
      </c>
      <c r="G6" s="249">
        <v>5.2199999999999998E-3</v>
      </c>
      <c r="H6" s="255">
        <f>+'[2]SS-Para_PS'!D5</f>
        <v>0.02</v>
      </c>
      <c r="I6" s="33">
        <f>+'[2]SS-Para_PS'!D6</f>
        <v>0.03</v>
      </c>
      <c r="J6" s="256">
        <f>+'[2]SS-Para_PS'!D7</f>
        <v>0.04</v>
      </c>
      <c r="K6" s="261">
        <f>+'[2]SS-Para_PS'!D8</f>
        <v>8.3333333333333329E-2</v>
      </c>
      <c r="L6" s="33">
        <f>+'[2]SS-Para_PS'!D9</f>
        <v>0.01</v>
      </c>
      <c r="M6" s="34">
        <f>+'[2]SS-Para_PS'!D10</f>
        <v>8.3333333333333329E-2</v>
      </c>
      <c r="N6" s="262">
        <f>+'[2]SS-Para_PS'!D11</f>
        <v>4.1666666666666664E-2</v>
      </c>
      <c r="O6" s="259"/>
      <c r="P6" s="31">
        <v>0.04</v>
      </c>
      <c r="Q6" s="31">
        <v>0.04</v>
      </c>
      <c r="R6" s="31">
        <v>0.01</v>
      </c>
      <c r="S6" s="28"/>
      <c r="T6" s="28"/>
    </row>
    <row r="7" spans="1:22" ht="29.1">
      <c r="A7" s="35" t="s">
        <v>875</v>
      </c>
      <c r="B7" s="35"/>
      <c r="C7" s="35" t="s">
        <v>876</v>
      </c>
      <c r="D7" s="478" t="s">
        <v>877</v>
      </c>
      <c r="E7" s="250" t="s">
        <v>878</v>
      </c>
      <c r="F7" s="242" t="s">
        <v>879</v>
      </c>
      <c r="G7" s="251" t="s">
        <v>880</v>
      </c>
      <c r="H7" s="257" t="s">
        <v>881</v>
      </c>
      <c r="I7" s="243" t="s">
        <v>882</v>
      </c>
      <c r="J7" s="258" t="s">
        <v>883</v>
      </c>
      <c r="K7" s="263" t="s">
        <v>884</v>
      </c>
      <c r="L7" s="35" t="s">
        <v>885</v>
      </c>
      <c r="M7" s="35" t="s">
        <v>886</v>
      </c>
      <c r="N7" s="264" t="s">
        <v>887</v>
      </c>
      <c r="O7" s="260" t="s">
        <v>789</v>
      </c>
      <c r="P7" s="35" t="s">
        <v>878</v>
      </c>
      <c r="Q7" s="35" t="s">
        <v>879</v>
      </c>
      <c r="R7" s="35" t="s">
        <v>888</v>
      </c>
      <c r="S7" s="35" t="s">
        <v>889</v>
      </c>
      <c r="T7" s="35" t="s">
        <v>890</v>
      </c>
    </row>
    <row r="8" spans="1:22" s="38" customFormat="1">
      <c r="A8" s="942" t="s">
        <v>793</v>
      </c>
      <c r="B8" s="945"/>
      <c r="C8" s="946">
        <v>10000000</v>
      </c>
      <c r="D8" s="480"/>
      <c r="E8" s="481">
        <f>+$C8*E$6</f>
        <v>850000.00000000012</v>
      </c>
      <c r="F8" s="481">
        <f>+$C8*F$6</f>
        <v>1200000</v>
      </c>
      <c r="G8" s="481">
        <f>+$C8*G$6</f>
        <v>52200</v>
      </c>
      <c r="H8" s="481">
        <f>+$C8*H$6</f>
        <v>200000</v>
      </c>
      <c r="I8" s="481">
        <f t="shared" ref="I8:J16" si="0">+$C8*I$6</f>
        <v>300000</v>
      </c>
      <c r="J8" s="481">
        <f t="shared" si="0"/>
        <v>400000</v>
      </c>
      <c r="K8" s="481">
        <f>+($C8+D8)*K$6</f>
        <v>833333.33333333326</v>
      </c>
      <c r="L8" s="481">
        <f>+($K8)*L$6</f>
        <v>8333.3333333333321</v>
      </c>
      <c r="M8" s="481">
        <f>+($C8+D8)*M$6</f>
        <v>833333.33333333326</v>
      </c>
      <c r="N8" s="481">
        <f>+$C8*N$6</f>
        <v>416666.66666666663</v>
      </c>
      <c r="O8" s="482">
        <f>SUM(D8:N8)</f>
        <v>5093866.666666667</v>
      </c>
      <c r="P8" s="276">
        <f>+$C8*P$6</f>
        <v>400000</v>
      </c>
      <c r="Q8" s="276">
        <f t="shared" ref="Q8:R16" si="1">+$C8*Q$6</f>
        <v>400000</v>
      </c>
      <c r="R8" s="276">
        <f t="shared" si="1"/>
        <v>100000</v>
      </c>
      <c r="S8" s="276">
        <f>SUM(P8:R8)</f>
        <v>900000</v>
      </c>
      <c r="T8" s="278">
        <f>+C8+D8-S8</f>
        <v>9100000</v>
      </c>
      <c r="U8" s="38">
        <f t="shared" ref="U8:U13" si="2">+C8*12</f>
        <v>120000000</v>
      </c>
      <c r="V8" s="38">
        <f>+O8*12</f>
        <v>61126400</v>
      </c>
    </row>
    <row r="9" spans="1:22" s="38" customFormat="1">
      <c r="A9" s="943" t="s">
        <v>794</v>
      </c>
      <c r="B9" s="945"/>
      <c r="C9" s="946">
        <v>4500000</v>
      </c>
      <c r="D9" s="480"/>
      <c r="E9" s="481">
        <f t="shared" ref="E9:H16" si="3">+$C9*E$6</f>
        <v>382500</v>
      </c>
      <c r="F9" s="481">
        <f t="shared" si="3"/>
        <v>540000</v>
      </c>
      <c r="G9" s="481">
        <f t="shared" si="3"/>
        <v>23490</v>
      </c>
      <c r="H9" s="481">
        <f t="shared" si="3"/>
        <v>90000</v>
      </c>
      <c r="I9" s="481">
        <f t="shared" si="0"/>
        <v>135000</v>
      </c>
      <c r="J9" s="481">
        <f t="shared" si="0"/>
        <v>180000</v>
      </c>
      <c r="K9" s="481">
        <f t="shared" ref="K9:K16" si="4">+($C9+D9)*K$6</f>
        <v>375000</v>
      </c>
      <c r="L9" s="481">
        <f t="shared" ref="L9:L16" si="5">+($K9)*L$6</f>
        <v>3750</v>
      </c>
      <c r="M9" s="481">
        <f t="shared" ref="M9:M16" si="6">+($C9+D9)*M$6</f>
        <v>375000</v>
      </c>
      <c r="N9" s="481">
        <f t="shared" ref="N9:N16" si="7">+$C9*N$6</f>
        <v>187500</v>
      </c>
      <c r="O9" s="482">
        <f>SUM(D9:N9)</f>
        <v>2292240</v>
      </c>
      <c r="P9" s="276">
        <f t="shared" ref="P9:P16" si="8">+$C9*P$6</f>
        <v>180000</v>
      </c>
      <c r="Q9" s="276">
        <f t="shared" si="1"/>
        <v>180000</v>
      </c>
      <c r="R9" s="276">
        <f t="shared" si="1"/>
        <v>45000</v>
      </c>
      <c r="S9" s="276">
        <f t="shared" ref="S9:S16" si="9">SUM(P9:R9)</f>
        <v>405000</v>
      </c>
      <c r="T9" s="278">
        <f t="shared" ref="T9:T16" si="10">+C9+D9-S9</f>
        <v>4095000</v>
      </c>
      <c r="U9" s="38">
        <f t="shared" si="2"/>
        <v>54000000</v>
      </c>
      <c r="V9" s="38">
        <f t="shared" ref="V9:V13" si="11">+O9*12</f>
        <v>27506880</v>
      </c>
    </row>
    <row r="10" spans="1:22" s="38" customFormat="1">
      <c r="A10" s="943" t="s">
        <v>795</v>
      </c>
      <c r="B10" s="945"/>
      <c r="C10" s="946">
        <v>2400000</v>
      </c>
      <c r="D10" s="480">
        <v>200000</v>
      </c>
      <c r="E10" s="481">
        <f t="shared" si="3"/>
        <v>204000.00000000003</v>
      </c>
      <c r="F10" s="481">
        <f t="shared" si="3"/>
        <v>288000</v>
      </c>
      <c r="G10" s="481">
        <f>+$C10*G$6</f>
        <v>12528</v>
      </c>
      <c r="H10" s="481">
        <f t="shared" si="3"/>
        <v>48000</v>
      </c>
      <c r="I10" s="481">
        <f t="shared" si="0"/>
        <v>72000</v>
      </c>
      <c r="J10" s="481">
        <f t="shared" si="0"/>
        <v>96000</v>
      </c>
      <c r="K10" s="481">
        <f t="shared" si="4"/>
        <v>216666.66666666666</v>
      </c>
      <c r="L10" s="481">
        <f t="shared" si="5"/>
        <v>2166.6666666666665</v>
      </c>
      <c r="M10" s="481">
        <f t="shared" si="6"/>
        <v>216666.66666666666</v>
      </c>
      <c r="N10" s="481">
        <f t="shared" si="7"/>
        <v>100000</v>
      </c>
      <c r="O10" s="482">
        <f>SUM(D10:N10)</f>
        <v>1456028.0000000002</v>
      </c>
      <c r="P10" s="276">
        <f t="shared" si="8"/>
        <v>96000</v>
      </c>
      <c r="Q10" s="276">
        <f t="shared" si="1"/>
        <v>96000</v>
      </c>
      <c r="R10" s="276">
        <f t="shared" si="1"/>
        <v>24000</v>
      </c>
      <c r="S10" s="276">
        <f t="shared" si="9"/>
        <v>216000</v>
      </c>
      <c r="T10" s="278">
        <f t="shared" si="10"/>
        <v>2384000</v>
      </c>
      <c r="U10" s="38">
        <f t="shared" si="2"/>
        <v>28800000</v>
      </c>
      <c r="V10" s="38">
        <f t="shared" si="11"/>
        <v>17472336.000000004</v>
      </c>
    </row>
    <row r="11" spans="1:22" s="38" customFormat="1">
      <c r="A11" s="944" t="s">
        <v>796</v>
      </c>
      <c r="B11" s="947"/>
      <c r="C11" s="948">
        <v>2000000</v>
      </c>
      <c r="D11" s="480">
        <v>200000</v>
      </c>
      <c r="E11" s="481">
        <f t="shared" si="3"/>
        <v>170000</v>
      </c>
      <c r="F11" s="481">
        <f t="shared" si="3"/>
        <v>240000</v>
      </c>
      <c r="G11" s="481">
        <f>+$C11*G$6</f>
        <v>10440</v>
      </c>
      <c r="H11" s="481">
        <f t="shared" si="3"/>
        <v>40000</v>
      </c>
      <c r="I11" s="481">
        <f t="shared" si="0"/>
        <v>60000</v>
      </c>
      <c r="J11" s="481">
        <f t="shared" si="0"/>
        <v>80000</v>
      </c>
      <c r="K11" s="481">
        <f t="shared" si="4"/>
        <v>183333.33333333331</v>
      </c>
      <c r="L11" s="481">
        <f t="shared" si="5"/>
        <v>1833.3333333333333</v>
      </c>
      <c r="M11" s="481">
        <f t="shared" si="6"/>
        <v>183333.33333333331</v>
      </c>
      <c r="N11" s="481">
        <f t="shared" si="7"/>
        <v>83333.333333333328</v>
      </c>
      <c r="O11" s="482">
        <f t="shared" ref="O11:O16" si="12">SUM(D11:N11)</f>
        <v>1252273.3333333333</v>
      </c>
      <c r="P11" s="276">
        <f t="shared" si="8"/>
        <v>80000</v>
      </c>
      <c r="Q11" s="276">
        <f t="shared" si="1"/>
        <v>80000</v>
      </c>
      <c r="R11" s="276">
        <f t="shared" si="1"/>
        <v>20000</v>
      </c>
      <c r="S11" s="276">
        <f t="shared" si="9"/>
        <v>180000</v>
      </c>
      <c r="T11" s="278">
        <f t="shared" si="10"/>
        <v>2020000</v>
      </c>
      <c r="U11" s="38">
        <f t="shared" si="2"/>
        <v>24000000</v>
      </c>
      <c r="V11" s="38">
        <f t="shared" si="11"/>
        <v>15027280</v>
      </c>
    </row>
    <row r="12" spans="1:22" s="483" customFormat="1">
      <c r="A12" s="550" t="s">
        <v>799</v>
      </c>
      <c r="B12" s="117"/>
      <c r="C12" s="118">
        <v>4000000</v>
      </c>
      <c r="D12" s="480"/>
      <c r="E12" s="481">
        <f>+$C12*E$6</f>
        <v>340000</v>
      </c>
      <c r="F12" s="481">
        <f t="shared" si="3"/>
        <v>480000</v>
      </c>
      <c r="G12" s="481">
        <f t="shared" si="3"/>
        <v>20880</v>
      </c>
      <c r="H12" s="481">
        <f t="shared" si="3"/>
        <v>80000</v>
      </c>
      <c r="I12" s="481">
        <f t="shared" si="0"/>
        <v>120000</v>
      </c>
      <c r="J12" s="481">
        <f t="shared" si="0"/>
        <v>160000</v>
      </c>
      <c r="K12" s="481">
        <f t="shared" si="4"/>
        <v>333333.33333333331</v>
      </c>
      <c r="L12" s="481">
        <f t="shared" si="5"/>
        <v>3333.333333333333</v>
      </c>
      <c r="M12" s="481">
        <f t="shared" si="6"/>
        <v>333333.33333333331</v>
      </c>
      <c r="N12" s="481">
        <f t="shared" si="7"/>
        <v>166666.66666666666</v>
      </c>
      <c r="O12" s="277">
        <f t="shared" si="12"/>
        <v>2037546.6666666665</v>
      </c>
      <c r="P12" s="481">
        <f t="shared" si="8"/>
        <v>160000</v>
      </c>
      <c r="Q12" s="481">
        <f t="shared" si="1"/>
        <v>160000</v>
      </c>
      <c r="R12" s="481">
        <f t="shared" si="1"/>
        <v>40000</v>
      </c>
      <c r="S12" s="481">
        <f t="shared" si="9"/>
        <v>360000</v>
      </c>
      <c r="T12" s="482">
        <f t="shared" si="10"/>
        <v>3640000</v>
      </c>
      <c r="U12" s="483">
        <f t="shared" si="2"/>
        <v>48000000</v>
      </c>
      <c r="V12" s="483">
        <f t="shared" si="11"/>
        <v>24450560</v>
      </c>
    </row>
    <row r="13" spans="1:22" s="483" customFormat="1">
      <c r="A13" s="550" t="s">
        <v>800</v>
      </c>
      <c r="B13" s="117"/>
      <c r="C13" s="118">
        <v>2500000</v>
      </c>
      <c r="D13" s="480">
        <v>200000</v>
      </c>
      <c r="E13" s="481">
        <f t="shared" ref="E13:E16" si="13">+$C13*E$6</f>
        <v>212500.00000000003</v>
      </c>
      <c r="F13" s="481">
        <f t="shared" si="3"/>
        <v>300000</v>
      </c>
      <c r="G13" s="481">
        <f>+$C13*G$6</f>
        <v>13050</v>
      </c>
      <c r="H13" s="481">
        <f t="shared" si="3"/>
        <v>50000</v>
      </c>
      <c r="I13" s="481">
        <f t="shared" si="0"/>
        <v>75000</v>
      </c>
      <c r="J13" s="481">
        <f t="shared" si="0"/>
        <v>100000</v>
      </c>
      <c r="K13" s="481">
        <f t="shared" si="4"/>
        <v>225000</v>
      </c>
      <c r="L13" s="481">
        <f t="shared" si="5"/>
        <v>2250</v>
      </c>
      <c r="M13" s="481">
        <f t="shared" si="6"/>
        <v>225000</v>
      </c>
      <c r="N13" s="481">
        <f t="shared" si="7"/>
        <v>104166.66666666666</v>
      </c>
      <c r="O13" s="277">
        <f t="shared" si="12"/>
        <v>1506966.6666666667</v>
      </c>
      <c r="P13" s="481">
        <f t="shared" si="8"/>
        <v>100000</v>
      </c>
      <c r="Q13" s="481">
        <f t="shared" si="1"/>
        <v>100000</v>
      </c>
      <c r="R13" s="481">
        <f t="shared" si="1"/>
        <v>25000</v>
      </c>
      <c r="S13" s="481">
        <f t="shared" si="9"/>
        <v>225000</v>
      </c>
      <c r="T13" s="482">
        <f t="shared" si="10"/>
        <v>2475000</v>
      </c>
      <c r="U13" s="483">
        <f t="shared" si="2"/>
        <v>30000000</v>
      </c>
      <c r="V13" s="483">
        <f t="shared" si="11"/>
        <v>18083600</v>
      </c>
    </row>
    <row r="14" spans="1:22" s="38" customFormat="1">
      <c r="A14" s="551" t="s">
        <v>801</v>
      </c>
      <c r="B14" s="549"/>
      <c r="C14" s="118">
        <v>1800000</v>
      </c>
      <c r="D14" s="479">
        <v>200000</v>
      </c>
      <c r="E14" s="481">
        <f t="shared" si="13"/>
        <v>153000</v>
      </c>
      <c r="F14" s="276">
        <f t="shared" si="3"/>
        <v>216000</v>
      </c>
      <c r="G14" s="276">
        <f t="shared" si="3"/>
        <v>9396</v>
      </c>
      <c r="H14" s="276">
        <f t="shared" si="3"/>
        <v>36000</v>
      </c>
      <c r="I14" s="276">
        <f t="shared" si="0"/>
        <v>54000</v>
      </c>
      <c r="J14" s="276">
        <f t="shared" si="0"/>
        <v>72000</v>
      </c>
      <c r="K14" s="276">
        <f t="shared" si="4"/>
        <v>166666.66666666666</v>
      </c>
      <c r="L14" s="276">
        <f t="shared" si="5"/>
        <v>1666.6666666666665</v>
      </c>
      <c r="M14" s="276">
        <f>+($C14+D14)*M$6</f>
        <v>166666.66666666666</v>
      </c>
      <c r="N14" s="276">
        <f t="shared" si="7"/>
        <v>75000</v>
      </c>
      <c r="O14" s="277">
        <f t="shared" si="12"/>
        <v>1150396</v>
      </c>
      <c r="P14" s="276">
        <f t="shared" si="8"/>
        <v>72000</v>
      </c>
      <c r="Q14" s="276">
        <f t="shared" si="1"/>
        <v>72000</v>
      </c>
      <c r="R14" s="276">
        <f t="shared" si="1"/>
        <v>18000</v>
      </c>
      <c r="S14" s="276">
        <f t="shared" si="9"/>
        <v>162000</v>
      </c>
      <c r="T14" s="278">
        <f t="shared" si="10"/>
        <v>1838000</v>
      </c>
    </row>
    <row r="15" spans="1:22" s="38" customFormat="1">
      <c r="A15" s="550" t="s">
        <v>802</v>
      </c>
      <c r="B15" s="117"/>
      <c r="C15" s="118">
        <v>2000000</v>
      </c>
      <c r="D15" s="36">
        <v>200000</v>
      </c>
      <c r="E15" s="481">
        <f t="shared" si="13"/>
        <v>170000</v>
      </c>
      <c r="F15" s="276">
        <f t="shared" si="3"/>
        <v>240000</v>
      </c>
      <c r="G15" s="276">
        <f t="shared" si="3"/>
        <v>10440</v>
      </c>
      <c r="H15" s="276">
        <f t="shared" si="3"/>
        <v>40000</v>
      </c>
      <c r="I15" s="276">
        <f t="shared" si="0"/>
        <v>60000</v>
      </c>
      <c r="J15" s="276">
        <f t="shared" si="0"/>
        <v>80000</v>
      </c>
      <c r="K15" s="276">
        <f t="shared" si="4"/>
        <v>183333.33333333331</v>
      </c>
      <c r="L15" s="276">
        <f t="shared" si="5"/>
        <v>1833.3333333333333</v>
      </c>
      <c r="M15" s="276">
        <f t="shared" si="6"/>
        <v>183333.33333333331</v>
      </c>
      <c r="N15" s="276">
        <f t="shared" si="7"/>
        <v>83333.333333333328</v>
      </c>
      <c r="O15" s="277">
        <f t="shared" si="12"/>
        <v>1252273.3333333333</v>
      </c>
      <c r="P15" s="276">
        <f t="shared" si="8"/>
        <v>80000</v>
      </c>
      <c r="Q15" s="276">
        <f t="shared" si="1"/>
        <v>80000</v>
      </c>
      <c r="R15" s="276">
        <f t="shared" si="1"/>
        <v>20000</v>
      </c>
      <c r="S15" s="276">
        <f t="shared" si="9"/>
        <v>180000</v>
      </c>
      <c r="T15" s="278">
        <f t="shared" si="10"/>
        <v>2020000</v>
      </c>
    </row>
    <row r="16" spans="1:22" s="38" customFormat="1">
      <c r="A16" s="550" t="s">
        <v>803</v>
      </c>
      <c r="B16" s="117"/>
      <c r="C16" s="118">
        <v>1423500</v>
      </c>
      <c r="D16" s="36">
        <v>200000</v>
      </c>
      <c r="E16" s="481">
        <f t="shared" si="13"/>
        <v>120997.50000000001</v>
      </c>
      <c r="F16" s="276">
        <f t="shared" si="3"/>
        <v>170820</v>
      </c>
      <c r="G16" s="276">
        <f t="shared" si="3"/>
        <v>7430.67</v>
      </c>
      <c r="H16" s="276">
        <f t="shared" si="3"/>
        <v>28470</v>
      </c>
      <c r="I16" s="276">
        <f t="shared" si="0"/>
        <v>42705</v>
      </c>
      <c r="J16" s="276">
        <f t="shared" si="0"/>
        <v>56940</v>
      </c>
      <c r="K16" s="276">
        <f t="shared" si="4"/>
        <v>135291.66666666666</v>
      </c>
      <c r="L16" s="276">
        <f t="shared" si="5"/>
        <v>1352.9166666666665</v>
      </c>
      <c r="M16" s="276">
        <f t="shared" si="6"/>
        <v>135291.66666666666</v>
      </c>
      <c r="N16" s="276">
        <f t="shared" si="7"/>
        <v>59312.5</v>
      </c>
      <c r="O16" s="277">
        <f t="shared" si="12"/>
        <v>958611.91999999981</v>
      </c>
      <c r="P16" s="276">
        <f t="shared" si="8"/>
        <v>56940</v>
      </c>
      <c r="Q16" s="276">
        <f t="shared" si="1"/>
        <v>56940</v>
      </c>
      <c r="R16" s="276">
        <f t="shared" si="1"/>
        <v>14235</v>
      </c>
      <c r="S16" s="276">
        <f t="shared" si="9"/>
        <v>128115</v>
      </c>
      <c r="T16" s="278">
        <f t="shared" si="10"/>
        <v>1495385</v>
      </c>
    </row>
    <row r="17" spans="1:20" s="38" customFormat="1">
      <c r="A17" s="37">
        <f>+'[2]INFORMACIÓN GENERAL'!A15</f>
        <v>0</v>
      </c>
      <c r="B17" s="37"/>
      <c r="C17" s="36"/>
      <c r="D17" s="36"/>
      <c r="E17" s="279"/>
      <c r="F17" s="279"/>
      <c r="G17" s="280"/>
      <c r="H17" s="280"/>
      <c r="I17" s="280"/>
      <c r="J17" s="280"/>
      <c r="K17" s="280"/>
      <c r="L17" s="280"/>
      <c r="M17" s="280"/>
      <c r="N17" s="280"/>
      <c r="O17" s="280"/>
      <c r="P17" s="280"/>
      <c r="Q17" s="280"/>
      <c r="R17" s="280"/>
      <c r="S17" s="280"/>
      <c r="T17" s="280"/>
    </row>
    <row r="18" spans="1:20" s="38" customFormat="1" ht="15" thickBot="1">
      <c r="A18" s="39" t="s">
        <v>73</v>
      </c>
      <c r="B18" s="39"/>
      <c r="C18" s="281">
        <f>SUM(C8:C16)</f>
        <v>30623500</v>
      </c>
      <c r="D18" s="246">
        <f>+SUM(D8:D16)</f>
        <v>1200000</v>
      </c>
      <c r="E18" s="252">
        <f t="shared" ref="E18:P18" si="14">+SUM(E8:E16)</f>
        <v>2602997.5</v>
      </c>
      <c r="F18" s="253">
        <f t="shared" si="14"/>
        <v>3674820</v>
      </c>
      <c r="G18" s="254">
        <f t="shared" si="14"/>
        <v>159854.67000000001</v>
      </c>
      <c r="H18" s="252">
        <f t="shared" si="14"/>
        <v>612470</v>
      </c>
      <c r="I18" s="253">
        <f t="shared" si="14"/>
        <v>918705</v>
      </c>
      <c r="J18" s="254">
        <f t="shared" si="14"/>
        <v>1224940</v>
      </c>
      <c r="K18" s="252">
        <f t="shared" si="14"/>
        <v>2651958.333333333</v>
      </c>
      <c r="L18" s="253">
        <f t="shared" si="14"/>
        <v>26519.583333333332</v>
      </c>
      <c r="M18" s="253">
        <f t="shared" si="14"/>
        <v>2651958.333333333</v>
      </c>
      <c r="N18" s="254">
        <f t="shared" si="14"/>
        <v>1275979.1666666665</v>
      </c>
      <c r="O18" s="247">
        <f t="shared" si="14"/>
        <v>17000202.586666666</v>
      </c>
      <c r="P18" s="40">
        <f t="shared" si="14"/>
        <v>1224940</v>
      </c>
      <c r="Q18" s="40">
        <f>+SUM(Q8:Q16)</f>
        <v>1224940</v>
      </c>
      <c r="R18" s="40">
        <f>+SUM(R8:R16)</f>
        <v>306235</v>
      </c>
      <c r="S18" s="40">
        <f t="shared" ref="S18:T18" si="15">+SUM(S8:S16)</f>
        <v>2756115</v>
      </c>
      <c r="T18" s="40">
        <f t="shared" si="15"/>
        <v>29067385</v>
      </c>
    </row>
    <row r="19" spans="1:20" s="300" customFormat="1">
      <c r="C19" s="301"/>
      <c r="D19" s="301"/>
      <c r="E19" s="301"/>
      <c r="F19" s="301"/>
    </row>
    <row r="20" spans="1:20" s="300" customFormat="1">
      <c r="D20" s="301"/>
      <c r="E20" s="301"/>
      <c r="F20" s="301"/>
    </row>
    <row r="21" spans="1:20" s="300" customFormat="1">
      <c r="A21" s="300" t="s">
        <v>891</v>
      </c>
      <c r="C21" s="362">
        <f>+C18</f>
        <v>30623500</v>
      </c>
      <c r="D21" s="498">
        <f>+C21-C12-C13</f>
        <v>24123500</v>
      </c>
      <c r="E21" s="301"/>
      <c r="F21" s="301"/>
    </row>
    <row r="22" spans="1:20" s="300" customFormat="1">
      <c r="A22" s="300" t="s">
        <v>892</v>
      </c>
      <c r="C22" s="362">
        <f>+D18</f>
        <v>1200000</v>
      </c>
      <c r="D22" s="301"/>
      <c r="E22" s="301"/>
      <c r="F22" s="301"/>
    </row>
    <row r="23" spans="1:20" s="300" customFormat="1">
      <c r="A23" s="300" t="s">
        <v>893</v>
      </c>
      <c r="C23" s="362">
        <f>SUM(E18:N18)</f>
        <v>15800202.586666668</v>
      </c>
      <c r="D23" s="498">
        <f>+C23-O12-O13</f>
        <v>12255689.253333336</v>
      </c>
      <c r="E23" s="301"/>
      <c r="F23" s="301"/>
    </row>
    <row r="24" spans="1:20" s="300" customFormat="1">
      <c r="A24" s="300" t="s">
        <v>716</v>
      </c>
      <c r="C24" s="363">
        <f>SUM(C21:C23)</f>
        <v>47623702.586666666</v>
      </c>
      <c r="D24" s="499">
        <f>SUM(D21:D23)</f>
        <v>36379189.253333338</v>
      </c>
      <c r="E24" s="300" t="s">
        <v>894</v>
      </c>
    </row>
    <row r="25" spans="1:20" s="300" customFormat="1" ht="20.65">
      <c r="A25" s="364" t="s">
        <v>895</v>
      </c>
      <c r="B25" s="364"/>
      <c r="C25" s="365">
        <f>+C24*12</f>
        <v>571484431.03999996</v>
      </c>
      <c r="D25" s="500">
        <f>+D24*12</f>
        <v>436550271.04000008</v>
      </c>
      <c r="E25" s="300" t="s">
        <v>896</v>
      </c>
    </row>
    <row r="26" spans="1:20" s="300" customFormat="1"/>
    <row r="27" spans="1:20" s="300" customFormat="1"/>
    <row r="28" spans="1:20" s="300" customFormat="1"/>
    <row r="29" spans="1:20" s="300" customFormat="1"/>
    <row r="30" spans="1:20" s="300" customFormat="1"/>
    <row r="31" spans="1:20" s="300" customFormat="1"/>
    <row r="32" spans="1:20" s="300" customFormat="1"/>
    <row r="33" s="300" customFormat="1"/>
    <row r="34" s="300" customFormat="1"/>
    <row r="35" s="300" customFormat="1"/>
    <row r="36" s="300" customFormat="1"/>
    <row r="37" s="300" customFormat="1"/>
    <row r="38" s="300" customFormat="1"/>
    <row r="39" s="300" customFormat="1"/>
    <row r="40" s="300" customFormat="1"/>
    <row r="41" s="300" customFormat="1"/>
    <row r="42" s="300" customFormat="1"/>
    <row r="43" s="300" customFormat="1"/>
    <row r="44" s="300" customFormat="1"/>
    <row r="45" s="300" customFormat="1"/>
    <row r="46" s="300" customFormat="1"/>
    <row r="47" s="300" customFormat="1"/>
    <row r="48" s="300" customFormat="1"/>
    <row r="49" s="300" customFormat="1"/>
    <row r="50" s="300" customFormat="1"/>
    <row r="51" s="300" customFormat="1"/>
    <row r="52" s="300" customFormat="1"/>
    <row r="53" s="300" customFormat="1"/>
    <row r="54" s="300" customFormat="1"/>
    <row r="55" s="300" customFormat="1"/>
    <row r="56" s="300" customFormat="1"/>
    <row r="57" s="300" customFormat="1"/>
    <row r="58" s="300" customFormat="1"/>
    <row r="59" s="300" customFormat="1"/>
    <row r="60" s="300" customFormat="1"/>
    <row r="61" s="300" customFormat="1"/>
    <row r="62" s="300" customFormat="1"/>
    <row r="63" s="300" customFormat="1"/>
    <row r="64" s="300" customFormat="1"/>
    <row r="65" s="300" customFormat="1"/>
    <row r="66" s="300" customFormat="1"/>
    <row r="67" s="300" customFormat="1"/>
    <row r="68" s="300" customFormat="1"/>
    <row r="69" s="300" customFormat="1"/>
    <row r="70" s="300" customFormat="1"/>
    <row r="71" s="300" customFormat="1"/>
    <row r="72" s="300" customFormat="1"/>
    <row r="73" s="300" customFormat="1"/>
    <row r="74" s="300" customFormat="1"/>
    <row r="75" s="300" customFormat="1"/>
    <row r="76" s="300" customFormat="1"/>
    <row r="77" s="300" customFormat="1"/>
    <row r="78" s="300" customFormat="1"/>
    <row r="79" s="300" customFormat="1"/>
    <row r="80" s="300" customFormat="1"/>
    <row r="81" s="300" customFormat="1"/>
    <row r="82" s="300" customFormat="1"/>
    <row r="83" s="300" customFormat="1"/>
    <row r="84" s="300" customFormat="1"/>
    <row r="85" s="300" customFormat="1"/>
    <row r="86" s="300" customFormat="1"/>
    <row r="87" s="300" customFormat="1"/>
    <row r="88" s="300" customFormat="1"/>
    <row r="89" s="300" customFormat="1"/>
    <row r="90" s="300" customFormat="1"/>
    <row r="91" s="300" customFormat="1"/>
    <row r="92" s="300" customFormat="1"/>
    <row r="93" s="300" customFormat="1"/>
    <row r="94" s="300" customFormat="1"/>
    <row r="95" s="300" customFormat="1"/>
    <row r="96" s="300" customFormat="1"/>
    <row r="97" s="300" customFormat="1"/>
    <row r="98" s="300" customFormat="1"/>
    <row r="99" s="300" customFormat="1"/>
    <row r="100" s="300" customFormat="1"/>
    <row r="101" s="300" customFormat="1"/>
    <row r="102" s="300" customFormat="1"/>
    <row r="103" s="300" customFormat="1"/>
    <row r="104" s="300" customFormat="1"/>
    <row r="105" s="300" customFormat="1"/>
    <row r="106" s="300" customFormat="1"/>
    <row r="107" s="300" customFormat="1"/>
    <row r="108" s="300" customFormat="1"/>
    <row r="109" s="300" customFormat="1"/>
    <row r="110" s="300" customFormat="1"/>
    <row r="111" s="300" customFormat="1"/>
    <row r="112" s="300" customFormat="1"/>
    <row r="113" s="300" customFormat="1"/>
    <row r="114" s="300" customFormat="1"/>
    <row r="115" s="300" customFormat="1"/>
    <row r="116" s="300" customFormat="1"/>
    <row r="117" s="300" customFormat="1"/>
    <row r="118" s="300" customFormat="1"/>
    <row r="119" s="300" customFormat="1"/>
    <row r="120" s="300" customFormat="1"/>
    <row r="121" s="300" customFormat="1"/>
    <row r="122" s="300" customFormat="1"/>
    <row r="123" s="300" customFormat="1"/>
    <row r="124" s="300" customFormat="1"/>
    <row r="125" s="300" customFormat="1"/>
    <row r="126" s="300" customFormat="1"/>
    <row r="127" s="300" customFormat="1"/>
    <row r="128" s="300" customFormat="1"/>
    <row r="129" s="300" customFormat="1"/>
    <row r="130" s="300" customFormat="1"/>
    <row r="131" s="300" customFormat="1"/>
    <row r="132" s="300" customFormat="1"/>
    <row r="133" s="300" customFormat="1"/>
    <row r="134" s="300" customFormat="1"/>
    <row r="135" s="300" customFormat="1"/>
    <row r="136" s="300" customFormat="1"/>
    <row r="137" s="300" customFormat="1"/>
    <row r="138" s="300" customFormat="1"/>
    <row r="139" s="300" customFormat="1"/>
    <row r="140" s="300" customFormat="1"/>
    <row r="141" s="300" customFormat="1"/>
    <row r="142" s="300" customFormat="1"/>
    <row r="143" s="300" customFormat="1"/>
    <row r="144" s="300" customFormat="1"/>
    <row r="145" s="300" customFormat="1"/>
    <row r="146" s="300" customFormat="1"/>
    <row r="147" s="300" customFormat="1"/>
    <row r="148" s="300" customFormat="1"/>
    <row r="149" s="300" customFormat="1"/>
    <row r="150" s="300" customFormat="1"/>
    <row r="151" s="300" customFormat="1"/>
    <row r="152" s="300" customFormat="1"/>
    <row r="153" s="300" customFormat="1"/>
    <row r="154" s="300" customFormat="1"/>
    <row r="155" s="300" customFormat="1"/>
    <row r="156" s="300" customFormat="1"/>
    <row r="157" s="300" customFormat="1"/>
    <row r="158" s="300" customFormat="1"/>
    <row r="159" s="300" customFormat="1"/>
    <row r="160" s="300" customFormat="1"/>
    <row r="161" s="300" customFormat="1"/>
    <row r="162" s="300" customFormat="1"/>
    <row r="163" s="300" customFormat="1"/>
    <row r="164" s="300" customFormat="1"/>
  </sheetData>
  <mergeCells count="6">
    <mergeCell ref="A2:T2"/>
    <mergeCell ref="E4:N4"/>
    <mergeCell ref="P4:R4"/>
    <mergeCell ref="E5:G5"/>
    <mergeCell ref="H5:J5"/>
    <mergeCell ref="K5:N5"/>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2:R53"/>
  <sheetViews>
    <sheetView topLeftCell="F32" zoomScaleNormal="100" workbookViewId="0">
      <selection activeCell="K47" sqref="K47"/>
    </sheetView>
  </sheetViews>
  <sheetFormatPr defaultColWidth="11.42578125" defaultRowHeight="14.65"/>
  <cols>
    <col min="1" max="1" width="14" style="46" hidden="1" customWidth="1"/>
    <col min="2" max="2" width="11.42578125" style="46" hidden="1" customWidth="1"/>
    <col min="3" max="3" width="19.140625" style="46" hidden="1" customWidth="1"/>
    <col min="4" max="4" width="16" style="51" hidden="1" customWidth="1"/>
    <col min="5" max="5" width="20.42578125" style="51" hidden="1" customWidth="1"/>
    <col min="6" max="6" width="6.28515625" style="51" customWidth="1"/>
    <col min="7" max="7" width="12.140625" style="46" customWidth="1"/>
    <col min="8" max="8" width="19.140625" style="46" customWidth="1"/>
    <col min="9" max="9" width="19.42578125" style="46" customWidth="1"/>
    <col min="10" max="10" width="22.42578125" style="80" customWidth="1"/>
    <col min="11" max="11" width="18.140625" style="46" customWidth="1"/>
    <col min="12" max="12" width="14.42578125" style="46" customWidth="1"/>
    <col min="13" max="13" width="13.28515625" style="46" customWidth="1"/>
    <col min="14" max="14" width="20.42578125" style="46" customWidth="1"/>
    <col min="15" max="15" width="5" style="46" customWidth="1"/>
    <col min="16" max="238" width="11.42578125" style="46"/>
    <col min="239" max="243" width="0" style="46" hidden="1" customWidth="1"/>
    <col min="244" max="244" width="6.28515625" style="46" customWidth="1"/>
    <col min="245" max="245" width="12.140625" style="46" customWidth="1"/>
    <col min="246" max="246" width="17.42578125" style="46" bestFit="1" customWidth="1"/>
    <col min="247" max="247" width="12.140625" style="46" customWidth="1"/>
    <col min="248" max="248" width="19.85546875" style="46" customWidth="1"/>
    <col min="249" max="249" width="18.140625" style="46" customWidth="1"/>
    <col min="250" max="250" width="9.42578125" style="46" customWidth="1"/>
    <col min="251" max="251" width="11.42578125" style="46" customWidth="1"/>
    <col min="252" max="252" width="20.42578125" style="46" customWidth="1"/>
    <col min="253" max="253" width="5" style="46" customWidth="1"/>
    <col min="254" max="254" width="16.42578125" style="46" bestFit="1" customWidth="1"/>
    <col min="255" max="255" width="16.42578125" style="46" customWidth="1"/>
    <col min="256" max="256" width="18.42578125" style="46" customWidth="1"/>
    <col min="257" max="257" width="19.7109375" style="46" customWidth="1"/>
    <col min="258" max="258" width="17.7109375" style="46" customWidth="1"/>
    <col min="259" max="494" width="11.42578125" style="46"/>
    <col min="495" max="499" width="0" style="46" hidden="1" customWidth="1"/>
    <col min="500" max="500" width="6.28515625" style="46" customWidth="1"/>
    <col min="501" max="501" width="12.140625" style="46" customWidth="1"/>
    <col min="502" max="502" width="17.42578125" style="46" bestFit="1" customWidth="1"/>
    <col min="503" max="503" width="12.140625" style="46" customWidth="1"/>
    <col min="504" max="504" width="19.85546875" style="46" customWidth="1"/>
    <col min="505" max="505" width="18.140625" style="46" customWidth="1"/>
    <col min="506" max="506" width="9.42578125" style="46" customWidth="1"/>
    <col min="507" max="507" width="11.42578125" style="46" customWidth="1"/>
    <col min="508" max="508" width="20.42578125" style="46" customWidth="1"/>
    <col min="509" max="509" width="5" style="46" customWidth="1"/>
    <col min="510" max="510" width="16.42578125" style="46" bestFit="1" customWidth="1"/>
    <col min="511" max="511" width="16.42578125" style="46" customWidth="1"/>
    <col min="512" max="512" width="18.42578125" style="46" customWidth="1"/>
    <col min="513" max="513" width="19.7109375" style="46" customWidth="1"/>
    <col min="514" max="514" width="17.7109375" style="46" customWidth="1"/>
    <col min="515" max="750" width="11.42578125" style="46"/>
    <col min="751" max="755" width="0" style="46" hidden="1" customWidth="1"/>
    <col min="756" max="756" width="6.28515625" style="46" customWidth="1"/>
    <col min="757" max="757" width="12.140625" style="46" customWidth="1"/>
    <col min="758" max="758" width="17.42578125" style="46" bestFit="1" customWidth="1"/>
    <col min="759" max="759" width="12.140625" style="46" customWidth="1"/>
    <col min="760" max="760" width="19.85546875" style="46" customWidth="1"/>
    <col min="761" max="761" width="18.140625" style="46" customWidth="1"/>
    <col min="762" max="762" width="9.42578125" style="46" customWidth="1"/>
    <col min="763" max="763" width="11.42578125" style="46" customWidth="1"/>
    <col min="764" max="764" width="20.42578125" style="46" customWidth="1"/>
    <col min="765" max="765" width="5" style="46" customWidth="1"/>
    <col min="766" max="766" width="16.42578125" style="46" bestFit="1" customWidth="1"/>
    <col min="767" max="767" width="16.42578125" style="46" customWidth="1"/>
    <col min="768" max="768" width="18.42578125" style="46" customWidth="1"/>
    <col min="769" max="769" width="19.7109375" style="46" customWidth="1"/>
    <col min="770" max="770" width="17.7109375" style="46" customWidth="1"/>
    <col min="771" max="1006" width="11.42578125" style="46"/>
    <col min="1007" max="1011" width="0" style="46" hidden="1" customWidth="1"/>
    <col min="1012" max="1012" width="6.28515625" style="46" customWidth="1"/>
    <col min="1013" max="1013" width="12.140625" style="46" customWidth="1"/>
    <col min="1014" max="1014" width="17.42578125" style="46" bestFit="1" customWidth="1"/>
    <col min="1015" max="1015" width="12.140625" style="46" customWidth="1"/>
    <col min="1016" max="1016" width="19.85546875" style="46" customWidth="1"/>
    <col min="1017" max="1017" width="18.140625" style="46" customWidth="1"/>
    <col min="1018" max="1018" width="9.42578125" style="46" customWidth="1"/>
    <col min="1019" max="1019" width="11.42578125" style="46" customWidth="1"/>
    <col min="1020" max="1020" width="20.42578125" style="46" customWidth="1"/>
    <col min="1021" max="1021" width="5" style="46" customWidth="1"/>
    <col min="1022" max="1022" width="16.42578125" style="46" bestFit="1" customWidth="1"/>
    <col min="1023" max="1023" width="16.42578125" style="46" customWidth="1"/>
    <col min="1024" max="1024" width="18.42578125" style="46" customWidth="1"/>
    <col min="1025" max="1025" width="19.7109375" style="46" customWidth="1"/>
    <col min="1026" max="1026" width="17.7109375" style="46" customWidth="1"/>
    <col min="1027" max="1262" width="11.42578125" style="46"/>
    <col min="1263" max="1267" width="0" style="46" hidden="1" customWidth="1"/>
    <col min="1268" max="1268" width="6.28515625" style="46" customWidth="1"/>
    <col min="1269" max="1269" width="12.140625" style="46" customWidth="1"/>
    <col min="1270" max="1270" width="17.42578125" style="46" bestFit="1" customWidth="1"/>
    <col min="1271" max="1271" width="12.140625" style="46" customWidth="1"/>
    <col min="1272" max="1272" width="19.85546875" style="46" customWidth="1"/>
    <col min="1273" max="1273" width="18.140625" style="46" customWidth="1"/>
    <col min="1274" max="1274" width="9.42578125" style="46" customWidth="1"/>
    <col min="1275" max="1275" width="11.42578125" style="46" customWidth="1"/>
    <col min="1276" max="1276" width="20.42578125" style="46" customWidth="1"/>
    <col min="1277" max="1277" width="5" style="46" customWidth="1"/>
    <col min="1278" max="1278" width="16.42578125" style="46" bestFit="1" customWidth="1"/>
    <col min="1279" max="1279" width="16.42578125" style="46" customWidth="1"/>
    <col min="1280" max="1280" width="18.42578125" style="46" customWidth="1"/>
    <col min="1281" max="1281" width="19.7109375" style="46" customWidth="1"/>
    <col min="1282" max="1282" width="17.7109375" style="46" customWidth="1"/>
    <col min="1283" max="1518" width="11.42578125" style="46"/>
    <col min="1519" max="1523" width="0" style="46" hidden="1" customWidth="1"/>
    <col min="1524" max="1524" width="6.28515625" style="46" customWidth="1"/>
    <col min="1525" max="1525" width="12.140625" style="46" customWidth="1"/>
    <col min="1526" max="1526" width="17.42578125" style="46" bestFit="1" customWidth="1"/>
    <col min="1527" max="1527" width="12.140625" style="46" customWidth="1"/>
    <col min="1528" max="1528" width="19.85546875" style="46" customWidth="1"/>
    <col min="1529" max="1529" width="18.140625" style="46" customWidth="1"/>
    <col min="1530" max="1530" width="9.42578125" style="46" customWidth="1"/>
    <col min="1531" max="1531" width="11.42578125" style="46" customWidth="1"/>
    <col min="1532" max="1532" width="20.42578125" style="46" customWidth="1"/>
    <col min="1533" max="1533" width="5" style="46" customWidth="1"/>
    <col min="1534" max="1534" width="16.42578125" style="46" bestFit="1" customWidth="1"/>
    <col min="1535" max="1535" width="16.42578125" style="46" customWidth="1"/>
    <col min="1536" max="1536" width="18.42578125" style="46" customWidth="1"/>
    <col min="1537" max="1537" width="19.7109375" style="46" customWidth="1"/>
    <col min="1538" max="1538" width="17.7109375" style="46" customWidth="1"/>
    <col min="1539" max="1774" width="11.42578125" style="46"/>
    <col min="1775" max="1779" width="0" style="46" hidden="1" customWidth="1"/>
    <col min="1780" max="1780" width="6.28515625" style="46" customWidth="1"/>
    <col min="1781" max="1781" width="12.140625" style="46" customWidth="1"/>
    <col min="1782" max="1782" width="17.42578125" style="46" bestFit="1" customWidth="1"/>
    <col min="1783" max="1783" width="12.140625" style="46" customWidth="1"/>
    <col min="1784" max="1784" width="19.85546875" style="46" customWidth="1"/>
    <col min="1785" max="1785" width="18.140625" style="46" customWidth="1"/>
    <col min="1786" max="1786" width="9.42578125" style="46" customWidth="1"/>
    <col min="1787" max="1787" width="11.42578125" style="46" customWidth="1"/>
    <col min="1788" max="1788" width="20.42578125" style="46" customWidth="1"/>
    <col min="1789" max="1789" width="5" style="46" customWidth="1"/>
    <col min="1790" max="1790" width="16.42578125" style="46" bestFit="1" customWidth="1"/>
    <col min="1791" max="1791" width="16.42578125" style="46" customWidth="1"/>
    <col min="1792" max="1792" width="18.42578125" style="46" customWidth="1"/>
    <col min="1793" max="1793" width="19.7109375" style="46" customWidth="1"/>
    <col min="1794" max="1794" width="17.7109375" style="46" customWidth="1"/>
    <col min="1795" max="2030" width="11.42578125" style="46"/>
    <col min="2031" max="2035" width="0" style="46" hidden="1" customWidth="1"/>
    <col min="2036" max="2036" width="6.28515625" style="46" customWidth="1"/>
    <col min="2037" max="2037" width="12.140625" style="46" customWidth="1"/>
    <col min="2038" max="2038" width="17.42578125" style="46" bestFit="1" customWidth="1"/>
    <col min="2039" max="2039" width="12.140625" style="46" customWidth="1"/>
    <col min="2040" max="2040" width="19.85546875" style="46" customWidth="1"/>
    <col min="2041" max="2041" width="18.140625" style="46" customWidth="1"/>
    <col min="2042" max="2042" width="9.42578125" style="46" customWidth="1"/>
    <col min="2043" max="2043" width="11.42578125" style="46" customWidth="1"/>
    <col min="2044" max="2044" width="20.42578125" style="46" customWidth="1"/>
    <col min="2045" max="2045" width="5" style="46" customWidth="1"/>
    <col min="2046" max="2046" width="16.42578125" style="46" bestFit="1" customWidth="1"/>
    <col min="2047" max="2047" width="16.42578125" style="46" customWidth="1"/>
    <col min="2048" max="2048" width="18.42578125" style="46" customWidth="1"/>
    <col min="2049" max="2049" width="19.7109375" style="46" customWidth="1"/>
    <col min="2050" max="2050" width="17.7109375" style="46" customWidth="1"/>
    <col min="2051" max="2286" width="11.42578125" style="46"/>
    <col min="2287" max="2291" width="0" style="46" hidden="1" customWidth="1"/>
    <col min="2292" max="2292" width="6.28515625" style="46" customWidth="1"/>
    <col min="2293" max="2293" width="12.140625" style="46" customWidth="1"/>
    <col min="2294" max="2294" width="17.42578125" style="46" bestFit="1" customWidth="1"/>
    <col min="2295" max="2295" width="12.140625" style="46" customWidth="1"/>
    <col min="2296" max="2296" width="19.85546875" style="46" customWidth="1"/>
    <col min="2297" max="2297" width="18.140625" style="46" customWidth="1"/>
    <col min="2298" max="2298" width="9.42578125" style="46" customWidth="1"/>
    <col min="2299" max="2299" width="11.42578125" style="46" customWidth="1"/>
    <col min="2300" max="2300" width="20.42578125" style="46" customWidth="1"/>
    <col min="2301" max="2301" width="5" style="46" customWidth="1"/>
    <col min="2302" max="2302" width="16.42578125" style="46" bestFit="1" customWidth="1"/>
    <col min="2303" max="2303" width="16.42578125" style="46" customWidth="1"/>
    <col min="2304" max="2304" width="18.42578125" style="46" customWidth="1"/>
    <col min="2305" max="2305" width="19.7109375" style="46" customWidth="1"/>
    <col min="2306" max="2306" width="17.7109375" style="46" customWidth="1"/>
    <col min="2307" max="2542" width="11.42578125" style="46"/>
    <col min="2543" max="2547" width="0" style="46" hidden="1" customWidth="1"/>
    <col min="2548" max="2548" width="6.28515625" style="46" customWidth="1"/>
    <col min="2549" max="2549" width="12.140625" style="46" customWidth="1"/>
    <col min="2550" max="2550" width="17.42578125" style="46" bestFit="1" customWidth="1"/>
    <col min="2551" max="2551" width="12.140625" style="46" customWidth="1"/>
    <col min="2552" max="2552" width="19.85546875" style="46" customWidth="1"/>
    <col min="2553" max="2553" width="18.140625" style="46" customWidth="1"/>
    <col min="2554" max="2554" width="9.42578125" style="46" customWidth="1"/>
    <col min="2555" max="2555" width="11.42578125" style="46" customWidth="1"/>
    <col min="2556" max="2556" width="20.42578125" style="46" customWidth="1"/>
    <col min="2557" max="2557" width="5" style="46" customWidth="1"/>
    <col min="2558" max="2558" width="16.42578125" style="46" bestFit="1" customWidth="1"/>
    <col min="2559" max="2559" width="16.42578125" style="46" customWidth="1"/>
    <col min="2560" max="2560" width="18.42578125" style="46" customWidth="1"/>
    <col min="2561" max="2561" width="19.7109375" style="46" customWidth="1"/>
    <col min="2562" max="2562" width="17.7109375" style="46" customWidth="1"/>
    <col min="2563" max="2798" width="11.42578125" style="46"/>
    <col min="2799" max="2803" width="0" style="46" hidden="1" customWidth="1"/>
    <col min="2804" max="2804" width="6.28515625" style="46" customWidth="1"/>
    <col min="2805" max="2805" width="12.140625" style="46" customWidth="1"/>
    <col min="2806" max="2806" width="17.42578125" style="46" bestFit="1" customWidth="1"/>
    <col min="2807" max="2807" width="12.140625" style="46" customWidth="1"/>
    <col min="2808" max="2808" width="19.85546875" style="46" customWidth="1"/>
    <col min="2809" max="2809" width="18.140625" style="46" customWidth="1"/>
    <col min="2810" max="2810" width="9.42578125" style="46" customWidth="1"/>
    <col min="2811" max="2811" width="11.42578125" style="46" customWidth="1"/>
    <col min="2812" max="2812" width="20.42578125" style="46" customWidth="1"/>
    <col min="2813" max="2813" width="5" style="46" customWidth="1"/>
    <col min="2814" max="2814" width="16.42578125" style="46" bestFit="1" customWidth="1"/>
    <col min="2815" max="2815" width="16.42578125" style="46" customWidth="1"/>
    <col min="2816" max="2816" width="18.42578125" style="46" customWidth="1"/>
    <col min="2817" max="2817" width="19.7109375" style="46" customWidth="1"/>
    <col min="2818" max="2818" width="17.7109375" style="46" customWidth="1"/>
    <col min="2819" max="3054" width="11.42578125" style="46"/>
    <col min="3055" max="3059" width="0" style="46" hidden="1" customWidth="1"/>
    <col min="3060" max="3060" width="6.28515625" style="46" customWidth="1"/>
    <col min="3061" max="3061" width="12.140625" style="46" customWidth="1"/>
    <col min="3062" max="3062" width="17.42578125" style="46" bestFit="1" customWidth="1"/>
    <col min="3063" max="3063" width="12.140625" style="46" customWidth="1"/>
    <col min="3064" max="3064" width="19.85546875" style="46" customWidth="1"/>
    <col min="3065" max="3065" width="18.140625" style="46" customWidth="1"/>
    <col min="3066" max="3066" width="9.42578125" style="46" customWidth="1"/>
    <col min="3067" max="3067" width="11.42578125" style="46" customWidth="1"/>
    <col min="3068" max="3068" width="20.42578125" style="46" customWidth="1"/>
    <col min="3069" max="3069" width="5" style="46" customWidth="1"/>
    <col min="3070" max="3070" width="16.42578125" style="46" bestFit="1" customWidth="1"/>
    <col min="3071" max="3071" width="16.42578125" style="46" customWidth="1"/>
    <col min="3072" max="3072" width="18.42578125" style="46" customWidth="1"/>
    <col min="3073" max="3073" width="19.7109375" style="46" customWidth="1"/>
    <col min="3074" max="3074" width="17.7109375" style="46" customWidth="1"/>
    <col min="3075" max="3310" width="11.42578125" style="46"/>
    <col min="3311" max="3315" width="0" style="46" hidden="1" customWidth="1"/>
    <col min="3316" max="3316" width="6.28515625" style="46" customWidth="1"/>
    <col min="3317" max="3317" width="12.140625" style="46" customWidth="1"/>
    <col min="3318" max="3318" width="17.42578125" style="46" bestFit="1" customWidth="1"/>
    <col min="3319" max="3319" width="12.140625" style="46" customWidth="1"/>
    <col min="3320" max="3320" width="19.85546875" style="46" customWidth="1"/>
    <col min="3321" max="3321" width="18.140625" style="46" customWidth="1"/>
    <col min="3322" max="3322" width="9.42578125" style="46" customWidth="1"/>
    <col min="3323" max="3323" width="11.42578125" style="46" customWidth="1"/>
    <col min="3324" max="3324" width="20.42578125" style="46" customWidth="1"/>
    <col min="3325" max="3325" width="5" style="46" customWidth="1"/>
    <col min="3326" max="3326" width="16.42578125" style="46" bestFit="1" customWidth="1"/>
    <col min="3327" max="3327" width="16.42578125" style="46" customWidth="1"/>
    <col min="3328" max="3328" width="18.42578125" style="46" customWidth="1"/>
    <col min="3329" max="3329" width="19.7109375" style="46" customWidth="1"/>
    <col min="3330" max="3330" width="17.7109375" style="46" customWidth="1"/>
    <col min="3331" max="3566" width="11.42578125" style="46"/>
    <col min="3567" max="3571" width="0" style="46" hidden="1" customWidth="1"/>
    <col min="3572" max="3572" width="6.28515625" style="46" customWidth="1"/>
    <col min="3573" max="3573" width="12.140625" style="46" customWidth="1"/>
    <col min="3574" max="3574" width="17.42578125" style="46" bestFit="1" customWidth="1"/>
    <col min="3575" max="3575" width="12.140625" style="46" customWidth="1"/>
    <col min="3576" max="3576" width="19.85546875" style="46" customWidth="1"/>
    <col min="3577" max="3577" width="18.140625" style="46" customWidth="1"/>
    <col min="3578" max="3578" width="9.42578125" style="46" customWidth="1"/>
    <col min="3579" max="3579" width="11.42578125" style="46" customWidth="1"/>
    <col min="3580" max="3580" width="20.42578125" style="46" customWidth="1"/>
    <col min="3581" max="3581" width="5" style="46" customWidth="1"/>
    <col min="3582" max="3582" width="16.42578125" style="46" bestFit="1" customWidth="1"/>
    <col min="3583" max="3583" width="16.42578125" style="46" customWidth="1"/>
    <col min="3584" max="3584" width="18.42578125" style="46" customWidth="1"/>
    <col min="3585" max="3585" width="19.7109375" style="46" customWidth="1"/>
    <col min="3586" max="3586" width="17.7109375" style="46" customWidth="1"/>
    <col min="3587" max="3822" width="11.42578125" style="46"/>
    <col min="3823" max="3827" width="0" style="46" hidden="1" customWidth="1"/>
    <col min="3828" max="3828" width="6.28515625" style="46" customWidth="1"/>
    <col min="3829" max="3829" width="12.140625" style="46" customWidth="1"/>
    <col min="3830" max="3830" width="17.42578125" style="46" bestFit="1" customWidth="1"/>
    <col min="3831" max="3831" width="12.140625" style="46" customWidth="1"/>
    <col min="3832" max="3832" width="19.85546875" style="46" customWidth="1"/>
    <col min="3833" max="3833" width="18.140625" style="46" customWidth="1"/>
    <col min="3834" max="3834" width="9.42578125" style="46" customWidth="1"/>
    <col min="3835" max="3835" width="11.42578125" style="46" customWidth="1"/>
    <col min="3836" max="3836" width="20.42578125" style="46" customWidth="1"/>
    <col min="3837" max="3837" width="5" style="46" customWidth="1"/>
    <col min="3838" max="3838" width="16.42578125" style="46" bestFit="1" customWidth="1"/>
    <col min="3839" max="3839" width="16.42578125" style="46" customWidth="1"/>
    <col min="3840" max="3840" width="18.42578125" style="46" customWidth="1"/>
    <col min="3841" max="3841" width="19.7109375" style="46" customWidth="1"/>
    <col min="3842" max="3842" width="17.7109375" style="46" customWidth="1"/>
    <col min="3843" max="4078" width="11.42578125" style="46"/>
    <col min="4079" max="4083" width="0" style="46" hidden="1" customWidth="1"/>
    <col min="4084" max="4084" width="6.28515625" style="46" customWidth="1"/>
    <col min="4085" max="4085" width="12.140625" style="46" customWidth="1"/>
    <col min="4086" max="4086" width="17.42578125" style="46" bestFit="1" customWidth="1"/>
    <col min="4087" max="4087" width="12.140625" style="46" customWidth="1"/>
    <col min="4088" max="4088" width="19.85546875" style="46" customWidth="1"/>
    <col min="4089" max="4089" width="18.140625" style="46" customWidth="1"/>
    <col min="4090" max="4090" width="9.42578125" style="46" customWidth="1"/>
    <col min="4091" max="4091" width="11.42578125" style="46" customWidth="1"/>
    <col min="4092" max="4092" width="20.42578125" style="46" customWidth="1"/>
    <col min="4093" max="4093" width="5" style="46" customWidth="1"/>
    <col min="4094" max="4094" width="16.42578125" style="46" bestFit="1" customWidth="1"/>
    <col min="4095" max="4095" width="16.42578125" style="46" customWidth="1"/>
    <col min="4096" max="4096" width="18.42578125" style="46" customWidth="1"/>
    <col min="4097" max="4097" width="19.7109375" style="46" customWidth="1"/>
    <col min="4098" max="4098" width="17.7109375" style="46" customWidth="1"/>
    <col min="4099" max="4334" width="11.42578125" style="46"/>
    <col min="4335" max="4339" width="0" style="46" hidden="1" customWidth="1"/>
    <col min="4340" max="4340" width="6.28515625" style="46" customWidth="1"/>
    <col min="4341" max="4341" width="12.140625" style="46" customWidth="1"/>
    <col min="4342" max="4342" width="17.42578125" style="46" bestFit="1" customWidth="1"/>
    <col min="4343" max="4343" width="12.140625" style="46" customWidth="1"/>
    <col min="4344" max="4344" width="19.85546875" style="46" customWidth="1"/>
    <col min="4345" max="4345" width="18.140625" style="46" customWidth="1"/>
    <col min="4346" max="4346" width="9.42578125" style="46" customWidth="1"/>
    <col min="4347" max="4347" width="11.42578125" style="46" customWidth="1"/>
    <col min="4348" max="4348" width="20.42578125" style="46" customWidth="1"/>
    <col min="4349" max="4349" width="5" style="46" customWidth="1"/>
    <col min="4350" max="4350" width="16.42578125" style="46" bestFit="1" customWidth="1"/>
    <col min="4351" max="4351" width="16.42578125" style="46" customWidth="1"/>
    <col min="4352" max="4352" width="18.42578125" style="46" customWidth="1"/>
    <col min="4353" max="4353" width="19.7109375" style="46" customWidth="1"/>
    <col min="4354" max="4354" width="17.7109375" style="46" customWidth="1"/>
    <col min="4355" max="4590" width="11.42578125" style="46"/>
    <col min="4591" max="4595" width="0" style="46" hidden="1" customWidth="1"/>
    <col min="4596" max="4596" width="6.28515625" style="46" customWidth="1"/>
    <col min="4597" max="4597" width="12.140625" style="46" customWidth="1"/>
    <col min="4598" max="4598" width="17.42578125" style="46" bestFit="1" customWidth="1"/>
    <col min="4599" max="4599" width="12.140625" style="46" customWidth="1"/>
    <col min="4600" max="4600" width="19.85546875" style="46" customWidth="1"/>
    <col min="4601" max="4601" width="18.140625" style="46" customWidth="1"/>
    <col min="4602" max="4602" width="9.42578125" style="46" customWidth="1"/>
    <col min="4603" max="4603" width="11.42578125" style="46" customWidth="1"/>
    <col min="4604" max="4604" width="20.42578125" style="46" customWidth="1"/>
    <col min="4605" max="4605" width="5" style="46" customWidth="1"/>
    <col min="4606" max="4606" width="16.42578125" style="46" bestFit="1" customWidth="1"/>
    <col min="4607" max="4607" width="16.42578125" style="46" customWidth="1"/>
    <col min="4608" max="4608" width="18.42578125" style="46" customWidth="1"/>
    <col min="4609" max="4609" width="19.7109375" style="46" customWidth="1"/>
    <col min="4610" max="4610" width="17.7109375" style="46" customWidth="1"/>
    <col min="4611" max="4846" width="11.42578125" style="46"/>
    <col min="4847" max="4851" width="0" style="46" hidden="1" customWidth="1"/>
    <col min="4852" max="4852" width="6.28515625" style="46" customWidth="1"/>
    <col min="4853" max="4853" width="12.140625" style="46" customWidth="1"/>
    <col min="4854" max="4854" width="17.42578125" style="46" bestFit="1" customWidth="1"/>
    <col min="4855" max="4855" width="12.140625" style="46" customWidth="1"/>
    <col min="4856" max="4856" width="19.85546875" style="46" customWidth="1"/>
    <col min="4857" max="4857" width="18.140625" style="46" customWidth="1"/>
    <col min="4858" max="4858" width="9.42578125" style="46" customWidth="1"/>
    <col min="4859" max="4859" width="11.42578125" style="46" customWidth="1"/>
    <col min="4860" max="4860" width="20.42578125" style="46" customWidth="1"/>
    <col min="4861" max="4861" width="5" style="46" customWidth="1"/>
    <col min="4862" max="4862" width="16.42578125" style="46" bestFit="1" customWidth="1"/>
    <col min="4863" max="4863" width="16.42578125" style="46" customWidth="1"/>
    <col min="4864" max="4864" width="18.42578125" style="46" customWidth="1"/>
    <col min="4865" max="4865" width="19.7109375" style="46" customWidth="1"/>
    <col min="4866" max="4866" width="17.7109375" style="46" customWidth="1"/>
    <col min="4867" max="5102" width="11.42578125" style="46"/>
    <col min="5103" max="5107" width="0" style="46" hidden="1" customWidth="1"/>
    <col min="5108" max="5108" width="6.28515625" style="46" customWidth="1"/>
    <col min="5109" max="5109" width="12.140625" style="46" customWidth="1"/>
    <col min="5110" max="5110" width="17.42578125" style="46" bestFit="1" customWidth="1"/>
    <col min="5111" max="5111" width="12.140625" style="46" customWidth="1"/>
    <col min="5112" max="5112" width="19.85546875" style="46" customWidth="1"/>
    <col min="5113" max="5113" width="18.140625" style="46" customWidth="1"/>
    <col min="5114" max="5114" width="9.42578125" style="46" customWidth="1"/>
    <col min="5115" max="5115" width="11.42578125" style="46" customWidth="1"/>
    <col min="5116" max="5116" width="20.42578125" style="46" customWidth="1"/>
    <col min="5117" max="5117" width="5" style="46" customWidth="1"/>
    <col min="5118" max="5118" width="16.42578125" style="46" bestFit="1" customWidth="1"/>
    <col min="5119" max="5119" width="16.42578125" style="46" customWidth="1"/>
    <col min="5120" max="5120" width="18.42578125" style="46" customWidth="1"/>
    <col min="5121" max="5121" width="19.7109375" style="46" customWidth="1"/>
    <col min="5122" max="5122" width="17.7109375" style="46" customWidth="1"/>
    <col min="5123" max="5358" width="11.42578125" style="46"/>
    <col min="5359" max="5363" width="0" style="46" hidden="1" customWidth="1"/>
    <col min="5364" max="5364" width="6.28515625" style="46" customWidth="1"/>
    <col min="5365" max="5365" width="12.140625" style="46" customWidth="1"/>
    <col min="5366" max="5366" width="17.42578125" style="46" bestFit="1" customWidth="1"/>
    <col min="5367" max="5367" width="12.140625" style="46" customWidth="1"/>
    <col min="5368" max="5368" width="19.85546875" style="46" customWidth="1"/>
    <col min="5369" max="5369" width="18.140625" style="46" customWidth="1"/>
    <col min="5370" max="5370" width="9.42578125" style="46" customWidth="1"/>
    <col min="5371" max="5371" width="11.42578125" style="46" customWidth="1"/>
    <col min="5372" max="5372" width="20.42578125" style="46" customWidth="1"/>
    <col min="5373" max="5373" width="5" style="46" customWidth="1"/>
    <col min="5374" max="5374" width="16.42578125" style="46" bestFit="1" customWidth="1"/>
    <col min="5375" max="5375" width="16.42578125" style="46" customWidth="1"/>
    <col min="5376" max="5376" width="18.42578125" style="46" customWidth="1"/>
    <col min="5377" max="5377" width="19.7109375" style="46" customWidth="1"/>
    <col min="5378" max="5378" width="17.7109375" style="46" customWidth="1"/>
    <col min="5379" max="5614" width="11.42578125" style="46"/>
    <col min="5615" max="5619" width="0" style="46" hidden="1" customWidth="1"/>
    <col min="5620" max="5620" width="6.28515625" style="46" customWidth="1"/>
    <col min="5621" max="5621" width="12.140625" style="46" customWidth="1"/>
    <col min="5622" max="5622" width="17.42578125" style="46" bestFit="1" customWidth="1"/>
    <col min="5623" max="5623" width="12.140625" style="46" customWidth="1"/>
    <col min="5624" max="5624" width="19.85546875" style="46" customWidth="1"/>
    <col min="5625" max="5625" width="18.140625" style="46" customWidth="1"/>
    <col min="5626" max="5626" width="9.42578125" style="46" customWidth="1"/>
    <col min="5627" max="5627" width="11.42578125" style="46" customWidth="1"/>
    <col min="5628" max="5628" width="20.42578125" style="46" customWidth="1"/>
    <col min="5629" max="5629" width="5" style="46" customWidth="1"/>
    <col min="5630" max="5630" width="16.42578125" style="46" bestFit="1" customWidth="1"/>
    <col min="5631" max="5631" width="16.42578125" style="46" customWidth="1"/>
    <col min="5632" max="5632" width="18.42578125" style="46" customWidth="1"/>
    <col min="5633" max="5633" width="19.7109375" style="46" customWidth="1"/>
    <col min="5634" max="5634" width="17.7109375" style="46" customWidth="1"/>
    <col min="5635" max="5870" width="11.42578125" style="46"/>
    <col min="5871" max="5875" width="0" style="46" hidden="1" customWidth="1"/>
    <col min="5876" max="5876" width="6.28515625" style="46" customWidth="1"/>
    <col min="5877" max="5877" width="12.140625" style="46" customWidth="1"/>
    <col min="5878" max="5878" width="17.42578125" style="46" bestFit="1" customWidth="1"/>
    <col min="5879" max="5879" width="12.140625" style="46" customWidth="1"/>
    <col min="5880" max="5880" width="19.85546875" style="46" customWidth="1"/>
    <col min="5881" max="5881" width="18.140625" style="46" customWidth="1"/>
    <col min="5882" max="5882" width="9.42578125" style="46" customWidth="1"/>
    <col min="5883" max="5883" width="11.42578125" style="46" customWidth="1"/>
    <col min="5884" max="5884" width="20.42578125" style="46" customWidth="1"/>
    <col min="5885" max="5885" width="5" style="46" customWidth="1"/>
    <col min="5886" max="5886" width="16.42578125" style="46" bestFit="1" customWidth="1"/>
    <col min="5887" max="5887" width="16.42578125" style="46" customWidth="1"/>
    <col min="5888" max="5888" width="18.42578125" style="46" customWidth="1"/>
    <col min="5889" max="5889" width="19.7109375" style="46" customWidth="1"/>
    <col min="5890" max="5890" width="17.7109375" style="46" customWidth="1"/>
    <col min="5891" max="6126" width="11.42578125" style="46"/>
    <col min="6127" max="6131" width="0" style="46" hidden="1" customWidth="1"/>
    <col min="6132" max="6132" width="6.28515625" style="46" customWidth="1"/>
    <col min="6133" max="6133" width="12.140625" style="46" customWidth="1"/>
    <col min="6134" max="6134" width="17.42578125" style="46" bestFit="1" customWidth="1"/>
    <col min="6135" max="6135" width="12.140625" style="46" customWidth="1"/>
    <col min="6136" max="6136" width="19.85546875" style="46" customWidth="1"/>
    <col min="6137" max="6137" width="18.140625" style="46" customWidth="1"/>
    <col min="6138" max="6138" width="9.42578125" style="46" customWidth="1"/>
    <col min="6139" max="6139" width="11.42578125" style="46" customWidth="1"/>
    <col min="6140" max="6140" width="20.42578125" style="46" customWidth="1"/>
    <col min="6141" max="6141" width="5" style="46" customWidth="1"/>
    <col min="6142" max="6142" width="16.42578125" style="46" bestFit="1" customWidth="1"/>
    <col min="6143" max="6143" width="16.42578125" style="46" customWidth="1"/>
    <col min="6144" max="6144" width="18.42578125" style="46" customWidth="1"/>
    <col min="6145" max="6145" width="19.7109375" style="46" customWidth="1"/>
    <col min="6146" max="6146" width="17.7109375" style="46" customWidth="1"/>
    <col min="6147" max="6382" width="11.42578125" style="46"/>
    <col min="6383" max="6387" width="0" style="46" hidden="1" customWidth="1"/>
    <col min="6388" max="6388" width="6.28515625" style="46" customWidth="1"/>
    <col min="6389" max="6389" width="12.140625" style="46" customWidth="1"/>
    <col min="6390" max="6390" width="17.42578125" style="46" bestFit="1" customWidth="1"/>
    <col min="6391" max="6391" width="12.140625" style="46" customWidth="1"/>
    <col min="6392" max="6392" width="19.85546875" style="46" customWidth="1"/>
    <col min="6393" max="6393" width="18.140625" style="46" customWidth="1"/>
    <col min="6394" max="6394" width="9.42578125" style="46" customWidth="1"/>
    <col min="6395" max="6395" width="11.42578125" style="46" customWidth="1"/>
    <col min="6396" max="6396" width="20.42578125" style="46" customWidth="1"/>
    <col min="6397" max="6397" width="5" style="46" customWidth="1"/>
    <col min="6398" max="6398" width="16.42578125" style="46" bestFit="1" customWidth="1"/>
    <col min="6399" max="6399" width="16.42578125" style="46" customWidth="1"/>
    <col min="6400" max="6400" width="18.42578125" style="46" customWidth="1"/>
    <col min="6401" max="6401" width="19.7109375" style="46" customWidth="1"/>
    <col min="6402" max="6402" width="17.7109375" style="46" customWidth="1"/>
    <col min="6403" max="6638" width="11.42578125" style="46"/>
    <col min="6639" max="6643" width="0" style="46" hidden="1" customWidth="1"/>
    <col min="6644" max="6644" width="6.28515625" style="46" customWidth="1"/>
    <col min="6645" max="6645" width="12.140625" style="46" customWidth="1"/>
    <col min="6646" max="6646" width="17.42578125" style="46" bestFit="1" customWidth="1"/>
    <col min="6647" max="6647" width="12.140625" style="46" customWidth="1"/>
    <col min="6648" max="6648" width="19.85546875" style="46" customWidth="1"/>
    <col min="6649" max="6649" width="18.140625" style="46" customWidth="1"/>
    <col min="6650" max="6650" width="9.42578125" style="46" customWidth="1"/>
    <col min="6651" max="6651" width="11.42578125" style="46" customWidth="1"/>
    <col min="6652" max="6652" width="20.42578125" style="46" customWidth="1"/>
    <col min="6653" max="6653" width="5" style="46" customWidth="1"/>
    <col min="6654" max="6654" width="16.42578125" style="46" bestFit="1" customWidth="1"/>
    <col min="6655" max="6655" width="16.42578125" style="46" customWidth="1"/>
    <col min="6656" max="6656" width="18.42578125" style="46" customWidth="1"/>
    <col min="6657" max="6657" width="19.7109375" style="46" customWidth="1"/>
    <col min="6658" max="6658" width="17.7109375" style="46" customWidth="1"/>
    <col min="6659" max="6894" width="11.42578125" style="46"/>
    <col min="6895" max="6899" width="0" style="46" hidden="1" customWidth="1"/>
    <col min="6900" max="6900" width="6.28515625" style="46" customWidth="1"/>
    <col min="6901" max="6901" width="12.140625" style="46" customWidth="1"/>
    <col min="6902" max="6902" width="17.42578125" style="46" bestFit="1" customWidth="1"/>
    <col min="6903" max="6903" width="12.140625" style="46" customWidth="1"/>
    <col min="6904" max="6904" width="19.85546875" style="46" customWidth="1"/>
    <col min="6905" max="6905" width="18.140625" style="46" customWidth="1"/>
    <col min="6906" max="6906" width="9.42578125" style="46" customWidth="1"/>
    <col min="6907" max="6907" width="11.42578125" style="46" customWidth="1"/>
    <col min="6908" max="6908" width="20.42578125" style="46" customWidth="1"/>
    <col min="6909" max="6909" width="5" style="46" customWidth="1"/>
    <col min="6910" max="6910" width="16.42578125" style="46" bestFit="1" customWidth="1"/>
    <col min="6911" max="6911" width="16.42578125" style="46" customWidth="1"/>
    <col min="6912" max="6912" width="18.42578125" style="46" customWidth="1"/>
    <col min="6913" max="6913" width="19.7109375" style="46" customWidth="1"/>
    <col min="6914" max="6914" width="17.7109375" style="46" customWidth="1"/>
    <col min="6915" max="7150" width="11.42578125" style="46"/>
    <col min="7151" max="7155" width="0" style="46" hidden="1" customWidth="1"/>
    <col min="7156" max="7156" width="6.28515625" style="46" customWidth="1"/>
    <col min="7157" max="7157" width="12.140625" style="46" customWidth="1"/>
    <col min="7158" max="7158" width="17.42578125" style="46" bestFit="1" customWidth="1"/>
    <col min="7159" max="7159" width="12.140625" style="46" customWidth="1"/>
    <col min="7160" max="7160" width="19.85546875" style="46" customWidth="1"/>
    <col min="7161" max="7161" width="18.140625" style="46" customWidth="1"/>
    <col min="7162" max="7162" width="9.42578125" style="46" customWidth="1"/>
    <col min="7163" max="7163" width="11.42578125" style="46" customWidth="1"/>
    <col min="7164" max="7164" width="20.42578125" style="46" customWidth="1"/>
    <col min="7165" max="7165" width="5" style="46" customWidth="1"/>
    <col min="7166" max="7166" width="16.42578125" style="46" bestFit="1" customWidth="1"/>
    <col min="7167" max="7167" width="16.42578125" style="46" customWidth="1"/>
    <col min="7168" max="7168" width="18.42578125" style="46" customWidth="1"/>
    <col min="7169" max="7169" width="19.7109375" style="46" customWidth="1"/>
    <col min="7170" max="7170" width="17.7109375" style="46" customWidth="1"/>
    <col min="7171" max="7406" width="11.42578125" style="46"/>
    <col min="7407" max="7411" width="0" style="46" hidden="1" customWidth="1"/>
    <col min="7412" max="7412" width="6.28515625" style="46" customWidth="1"/>
    <col min="7413" max="7413" width="12.140625" style="46" customWidth="1"/>
    <col min="7414" max="7414" width="17.42578125" style="46" bestFit="1" customWidth="1"/>
    <col min="7415" max="7415" width="12.140625" style="46" customWidth="1"/>
    <col min="7416" max="7416" width="19.85546875" style="46" customWidth="1"/>
    <col min="7417" max="7417" width="18.140625" style="46" customWidth="1"/>
    <col min="7418" max="7418" width="9.42578125" style="46" customWidth="1"/>
    <col min="7419" max="7419" width="11.42578125" style="46" customWidth="1"/>
    <col min="7420" max="7420" width="20.42578125" style="46" customWidth="1"/>
    <col min="7421" max="7421" width="5" style="46" customWidth="1"/>
    <col min="7422" max="7422" width="16.42578125" style="46" bestFit="1" customWidth="1"/>
    <col min="7423" max="7423" width="16.42578125" style="46" customWidth="1"/>
    <col min="7424" max="7424" width="18.42578125" style="46" customWidth="1"/>
    <col min="7425" max="7425" width="19.7109375" style="46" customWidth="1"/>
    <col min="7426" max="7426" width="17.7109375" style="46" customWidth="1"/>
    <col min="7427" max="7662" width="11.42578125" style="46"/>
    <col min="7663" max="7667" width="0" style="46" hidden="1" customWidth="1"/>
    <col min="7668" max="7668" width="6.28515625" style="46" customWidth="1"/>
    <col min="7669" max="7669" width="12.140625" style="46" customWidth="1"/>
    <col min="7670" max="7670" width="17.42578125" style="46" bestFit="1" customWidth="1"/>
    <col min="7671" max="7671" width="12.140625" style="46" customWidth="1"/>
    <col min="7672" max="7672" width="19.85546875" style="46" customWidth="1"/>
    <col min="7673" max="7673" width="18.140625" style="46" customWidth="1"/>
    <col min="7674" max="7674" width="9.42578125" style="46" customWidth="1"/>
    <col min="7675" max="7675" width="11.42578125" style="46" customWidth="1"/>
    <col min="7676" max="7676" width="20.42578125" style="46" customWidth="1"/>
    <col min="7677" max="7677" width="5" style="46" customWidth="1"/>
    <col min="7678" max="7678" width="16.42578125" style="46" bestFit="1" customWidth="1"/>
    <col min="7679" max="7679" width="16.42578125" style="46" customWidth="1"/>
    <col min="7680" max="7680" width="18.42578125" style="46" customWidth="1"/>
    <col min="7681" max="7681" width="19.7109375" style="46" customWidth="1"/>
    <col min="7682" max="7682" width="17.7109375" style="46" customWidth="1"/>
    <col min="7683" max="7918" width="11.42578125" style="46"/>
    <col min="7919" max="7923" width="0" style="46" hidden="1" customWidth="1"/>
    <col min="7924" max="7924" width="6.28515625" style="46" customWidth="1"/>
    <col min="7925" max="7925" width="12.140625" style="46" customWidth="1"/>
    <col min="7926" max="7926" width="17.42578125" style="46" bestFit="1" customWidth="1"/>
    <col min="7927" max="7927" width="12.140625" style="46" customWidth="1"/>
    <col min="7928" max="7928" width="19.85546875" style="46" customWidth="1"/>
    <col min="7929" max="7929" width="18.140625" style="46" customWidth="1"/>
    <col min="7930" max="7930" width="9.42578125" style="46" customWidth="1"/>
    <col min="7931" max="7931" width="11.42578125" style="46" customWidth="1"/>
    <col min="7932" max="7932" width="20.42578125" style="46" customWidth="1"/>
    <col min="7933" max="7933" width="5" style="46" customWidth="1"/>
    <col min="7934" max="7934" width="16.42578125" style="46" bestFit="1" customWidth="1"/>
    <col min="7935" max="7935" width="16.42578125" style="46" customWidth="1"/>
    <col min="7936" max="7936" width="18.42578125" style="46" customWidth="1"/>
    <col min="7937" max="7937" width="19.7109375" style="46" customWidth="1"/>
    <col min="7938" max="7938" width="17.7109375" style="46" customWidth="1"/>
    <col min="7939" max="8174" width="11.42578125" style="46"/>
    <col min="8175" max="8179" width="0" style="46" hidden="1" customWidth="1"/>
    <col min="8180" max="8180" width="6.28515625" style="46" customWidth="1"/>
    <col min="8181" max="8181" width="12.140625" style="46" customWidth="1"/>
    <col min="8182" max="8182" width="17.42578125" style="46" bestFit="1" customWidth="1"/>
    <col min="8183" max="8183" width="12.140625" style="46" customWidth="1"/>
    <col min="8184" max="8184" width="19.85546875" style="46" customWidth="1"/>
    <col min="8185" max="8185" width="18.140625" style="46" customWidth="1"/>
    <col min="8186" max="8186" width="9.42578125" style="46" customWidth="1"/>
    <col min="8187" max="8187" width="11.42578125" style="46" customWidth="1"/>
    <col min="8188" max="8188" width="20.42578125" style="46" customWidth="1"/>
    <col min="8189" max="8189" width="5" style="46" customWidth="1"/>
    <col min="8190" max="8190" width="16.42578125" style="46" bestFit="1" customWidth="1"/>
    <col min="8191" max="8191" width="16.42578125" style="46" customWidth="1"/>
    <col min="8192" max="8192" width="18.42578125" style="46" customWidth="1"/>
    <col min="8193" max="8193" width="19.7109375" style="46" customWidth="1"/>
    <col min="8194" max="8194" width="17.7109375" style="46" customWidth="1"/>
    <col min="8195" max="8430" width="11.42578125" style="46"/>
    <col min="8431" max="8435" width="0" style="46" hidden="1" customWidth="1"/>
    <col min="8436" max="8436" width="6.28515625" style="46" customWidth="1"/>
    <col min="8437" max="8437" width="12.140625" style="46" customWidth="1"/>
    <col min="8438" max="8438" width="17.42578125" style="46" bestFit="1" customWidth="1"/>
    <col min="8439" max="8439" width="12.140625" style="46" customWidth="1"/>
    <col min="8440" max="8440" width="19.85546875" style="46" customWidth="1"/>
    <col min="8441" max="8441" width="18.140625" style="46" customWidth="1"/>
    <col min="8442" max="8442" width="9.42578125" style="46" customWidth="1"/>
    <col min="8443" max="8443" width="11.42578125" style="46" customWidth="1"/>
    <col min="8444" max="8444" width="20.42578125" style="46" customWidth="1"/>
    <col min="8445" max="8445" width="5" style="46" customWidth="1"/>
    <col min="8446" max="8446" width="16.42578125" style="46" bestFit="1" customWidth="1"/>
    <col min="8447" max="8447" width="16.42578125" style="46" customWidth="1"/>
    <col min="8448" max="8448" width="18.42578125" style="46" customWidth="1"/>
    <col min="8449" max="8449" width="19.7109375" style="46" customWidth="1"/>
    <col min="8450" max="8450" width="17.7109375" style="46" customWidth="1"/>
    <col min="8451" max="8686" width="11.42578125" style="46"/>
    <col min="8687" max="8691" width="0" style="46" hidden="1" customWidth="1"/>
    <col min="8692" max="8692" width="6.28515625" style="46" customWidth="1"/>
    <col min="8693" max="8693" width="12.140625" style="46" customWidth="1"/>
    <col min="8694" max="8694" width="17.42578125" style="46" bestFit="1" customWidth="1"/>
    <col min="8695" max="8695" width="12.140625" style="46" customWidth="1"/>
    <col min="8696" max="8696" width="19.85546875" style="46" customWidth="1"/>
    <col min="8697" max="8697" width="18.140625" style="46" customWidth="1"/>
    <col min="8698" max="8698" width="9.42578125" style="46" customWidth="1"/>
    <col min="8699" max="8699" width="11.42578125" style="46" customWidth="1"/>
    <col min="8700" max="8700" width="20.42578125" style="46" customWidth="1"/>
    <col min="8701" max="8701" width="5" style="46" customWidth="1"/>
    <col min="8702" max="8702" width="16.42578125" style="46" bestFit="1" customWidth="1"/>
    <col min="8703" max="8703" width="16.42578125" style="46" customWidth="1"/>
    <col min="8704" max="8704" width="18.42578125" style="46" customWidth="1"/>
    <col min="8705" max="8705" width="19.7109375" style="46" customWidth="1"/>
    <col min="8706" max="8706" width="17.7109375" style="46" customWidth="1"/>
    <col min="8707" max="8942" width="11.42578125" style="46"/>
    <col min="8943" max="8947" width="0" style="46" hidden="1" customWidth="1"/>
    <col min="8948" max="8948" width="6.28515625" style="46" customWidth="1"/>
    <col min="8949" max="8949" width="12.140625" style="46" customWidth="1"/>
    <col min="8950" max="8950" width="17.42578125" style="46" bestFit="1" customWidth="1"/>
    <col min="8951" max="8951" width="12.140625" style="46" customWidth="1"/>
    <col min="8952" max="8952" width="19.85546875" style="46" customWidth="1"/>
    <col min="8953" max="8953" width="18.140625" style="46" customWidth="1"/>
    <col min="8954" max="8954" width="9.42578125" style="46" customWidth="1"/>
    <col min="8955" max="8955" width="11.42578125" style="46" customWidth="1"/>
    <col min="8956" max="8956" width="20.42578125" style="46" customWidth="1"/>
    <col min="8957" max="8957" width="5" style="46" customWidth="1"/>
    <col min="8958" max="8958" width="16.42578125" style="46" bestFit="1" customWidth="1"/>
    <col min="8959" max="8959" width="16.42578125" style="46" customWidth="1"/>
    <col min="8960" max="8960" width="18.42578125" style="46" customWidth="1"/>
    <col min="8961" max="8961" width="19.7109375" style="46" customWidth="1"/>
    <col min="8962" max="8962" width="17.7109375" style="46" customWidth="1"/>
    <col min="8963" max="9198" width="11.42578125" style="46"/>
    <col min="9199" max="9203" width="0" style="46" hidden="1" customWidth="1"/>
    <col min="9204" max="9204" width="6.28515625" style="46" customWidth="1"/>
    <col min="9205" max="9205" width="12.140625" style="46" customWidth="1"/>
    <col min="9206" max="9206" width="17.42578125" style="46" bestFit="1" customWidth="1"/>
    <col min="9207" max="9207" width="12.140625" style="46" customWidth="1"/>
    <col min="9208" max="9208" width="19.85546875" style="46" customWidth="1"/>
    <col min="9209" max="9209" width="18.140625" style="46" customWidth="1"/>
    <col min="9210" max="9210" width="9.42578125" style="46" customWidth="1"/>
    <col min="9211" max="9211" width="11.42578125" style="46" customWidth="1"/>
    <col min="9212" max="9212" width="20.42578125" style="46" customWidth="1"/>
    <col min="9213" max="9213" width="5" style="46" customWidth="1"/>
    <col min="9214" max="9214" width="16.42578125" style="46" bestFit="1" customWidth="1"/>
    <col min="9215" max="9215" width="16.42578125" style="46" customWidth="1"/>
    <col min="9216" max="9216" width="18.42578125" style="46" customWidth="1"/>
    <col min="9217" max="9217" width="19.7109375" style="46" customWidth="1"/>
    <col min="9218" max="9218" width="17.7109375" style="46" customWidth="1"/>
    <col min="9219" max="9454" width="11.42578125" style="46"/>
    <col min="9455" max="9459" width="0" style="46" hidden="1" customWidth="1"/>
    <col min="9460" max="9460" width="6.28515625" style="46" customWidth="1"/>
    <col min="9461" max="9461" width="12.140625" style="46" customWidth="1"/>
    <col min="9462" max="9462" width="17.42578125" style="46" bestFit="1" customWidth="1"/>
    <col min="9463" max="9463" width="12.140625" style="46" customWidth="1"/>
    <col min="9464" max="9464" width="19.85546875" style="46" customWidth="1"/>
    <col min="9465" max="9465" width="18.140625" style="46" customWidth="1"/>
    <col min="9466" max="9466" width="9.42578125" style="46" customWidth="1"/>
    <col min="9467" max="9467" width="11.42578125" style="46" customWidth="1"/>
    <col min="9468" max="9468" width="20.42578125" style="46" customWidth="1"/>
    <col min="9469" max="9469" width="5" style="46" customWidth="1"/>
    <col min="9470" max="9470" width="16.42578125" style="46" bestFit="1" customWidth="1"/>
    <col min="9471" max="9471" width="16.42578125" style="46" customWidth="1"/>
    <col min="9472" max="9472" width="18.42578125" style="46" customWidth="1"/>
    <col min="9473" max="9473" width="19.7109375" style="46" customWidth="1"/>
    <col min="9474" max="9474" width="17.7109375" style="46" customWidth="1"/>
    <col min="9475" max="9710" width="11.42578125" style="46"/>
    <col min="9711" max="9715" width="0" style="46" hidden="1" customWidth="1"/>
    <col min="9716" max="9716" width="6.28515625" style="46" customWidth="1"/>
    <col min="9717" max="9717" width="12.140625" style="46" customWidth="1"/>
    <col min="9718" max="9718" width="17.42578125" style="46" bestFit="1" customWidth="1"/>
    <col min="9719" max="9719" width="12.140625" style="46" customWidth="1"/>
    <col min="9720" max="9720" width="19.85546875" style="46" customWidth="1"/>
    <col min="9721" max="9721" width="18.140625" style="46" customWidth="1"/>
    <col min="9722" max="9722" width="9.42578125" style="46" customWidth="1"/>
    <col min="9723" max="9723" width="11.42578125" style="46" customWidth="1"/>
    <col min="9724" max="9724" width="20.42578125" style="46" customWidth="1"/>
    <col min="9725" max="9725" width="5" style="46" customWidth="1"/>
    <col min="9726" max="9726" width="16.42578125" style="46" bestFit="1" customWidth="1"/>
    <col min="9727" max="9727" width="16.42578125" style="46" customWidth="1"/>
    <col min="9728" max="9728" width="18.42578125" style="46" customWidth="1"/>
    <col min="9729" max="9729" width="19.7109375" style="46" customWidth="1"/>
    <col min="9730" max="9730" width="17.7109375" style="46" customWidth="1"/>
    <col min="9731" max="9966" width="11.42578125" style="46"/>
    <col min="9967" max="9971" width="0" style="46" hidden="1" customWidth="1"/>
    <col min="9972" max="9972" width="6.28515625" style="46" customWidth="1"/>
    <col min="9973" max="9973" width="12.140625" style="46" customWidth="1"/>
    <col min="9974" max="9974" width="17.42578125" style="46" bestFit="1" customWidth="1"/>
    <col min="9975" max="9975" width="12.140625" style="46" customWidth="1"/>
    <col min="9976" max="9976" width="19.85546875" style="46" customWidth="1"/>
    <col min="9977" max="9977" width="18.140625" style="46" customWidth="1"/>
    <col min="9978" max="9978" width="9.42578125" style="46" customWidth="1"/>
    <col min="9979" max="9979" width="11.42578125" style="46" customWidth="1"/>
    <col min="9980" max="9980" width="20.42578125" style="46" customWidth="1"/>
    <col min="9981" max="9981" width="5" style="46" customWidth="1"/>
    <col min="9982" max="9982" width="16.42578125" style="46" bestFit="1" customWidth="1"/>
    <col min="9983" max="9983" width="16.42578125" style="46" customWidth="1"/>
    <col min="9984" max="9984" width="18.42578125" style="46" customWidth="1"/>
    <col min="9985" max="9985" width="19.7109375" style="46" customWidth="1"/>
    <col min="9986" max="9986" width="17.7109375" style="46" customWidth="1"/>
    <col min="9987" max="10222" width="11.42578125" style="46"/>
    <col min="10223" max="10227" width="0" style="46" hidden="1" customWidth="1"/>
    <col min="10228" max="10228" width="6.28515625" style="46" customWidth="1"/>
    <col min="10229" max="10229" width="12.140625" style="46" customWidth="1"/>
    <col min="10230" max="10230" width="17.42578125" style="46" bestFit="1" customWidth="1"/>
    <col min="10231" max="10231" width="12.140625" style="46" customWidth="1"/>
    <col min="10232" max="10232" width="19.85546875" style="46" customWidth="1"/>
    <col min="10233" max="10233" width="18.140625" style="46" customWidth="1"/>
    <col min="10234" max="10234" width="9.42578125" style="46" customWidth="1"/>
    <col min="10235" max="10235" width="11.42578125" style="46" customWidth="1"/>
    <col min="10236" max="10236" width="20.42578125" style="46" customWidth="1"/>
    <col min="10237" max="10237" width="5" style="46" customWidth="1"/>
    <col min="10238" max="10238" width="16.42578125" style="46" bestFit="1" customWidth="1"/>
    <col min="10239" max="10239" width="16.42578125" style="46" customWidth="1"/>
    <col min="10240" max="10240" width="18.42578125" style="46" customWidth="1"/>
    <col min="10241" max="10241" width="19.7109375" style="46" customWidth="1"/>
    <col min="10242" max="10242" width="17.7109375" style="46" customWidth="1"/>
    <col min="10243" max="10478" width="11.42578125" style="46"/>
    <col min="10479" max="10483" width="0" style="46" hidden="1" customWidth="1"/>
    <col min="10484" max="10484" width="6.28515625" style="46" customWidth="1"/>
    <col min="10485" max="10485" width="12.140625" style="46" customWidth="1"/>
    <col min="10486" max="10486" width="17.42578125" style="46" bestFit="1" customWidth="1"/>
    <col min="10487" max="10487" width="12.140625" style="46" customWidth="1"/>
    <col min="10488" max="10488" width="19.85546875" style="46" customWidth="1"/>
    <col min="10489" max="10489" width="18.140625" style="46" customWidth="1"/>
    <col min="10490" max="10490" width="9.42578125" style="46" customWidth="1"/>
    <col min="10491" max="10491" width="11.42578125" style="46" customWidth="1"/>
    <col min="10492" max="10492" width="20.42578125" style="46" customWidth="1"/>
    <col min="10493" max="10493" width="5" style="46" customWidth="1"/>
    <col min="10494" max="10494" width="16.42578125" style="46" bestFit="1" customWidth="1"/>
    <col min="10495" max="10495" width="16.42578125" style="46" customWidth="1"/>
    <col min="10496" max="10496" width="18.42578125" style="46" customWidth="1"/>
    <col min="10497" max="10497" width="19.7109375" style="46" customWidth="1"/>
    <col min="10498" max="10498" width="17.7109375" style="46" customWidth="1"/>
    <col min="10499" max="10734" width="11.42578125" style="46"/>
    <col min="10735" max="10739" width="0" style="46" hidden="1" customWidth="1"/>
    <col min="10740" max="10740" width="6.28515625" style="46" customWidth="1"/>
    <col min="10741" max="10741" width="12.140625" style="46" customWidth="1"/>
    <col min="10742" max="10742" width="17.42578125" style="46" bestFit="1" customWidth="1"/>
    <col min="10743" max="10743" width="12.140625" style="46" customWidth="1"/>
    <col min="10744" max="10744" width="19.85546875" style="46" customWidth="1"/>
    <col min="10745" max="10745" width="18.140625" style="46" customWidth="1"/>
    <col min="10746" max="10746" width="9.42578125" style="46" customWidth="1"/>
    <col min="10747" max="10747" width="11.42578125" style="46" customWidth="1"/>
    <col min="10748" max="10748" width="20.42578125" style="46" customWidth="1"/>
    <col min="10749" max="10749" width="5" style="46" customWidth="1"/>
    <col min="10750" max="10750" width="16.42578125" style="46" bestFit="1" customWidth="1"/>
    <col min="10751" max="10751" width="16.42578125" style="46" customWidth="1"/>
    <col min="10752" max="10752" width="18.42578125" style="46" customWidth="1"/>
    <col min="10753" max="10753" width="19.7109375" style="46" customWidth="1"/>
    <col min="10754" max="10754" width="17.7109375" style="46" customWidth="1"/>
    <col min="10755" max="10990" width="11.42578125" style="46"/>
    <col min="10991" max="10995" width="0" style="46" hidden="1" customWidth="1"/>
    <col min="10996" max="10996" width="6.28515625" style="46" customWidth="1"/>
    <col min="10997" max="10997" width="12.140625" style="46" customWidth="1"/>
    <col min="10998" max="10998" width="17.42578125" style="46" bestFit="1" customWidth="1"/>
    <col min="10999" max="10999" width="12.140625" style="46" customWidth="1"/>
    <col min="11000" max="11000" width="19.85546875" style="46" customWidth="1"/>
    <col min="11001" max="11001" width="18.140625" style="46" customWidth="1"/>
    <col min="11002" max="11002" width="9.42578125" style="46" customWidth="1"/>
    <col min="11003" max="11003" width="11.42578125" style="46" customWidth="1"/>
    <col min="11004" max="11004" width="20.42578125" style="46" customWidth="1"/>
    <col min="11005" max="11005" width="5" style="46" customWidth="1"/>
    <col min="11006" max="11006" width="16.42578125" style="46" bestFit="1" customWidth="1"/>
    <col min="11007" max="11007" width="16.42578125" style="46" customWidth="1"/>
    <col min="11008" max="11008" width="18.42578125" style="46" customWidth="1"/>
    <col min="11009" max="11009" width="19.7109375" style="46" customWidth="1"/>
    <col min="11010" max="11010" width="17.7109375" style="46" customWidth="1"/>
    <col min="11011" max="11246" width="11.42578125" style="46"/>
    <col min="11247" max="11251" width="0" style="46" hidden="1" customWidth="1"/>
    <col min="11252" max="11252" width="6.28515625" style="46" customWidth="1"/>
    <col min="11253" max="11253" width="12.140625" style="46" customWidth="1"/>
    <col min="11254" max="11254" width="17.42578125" style="46" bestFit="1" customWidth="1"/>
    <col min="11255" max="11255" width="12.140625" style="46" customWidth="1"/>
    <col min="11256" max="11256" width="19.85546875" style="46" customWidth="1"/>
    <col min="11257" max="11257" width="18.140625" style="46" customWidth="1"/>
    <col min="11258" max="11258" width="9.42578125" style="46" customWidth="1"/>
    <col min="11259" max="11259" width="11.42578125" style="46" customWidth="1"/>
    <col min="11260" max="11260" width="20.42578125" style="46" customWidth="1"/>
    <col min="11261" max="11261" width="5" style="46" customWidth="1"/>
    <col min="11262" max="11262" width="16.42578125" style="46" bestFit="1" customWidth="1"/>
    <col min="11263" max="11263" width="16.42578125" style="46" customWidth="1"/>
    <col min="11264" max="11264" width="18.42578125" style="46" customWidth="1"/>
    <col min="11265" max="11265" width="19.7109375" style="46" customWidth="1"/>
    <col min="11266" max="11266" width="17.7109375" style="46" customWidth="1"/>
    <col min="11267" max="11502" width="11.42578125" style="46"/>
    <col min="11503" max="11507" width="0" style="46" hidden="1" customWidth="1"/>
    <col min="11508" max="11508" width="6.28515625" style="46" customWidth="1"/>
    <col min="11509" max="11509" width="12.140625" style="46" customWidth="1"/>
    <col min="11510" max="11510" width="17.42578125" style="46" bestFit="1" customWidth="1"/>
    <col min="11511" max="11511" width="12.140625" style="46" customWidth="1"/>
    <col min="11512" max="11512" width="19.85546875" style="46" customWidth="1"/>
    <col min="11513" max="11513" width="18.140625" style="46" customWidth="1"/>
    <col min="11514" max="11514" width="9.42578125" style="46" customWidth="1"/>
    <col min="11515" max="11515" width="11.42578125" style="46" customWidth="1"/>
    <col min="11516" max="11516" width="20.42578125" style="46" customWidth="1"/>
    <col min="11517" max="11517" width="5" style="46" customWidth="1"/>
    <col min="11518" max="11518" width="16.42578125" style="46" bestFit="1" customWidth="1"/>
    <col min="11519" max="11519" width="16.42578125" style="46" customWidth="1"/>
    <col min="11520" max="11520" width="18.42578125" style="46" customWidth="1"/>
    <col min="11521" max="11521" width="19.7109375" style="46" customWidth="1"/>
    <col min="11522" max="11522" width="17.7109375" style="46" customWidth="1"/>
    <col min="11523" max="11758" width="11.42578125" style="46"/>
    <col min="11759" max="11763" width="0" style="46" hidden="1" customWidth="1"/>
    <col min="11764" max="11764" width="6.28515625" style="46" customWidth="1"/>
    <col min="11765" max="11765" width="12.140625" style="46" customWidth="1"/>
    <col min="11766" max="11766" width="17.42578125" style="46" bestFit="1" customWidth="1"/>
    <col min="11767" max="11767" width="12.140625" style="46" customWidth="1"/>
    <col min="11768" max="11768" width="19.85546875" style="46" customWidth="1"/>
    <col min="11769" max="11769" width="18.140625" style="46" customWidth="1"/>
    <col min="11770" max="11770" width="9.42578125" style="46" customWidth="1"/>
    <col min="11771" max="11771" width="11.42578125" style="46" customWidth="1"/>
    <col min="11772" max="11772" width="20.42578125" style="46" customWidth="1"/>
    <col min="11773" max="11773" width="5" style="46" customWidth="1"/>
    <col min="11774" max="11774" width="16.42578125" style="46" bestFit="1" customWidth="1"/>
    <col min="11775" max="11775" width="16.42578125" style="46" customWidth="1"/>
    <col min="11776" max="11776" width="18.42578125" style="46" customWidth="1"/>
    <col min="11777" max="11777" width="19.7109375" style="46" customWidth="1"/>
    <col min="11778" max="11778" width="17.7109375" style="46" customWidth="1"/>
    <col min="11779" max="12014" width="11.42578125" style="46"/>
    <col min="12015" max="12019" width="0" style="46" hidden="1" customWidth="1"/>
    <col min="12020" max="12020" width="6.28515625" style="46" customWidth="1"/>
    <col min="12021" max="12021" width="12.140625" style="46" customWidth="1"/>
    <col min="12022" max="12022" width="17.42578125" style="46" bestFit="1" customWidth="1"/>
    <col min="12023" max="12023" width="12.140625" style="46" customWidth="1"/>
    <col min="12024" max="12024" width="19.85546875" style="46" customWidth="1"/>
    <col min="12025" max="12025" width="18.140625" style="46" customWidth="1"/>
    <col min="12026" max="12026" width="9.42578125" style="46" customWidth="1"/>
    <col min="12027" max="12027" width="11.42578125" style="46" customWidth="1"/>
    <col min="12028" max="12028" width="20.42578125" style="46" customWidth="1"/>
    <col min="12029" max="12029" width="5" style="46" customWidth="1"/>
    <col min="12030" max="12030" width="16.42578125" style="46" bestFit="1" customWidth="1"/>
    <col min="12031" max="12031" width="16.42578125" style="46" customWidth="1"/>
    <col min="12032" max="12032" width="18.42578125" style="46" customWidth="1"/>
    <col min="12033" max="12033" width="19.7109375" style="46" customWidth="1"/>
    <col min="12034" max="12034" width="17.7109375" style="46" customWidth="1"/>
    <col min="12035" max="12270" width="11.42578125" style="46"/>
    <col min="12271" max="12275" width="0" style="46" hidden="1" customWidth="1"/>
    <col min="12276" max="12276" width="6.28515625" style="46" customWidth="1"/>
    <col min="12277" max="12277" width="12.140625" style="46" customWidth="1"/>
    <col min="12278" max="12278" width="17.42578125" style="46" bestFit="1" customWidth="1"/>
    <col min="12279" max="12279" width="12.140625" style="46" customWidth="1"/>
    <col min="12280" max="12280" width="19.85546875" style="46" customWidth="1"/>
    <col min="12281" max="12281" width="18.140625" style="46" customWidth="1"/>
    <col min="12282" max="12282" width="9.42578125" style="46" customWidth="1"/>
    <col min="12283" max="12283" width="11.42578125" style="46" customWidth="1"/>
    <col min="12284" max="12284" width="20.42578125" style="46" customWidth="1"/>
    <col min="12285" max="12285" width="5" style="46" customWidth="1"/>
    <col min="12286" max="12286" width="16.42578125" style="46" bestFit="1" customWidth="1"/>
    <col min="12287" max="12287" width="16.42578125" style="46" customWidth="1"/>
    <col min="12288" max="12288" width="18.42578125" style="46" customWidth="1"/>
    <col min="12289" max="12289" width="19.7109375" style="46" customWidth="1"/>
    <col min="12290" max="12290" width="17.7109375" style="46" customWidth="1"/>
    <col min="12291" max="12526" width="11.42578125" style="46"/>
    <col min="12527" max="12531" width="0" style="46" hidden="1" customWidth="1"/>
    <col min="12532" max="12532" width="6.28515625" style="46" customWidth="1"/>
    <col min="12533" max="12533" width="12.140625" style="46" customWidth="1"/>
    <col min="12534" max="12534" width="17.42578125" style="46" bestFit="1" customWidth="1"/>
    <col min="12535" max="12535" width="12.140625" style="46" customWidth="1"/>
    <col min="12536" max="12536" width="19.85546875" style="46" customWidth="1"/>
    <col min="12537" max="12537" width="18.140625" style="46" customWidth="1"/>
    <col min="12538" max="12538" width="9.42578125" style="46" customWidth="1"/>
    <col min="12539" max="12539" width="11.42578125" style="46" customWidth="1"/>
    <col min="12540" max="12540" width="20.42578125" style="46" customWidth="1"/>
    <col min="12541" max="12541" width="5" style="46" customWidth="1"/>
    <col min="12542" max="12542" width="16.42578125" style="46" bestFit="1" customWidth="1"/>
    <col min="12543" max="12543" width="16.42578125" style="46" customWidth="1"/>
    <col min="12544" max="12544" width="18.42578125" style="46" customWidth="1"/>
    <col min="12545" max="12545" width="19.7109375" style="46" customWidth="1"/>
    <col min="12546" max="12546" width="17.7109375" style="46" customWidth="1"/>
    <col min="12547" max="12782" width="11.42578125" style="46"/>
    <col min="12783" max="12787" width="0" style="46" hidden="1" customWidth="1"/>
    <col min="12788" max="12788" width="6.28515625" style="46" customWidth="1"/>
    <col min="12789" max="12789" width="12.140625" style="46" customWidth="1"/>
    <col min="12790" max="12790" width="17.42578125" style="46" bestFit="1" customWidth="1"/>
    <col min="12791" max="12791" width="12.140625" style="46" customWidth="1"/>
    <col min="12792" max="12792" width="19.85546875" style="46" customWidth="1"/>
    <col min="12793" max="12793" width="18.140625" style="46" customWidth="1"/>
    <col min="12794" max="12794" width="9.42578125" style="46" customWidth="1"/>
    <col min="12795" max="12795" width="11.42578125" style="46" customWidth="1"/>
    <col min="12796" max="12796" width="20.42578125" style="46" customWidth="1"/>
    <col min="12797" max="12797" width="5" style="46" customWidth="1"/>
    <col min="12798" max="12798" width="16.42578125" style="46" bestFit="1" customWidth="1"/>
    <col min="12799" max="12799" width="16.42578125" style="46" customWidth="1"/>
    <col min="12800" max="12800" width="18.42578125" style="46" customWidth="1"/>
    <col min="12801" max="12801" width="19.7109375" style="46" customWidth="1"/>
    <col min="12802" max="12802" width="17.7109375" style="46" customWidth="1"/>
    <col min="12803" max="13038" width="11.42578125" style="46"/>
    <col min="13039" max="13043" width="0" style="46" hidden="1" customWidth="1"/>
    <col min="13044" max="13044" width="6.28515625" style="46" customWidth="1"/>
    <col min="13045" max="13045" width="12.140625" style="46" customWidth="1"/>
    <col min="13046" max="13046" width="17.42578125" style="46" bestFit="1" customWidth="1"/>
    <col min="13047" max="13047" width="12.140625" style="46" customWidth="1"/>
    <col min="13048" max="13048" width="19.85546875" style="46" customWidth="1"/>
    <col min="13049" max="13049" width="18.140625" style="46" customWidth="1"/>
    <col min="13050" max="13050" width="9.42578125" style="46" customWidth="1"/>
    <col min="13051" max="13051" width="11.42578125" style="46" customWidth="1"/>
    <col min="13052" max="13052" width="20.42578125" style="46" customWidth="1"/>
    <col min="13053" max="13053" width="5" style="46" customWidth="1"/>
    <col min="13054" max="13054" width="16.42578125" style="46" bestFit="1" customWidth="1"/>
    <col min="13055" max="13055" width="16.42578125" style="46" customWidth="1"/>
    <col min="13056" max="13056" width="18.42578125" style="46" customWidth="1"/>
    <col min="13057" max="13057" width="19.7109375" style="46" customWidth="1"/>
    <col min="13058" max="13058" width="17.7109375" style="46" customWidth="1"/>
    <col min="13059" max="13294" width="11.42578125" style="46"/>
    <col min="13295" max="13299" width="0" style="46" hidden="1" customWidth="1"/>
    <col min="13300" max="13300" width="6.28515625" style="46" customWidth="1"/>
    <col min="13301" max="13301" width="12.140625" style="46" customWidth="1"/>
    <col min="13302" max="13302" width="17.42578125" style="46" bestFit="1" customWidth="1"/>
    <col min="13303" max="13303" width="12.140625" style="46" customWidth="1"/>
    <col min="13304" max="13304" width="19.85546875" style="46" customWidth="1"/>
    <col min="13305" max="13305" width="18.140625" style="46" customWidth="1"/>
    <col min="13306" max="13306" width="9.42578125" style="46" customWidth="1"/>
    <col min="13307" max="13307" width="11.42578125" style="46" customWidth="1"/>
    <col min="13308" max="13308" width="20.42578125" style="46" customWidth="1"/>
    <col min="13309" max="13309" width="5" style="46" customWidth="1"/>
    <col min="13310" max="13310" width="16.42578125" style="46" bestFit="1" customWidth="1"/>
    <col min="13311" max="13311" width="16.42578125" style="46" customWidth="1"/>
    <col min="13312" max="13312" width="18.42578125" style="46" customWidth="1"/>
    <col min="13313" max="13313" width="19.7109375" style="46" customWidth="1"/>
    <col min="13314" max="13314" width="17.7109375" style="46" customWidth="1"/>
    <col min="13315" max="13550" width="11.42578125" style="46"/>
    <col min="13551" max="13555" width="0" style="46" hidden="1" customWidth="1"/>
    <col min="13556" max="13556" width="6.28515625" style="46" customWidth="1"/>
    <col min="13557" max="13557" width="12.140625" style="46" customWidth="1"/>
    <col min="13558" max="13558" width="17.42578125" style="46" bestFit="1" customWidth="1"/>
    <col min="13559" max="13559" width="12.140625" style="46" customWidth="1"/>
    <col min="13560" max="13560" width="19.85546875" style="46" customWidth="1"/>
    <col min="13561" max="13561" width="18.140625" style="46" customWidth="1"/>
    <col min="13562" max="13562" width="9.42578125" style="46" customWidth="1"/>
    <col min="13563" max="13563" width="11.42578125" style="46" customWidth="1"/>
    <col min="13564" max="13564" width="20.42578125" style="46" customWidth="1"/>
    <col min="13565" max="13565" width="5" style="46" customWidth="1"/>
    <col min="13566" max="13566" width="16.42578125" style="46" bestFit="1" customWidth="1"/>
    <col min="13567" max="13567" width="16.42578125" style="46" customWidth="1"/>
    <col min="13568" max="13568" width="18.42578125" style="46" customWidth="1"/>
    <col min="13569" max="13569" width="19.7109375" style="46" customWidth="1"/>
    <col min="13570" max="13570" width="17.7109375" style="46" customWidth="1"/>
    <col min="13571" max="13806" width="11.42578125" style="46"/>
    <col min="13807" max="13811" width="0" style="46" hidden="1" customWidth="1"/>
    <col min="13812" max="13812" width="6.28515625" style="46" customWidth="1"/>
    <col min="13813" max="13813" width="12.140625" style="46" customWidth="1"/>
    <col min="13814" max="13814" width="17.42578125" style="46" bestFit="1" customWidth="1"/>
    <col min="13815" max="13815" width="12.140625" style="46" customWidth="1"/>
    <col min="13816" max="13816" width="19.85546875" style="46" customWidth="1"/>
    <col min="13817" max="13817" width="18.140625" style="46" customWidth="1"/>
    <col min="13818" max="13818" width="9.42578125" style="46" customWidth="1"/>
    <col min="13819" max="13819" width="11.42578125" style="46" customWidth="1"/>
    <col min="13820" max="13820" width="20.42578125" style="46" customWidth="1"/>
    <col min="13821" max="13821" width="5" style="46" customWidth="1"/>
    <col min="13822" max="13822" width="16.42578125" style="46" bestFit="1" customWidth="1"/>
    <col min="13823" max="13823" width="16.42578125" style="46" customWidth="1"/>
    <col min="13824" max="13824" width="18.42578125" style="46" customWidth="1"/>
    <col min="13825" max="13825" width="19.7109375" style="46" customWidth="1"/>
    <col min="13826" max="13826" width="17.7109375" style="46" customWidth="1"/>
    <col min="13827" max="14062" width="11.42578125" style="46"/>
    <col min="14063" max="14067" width="0" style="46" hidden="1" customWidth="1"/>
    <col min="14068" max="14068" width="6.28515625" style="46" customWidth="1"/>
    <col min="14069" max="14069" width="12.140625" style="46" customWidth="1"/>
    <col min="14070" max="14070" width="17.42578125" style="46" bestFit="1" customWidth="1"/>
    <col min="14071" max="14071" width="12.140625" style="46" customWidth="1"/>
    <col min="14072" max="14072" width="19.85546875" style="46" customWidth="1"/>
    <col min="14073" max="14073" width="18.140625" style="46" customWidth="1"/>
    <col min="14074" max="14074" width="9.42578125" style="46" customWidth="1"/>
    <col min="14075" max="14075" width="11.42578125" style="46" customWidth="1"/>
    <col min="14076" max="14076" width="20.42578125" style="46" customWidth="1"/>
    <col min="14077" max="14077" width="5" style="46" customWidth="1"/>
    <col min="14078" max="14078" width="16.42578125" style="46" bestFit="1" customWidth="1"/>
    <col min="14079" max="14079" width="16.42578125" style="46" customWidth="1"/>
    <col min="14080" max="14080" width="18.42578125" style="46" customWidth="1"/>
    <col min="14081" max="14081" width="19.7109375" style="46" customWidth="1"/>
    <col min="14082" max="14082" width="17.7109375" style="46" customWidth="1"/>
    <col min="14083" max="14318" width="11.42578125" style="46"/>
    <col min="14319" max="14323" width="0" style="46" hidden="1" customWidth="1"/>
    <col min="14324" max="14324" width="6.28515625" style="46" customWidth="1"/>
    <col min="14325" max="14325" width="12.140625" style="46" customWidth="1"/>
    <col min="14326" max="14326" width="17.42578125" style="46" bestFit="1" customWidth="1"/>
    <col min="14327" max="14327" width="12.140625" style="46" customWidth="1"/>
    <col min="14328" max="14328" width="19.85546875" style="46" customWidth="1"/>
    <col min="14329" max="14329" width="18.140625" style="46" customWidth="1"/>
    <col min="14330" max="14330" width="9.42578125" style="46" customWidth="1"/>
    <col min="14331" max="14331" width="11.42578125" style="46" customWidth="1"/>
    <col min="14332" max="14332" width="20.42578125" style="46" customWidth="1"/>
    <col min="14333" max="14333" width="5" style="46" customWidth="1"/>
    <col min="14334" max="14334" width="16.42578125" style="46" bestFit="1" customWidth="1"/>
    <col min="14335" max="14335" width="16.42578125" style="46" customWidth="1"/>
    <col min="14336" max="14336" width="18.42578125" style="46" customWidth="1"/>
    <col min="14337" max="14337" width="19.7109375" style="46" customWidth="1"/>
    <col min="14338" max="14338" width="17.7109375" style="46" customWidth="1"/>
    <col min="14339" max="14574" width="11.42578125" style="46"/>
    <col min="14575" max="14579" width="0" style="46" hidden="1" customWidth="1"/>
    <col min="14580" max="14580" width="6.28515625" style="46" customWidth="1"/>
    <col min="14581" max="14581" width="12.140625" style="46" customWidth="1"/>
    <col min="14582" max="14582" width="17.42578125" style="46" bestFit="1" customWidth="1"/>
    <col min="14583" max="14583" width="12.140625" style="46" customWidth="1"/>
    <col min="14584" max="14584" width="19.85546875" style="46" customWidth="1"/>
    <col min="14585" max="14585" width="18.140625" style="46" customWidth="1"/>
    <col min="14586" max="14586" width="9.42578125" style="46" customWidth="1"/>
    <col min="14587" max="14587" width="11.42578125" style="46" customWidth="1"/>
    <col min="14588" max="14588" width="20.42578125" style="46" customWidth="1"/>
    <col min="14589" max="14589" width="5" style="46" customWidth="1"/>
    <col min="14590" max="14590" width="16.42578125" style="46" bestFit="1" customWidth="1"/>
    <col min="14591" max="14591" width="16.42578125" style="46" customWidth="1"/>
    <col min="14592" max="14592" width="18.42578125" style="46" customWidth="1"/>
    <col min="14593" max="14593" width="19.7109375" style="46" customWidth="1"/>
    <col min="14594" max="14594" width="17.7109375" style="46" customWidth="1"/>
    <col min="14595" max="14830" width="11.42578125" style="46"/>
    <col min="14831" max="14835" width="0" style="46" hidden="1" customWidth="1"/>
    <col min="14836" max="14836" width="6.28515625" style="46" customWidth="1"/>
    <col min="14837" max="14837" width="12.140625" style="46" customWidth="1"/>
    <col min="14838" max="14838" width="17.42578125" style="46" bestFit="1" customWidth="1"/>
    <col min="14839" max="14839" width="12.140625" style="46" customWidth="1"/>
    <col min="14840" max="14840" width="19.85546875" style="46" customWidth="1"/>
    <col min="14841" max="14841" width="18.140625" style="46" customWidth="1"/>
    <col min="14842" max="14842" width="9.42578125" style="46" customWidth="1"/>
    <col min="14843" max="14843" width="11.42578125" style="46" customWidth="1"/>
    <col min="14844" max="14844" width="20.42578125" style="46" customWidth="1"/>
    <col min="14845" max="14845" width="5" style="46" customWidth="1"/>
    <col min="14846" max="14846" width="16.42578125" style="46" bestFit="1" customWidth="1"/>
    <col min="14847" max="14847" width="16.42578125" style="46" customWidth="1"/>
    <col min="14848" max="14848" width="18.42578125" style="46" customWidth="1"/>
    <col min="14849" max="14849" width="19.7109375" style="46" customWidth="1"/>
    <col min="14850" max="14850" width="17.7109375" style="46" customWidth="1"/>
    <col min="14851" max="15086" width="11.42578125" style="46"/>
    <col min="15087" max="15091" width="0" style="46" hidden="1" customWidth="1"/>
    <col min="15092" max="15092" width="6.28515625" style="46" customWidth="1"/>
    <col min="15093" max="15093" width="12.140625" style="46" customWidth="1"/>
    <col min="15094" max="15094" width="17.42578125" style="46" bestFit="1" customWidth="1"/>
    <col min="15095" max="15095" width="12.140625" style="46" customWidth="1"/>
    <col min="15096" max="15096" width="19.85546875" style="46" customWidth="1"/>
    <col min="15097" max="15097" width="18.140625" style="46" customWidth="1"/>
    <col min="15098" max="15098" width="9.42578125" style="46" customWidth="1"/>
    <col min="15099" max="15099" width="11.42578125" style="46" customWidth="1"/>
    <col min="15100" max="15100" width="20.42578125" style="46" customWidth="1"/>
    <col min="15101" max="15101" width="5" style="46" customWidth="1"/>
    <col min="15102" max="15102" width="16.42578125" style="46" bestFit="1" customWidth="1"/>
    <col min="15103" max="15103" width="16.42578125" style="46" customWidth="1"/>
    <col min="15104" max="15104" width="18.42578125" style="46" customWidth="1"/>
    <col min="15105" max="15105" width="19.7109375" style="46" customWidth="1"/>
    <col min="15106" max="15106" width="17.7109375" style="46" customWidth="1"/>
    <col min="15107" max="15342" width="11.42578125" style="46"/>
    <col min="15343" max="15347" width="0" style="46" hidden="1" customWidth="1"/>
    <col min="15348" max="15348" width="6.28515625" style="46" customWidth="1"/>
    <col min="15349" max="15349" width="12.140625" style="46" customWidth="1"/>
    <col min="15350" max="15350" width="17.42578125" style="46" bestFit="1" customWidth="1"/>
    <col min="15351" max="15351" width="12.140625" style="46" customWidth="1"/>
    <col min="15352" max="15352" width="19.85546875" style="46" customWidth="1"/>
    <col min="15353" max="15353" width="18.140625" style="46" customWidth="1"/>
    <col min="15354" max="15354" width="9.42578125" style="46" customWidth="1"/>
    <col min="15355" max="15355" width="11.42578125" style="46" customWidth="1"/>
    <col min="15356" max="15356" width="20.42578125" style="46" customWidth="1"/>
    <col min="15357" max="15357" width="5" style="46" customWidth="1"/>
    <col min="15358" max="15358" width="16.42578125" style="46" bestFit="1" customWidth="1"/>
    <col min="15359" max="15359" width="16.42578125" style="46" customWidth="1"/>
    <col min="15360" max="15360" width="18.42578125" style="46" customWidth="1"/>
    <col min="15361" max="15361" width="19.7109375" style="46" customWidth="1"/>
    <col min="15362" max="15362" width="17.7109375" style="46" customWidth="1"/>
    <col min="15363" max="15598" width="11.42578125" style="46"/>
    <col min="15599" max="15603" width="0" style="46" hidden="1" customWidth="1"/>
    <col min="15604" max="15604" width="6.28515625" style="46" customWidth="1"/>
    <col min="15605" max="15605" width="12.140625" style="46" customWidth="1"/>
    <col min="15606" max="15606" width="17.42578125" style="46" bestFit="1" customWidth="1"/>
    <col min="15607" max="15607" width="12.140625" style="46" customWidth="1"/>
    <col min="15608" max="15608" width="19.85546875" style="46" customWidth="1"/>
    <col min="15609" max="15609" width="18.140625" style="46" customWidth="1"/>
    <col min="15610" max="15610" width="9.42578125" style="46" customWidth="1"/>
    <col min="15611" max="15611" width="11.42578125" style="46" customWidth="1"/>
    <col min="15612" max="15612" width="20.42578125" style="46" customWidth="1"/>
    <col min="15613" max="15613" width="5" style="46" customWidth="1"/>
    <col min="15614" max="15614" width="16.42578125" style="46" bestFit="1" customWidth="1"/>
    <col min="15615" max="15615" width="16.42578125" style="46" customWidth="1"/>
    <col min="15616" max="15616" width="18.42578125" style="46" customWidth="1"/>
    <col min="15617" max="15617" width="19.7109375" style="46" customWidth="1"/>
    <col min="15618" max="15618" width="17.7109375" style="46" customWidth="1"/>
    <col min="15619" max="15854" width="11.42578125" style="46"/>
    <col min="15855" max="15859" width="0" style="46" hidden="1" customWidth="1"/>
    <col min="15860" max="15860" width="6.28515625" style="46" customWidth="1"/>
    <col min="15861" max="15861" width="12.140625" style="46" customWidth="1"/>
    <col min="15862" max="15862" width="17.42578125" style="46" bestFit="1" customWidth="1"/>
    <col min="15863" max="15863" width="12.140625" style="46" customWidth="1"/>
    <col min="15864" max="15864" width="19.85546875" style="46" customWidth="1"/>
    <col min="15865" max="15865" width="18.140625" style="46" customWidth="1"/>
    <col min="15866" max="15866" width="9.42578125" style="46" customWidth="1"/>
    <col min="15867" max="15867" width="11.42578125" style="46" customWidth="1"/>
    <col min="15868" max="15868" width="20.42578125" style="46" customWidth="1"/>
    <col min="15869" max="15869" width="5" style="46" customWidth="1"/>
    <col min="15870" max="15870" width="16.42578125" style="46" bestFit="1" customWidth="1"/>
    <col min="15871" max="15871" width="16.42578125" style="46" customWidth="1"/>
    <col min="15872" max="15872" width="18.42578125" style="46" customWidth="1"/>
    <col min="15873" max="15873" width="19.7109375" style="46" customWidth="1"/>
    <col min="15874" max="15874" width="17.7109375" style="46" customWidth="1"/>
    <col min="15875" max="16110" width="11.42578125" style="46"/>
    <col min="16111" max="16115" width="0" style="46" hidden="1" customWidth="1"/>
    <col min="16116" max="16116" width="6.28515625" style="46" customWidth="1"/>
    <col min="16117" max="16117" width="12.140625" style="46" customWidth="1"/>
    <col min="16118" max="16118" width="17.42578125" style="46" bestFit="1" customWidth="1"/>
    <col min="16119" max="16119" width="12.140625" style="46" customWidth="1"/>
    <col min="16120" max="16120" width="19.85546875" style="46" customWidth="1"/>
    <col min="16121" max="16121" width="18.140625" style="46" customWidth="1"/>
    <col min="16122" max="16122" width="9.42578125" style="46" customWidth="1"/>
    <col min="16123" max="16123" width="11.42578125" style="46" customWidth="1"/>
    <col min="16124" max="16124" width="20.42578125" style="46" customWidth="1"/>
    <col min="16125" max="16125" width="5" style="46" customWidth="1"/>
    <col min="16126" max="16126" width="16.42578125" style="46" bestFit="1" customWidth="1"/>
    <col min="16127" max="16127" width="16.42578125" style="46" customWidth="1"/>
    <col min="16128" max="16128" width="18.42578125" style="46" customWidth="1"/>
    <col min="16129" max="16129" width="19.7109375" style="46" customWidth="1"/>
    <col min="16130" max="16130" width="17.7109375" style="46" customWidth="1"/>
    <col min="16131" max="16384" width="11.42578125" style="46"/>
  </cols>
  <sheetData>
    <row r="2" spans="1:18" ht="26.1">
      <c r="G2" s="1233" t="s">
        <v>636</v>
      </c>
      <c r="H2" s="1233"/>
      <c r="I2" s="1233"/>
      <c r="J2" s="1233"/>
      <c r="K2" s="1233"/>
      <c r="L2" s="1233"/>
      <c r="M2" s="1233"/>
      <c r="N2" s="1233"/>
      <c r="O2" s="1233"/>
    </row>
    <row r="5" spans="1:18" ht="29.25" customHeight="1">
      <c r="G5" s="1232" t="s">
        <v>897</v>
      </c>
      <c r="H5" s="1232"/>
      <c r="I5" s="1232"/>
      <c r="J5" s="1232"/>
      <c r="K5" s="1232"/>
      <c r="L5" s="1232"/>
      <c r="M5" s="1232"/>
      <c r="N5" s="1232"/>
      <c r="O5" s="1232"/>
    </row>
    <row r="6" spans="1:18" ht="22.5" customHeight="1">
      <c r="A6" s="41" t="s">
        <v>898</v>
      </c>
      <c r="B6" s="42" t="s">
        <v>899</v>
      </c>
      <c r="C6" s="43">
        <f>1.74/100</f>
        <v>1.7399999999999999E-2</v>
      </c>
      <c r="D6" s="43">
        <f>4.35/100</f>
        <v>4.3499999999999997E-2</v>
      </c>
      <c r="E6" s="43">
        <f>6.96/100</f>
        <v>6.9599999999999995E-2</v>
      </c>
      <c r="F6" s="44"/>
      <c r="G6" s="45"/>
      <c r="J6" s="47"/>
      <c r="O6" s="48"/>
      <c r="P6" s="49"/>
      <c r="Q6" s="49"/>
      <c r="R6" s="49"/>
    </row>
    <row r="7" spans="1:18" ht="22.5" customHeight="1">
      <c r="A7" s="41" t="s">
        <v>900</v>
      </c>
      <c r="B7" s="42" t="s">
        <v>901</v>
      </c>
      <c r="C7" s="43">
        <f>3.219/100</f>
        <v>3.2189999999999996E-2</v>
      </c>
      <c r="D7" s="43">
        <f>6.96/100</f>
        <v>6.9599999999999995E-2</v>
      </c>
      <c r="E7" s="43">
        <f>8.7/100</f>
        <v>8.6999999999999994E-2</v>
      </c>
      <c r="F7" s="44"/>
      <c r="G7" s="1238" t="s">
        <v>902</v>
      </c>
      <c r="H7" s="1239"/>
      <c r="I7" s="1239"/>
      <c r="J7" s="1240"/>
      <c r="K7" s="1238" t="s">
        <v>871</v>
      </c>
      <c r="L7" s="1239"/>
      <c r="M7" s="1239"/>
      <c r="N7" s="1239"/>
      <c r="O7" s="1240"/>
      <c r="P7" s="50"/>
      <c r="Q7" s="50"/>
      <c r="R7" s="50"/>
    </row>
    <row r="8" spans="1:18" ht="20.25" customHeight="1">
      <c r="G8" s="1241" t="s">
        <v>903</v>
      </c>
      <c r="H8" s="1242"/>
      <c r="I8" s="1242"/>
      <c r="J8" s="1243"/>
      <c r="K8" s="1244" t="s">
        <v>904</v>
      </c>
      <c r="L8" s="1245"/>
      <c r="M8" s="1245"/>
      <c r="N8" s="1245"/>
      <c r="O8" s="1246"/>
      <c r="P8" s="50"/>
      <c r="Q8" s="50"/>
      <c r="R8" s="50"/>
    </row>
    <row r="9" spans="1:18" ht="21.75" customHeight="1">
      <c r="G9" s="1241"/>
      <c r="H9" s="1242"/>
      <c r="I9" s="1242"/>
      <c r="J9" s="1243"/>
      <c r="K9" s="1244"/>
      <c r="L9" s="1245"/>
      <c r="M9" s="1245"/>
      <c r="N9" s="1245"/>
      <c r="O9" s="1246"/>
      <c r="P9" s="49"/>
      <c r="Q9" s="49"/>
      <c r="R9" s="49"/>
    </row>
    <row r="10" spans="1:18" ht="7.5" customHeight="1">
      <c r="B10" s="1234" t="s">
        <v>905</v>
      </c>
      <c r="C10" s="1234"/>
      <c r="D10" s="1235" t="s">
        <v>871</v>
      </c>
      <c r="E10" s="1235"/>
      <c r="F10" s="52"/>
      <c r="G10" s="53"/>
      <c r="H10" s="54"/>
      <c r="I10" s="54"/>
      <c r="J10" s="55"/>
      <c r="K10" s="53"/>
      <c r="L10" s="54"/>
      <c r="M10" s="54"/>
      <c r="N10" s="54"/>
      <c r="O10" s="56"/>
      <c r="P10" s="49"/>
      <c r="Q10" s="49"/>
      <c r="R10" s="49"/>
    </row>
    <row r="11" spans="1:18" ht="20.25" customHeight="1">
      <c r="B11" s="1234" t="s">
        <v>906</v>
      </c>
      <c r="C11" s="1234"/>
      <c r="D11" s="1234" t="s">
        <v>906</v>
      </c>
      <c r="E11" s="1234"/>
      <c r="F11" s="57"/>
      <c r="G11" s="58" t="s">
        <v>907</v>
      </c>
      <c r="H11" s="54"/>
      <c r="I11" s="54"/>
      <c r="J11" s="273">
        <v>1423500</v>
      </c>
      <c r="K11" s="58" t="s">
        <v>907</v>
      </c>
      <c r="L11" s="60"/>
      <c r="M11" s="60"/>
      <c r="N11" s="1247">
        <f>+J11</f>
        <v>1423500</v>
      </c>
      <c r="O11" s="1248"/>
      <c r="Q11" s="93"/>
    </row>
    <row r="12" spans="1:18" ht="20.25" customHeight="1">
      <c r="B12" s="61"/>
      <c r="C12" s="61"/>
      <c r="D12" s="61"/>
      <c r="E12" s="61"/>
      <c r="F12" s="57"/>
      <c r="G12" s="58"/>
      <c r="H12" s="54"/>
      <c r="I12" s="54"/>
      <c r="J12" s="59"/>
      <c r="K12" s="58" t="s">
        <v>908</v>
      </c>
      <c r="L12" s="60"/>
      <c r="M12" s="60"/>
      <c r="N12" s="1249">
        <v>200000</v>
      </c>
      <c r="O12" s="1250"/>
    </row>
    <row r="13" spans="1:18" ht="20.25" customHeight="1">
      <c r="B13" s="62" t="s">
        <v>909</v>
      </c>
      <c r="C13" s="62" t="s">
        <v>910</v>
      </c>
      <c r="D13" s="62" t="s">
        <v>909</v>
      </c>
      <c r="E13" s="62" t="s">
        <v>910</v>
      </c>
      <c r="F13" s="52"/>
      <c r="G13" s="1251" t="s">
        <v>911</v>
      </c>
      <c r="H13" s="1252"/>
      <c r="I13" s="63"/>
      <c r="K13" s="58" t="s">
        <v>912</v>
      </c>
      <c r="L13" s="60"/>
      <c r="M13" s="60"/>
      <c r="N13" s="64"/>
      <c r="O13" s="65"/>
    </row>
    <row r="14" spans="1:18" ht="20.25" customHeight="1">
      <c r="B14" s="62"/>
      <c r="C14" s="62"/>
      <c r="D14" s="62"/>
      <c r="E14" s="62"/>
      <c r="F14" s="52"/>
      <c r="G14" s="1236" t="s">
        <v>913</v>
      </c>
      <c r="H14" s="1237"/>
      <c r="I14" s="857">
        <f>SUM(I15:I17)</f>
        <v>0.21022000000000002</v>
      </c>
      <c r="J14" s="344">
        <f>SUM(J15:J17)</f>
        <v>299248.17</v>
      </c>
      <c r="K14" s="58"/>
      <c r="L14" s="60"/>
      <c r="M14" s="60"/>
      <c r="N14" s="64"/>
      <c r="O14" s="65"/>
    </row>
    <row r="15" spans="1:18" ht="20.25" customHeight="1">
      <c r="B15" s="66">
        <v>8.5000000000000006E-2</v>
      </c>
      <c r="C15" s="66">
        <v>8.5000000000000006E-2</v>
      </c>
      <c r="D15" s="66">
        <v>0.04</v>
      </c>
      <c r="E15" s="66"/>
      <c r="F15" s="67"/>
      <c r="G15" s="349" t="s">
        <v>914</v>
      </c>
      <c r="H15" s="350"/>
      <c r="I15" s="354">
        <v>8.5000000000000006E-2</v>
      </c>
      <c r="J15" s="274">
        <f>+$J$11*I15</f>
        <v>120997.50000000001</v>
      </c>
      <c r="K15" s="68" t="s">
        <v>915</v>
      </c>
      <c r="L15" s="60"/>
      <c r="M15" s="69">
        <v>0.04</v>
      </c>
      <c r="N15" s="1255">
        <f>+N11*M15</f>
        <v>56940</v>
      </c>
      <c r="O15" s="1256"/>
    </row>
    <row r="16" spans="1:18" ht="20.25" customHeight="1">
      <c r="B16" s="66">
        <v>0.12</v>
      </c>
      <c r="C16" s="66">
        <v>0.12</v>
      </c>
      <c r="D16" s="66">
        <v>0.04</v>
      </c>
      <c r="E16" s="66">
        <v>0.04</v>
      </c>
      <c r="F16" s="67"/>
      <c r="G16" s="349" t="s">
        <v>916</v>
      </c>
      <c r="H16" s="350"/>
      <c r="I16" s="355">
        <v>0.12</v>
      </c>
      <c r="J16" s="274">
        <f t="shared" ref="J16:J26" si="0">+$J$11*I16</f>
        <v>170820</v>
      </c>
      <c r="K16" s="68" t="s">
        <v>917</v>
      </c>
      <c r="L16" s="60"/>
      <c r="M16" s="69">
        <v>0.04</v>
      </c>
      <c r="N16" s="1255">
        <f>+N11*M16</f>
        <v>56940</v>
      </c>
      <c r="O16" s="1256"/>
    </row>
    <row r="17" spans="2:18" ht="20.25" customHeight="1">
      <c r="B17" s="66"/>
      <c r="C17" s="66"/>
      <c r="D17" s="66"/>
      <c r="E17" s="66"/>
      <c r="F17" s="67"/>
      <c r="G17" s="349" t="s">
        <v>880</v>
      </c>
      <c r="H17" s="350"/>
      <c r="I17" s="354">
        <v>5.2199999999999998E-3</v>
      </c>
      <c r="J17" s="274">
        <f t="shared" si="0"/>
        <v>7430.67</v>
      </c>
      <c r="K17" s="68"/>
      <c r="L17" s="60"/>
      <c r="M17" s="69"/>
      <c r="N17" s="64"/>
      <c r="O17" s="65"/>
    </row>
    <row r="18" spans="2:18" ht="20.25" customHeight="1">
      <c r="B18" s="66">
        <v>0.09</v>
      </c>
      <c r="C18" s="66">
        <v>0.09</v>
      </c>
      <c r="D18" s="66">
        <v>0.04</v>
      </c>
      <c r="E18" s="66">
        <v>0.04</v>
      </c>
      <c r="F18" s="67"/>
      <c r="G18" s="1236" t="s">
        <v>630</v>
      </c>
      <c r="H18" s="1237"/>
      <c r="I18" s="859">
        <f>SUM(I19:I21)</f>
        <v>9.0000000000000011E-2</v>
      </c>
      <c r="J18" s="344">
        <f>SUM(J19:J21)</f>
        <v>128115</v>
      </c>
      <c r="K18" s="58" t="s">
        <v>918</v>
      </c>
      <c r="L18" s="275"/>
      <c r="M18" s="275"/>
      <c r="N18" s="1257"/>
      <c r="O18" s="1258"/>
    </row>
    <row r="19" spans="2:18" ht="20.25" customHeight="1">
      <c r="B19" s="66"/>
      <c r="C19" s="66"/>
      <c r="D19" s="67"/>
      <c r="E19" s="67"/>
      <c r="F19" s="67"/>
      <c r="G19" s="349" t="s">
        <v>919</v>
      </c>
      <c r="H19" s="350"/>
      <c r="I19" s="355">
        <v>0.04</v>
      </c>
      <c r="J19" s="274">
        <f t="shared" si="0"/>
        <v>56940</v>
      </c>
      <c r="K19" s="68"/>
      <c r="L19" s="60"/>
      <c r="M19" s="60"/>
      <c r="N19" s="64"/>
      <c r="O19" s="65"/>
    </row>
    <row r="20" spans="2:18" ht="20.25" customHeight="1">
      <c r="B20" s="66"/>
      <c r="C20" s="66"/>
      <c r="D20" s="67"/>
      <c r="E20" s="67"/>
      <c r="F20" s="67"/>
      <c r="G20" s="349" t="s">
        <v>920</v>
      </c>
      <c r="H20" s="350"/>
      <c r="I20" s="355">
        <v>0.03</v>
      </c>
      <c r="J20" s="274">
        <f t="shared" si="0"/>
        <v>42705</v>
      </c>
      <c r="K20" s="58" t="s">
        <v>921</v>
      </c>
      <c r="L20" s="60"/>
      <c r="M20" s="60"/>
      <c r="N20" s="64">
        <f>SUM(N15:O16)</f>
        <v>113880</v>
      </c>
      <c r="O20" s="65"/>
    </row>
    <row r="21" spans="2:18" ht="20.25" customHeight="1">
      <c r="B21" s="66"/>
      <c r="C21" s="66"/>
      <c r="D21" s="67"/>
      <c r="E21" s="67"/>
      <c r="F21" s="67"/>
      <c r="G21" s="349" t="s">
        <v>922</v>
      </c>
      <c r="H21" s="350"/>
      <c r="I21" s="355">
        <v>0.02</v>
      </c>
      <c r="J21" s="274">
        <f t="shared" si="0"/>
        <v>28470</v>
      </c>
      <c r="K21" s="68"/>
      <c r="L21" s="60"/>
      <c r="M21" s="60"/>
      <c r="N21" s="64"/>
      <c r="O21" s="65"/>
    </row>
    <row r="22" spans="2:18" ht="20.25" customHeight="1">
      <c r="B22" s="66"/>
      <c r="C22" s="66"/>
      <c r="D22" s="70"/>
      <c r="E22" s="70"/>
      <c r="F22" s="70"/>
      <c r="G22" s="1236" t="s">
        <v>607</v>
      </c>
      <c r="H22" s="1237"/>
      <c r="I22" s="858">
        <f>SUM(I23:I26)</f>
        <v>0.21829999999999999</v>
      </c>
      <c r="J22" s="345">
        <f>SUM(J23:J26)</f>
        <v>331187.42549999995</v>
      </c>
      <c r="K22" s="71"/>
      <c r="L22" s="72"/>
      <c r="M22" s="72"/>
      <c r="N22" s="54"/>
      <c r="O22" s="56"/>
    </row>
    <row r="23" spans="2:18" ht="20.25" customHeight="1">
      <c r="B23" s="66">
        <v>8.3299999999999999E-2</v>
      </c>
      <c r="C23" s="66">
        <v>8.3299999999999999E-2</v>
      </c>
      <c r="D23" s="70"/>
      <c r="E23" s="73"/>
      <c r="F23" s="70"/>
      <c r="G23" s="349" t="s">
        <v>923</v>
      </c>
      <c r="H23" s="351"/>
      <c r="I23" s="354">
        <v>8.3299999999999999E-2</v>
      </c>
      <c r="J23" s="274">
        <f>($N$12+$J$11)*I23</f>
        <v>135237.54999999999</v>
      </c>
      <c r="K23" s="68"/>
      <c r="L23" s="60"/>
      <c r="M23" s="60"/>
      <c r="N23" s="1259"/>
      <c r="O23" s="1260"/>
    </row>
    <row r="24" spans="2:18" ht="20.25" customHeight="1">
      <c r="B24" s="66">
        <v>0.12</v>
      </c>
      <c r="C24" s="66">
        <v>0.12</v>
      </c>
      <c r="D24" s="70"/>
      <c r="E24" s="73"/>
      <c r="F24" s="70"/>
      <c r="G24" s="349" t="s">
        <v>924</v>
      </c>
      <c r="H24" s="351"/>
      <c r="I24" s="355">
        <v>0.01</v>
      </c>
      <c r="J24" s="274">
        <f>+$J$23*I24</f>
        <v>1352.3754999999999</v>
      </c>
      <c r="K24" s="1261" t="s">
        <v>925</v>
      </c>
      <c r="L24" s="1262"/>
      <c r="M24" s="1262"/>
      <c r="N24" s="1249"/>
      <c r="O24" s="1250"/>
    </row>
    <row r="25" spans="2:18" ht="20.25" customHeight="1">
      <c r="B25" s="66">
        <v>8.3299999999999999E-2</v>
      </c>
      <c r="C25" s="66">
        <v>8.3299999999999999E-2</v>
      </c>
      <c r="D25" s="70"/>
      <c r="E25" s="74"/>
      <c r="F25" s="70"/>
      <c r="G25" s="349" t="s">
        <v>926</v>
      </c>
      <c r="H25" s="351"/>
      <c r="I25" s="354">
        <v>8.3299999999999999E-2</v>
      </c>
      <c r="J25" s="274">
        <f>J23</f>
        <v>135237.54999999999</v>
      </c>
      <c r="K25" s="1261"/>
      <c r="L25" s="1262"/>
      <c r="M25" s="1262"/>
      <c r="N25" s="1249"/>
      <c r="O25" s="1250"/>
    </row>
    <row r="26" spans="2:18" ht="20.25" customHeight="1">
      <c r="B26" s="66">
        <v>4.1700000000000001E-2</v>
      </c>
      <c r="C26" s="66">
        <v>4.1700000000000001E-2</v>
      </c>
      <c r="D26" s="70"/>
      <c r="E26" s="70"/>
      <c r="F26" s="70"/>
      <c r="G26" s="349" t="s">
        <v>887</v>
      </c>
      <c r="H26" s="351"/>
      <c r="I26" s="354">
        <v>4.1700000000000001E-2</v>
      </c>
      <c r="J26" s="274">
        <f t="shared" si="0"/>
        <v>59359.950000000004</v>
      </c>
      <c r="K26" s="75"/>
      <c r="L26" s="76"/>
      <c r="M26" s="76"/>
      <c r="N26" s="1263"/>
      <c r="O26" s="1264"/>
      <c r="P26" s="77"/>
      <c r="Q26" s="77"/>
      <c r="R26" s="77"/>
    </row>
    <row r="27" spans="2:18" ht="6" customHeight="1">
      <c r="B27" s="70"/>
      <c r="C27" s="70"/>
      <c r="D27" s="70"/>
      <c r="E27" s="70"/>
      <c r="F27" s="70"/>
      <c r="G27" s="352"/>
      <c r="H27" s="350"/>
      <c r="I27" s="356"/>
      <c r="J27" s="59"/>
      <c r="K27" s="78"/>
      <c r="L27" s="79"/>
      <c r="M27" s="79"/>
      <c r="N27" s="1263"/>
      <c r="O27" s="1264"/>
      <c r="P27" s="77"/>
      <c r="Q27" s="77"/>
      <c r="R27" s="77"/>
    </row>
    <row r="28" spans="2:18" ht="20.25" customHeight="1">
      <c r="B28" s="70"/>
      <c r="C28" s="70"/>
      <c r="D28" s="70"/>
      <c r="E28" s="70"/>
      <c r="F28" s="70"/>
      <c r="G28" s="352"/>
      <c r="H28" s="350"/>
      <c r="I28" s="356"/>
      <c r="K28" s="78"/>
      <c r="L28" s="79"/>
      <c r="M28" s="79"/>
      <c r="N28" s="1263"/>
      <c r="O28" s="1264"/>
    </row>
    <row r="29" spans="2:18" ht="20.25" customHeight="1">
      <c r="B29" s="70"/>
      <c r="C29" s="70"/>
      <c r="D29" s="70"/>
      <c r="E29" s="70"/>
      <c r="F29" s="70"/>
      <c r="G29" s="353" t="s">
        <v>927</v>
      </c>
      <c r="H29" s="350"/>
      <c r="I29" s="350"/>
      <c r="J29" s="82">
        <f>+J22+J18+J14</f>
        <v>758550.59549999994</v>
      </c>
      <c r="K29" s="347" t="s">
        <v>928</v>
      </c>
      <c r="L29" s="348"/>
      <c r="M29" s="348"/>
      <c r="N29" s="1253">
        <f>+N11+N12-N20</f>
        <v>1509620</v>
      </c>
      <c r="O29" s="1254"/>
    </row>
    <row r="30" spans="2:18" ht="20.25" customHeight="1">
      <c r="B30" s="70"/>
      <c r="C30" s="70"/>
      <c r="D30" s="70"/>
      <c r="E30" s="70"/>
      <c r="F30" s="70"/>
      <c r="G30" s="353" t="s">
        <v>876</v>
      </c>
      <c r="H30" s="350"/>
      <c r="I30" s="350"/>
      <c r="J30" s="82">
        <f>+J11</f>
        <v>1423500</v>
      </c>
      <c r="K30" s="81"/>
      <c r="L30" s="83"/>
      <c r="M30" s="83"/>
      <c r="N30" s="84"/>
      <c r="O30" s="85"/>
    </row>
    <row r="31" spans="2:18" ht="20.25" customHeight="1">
      <c r="B31" s="70"/>
      <c r="C31" s="70"/>
      <c r="D31" s="70"/>
      <c r="E31" s="70"/>
      <c r="F31" s="70"/>
      <c r="G31" s="353" t="s">
        <v>929</v>
      </c>
      <c r="H31" s="350"/>
      <c r="I31" s="350"/>
      <c r="J31" s="82">
        <v>200000</v>
      </c>
      <c r="K31" s="81"/>
      <c r="L31" s="83"/>
      <c r="M31" s="83"/>
      <c r="N31" s="84"/>
      <c r="O31" s="85"/>
    </row>
    <row r="32" spans="2:18" ht="20.25" customHeight="1">
      <c r="B32" s="70"/>
      <c r="C32" s="70"/>
      <c r="D32" s="70"/>
      <c r="E32" s="70"/>
      <c r="F32" s="70"/>
      <c r="G32" s="353"/>
      <c r="H32" s="350"/>
      <c r="I32" s="350"/>
      <c r="J32" s="82"/>
      <c r="K32" s="81"/>
      <c r="L32" s="83"/>
      <c r="M32" s="83"/>
      <c r="N32" s="84"/>
      <c r="O32" s="85"/>
    </row>
    <row r="33" spans="2:16" ht="20.25" customHeight="1">
      <c r="B33" s="70"/>
      <c r="C33" s="70"/>
      <c r="G33" s="346" t="s">
        <v>930</v>
      </c>
      <c r="H33" s="343"/>
      <c r="I33" s="857">
        <f>SUM(I15:I17,I19:I21,I23:I26)</f>
        <v>0.51851999999999998</v>
      </c>
      <c r="J33" s="344">
        <f>SUM(J29:J31)</f>
        <v>2382050.5954999998</v>
      </c>
      <c r="K33" s="86" t="s">
        <v>931</v>
      </c>
      <c r="L33" s="87"/>
      <c r="M33" s="87"/>
      <c r="N33" s="1259">
        <v>3521700</v>
      </c>
      <c r="O33" s="1260"/>
    </row>
    <row r="34" spans="2:16" ht="20.25" customHeight="1">
      <c r="B34" s="70"/>
      <c r="C34" s="70"/>
      <c r="G34" s="346" t="s">
        <v>932</v>
      </c>
      <c r="H34" s="343"/>
      <c r="I34" s="857">
        <v>0.01</v>
      </c>
      <c r="J34" s="344">
        <f>$J$11*I34</f>
        <v>14235</v>
      </c>
      <c r="K34" s="86"/>
      <c r="L34" s="87"/>
      <c r="M34" s="87"/>
      <c r="N34" s="88"/>
      <c r="O34" s="89"/>
    </row>
    <row r="35" spans="2:16" ht="20.25" customHeight="1">
      <c r="B35" s="70"/>
      <c r="C35" s="70"/>
      <c r="D35" s="70"/>
      <c r="E35" s="70"/>
      <c r="F35" s="70"/>
      <c r="G35" s="346" t="s">
        <v>930</v>
      </c>
      <c r="H35" s="343"/>
      <c r="I35" s="857">
        <v>0.03</v>
      </c>
      <c r="J35" s="344">
        <f>$J$11*I35</f>
        <v>42705</v>
      </c>
      <c r="K35" s="90" t="s">
        <v>933</v>
      </c>
      <c r="L35" s="91"/>
      <c r="M35" s="91"/>
      <c r="N35" s="1265"/>
      <c r="O35" s="1266"/>
    </row>
    <row r="36" spans="2:16">
      <c r="D36" s="70"/>
      <c r="E36" s="70"/>
      <c r="F36" s="70"/>
      <c r="G36" s="860" t="s">
        <v>934</v>
      </c>
      <c r="H36" s="861"/>
      <c r="I36" s="862">
        <f>SUM(I33:I35)</f>
        <v>0.55852000000000002</v>
      </c>
      <c r="J36" s="863">
        <f>SUM(J33:J35)</f>
        <v>2438990.5954999998</v>
      </c>
      <c r="K36" s="92"/>
      <c r="O36" s="93"/>
    </row>
    <row r="37" spans="2:16" ht="74.25" customHeight="1">
      <c r="B37" s="94">
        <v>69</v>
      </c>
      <c r="C37" s="95">
        <f>D37*$C$39</f>
        <v>141395000</v>
      </c>
      <c r="D37" s="94">
        <v>5000</v>
      </c>
      <c r="E37" s="66">
        <v>0.33</v>
      </c>
      <c r="F37" s="67"/>
      <c r="G37" s="1267" t="s">
        <v>935</v>
      </c>
      <c r="H37" s="1267"/>
      <c r="I37" s="1267"/>
      <c r="J37" s="1267"/>
      <c r="K37" s="1267"/>
      <c r="L37" s="1267"/>
      <c r="M37" s="1267"/>
      <c r="N37" s="1267"/>
      <c r="O37" s="93"/>
      <c r="P37" s="96">
        <f>+J29/N11</f>
        <v>0.53287713066385667</v>
      </c>
    </row>
    <row r="38" spans="2:16">
      <c r="G38" s="97"/>
      <c r="I38" s="93"/>
      <c r="J38" s="98"/>
    </row>
    <row r="39" spans="2:16" ht="33" customHeight="1">
      <c r="B39" s="61" t="s">
        <v>936</v>
      </c>
      <c r="C39" s="99">
        <v>28279</v>
      </c>
      <c r="G39" s="1268" t="s">
        <v>937</v>
      </c>
      <c r="H39" s="1268"/>
      <c r="I39" s="1268"/>
      <c r="J39" s="1268"/>
      <c r="K39" s="1268"/>
      <c r="L39" s="1268"/>
      <c r="M39" s="1268"/>
      <c r="N39" s="1268"/>
      <c r="O39" s="93"/>
    </row>
    <row r="40" spans="2:16">
      <c r="C40" s="99">
        <v>0</v>
      </c>
      <c r="D40" s="100">
        <v>0.75</v>
      </c>
      <c r="I40" s="93"/>
      <c r="J40" s="101"/>
    </row>
    <row r="41" spans="2:16">
      <c r="B41" s="61" t="s">
        <v>938</v>
      </c>
      <c r="C41" s="102">
        <f>ROUNDUP(N23/C39,0)</f>
        <v>0</v>
      </c>
      <c r="J41" s="98"/>
    </row>
    <row r="42" spans="2:16">
      <c r="H42" s="93"/>
    </row>
    <row r="43" spans="2:16" ht="18.399999999999999">
      <c r="B43" s="1234" t="s">
        <v>939</v>
      </c>
      <c r="C43" s="1234"/>
      <c r="D43" s="1234"/>
      <c r="F43" s="103"/>
      <c r="G43" s="1269" t="s">
        <v>940</v>
      </c>
      <c r="H43" s="1269"/>
      <c r="I43" s="1269"/>
      <c r="J43" s="1269"/>
    </row>
    <row r="44" spans="2:16">
      <c r="B44" s="61" t="s">
        <v>941</v>
      </c>
      <c r="C44" s="61" t="s">
        <v>942</v>
      </c>
      <c r="D44" s="61" t="s">
        <v>943</v>
      </c>
    </row>
    <row r="45" spans="2:16">
      <c r="B45" s="94">
        <v>16</v>
      </c>
      <c r="C45" s="99" t="e">
        <f>B45*#REF!</f>
        <v>#REF!</v>
      </c>
      <c r="D45" s="94">
        <v>0.2</v>
      </c>
    </row>
    <row r="46" spans="2:16">
      <c r="B46" s="94">
        <v>17</v>
      </c>
      <c r="C46" s="99" t="e">
        <f>B46*#REF!</f>
        <v>#REF!</v>
      </c>
      <c r="D46" s="94">
        <v>0.4</v>
      </c>
    </row>
    <row r="47" spans="2:16">
      <c r="B47" s="94">
        <v>18</v>
      </c>
      <c r="C47" s="99" t="e">
        <f>B47*#REF!</f>
        <v>#REF!</v>
      </c>
      <c r="D47" s="94">
        <v>0.6</v>
      </c>
    </row>
    <row r="48" spans="2:16">
      <c r="B48" s="94">
        <v>19</v>
      </c>
      <c r="C48" s="99" t="e">
        <f>B48*#REF!</f>
        <v>#REF!</v>
      </c>
      <c r="D48" s="94">
        <v>0.8</v>
      </c>
    </row>
    <row r="49" spans="2:4">
      <c r="B49" s="94">
        <v>20</v>
      </c>
      <c r="C49" s="99" t="e">
        <f>B49*#REF!</f>
        <v>#REF!</v>
      </c>
      <c r="D49" s="94">
        <v>1</v>
      </c>
    </row>
    <row r="51" spans="2:4">
      <c r="B51" s="1234" t="s">
        <v>944</v>
      </c>
      <c r="C51" s="1234"/>
      <c r="D51" s="1234"/>
    </row>
    <row r="52" spans="2:4">
      <c r="B52" s="61" t="s">
        <v>941</v>
      </c>
      <c r="C52" s="61" t="s">
        <v>942</v>
      </c>
      <c r="D52" s="104" t="s">
        <v>943</v>
      </c>
    </row>
    <row r="53" spans="2:4">
      <c r="B53" s="42">
        <v>4</v>
      </c>
      <c r="C53" s="95" t="e">
        <f>B53*#REF!</f>
        <v>#REF!</v>
      </c>
      <c r="D53" s="105">
        <v>0.01</v>
      </c>
    </row>
  </sheetData>
  <mergeCells count="33">
    <mergeCell ref="B51:D51"/>
    <mergeCell ref="N33:O33"/>
    <mergeCell ref="N35:O35"/>
    <mergeCell ref="G37:N37"/>
    <mergeCell ref="G39:N39"/>
    <mergeCell ref="B43:D43"/>
    <mergeCell ref="G43:J43"/>
    <mergeCell ref="N29:O29"/>
    <mergeCell ref="N15:O15"/>
    <mergeCell ref="N16:O16"/>
    <mergeCell ref="G18:H18"/>
    <mergeCell ref="N18:O18"/>
    <mergeCell ref="G22:H22"/>
    <mergeCell ref="N23:O23"/>
    <mergeCell ref="K24:M25"/>
    <mergeCell ref="N24:O25"/>
    <mergeCell ref="N26:O26"/>
    <mergeCell ref="N27:O27"/>
    <mergeCell ref="N28:O28"/>
    <mergeCell ref="G5:O5"/>
    <mergeCell ref="G2:O2"/>
    <mergeCell ref="B10:C10"/>
    <mergeCell ref="D10:E10"/>
    <mergeCell ref="G14:H14"/>
    <mergeCell ref="G7:J7"/>
    <mergeCell ref="K7:O7"/>
    <mergeCell ref="G8:J9"/>
    <mergeCell ref="K8:O9"/>
    <mergeCell ref="B11:C11"/>
    <mergeCell ref="D11:E11"/>
    <mergeCell ref="N11:O11"/>
    <mergeCell ref="N12:O12"/>
    <mergeCell ref="G13:H13"/>
  </mergeCells>
  <dataValidations count="1">
    <dataValidation type="list" allowBlank="1" showInputMessage="1" showErrorMessage="1" sqref="WVA983047 WLE983047 WBI983047 VRM983047 VHQ983047 UXU983047 UNY983047 UEC983047 TUG983047 TKK983047 TAO983047 SQS983047 SGW983047 RXA983047 RNE983047 RDI983047 QTM983047 QJQ983047 PZU983047 PPY983047 PGC983047 OWG983047 OMK983047 OCO983047 NSS983047 NIW983047 MZA983047 MPE983047 MFI983047 LVM983047 LLQ983047 LBU983047 KRY983047 KIC983047 JYG983047 JOK983047 JEO983047 IUS983047 IKW983047 IBA983047 HRE983047 HHI983047 GXM983047 GNQ983047 GDU983047 FTY983047 FKC983047 FAG983047 EQK983047 EGO983047 DWS983047 DMW983047 DDA983047 CTE983047 CJI983047 BZM983047 BPQ983047 BFU983047 AVY983047 AMC983047 ACG983047 SK983047 IO983047 K983047 WVA917511 WLE917511 WBI917511 VRM917511 VHQ917511 UXU917511 UNY917511 UEC917511 TUG917511 TKK917511 TAO917511 SQS917511 SGW917511 RXA917511 RNE917511 RDI917511 QTM917511 QJQ917511 PZU917511 PPY917511 PGC917511 OWG917511 OMK917511 OCO917511 NSS917511 NIW917511 MZA917511 MPE917511 MFI917511 LVM917511 LLQ917511 LBU917511 KRY917511 KIC917511 JYG917511 JOK917511 JEO917511 IUS917511 IKW917511 IBA917511 HRE917511 HHI917511 GXM917511 GNQ917511 GDU917511 FTY917511 FKC917511 FAG917511 EQK917511 EGO917511 DWS917511 DMW917511 DDA917511 CTE917511 CJI917511 BZM917511 BPQ917511 BFU917511 AVY917511 AMC917511 ACG917511 SK917511 IO917511 K917511 WVA851975 WLE851975 WBI851975 VRM851975 VHQ851975 UXU851975 UNY851975 UEC851975 TUG851975 TKK851975 TAO851975 SQS851975 SGW851975 RXA851975 RNE851975 RDI851975 QTM851975 QJQ851975 PZU851975 PPY851975 PGC851975 OWG851975 OMK851975 OCO851975 NSS851975 NIW851975 MZA851975 MPE851975 MFI851975 LVM851975 LLQ851975 LBU851975 KRY851975 KIC851975 JYG851975 JOK851975 JEO851975 IUS851975 IKW851975 IBA851975 HRE851975 HHI851975 GXM851975 GNQ851975 GDU851975 FTY851975 FKC851975 FAG851975 EQK851975 EGO851975 DWS851975 DMW851975 DDA851975 CTE851975 CJI851975 BZM851975 BPQ851975 BFU851975 AVY851975 AMC851975 ACG851975 SK851975 IO851975 K851975 WVA786439 WLE786439 WBI786439 VRM786439 VHQ786439 UXU786439 UNY786439 UEC786439 TUG786439 TKK786439 TAO786439 SQS786439 SGW786439 RXA786439 RNE786439 RDI786439 QTM786439 QJQ786439 PZU786439 PPY786439 PGC786439 OWG786439 OMK786439 OCO786439 NSS786439 NIW786439 MZA786439 MPE786439 MFI786439 LVM786439 LLQ786439 LBU786439 KRY786439 KIC786439 JYG786439 JOK786439 JEO786439 IUS786439 IKW786439 IBA786439 HRE786439 HHI786439 GXM786439 GNQ786439 GDU786439 FTY786439 FKC786439 FAG786439 EQK786439 EGO786439 DWS786439 DMW786439 DDA786439 CTE786439 CJI786439 BZM786439 BPQ786439 BFU786439 AVY786439 AMC786439 ACG786439 SK786439 IO786439 K786439 WVA720903 WLE720903 WBI720903 VRM720903 VHQ720903 UXU720903 UNY720903 UEC720903 TUG720903 TKK720903 TAO720903 SQS720903 SGW720903 RXA720903 RNE720903 RDI720903 QTM720903 QJQ720903 PZU720903 PPY720903 PGC720903 OWG720903 OMK720903 OCO720903 NSS720903 NIW720903 MZA720903 MPE720903 MFI720903 LVM720903 LLQ720903 LBU720903 KRY720903 KIC720903 JYG720903 JOK720903 JEO720903 IUS720903 IKW720903 IBA720903 HRE720903 HHI720903 GXM720903 GNQ720903 GDU720903 FTY720903 FKC720903 FAG720903 EQK720903 EGO720903 DWS720903 DMW720903 DDA720903 CTE720903 CJI720903 BZM720903 BPQ720903 BFU720903 AVY720903 AMC720903 ACG720903 SK720903 IO720903 K720903 WVA655367 WLE655367 WBI655367 VRM655367 VHQ655367 UXU655367 UNY655367 UEC655367 TUG655367 TKK655367 TAO655367 SQS655367 SGW655367 RXA655367 RNE655367 RDI655367 QTM655367 QJQ655367 PZU655367 PPY655367 PGC655367 OWG655367 OMK655367 OCO655367 NSS655367 NIW655367 MZA655367 MPE655367 MFI655367 LVM655367 LLQ655367 LBU655367 KRY655367 KIC655367 JYG655367 JOK655367 JEO655367 IUS655367 IKW655367 IBA655367 HRE655367 HHI655367 GXM655367 GNQ655367 GDU655367 FTY655367 FKC655367 FAG655367 EQK655367 EGO655367 DWS655367 DMW655367 DDA655367 CTE655367 CJI655367 BZM655367 BPQ655367 BFU655367 AVY655367 AMC655367 ACG655367 SK655367 IO655367 K655367 WVA589831 WLE589831 WBI589831 VRM589831 VHQ589831 UXU589831 UNY589831 UEC589831 TUG589831 TKK589831 TAO589831 SQS589831 SGW589831 RXA589831 RNE589831 RDI589831 QTM589831 QJQ589831 PZU589831 PPY589831 PGC589831 OWG589831 OMK589831 OCO589831 NSS589831 NIW589831 MZA589831 MPE589831 MFI589831 LVM589831 LLQ589831 LBU589831 KRY589831 KIC589831 JYG589831 JOK589831 JEO589831 IUS589831 IKW589831 IBA589831 HRE589831 HHI589831 GXM589831 GNQ589831 GDU589831 FTY589831 FKC589831 FAG589831 EQK589831 EGO589831 DWS589831 DMW589831 DDA589831 CTE589831 CJI589831 BZM589831 BPQ589831 BFU589831 AVY589831 AMC589831 ACG589831 SK589831 IO589831 K589831 WVA524295 WLE524295 WBI524295 VRM524295 VHQ524295 UXU524295 UNY524295 UEC524295 TUG524295 TKK524295 TAO524295 SQS524295 SGW524295 RXA524295 RNE524295 RDI524295 QTM524295 QJQ524295 PZU524295 PPY524295 PGC524295 OWG524295 OMK524295 OCO524295 NSS524295 NIW524295 MZA524295 MPE524295 MFI524295 LVM524295 LLQ524295 LBU524295 KRY524295 KIC524295 JYG524295 JOK524295 JEO524295 IUS524295 IKW524295 IBA524295 HRE524295 HHI524295 GXM524295 GNQ524295 GDU524295 FTY524295 FKC524295 FAG524295 EQK524295 EGO524295 DWS524295 DMW524295 DDA524295 CTE524295 CJI524295 BZM524295 BPQ524295 BFU524295 AVY524295 AMC524295 ACG524295 SK524295 IO524295 K524295 WVA458759 WLE458759 WBI458759 VRM458759 VHQ458759 UXU458759 UNY458759 UEC458759 TUG458759 TKK458759 TAO458759 SQS458759 SGW458759 RXA458759 RNE458759 RDI458759 QTM458759 QJQ458759 PZU458759 PPY458759 PGC458759 OWG458759 OMK458759 OCO458759 NSS458759 NIW458759 MZA458759 MPE458759 MFI458759 LVM458759 LLQ458759 LBU458759 KRY458759 KIC458759 JYG458759 JOK458759 JEO458759 IUS458759 IKW458759 IBA458759 HRE458759 HHI458759 GXM458759 GNQ458759 GDU458759 FTY458759 FKC458759 FAG458759 EQK458759 EGO458759 DWS458759 DMW458759 DDA458759 CTE458759 CJI458759 BZM458759 BPQ458759 BFU458759 AVY458759 AMC458759 ACG458759 SK458759 IO458759 K458759 WVA393223 WLE393223 WBI393223 VRM393223 VHQ393223 UXU393223 UNY393223 UEC393223 TUG393223 TKK393223 TAO393223 SQS393223 SGW393223 RXA393223 RNE393223 RDI393223 QTM393223 QJQ393223 PZU393223 PPY393223 PGC393223 OWG393223 OMK393223 OCO393223 NSS393223 NIW393223 MZA393223 MPE393223 MFI393223 LVM393223 LLQ393223 LBU393223 KRY393223 KIC393223 JYG393223 JOK393223 JEO393223 IUS393223 IKW393223 IBA393223 HRE393223 HHI393223 GXM393223 GNQ393223 GDU393223 FTY393223 FKC393223 FAG393223 EQK393223 EGO393223 DWS393223 DMW393223 DDA393223 CTE393223 CJI393223 BZM393223 BPQ393223 BFU393223 AVY393223 AMC393223 ACG393223 SK393223 IO393223 K393223 WVA327687 WLE327687 WBI327687 VRM327687 VHQ327687 UXU327687 UNY327687 UEC327687 TUG327687 TKK327687 TAO327687 SQS327687 SGW327687 RXA327687 RNE327687 RDI327687 QTM327687 QJQ327687 PZU327687 PPY327687 PGC327687 OWG327687 OMK327687 OCO327687 NSS327687 NIW327687 MZA327687 MPE327687 MFI327687 LVM327687 LLQ327687 LBU327687 KRY327687 KIC327687 JYG327687 JOK327687 JEO327687 IUS327687 IKW327687 IBA327687 HRE327687 HHI327687 GXM327687 GNQ327687 GDU327687 FTY327687 FKC327687 FAG327687 EQK327687 EGO327687 DWS327687 DMW327687 DDA327687 CTE327687 CJI327687 BZM327687 BPQ327687 BFU327687 AVY327687 AMC327687 ACG327687 SK327687 IO327687 K327687 WVA262151 WLE262151 WBI262151 VRM262151 VHQ262151 UXU262151 UNY262151 UEC262151 TUG262151 TKK262151 TAO262151 SQS262151 SGW262151 RXA262151 RNE262151 RDI262151 QTM262151 QJQ262151 PZU262151 PPY262151 PGC262151 OWG262151 OMK262151 OCO262151 NSS262151 NIW262151 MZA262151 MPE262151 MFI262151 LVM262151 LLQ262151 LBU262151 KRY262151 KIC262151 JYG262151 JOK262151 JEO262151 IUS262151 IKW262151 IBA262151 HRE262151 HHI262151 GXM262151 GNQ262151 GDU262151 FTY262151 FKC262151 FAG262151 EQK262151 EGO262151 DWS262151 DMW262151 DDA262151 CTE262151 CJI262151 BZM262151 BPQ262151 BFU262151 AVY262151 AMC262151 ACG262151 SK262151 IO262151 K262151 WVA196615 WLE196615 WBI196615 VRM196615 VHQ196615 UXU196615 UNY196615 UEC196615 TUG196615 TKK196615 TAO196615 SQS196615 SGW196615 RXA196615 RNE196615 RDI196615 QTM196615 QJQ196615 PZU196615 PPY196615 PGC196615 OWG196615 OMK196615 OCO196615 NSS196615 NIW196615 MZA196615 MPE196615 MFI196615 LVM196615 LLQ196615 LBU196615 KRY196615 KIC196615 JYG196615 JOK196615 JEO196615 IUS196615 IKW196615 IBA196615 HRE196615 HHI196615 GXM196615 GNQ196615 GDU196615 FTY196615 FKC196615 FAG196615 EQK196615 EGO196615 DWS196615 DMW196615 DDA196615 CTE196615 CJI196615 BZM196615 BPQ196615 BFU196615 AVY196615 AMC196615 ACG196615 SK196615 IO196615 K196615 WVA131079 WLE131079 WBI131079 VRM131079 VHQ131079 UXU131079 UNY131079 UEC131079 TUG131079 TKK131079 TAO131079 SQS131079 SGW131079 RXA131079 RNE131079 RDI131079 QTM131079 QJQ131079 PZU131079 PPY131079 PGC131079 OWG131079 OMK131079 OCO131079 NSS131079 NIW131079 MZA131079 MPE131079 MFI131079 LVM131079 LLQ131079 LBU131079 KRY131079 KIC131079 JYG131079 JOK131079 JEO131079 IUS131079 IKW131079 IBA131079 HRE131079 HHI131079 GXM131079 GNQ131079 GDU131079 FTY131079 FKC131079 FAG131079 EQK131079 EGO131079 DWS131079 DMW131079 DDA131079 CTE131079 CJI131079 BZM131079 BPQ131079 BFU131079 AVY131079 AMC131079 ACG131079 SK131079 IO131079 K131079 WVA65543 WLE65543 WBI65543 VRM65543 VHQ65543 UXU65543 UNY65543 UEC65543 TUG65543 TKK65543 TAO65543 SQS65543 SGW65543 RXA65543 RNE65543 RDI65543 QTM65543 QJQ65543 PZU65543 PPY65543 PGC65543 OWG65543 OMK65543 OCO65543 NSS65543 NIW65543 MZA65543 MPE65543 MFI65543 LVM65543 LLQ65543 LBU65543 KRY65543 KIC65543 JYG65543 JOK65543 JEO65543 IUS65543 IKW65543 IBA65543 HRE65543 HHI65543 GXM65543 GNQ65543 GDU65543 FTY65543 FKC65543 FAG65543 EQK65543 EGO65543 DWS65543 DMW65543 DDA65543 CTE65543 CJI65543 BZM65543 BPQ65543 BFU65543 AVY65543 AMC65543 ACG65543 SK65543 IO65543 K65543" xr:uid="{0847F053-37ED-4D58-84D0-C50B3E16D5D2}">
      <formula1>#REF!</formula1>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0C44-69BF-4A51-B741-97322C621008}">
  <sheetPr>
    <tabColor theme="9"/>
  </sheetPr>
  <dimension ref="A1:U25"/>
  <sheetViews>
    <sheetView zoomScale="85" zoomScaleNormal="85" workbookViewId="0">
      <selection activeCell="A3" sqref="A3:R3"/>
    </sheetView>
  </sheetViews>
  <sheetFormatPr defaultColWidth="11.42578125" defaultRowHeight="12.95"/>
  <cols>
    <col min="1" max="1" width="34.140625" style="366" customWidth="1"/>
    <col min="2" max="2" width="25" style="366" customWidth="1"/>
    <col min="3" max="3" width="23.28515625" style="366" customWidth="1"/>
    <col min="4" max="4" width="18.28515625" style="366" customWidth="1"/>
    <col min="5" max="5" width="29" style="366" customWidth="1"/>
    <col min="6" max="7" width="14.28515625" style="366" customWidth="1"/>
    <col min="8" max="9" width="12.85546875" style="366" customWidth="1"/>
    <col min="10" max="11" width="12.140625" style="366" customWidth="1"/>
    <col min="12" max="13" width="13.85546875" style="366" customWidth="1"/>
    <col min="14" max="14" width="3.28515625" style="366" bestFit="1" customWidth="1"/>
    <col min="15" max="15" width="3.28515625" style="366" customWidth="1"/>
    <col min="16" max="16" width="3.28515625" style="366" bestFit="1" customWidth="1"/>
    <col min="17" max="17" width="3.42578125" style="366" customWidth="1"/>
    <col min="18" max="18" width="7.140625" style="366" customWidth="1"/>
    <col min="19" max="16384" width="11.42578125" style="366"/>
  </cols>
  <sheetData>
    <row r="1" spans="1:21">
      <c r="A1" s="381"/>
      <c r="B1" s="381"/>
      <c r="C1" s="381"/>
      <c r="D1" s="381"/>
      <c r="E1" s="381"/>
      <c r="F1" s="381"/>
      <c r="G1" s="381"/>
      <c r="H1" s="381"/>
      <c r="I1" s="381"/>
      <c r="J1" s="381"/>
      <c r="K1" s="381"/>
      <c r="L1" s="381"/>
      <c r="M1" s="381"/>
      <c r="N1" s="381"/>
      <c r="O1" s="381"/>
      <c r="P1" s="381"/>
      <c r="Q1" s="381"/>
      <c r="R1" s="381"/>
      <c r="S1" s="381"/>
      <c r="T1" s="381"/>
      <c r="U1" s="381"/>
    </row>
    <row r="2" spans="1:21">
      <c r="A2" s="381"/>
      <c r="B2" s="381"/>
      <c r="C2" s="381"/>
      <c r="D2" s="381"/>
      <c r="E2" s="381"/>
      <c r="F2" s="381"/>
      <c r="G2" s="381"/>
      <c r="H2" s="381"/>
      <c r="I2" s="381"/>
      <c r="J2" s="381"/>
      <c r="K2" s="381"/>
      <c r="L2" s="381"/>
      <c r="M2" s="381"/>
      <c r="N2" s="381"/>
      <c r="O2" s="381"/>
      <c r="P2" s="381"/>
      <c r="Q2" s="381"/>
      <c r="R2" s="381"/>
      <c r="S2" s="381"/>
      <c r="T2" s="381"/>
      <c r="U2" s="381"/>
    </row>
    <row r="3" spans="1:21" ht="26.1">
      <c r="A3" s="1271" t="s">
        <v>945</v>
      </c>
      <c r="B3" s="1271"/>
      <c r="C3" s="1271"/>
      <c r="D3" s="1271"/>
      <c r="E3" s="1271"/>
      <c r="F3" s="1271"/>
      <c r="G3" s="1271"/>
      <c r="H3" s="1271"/>
      <c r="I3" s="1271"/>
      <c r="J3" s="1271"/>
      <c r="K3" s="1271"/>
      <c r="L3" s="1271"/>
      <c r="M3" s="1271"/>
      <c r="N3" s="1271"/>
      <c r="O3" s="1271"/>
      <c r="P3" s="1271"/>
      <c r="Q3" s="1271"/>
      <c r="R3" s="1271"/>
      <c r="S3" s="381"/>
      <c r="T3" s="381"/>
      <c r="U3" s="381"/>
    </row>
    <row r="4" spans="1:21">
      <c r="A4" s="381"/>
      <c r="B4" s="381"/>
      <c r="C4" s="381"/>
      <c r="D4" s="381"/>
      <c r="E4" s="381"/>
      <c r="F4" s="381"/>
      <c r="G4" s="381"/>
      <c r="H4" s="381"/>
      <c r="I4" s="381"/>
      <c r="J4" s="381"/>
      <c r="K4" s="381"/>
      <c r="L4" s="381"/>
      <c r="M4" s="381"/>
      <c r="N4" s="381"/>
      <c r="O4" s="381"/>
      <c r="P4" s="381"/>
      <c r="Q4" s="381"/>
      <c r="R4" s="381"/>
      <c r="S4" s="381"/>
      <c r="T4" s="381"/>
      <c r="U4" s="381"/>
    </row>
    <row r="5" spans="1:21" ht="15.95">
      <c r="A5" s="1277" t="s">
        <v>946</v>
      </c>
      <c r="B5" s="1277"/>
      <c r="C5" s="1277"/>
      <c r="D5" s="1277"/>
      <c r="E5" s="1277"/>
      <c r="F5" s="1277"/>
      <c r="G5" s="1277"/>
      <c r="H5" s="1277"/>
      <c r="I5" s="1277"/>
      <c r="J5" s="1277"/>
      <c r="K5" s="1277"/>
      <c r="L5" s="1277"/>
      <c r="M5" s="1277"/>
      <c r="N5" s="1277"/>
      <c r="O5" s="1277"/>
      <c r="P5" s="1277"/>
      <c r="Q5" s="1277"/>
      <c r="R5" s="1277"/>
    </row>
    <row r="6" spans="1:21" ht="13.35" thickBot="1">
      <c r="A6" s="1278" t="s">
        <v>947</v>
      </c>
      <c r="B6" s="1279" t="s">
        <v>948</v>
      </c>
      <c r="C6" s="1280" t="s">
        <v>949</v>
      </c>
      <c r="D6" s="1278" t="s">
        <v>950</v>
      </c>
      <c r="E6" s="1278"/>
      <c r="F6" s="1281"/>
      <c r="G6" s="1281"/>
      <c r="H6" s="1281"/>
      <c r="I6" s="1281"/>
      <c r="J6" s="1281"/>
      <c r="K6" s="1281"/>
      <c r="L6" s="1281"/>
      <c r="M6" s="369"/>
      <c r="N6" s="1278" t="s">
        <v>951</v>
      </c>
      <c r="O6" s="1278"/>
      <c r="P6" s="1278"/>
      <c r="Q6" s="1278"/>
      <c r="R6" s="1278"/>
    </row>
    <row r="7" spans="1:21" ht="59.1" thickBot="1">
      <c r="A7" s="1278"/>
      <c r="B7" s="1279"/>
      <c r="C7" s="1280"/>
      <c r="D7" s="1282" t="s">
        <v>952</v>
      </c>
      <c r="E7" s="1282"/>
      <c r="F7" s="1283" t="s">
        <v>953</v>
      </c>
      <c r="G7" s="1273"/>
      <c r="H7" s="1272" t="s">
        <v>954</v>
      </c>
      <c r="I7" s="1273"/>
      <c r="J7" s="1274" t="s">
        <v>955</v>
      </c>
      <c r="K7" s="1275"/>
      <c r="L7" s="370" t="s">
        <v>956</v>
      </c>
      <c r="M7" s="371"/>
      <c r="N7" s="372" t="s">
        <v>957</v>
      </c>
      <c r="O7" s="373" t="s">
        <v>958</v>
      </c>
      <c r="P7" s="373" t="s">
        <v>959</v>
      </c>
      <c r="Q7" s="373" t="s">
        <v>960</v>
      </c>
      <c r="R7" s="373" t="s">
        <v>961</v>
      </c>
    </row>
    <row r="8" spans="1:21">
      <c r="A8" s="374"/>
      <c r="B8" s="367"/>
      <c r="C8" s="368"/>
      <c r="D8" s="375" t="s">
        <v>962</v>
      </c>
      <c r="E8" s="375" t="s">
        <v>963</v>
      </c>
      <c r="F8" s="375" t="s">
        <v>962</v>
      </c>
      <c r="G8" s="375" t="s">
        <v>963</v>
      </c>
      <c r="H8" s="375" t="s">
        <v>962</v>
      </c>
      <c r="I8" s="375" t="s">
        <v>963</v>
      </c>
      <c r="J8" s="375" t="s">
        <v>962</v>
      </c>
      <c r="K8" s="375" t="s">
        <v>963</v>
      </c>
      <c r="L8" s="375" t="s">
        <v>962</v>
      </c>
      <c r="M8" s="375" t="s">
        <v>963</v>
      </c>
      <c r="N8" s="372"/>
      <c r="O8" s="373"/>
      <c r="P8" s="373"/>
      <c r="Q8" s="373"/>
      <c r="R8" s="373"/>
    </row>
    <row r="9" spans="1:21">
      <c r="A9" s="376"/>
      <c r="B9" s="376"/>
      <c r="C9" s="376"/>
      <c r="D9" s="376"/>
      <c r="E9" s="376"/>
      <c r="F9" s="376"/>
      <c r="G9" s="376"/>
      <c r="H9" s="376"/>
      <c r="I9" s="376"/>
      <c r="J9" s="376"/>
      <c r="K9" s="376"/>
      <c r="L9" s="376"/>
      <c r="M9" s="376"/>
      <c r="N9" s="377"/>
      <c r="O9" s="376"/>
      <c r="P9" s="376"/>
      <c r="Q9" s="376"/>
      <c r="R9" s="376"/>
    </row>
    <row r="10" spans="1:21">
      <c r="A10" s="376"/>
      <c r="B10" s="376"/>
      <c r="C10" s="376"/>
      <c r="D10" s="376"/>
      <c r="E10" s="376"/>
      <c r="F10" s="376"/>
      <c r="G10" s="376"/>
      <c r="H10" s="376"/>
      <c r="I10" s="376"/>
      <c r="J10" s="376"/>
      <c r="K10" s="376"/>
      <c r="L10" s="376"/>
      <c r="M10" s="376"/>
      <c r="N10" s="377"/>
      <c r="O10" s="376"/>
      <c r="P10" s="376"/>
      <c r="Q10" s="376"/>
      <c r="R10" s="376"/>
    </row>
    <row r="11" spans="1:21">
      <c r="A11" s="376"/>
      <c r="B11" s="376"/>
      <c r="C11" s="376"/>
      <c r="D11" s="376"/>
      <c r="E11" s="376"/>
      <c r="F11" s="376"/>
      <c r="G11" s="376"/>
      <c r="H11" s="376"/>
      <c r="I11" s="376"/>
      <c r="J11" s="376"/>
      <c r="K11" s="376"/>
      <c r="L11" s="376"/>
      <c r="M11" s="376"/>
      <c r="N11" s="377"/>
      <c r="O11" s="376"/>
      <c r="P11" s="376"/>
      <c r="Q11" s="376"/>
      <c r="R11" s="376"/>
    </row>
    <row r="12" spans="1:21">
      <c r="A12" s="376"/>
      <c r="B12" s="376"/>
      <c r="C12" s="376"/>
      <c r="D12" s="376"/>
      <c r="E12" s="376"/>
      <c r="F12" s="376"/>
      <c r="G12" s="376"/>
      <c r="H12" s="376"/>
      <c r="I12" s="376"/>
      <c r="J12" s="376"/>
      <c r="K12" s="376"/>
      <c r="L12" s="376"/>
      <c r="M12" s="376"/>
      <c r="N12" s="377"/>
      <c r="O12" s="376"/>
      <c r="P12" s="376"/>
      <c r="Q12" s="376"/>
      <c r="R12" s="376"/>
    </row>
    <row r="13" spans="1:21">
      <c r="A13" s="376"/>
      <c r="B13" s="376"/>
      <c r="C13" s="376"/>
      <c r="D13" s="376"/>
      <c r="E13" s="376"/>
      <c r="F13" s="376"/>
      <c r="G13" s="376"/>
      <c r="H13" s="376"/>
      <c r="I13" s="376"/>
      <c r="J13" s="376"/>
      <c r="K13" s="376"/>
      <c r="L13" s="376"/>
      <c r="M13" s="376"/>
      <c r="N13" s="377"/>
      <c r="O13" s="376"/>
      <c r="P13" s="376"/>
      <c r="Q13" s="376"/>
      <c r="R13" s="376"/>
    </row>
    <row r="14" spans="1:21">
      <c r="A14" s="376"/>
      <c r="B14" s="376"/>
      <c r="C14" s="376"/>
      <c r="D14" s="376"/>
      <c r="E14" s="376"/>
      <c r="F14" s="376"/>
      <c r="G14" s="376"/>
      <c r="H14" s="376"/>
      <c r="I14" s="376"/>
      <c r="J14" s="376"/>
      <c r="K14" s="376"/>
      <c r="L14" s="376"/>
      <c r="M14" s="376"/>
      <c r="N14" s="377"/>
      <c r="O14" s="376"/>
      <c r="P14" s="376"/>
      <c r="Q14" s="376"/>
      <c r="R14" s="376"/>
    </row>
    <row r="16" spans="1:21">
      <c r="A16" s="1276" t="s">
        <v>951</v>
      </c>
      <c r="B16" s="1276"/>
      <c r="C16" s="1276"/>
      <c r="D16" s="1276"/>
      <c r="E16" s="1276"/>
      <c r="F16" s="1276"/>
      <c r="G16" s="1276"/>
      <c r="H16" s="1276"/>
      <c r="I16" s="378"/>
    </row>
    <row r="17" spans="1:11">
      <c r="A17" s="1270" t="s">
        <v>964</v>
      </c>
      <c r="B17" s="1270"/>
      <c r="C17" s="1270"/>
      <c r="D17" s="1270"/>
      <c r="E17" s="1270"/>
      <c r="F17" s="1270"/>
      <c r="G17" s="1270"/>
      <c r="H17" s="1270"/>
      <c r="I17" s="379"/>
      <c r="J17" s="380"/>
      <c r="K17" s="380"/>
    </row>
    <row r="18" spans="1:11">
      <c r="A18" s="1270" t="s">
        <v>965</v>
      </c>
      <c r="B18" s="1270" t="s">
        <v>966</v>
      </c>
      <c r="C18" s="1270"/>
      <c r="D18" s="1270"/>
      <c r="E18" s="1270"/>
      <c r="F18" s="1270"/>
      <c r="G18" s="1270"/>
      <c r="H18" s="1270"/>
      <c r="I18" s="379"/>
      <c r="J18" s="380"/>
      <c r="K18" s="380"/>
    </row>
    <row r="19" spans="1:11">
      <c r="A19" s="1270" t="s">
        <v>967</v>
      </c>
      <c r="B19" s="1270" t="s">
        <v>968</v>
      </c>
      <c r="C19" s="1270"/>
      <c r="D19" s="1270"/>
      <c r="E19" s="1270"/>
      <c r="F19" s="1270"/>
      <c r="G19" s="1270"/>
      <c r="H19" s="1270"/>
      <c r="I19" s="379"/>
      <c r="J19" s="380"/>
      <c r="K19" s="380"/>
    </row>
    <row r="20" spans="1:11">
      <c r="A20" s="1270" t="s">
        <v>969</v>
      </c>
      <c r="B20" s="1270"/>
      <c r="C20" s="1270"/>
      <c r="D20" s="1270"/>
      <c r="E20" s="1270"/>
      <c r="F20" s="1270"/>
      <c r="G20" s="1270"/>
      <c r="H20" s="1270"/>
      <c r="I20" s="379"/>
    </row>
    <row r="24" spans="1:11" ht="20.25" customHeight="1"/>
    <row r="25" spans="1:11" ht="14.65">
      <c r="A25" s="225" t="s">
        <v>970</v>
      </c>
    </row>
  </sheetData>
  <mergeCells count="16">
    <mergeCell ref="A20:H20"/>
    <mergeCell ref="A3:R3"/>
    <mergeCell ref="H7:I7"/>
    <mergeCell ref="J7:K7"/>
    <mergeCell ref="A16:H16"/>
    <mergeCell ref="A17:H17"/>
    <mergeCell ref="A18:H18"/>
    <mergeCell ref="A19:H19"/>
    <mergeCell ref="A5:R5"/>
    <mergeCell ref="A6:A7"/>
    <mergeCell ref="B6:B7"/>
    <mergeCell ref="C6:C7"/>
    <mergeCell ref="D6:L6"/>
    <mergeCell ref="N6:R6"/>
    <mergeCell ref="D7:E7"/>
    <mergeCell ref="F7:G7"/>
  </mergeCells>
  <hyperlinks>
    <hyperlink ref="A25" r:id="rId1" xr:uid="{4EBBA040-6BE7-4CA7-844C-821767FCF3A7}"/>
  </hyperlinks>
  <pageMargins left="0.7" right="0.7" top="0.75" bottom="0.75" header="0.3" footer="0.3"/>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BAFC-3BAF-4373-9569-EE872C8CCE64}">
  <sheetPr>
    <tabColor theme="9"/>
  </sheetPr>
  <dimension ref="A1:E104"/>
  <sheetViews>
    <sheetView topLeftCell="A3" zoomScaleNormal="100" workbookViewId="0">
      <selection activeCell="B3" sqref="B3"/>
    </sheetView>
  </sheetViews>
  <sheetFormatPr defaultColWidth="11.42578125" defaultRowHeight="14.65"/>
  <cols>
    <col min="1" max="1" width="35.28515625" customWidth="1"/>
    <col min="2" max="2" width="56.7109375" customWidth="1"/>
    <col min="3" max="3" width="36.7109375" customWidth="1"/>
    <col min="4" max="4" width="25.85546875" customWidth="1"/>
    <col min="5" max="5" width="35" customWidth="1"/>
  </cols>
  <sheetData>
    <row r="1" spans="1:5" ht="20.65">
      <c r="B1" s="1291" t="s">
        <v>971</v>
      </c>
      <c r="C1" s="1291"/>
      <c r="D1" s="1291"/>
      <c r="E1" s="1291"/>
    </row>
    <row r="4" spans="1:5" s="123" customFormat="1">
      <c r="A4" s="382" t="s">
        <v>972</v>
      </c>
      <c r="B4" s="382" t="s">
        <v>973</v>
      </c>
      <c r="C4" s="1306" t="s">
        <v>950</v>
      </c>
      <c r="D4" s="1306"/>
      <c r="E4" s="1306"/>
    </row>
    <row r="5" spans="1:5">
      <c r="A5" s="1285" t="s">
        <v>974</v>
      </c>
      <c r="B5" s="383" t="s">
        <v>975</v>
      </c>
      <c r="C5" s="1304" t="s">
        <v>976</v>
      </c>
      <c r="D5" s="1293" t="s">
        <v>977</v>
      </c>
      <c r="E5" s="384" t="s">
        <v>978</v>
      </c>
    </row>
    <row r="6" spans="1:5">
      <c r="A6" s="1285"/>
      <c r="B6" s="385" t="s">
        <v>979</v>
      </c>
      <c r="C6" s="1304"/>
      <c r="D6" s="1293"/>
      <c r="E6" s="386" t="s">
        <v>980</v>
      </c>
    </row>
    <row r="7" spans="1:5">
      <c r="A7" s="1285"/>
      <c r="B7" s="385" t="s">
        <v>981</v>
      </c>
      <c r="C7" s="1304"/>
      <c r="D7" s="1293"/>
      <c r="E7" s="386" t="s">
        <v>982</v>
      </c>
    </row>
    <row r="8" spans="1:5">
      <c r="A8" s="1285"/>
      <c r="B8" s="385" t="s">
        <v>983</v>
      </c>
      <c r="C8" s="1304"/>
      <c r="D8" s="1293"/>
      <c r="E8" s="386" t="s">
        <v>984</v>
      </c>
    </row>
    <row r="9" spans="1:5" ht="28.35">
      <c r="A9" s="1285"/>
      <c r="B9" s="385" t="s">
        <v>985</v>
      </c>
      <c r="C9" s="1304"/>
      <c r="D9" s="1293"/>
      <c r="E9" s="386" t="s">
        <v>986</v>
      </c>
    </row>
    <row r="10" spans="1:5">
      <c r="A10" s="1285"/>
      <c r="B10" s="385" t="s">
        <v>987</v>
      </c>
      <c r="C10" s="1304"/>
      <c r="D10" s="1294"/>
      <c r="E10" s="386" t="s">
        <v>988</v>
      </c>
    </row>
    <row r="11" spans="1:5">
      <c r="A11" s="1285"/>
      <c r="B11" s="385" t="s">
        <v>989</v>
      </c>
      <c r="C11" s="1304"/>
      <c r="D11" s="1292" t="s">
        <v>990</v>
      </c>
      <c r="E11" s="386" t="s">
        <v>991</v>
      </c>
    </row>
    <row r="12" spans="1:5">
      <c r="A12" s="1285"/>
      <c r="B12" s="385" t="s">
        <v>992</v>
      </c>
      <c r="C12" s="1304"/>
      <c r="D12" s="1293"/>
      <c r="E12" s="386" t="s">
        <v>993</v>
      </c>
    </row>
    <row r="13" spans="1:5">
      <c r="A13" s="1285"/>
      <c r="B13" s="385" t="s">
        <v>994</v>
      </c>
      <c r="C13" s="1304"/>
      <c r="D13" s="1293"/>
      <c r="E13" s="386" t="s">
        <v>995</v>
      </c>
    </row>
    <row r="14" spans="1:5">
      <c r="A14" s="1285"/>
      <c r="B14" s="385" t="s">
        <v>996</v>
      </c>
      <c r="C14" s="1304"/>
      <c r="D14" s="1293"/>
      <c r="E14" s="386" t="s">
        <v>997</v>
      </c>
    </row>
    <row r="15" spans="1:5">
      <c r="A15" s="1285"/>
      <c r="B15" s="385" t="s">
        <v>998</v>
      </c>
      <c r="C15" s="1304"/>
      <c r="D15" s="1293"/>
      <c r="E15" s="386" t="s">
        <v>999</v>
      </c>
    </row>
    <row r="16" spans="1:5">
      <c r="A16" s="1285"/>
      <c r="B16" s="385" t="s">
        <v>1000</v>
      </c>
      <c r="C16" s="1304"/>
      <c r="D16" s="1293"/>
      <c r="E16" s="386" t="s">
        <v>1001</v>
      </c>
    </row>
    <row r="17" spans="1:5">
      <c r="A17" s="1286"/>
      <c r="B17" s="385" t="s">
        <v>1002</v>
      </c>
      <c r="C17" s="1304"/>
      <c r="D17" s="1294"/>
      <c r="E17" s="386" t="s">
        <v>1003</v>
      </c>
    </row>
    <row r="18" spans="1:5">
      <c r="A18" s="1284" t="s">
        <v>1004</v>
      </c>
      <c r="B18" s="385" t="s">
        <v>1005</v>
      </c>
      <c r="C18" s="1304"/>
      <c r="D18" s="1292" t="s">
        <v>1006</v>
      </c>
      <c r="E18" s="386" t="s">
        <v>1007</v>
      </c>
    </row>
    <row r="19" spans="1:5">
      <c r="A19" s="1285"/>
      <c r="B19" s="385" t="s">
        <v>1008</v>
      </c>
      <c r="C19" s="1304"/>
      <c r="D19" s="1293"/>
      <c r="E19" s="386" t="s">
        <v>1009</v>
      </c>
    </row>
    <row r="20" spans="1:5">
      <c r="A20" s="1285"/>
      <c r="B20" s="385" t="s">
        <v>1010</v>
      </c>
      <c r="C20" s="1304"/>
      <c r="D20" s="1294"/>
      <c r="E20" s="386" t="s">
        <v>1011</v>
      </c>
    </row>
    <row r="21" spans="1:5">
      <c r="A21" s="1285"/>
      <c r="B21" s="385" t="s">
        <v>1012</v>
      </c>
      <c r="C21" s="1304"/>
      <c r="D21" s="1292" t="s">
        <v>1013</v>
      </c>
      <c r="E21" s="386" t="s">
        <v>1014</v>
      </c>
    </row>
    <row r="22" spans="1:5">
      <c r="A22" s="1285"/>
      <c r="B22" s="385" t="s">
        <v>1015</v>
      </c>
      <c r="C22" s="1304"/>
      <c r="D22" s="1293"/>
      <c r="E22" s="386" t="s">
        <v>1016</v>
      </c>
    </row>
    <row r="23" spans="1:5" ht="28.35">
      <c r="A23" s="1285"/>
      <c r="B23" s="385" t="s">
        <v>1017</v>
      </c>
      <c r="C23" s="1304"/>
      <c r="D23" s="1293"/>
      <c r="E23" s="386" t="s">
        <v>1018</v>
      </c>
    </row>
    <row r="24" spans="1:5">
      <c r="A24" s="1285"/>
      <c r="B24" s="385" t="s">
        <v>1019</v>
      </c>
      <c r="C24" s="1304"/>
      <c r="D24" s="1293"/>
      <c r="E24" s="386" t="s">
        <v>1020</v>
      </c>
    </row>
    <row r="25" spans="1:5">
      <c r="A25" s="1285"/>
      <c r="B25" s="385" t="s">
        <v>1021</v>
      </c>
      <c r="C25" s="1304"/>
      <c r="D25" s="1293"/>
      <c r="E25" s="386" t="s">
        <v>1022</v>
      </c>
    </row>
    <row r="26" spans="1:5">
      <c r="A26" s="1285"/>
      <c r="B26" s="385" t="s">
        <v>1023</v>
      </c>
      <c r="C26" s="1304"/>
      <c r="D26" s="1293"/>
      <c r="E26" s="386" t="s">
        <v>1024</v>
      </c>
    </row>
    <row r="27" spans="1:5" ht="28.35">
      <c r="A27" s="1285"/>
      <c r="B27" s="385" t="s">
        <v>1025</v>
      </c>
      <c r="C27" s="1304"/>
      <c r="D27" s="1293"/>
      <c r="E27" s="386" t="s">
        <v>1026</v>
      </c>
    </row>
    <row r="28" spans="1:5">
      <c r="A28" s="1285"/>
      <c r="B28" s="385" t="s">
        <v>1027</v>
      </c>
      <c r="C28" s="1304"/>
      <c r="D28" s="1293"/>
      <c r="E28" s="386" t="s">
        <v>1028</v>
      </c>
    </row>
    <row r="29" spans="1:5">
      <c r="A29" s="1285"/>
      <c r="B29" s="385" t="s">
        <v>1029</v>
      </c>
      <c r="C29" s="1305"/>
      <c r="D29" s="1294"/>
      <c r="E29" s="386" t="s">
        <v>1030</v>
      </c>
    </row>
    <row r="30" spans="1:5">
      <c r="A30" s="1285"/>
      <c r="B30" s="385" t="s">
        <v>1031</v>
      </c>
      <c r="C30" s="1303" t="s">
        <v>1032</v>
      </c>
      <c r="D30" s="1292" t="s">
        <v>1033</v>
      </c>
      <c r="E30" s="386" t="s">
        <v>1034</v>
      </c>
    </row>
    <row r="31" spans="1:5">
      <c r="A31" s="1285"/>
      <c r="B31" s="385" t="s">
        <v>1035</v>
      </c>
      <c r="C31" s="1304"/>
      <c r="D31" s="1293"/>
      <c r="E31" s="386" t="s">
        <v>1036</v>
      </c>
    </row>
    <row r="32" spans="1:5">
      <c r="A32" s="1285"/>
      <c r="B32" s="385" t="s">
        <v>1037</v>
      </c>
      <c r="C32" s="1304"/>
      <c r="D32" s="1293"/>
      <c r="E32" s="386" t="s">
        <v>1038</v>
      </c>
    </row>
    <row r="33" spans="1:5">
      <c r="A33" s="1285"/>
      <c r="B33" s="385" t="s">
        <v>1039</v>
      </c>
      <c r="C33" s="1304"/>
      <c r="D33" s="1293"/>
      <c r="E33" s="386" t="s">
        <v>1040</v>
      </c>
    </row>
    <row r="34" spans="1:5">
      <c r="A34" s="1285"/>
      <c r="B34" s="385" t="s">
        <v>1041</v>
      </c>
      <c r="C34" s="1304"/>
      <c r="D34" s="1293"/>
      <c r="E34" s="386" t="s">
        <v>1042</v>
      </c>
    </row>
    <row r="35" spans="1:5">
      <c r="A35" s="1285"/>
      <c r="B35" s="385" t="s">
        <v>1043</v>
      </c>
      <c r="C35" s="1304"/>
      <c r="D35" s="1293"/>
      <c r="E35" s="386" t="s">
        <v>1044</v>
      </c>
    </row>
    <row r="36" spans="1:5">
      <c r="A36" s="1286"/>
      <c r="B36" s="385" t="s">
        <v>1045</v>
      </c>
      <c r="C36" s="1304"/>
      <c r="D36" s="1293"/>
      <c r="E36" s="386" t="s">
        <v>1046</v>
      </c>
    </row>
    <row r="37" spans="1:5">
      <c r="A37" s="1284" t="s">
        <v>1047</v>
      </c>
      <c r="B37" s="385" t="s">
        <v>1048</v>
      </c>
      <c r="C37" s="1304"/>
      <c r="D37" s="1293"/>
      <c r="E37" s="386" t="s">
        <v>1049</v>
      </c>
    </row>
    <row r="38" spans="1:5">
      <c r="A38" s="1285"/>
      <c r="B38" s="385" t="s">
        <v>1050</v>
      </c>
      <c r="C38" s="1304"/>
      <c r="D38" s="1294"/>
      <c r="E38" s="386" t="s">
        <v>1051</v>
      </c>
    </row>
    <row r="39" spans="1:5">
      <c r="A39" s="1285"/>
      <c r="B39" s="385" t="s">
        <v>1052</v>
      </c>
      <c r="C39" s="1304"/>
      <c r="D39" s="1292" t="s">
        <v>1053</v>
      </c>
      <c r="E39" s="386" t="s">
        <v>1054</v>
      </c>
    </row>
    <row r="40" spans="1:5" ht="28.35">
      <c r="A40" s="1285"/>
      <c r="B40" s="385" t="s">
        <v>1055</v>
      </c>
      <c r="C40" s="1304"/>
      <c r="D40" s="1293"/>
      <c r="E40" s="386" t="s">
        <v>1056</v>
      </c>
    </row>
    <row r="41" spans="1:5">
      <c r="A41" s="1285"/>
      <c r="B41" s="385" t="s">
        <v>1057</v>
      </c>
      <c r="C41" s="1304"/>
      <c r="D41" s="1293"/>
      <c r="E41" s="386" t="s">
        <v>1058</v>
      </c>
    </row>
    <row r="42" spans="1:5">
      <c r="A42" s="1285"/>
      <c r="B42" s="385" t="s">
        <v>1059</v>
      </c>
      <c r="C42" s="1304"/>
      <c r="D42" s="1293"/>
      <c r="E42" s="386" t="s">
        <v>1060</v>
      </c>
    </row>
    <row r="43" spans="1:5">
      <c r="A43" s="1286"/>
      <c r="B43" s="385" t="s">
        <v>1061</v>
      </c>
      <c r="C43" s="1304"/>
      <c r="D43" s="1293"/>
      <c r="E43" s="386" t="s">
        <v>1062</v>
      </c>
    </row>
    <row r="44" spans="1:5">
      <c r="A44" s="1284" t="s">
        <v>1063</v>
      </c>
      <c r="B44" s="385" t="s">
        <v>1064</v>
      </c>
      <c r="C44" s="1304"/>
      <c r="D44" s="1293"/>
      <c r="E44" s="386" t="s">
        <v>1065</v>
      </c>
    </row>
    <row r="45" spans="1:5">
      <c r="A45" s="1285"/>
      <c r="B45" s="385" t="s">
        <v>1066</v>
      </c>
      <c r="C45" s="1304"/>
      <c r="D45" s="1293"/>
      <c r="E45" s="386" t="s">
        <v>1067</v>
      </c>
    </row>
    <row r="46" spans="1:5">
      <c r="A46" s="1285"/>
      <c r="B46" s="385" t="s">
        <v>1068</v>
      </c>
      <c r="C46" s="1304"/>
      <c r="D46" s="1293"/>
      <c r="E46" s="386" t="s">
        <v>1069</v>
      </c>
    </row>
    <row r="47" spans="1:5">
      <c r="A47" s="1285"/>
      <c r="B47" s="385" t="s">
        <v>1070</v>
      </c>
      <c r="C47" s="1305"/>
      <c r="D47" s="1294"/>
      <c r="E47" s="386" t="s">
        <v>1051</v>
      </c>
    </row>
    <row r="48" spans="1:5">
      <c r="A48" s="1285"/>
      <c r="B48" s="385" t="s">
        <v>1071</v>
      </c>
      <c r="C48" s="1303" t="s">
        <v>1072</v>
      </c>
      <c r="D48" s="1292" t="s">
        <v>1073</v>
      </c>
      <c r="E48" s="386" t="s">
        <v>1074</v>
      </c>
    </row>
    <row r="49" spans="1:5">
      <c r="A49" s="1285"/>
      <c r="B49" s="385" t="s">
        <v>1075</v>
      </c>
      <c r="C49" s="1304"/>
      <c r="D49" s="1293"/>
      <c r="E49" s="386" t="s">
        <v>1076</v>
      </c>
    </row>
    <row r="50" spans="1:5">
      <c r="A50" s="1285"/>
      <c r="B50" s="385" t="s">
        <v>1077</v>
      </c>
      <c r="C50" s="1304"/>
      <c r="D50" s="1293"/>
      <c r="E50" s="386" t="s">
        <v>1078</v>
      </c>
    </row>
    <row r="51" spans="1:5">
      <c r="A51" s="1285"/>
      <c r="B51" s="385" t="s">
        <v>1079</v>
      </c>
      <c r="C51" s="1304"/>
      <c r="D51" s="1293"/>
      <c r="E51" s="386" t="s">
        <v>1080</v>
      </c>
    </row>
    <row r="52" spans="1:5">
      <c r="A52" s="1285"/>
      <c r="B52" s="385" t="s">
        <v>1081</v>
      </c>
      <c r="C52" s="1304"/>
      <c r="D52" s="1293"/>
      <c r="E52" s="386" t="s">
        <v>1082</v>
      </c>
    </row>
    <row r="53" spans="1:5">
      <c r="A53" s="1285"/>
      <c r="B53" s="385" t="s">
        <v>1083</v>
      </c>
      <c r="C53" s="1304"/>
      <c r="D53" s="1293"/>
      <c r="E53" s="386" t="s">
        <v>1084</v>
      </c>
    </row>
    <row r="54" spans="1:5">
      <c r="A54" s="1285"/>
      <c r="B54" s="385" t="s">
        <v>1085</v>
      </c>
      <c r="C54" s="1304"/>
      <c r="D54" s="1293"/>
      <c r="E54" s="386" t="s">
        <v>1086</v>
      </c>
    </row>
    <row r="55" spans="1:5">
      <c r="A55" s="1285"/>
      <c r="B55" s="385" t="s">
        <v>1087</v>
      </c>
      <c r="C55" s="1304"/>
      <c r="D55" s="1293"/>
      <c r="E55" s="386" t="s">
        <v>1088</v>
      </c>
    </row>
    <row r="56" spans="1:5">
      <c r="A56" s="1285"/>
      <c r="B56" s="385" t="s">
        <v>1089</v>
      </c>
      <c r="C56" s="1304"/>
      <c r="D56" s="1294"/>
      <c r="E56" s="386" t="s">
        <v>1090</v>
      </c>
    </row>
    <row r="57" spans="1:5">
      <c r="A57" s="1285"/>
      <c r="B57" s="385" t="s">
        <v>1091</v>
      </c>
      <c r="C57" s="1304"/>
      <c r="D57" s="1292" t="s">
        <v>1092</v>
      </c>
      <c r="E57" s="386" t="s">
        <v>1093</v>
      </c>
    </row>
    <row r="58" spans="1:5">
      <c r="A58" s="1286"/>
      <c r="B58" s="385" t="s">
        <v>1094</v>
      </c>
      <c r="C58" s="1304"/>
      <c r="D58" s="1293"/>
      <c r="E58" s="386" t="s">
        <v>1095</v>
      </c>
    </row>
    <row r="59" spans="1:5">
      <c r="A59" s="1284" t="s">
        <v>1096</v>
      </c>
      <c r="B59" s="385" t="s">
        <v>1097</v>
      </c>
      <c r="C59" s="1304"/>
      <c r="D59" s="1293"/>
      <c r="E59" s="386" t="s">
        <v>1098</v>
      </c>
    </row>
    <row r="60" spans="1:5">
      <c r="A60" s="1285"/>
      <c r="B60" s="385" t="s">
        <v>1099</v>
      </c>
      <c r="C60" s="1304"/>
      <c r="D60" s="1293"/>
      <c r="E60" s="386" t="s">
        <v>1100</v>
      </c>
    </row>
    <row r="61" spans="1:5">
      <c r="A61" s="1285"/>
      <c r="B61" s="385" t="s">
        <v>1101</v>
      </c>
      <c r="C61" s="1304"/>
      <c r="D61" s="1293"/>
      <c r="E61" s="386" t="s">
        <v>1102</v>
      </c>
    </row>
    <row r="62" spans="1:5">
      <c r="A62" s="1285"/>
      <c r="B62" s="385" t="s">
        <v>1103</v>
      </c>
      <c r="C62" s="1304"/>
      <c r="D62" s="1293"/>
      <c r="E62" s="386" t="s">
        <v>1104</v>
      </c>
    </row>
    <row r="63" spans="1:5">
      <c r="A63" s="1285"/>
      <c r="B63" s="385" t="s">
        <v>1105</v>
      </c>
      <c r="C63" s="1304"/>
      <c r="D63" s="1294"/>
      <c r="E63" s="386" t="s">
        <v>1106</v>
      </c>
    </row>
    <row r="64" spans="1:5">
      <c r="A64" s="1286"/>
      <c r="B64" s="385" t="s">
        <v>1107</v>
      </c>
      <c r="C64" s="1304"/>
      <c r="D64" s="1292" t="s">
        <v>1108</v>
      </c>
      <c r="E64" s="386" t="s">
        <v>1109</v>
      </c>
    </row>
    <row r="65" spans="1:5">
      <c r="A65" s="1284" t="s">
        <v>1110</v>
      </c>
      <c r="B65" s="385" t="s">
        <v>1111</v>
      </c>
      <c r="C65" s="1304"/>
      <c r="D65" s="1293"/>
      <c r="E65" s="386" t="s">
        <v>1112</v>
      </c>
    </row>
    <row r="66" spans="1:5">
      <c r="A66" s="1285"/>
      <c r="B66" s="385" t="s">
        <v>1113</v>
      </c>
      <c r="C66" s="1304"/>
      <c r="D66" s="1293"/>
      <c r="E66" s="386" t="s">
        <v>1114</v>
      </c>
    </row>
    <row r="67" spans="1:5">
      <c r="A67" s="1285"/>
      <c r="B67" s="385" t="s">
        <v>1115</v>
      </c>
      <c r="C67" s="1304"/>
      <c r="D67" s="1293"/>
      <c r="E67" s="386" t="s">
        <v>1116</v>
      </c>
    </row>
    <row r="68" spans="1:5">
      <c r="A68" s="1285"/>
      <c r="B68" s="385" t="s">
        <v>1117</v>
      </c>
      <c r="C68" s="1304"/>
      <c r="D68" s="1293"/>
      <c r="E68" s="386" t="s">
        <v>1118</v>
      </c>
    </row>
    <row r="69" spans="1:5">
      <c r="A69" s="1286"/>
      <c r="B69" s="385" t="s">
        <v>1119</v>
      </c>
      <c r="C69" s="1304"/>
      <c r="D69" s="1293"/>
      <c r="E69" s="386" t="s">
        <v>1120</v>
      </c>
    </row>
    <row r="70" spans="1:5">
      <c r="A70" s="1284" t="s">
        <v>1121</v>
      </c>
      <c r="B70" s="385" t="s">
        <v>1122</v>
      </c>
      <c r="C70" s="1304"/>
      <c r="D70" s="1293"/>
      <c r="E70" s="386" t="s">
        <v>1123</v>
      </c>
    </row>
    <row r="71" spans="1:5" ht="28.35">
      <c r="A71" s="1285"/>
      <c r="B71" s="385" t="s">
        <v>1124</v>
      </c>
      <c r="C71" s="1304"/>
      <c r="D71" s="1293"/>
      <c r="E71" s="386" t="s">
        <v>1125</v>
      </c>
    </row>
    <row r="72" spans="1:5" ht="28.35">
      <c r="A72" s="1285"/>
      <c r="B72" s="385" t="s">
        <v>1126</v>
      </c>
      <c r="C72" s="1304"/>
      <c r="D72" s="1293"/>
      <c r="E72" s="386" t="s">
        <v>1127</v>
      </c>
    </row>
    <row r="73" spans="1:5">
      <c r="A73" s="1285"/>
      <c r="B73" s="385" t="s">
        <v>1128</v>
      </c>
      <c r="C73" s="1304"/>
      <c r="D73" s="1294"/>
      <c r="E73" s="386" t="s">
        <v>1129</v>
      </c>
    </row>
    <row r="74" spans="1:5">
      <c r="A74" s="1285"/>
      <c r="B74" s="385" t="s">
        <v>1130</v>
      </c>
      <c r="C74" s="1304"/>
      <c r="D74" s="1292" t="s">
        <v>1131</v>
      </c>
      <c r="E74" s="386" t="s">
        <v>1132</v>
      </c>
    </row>
    <row r="75" spans="1:5">
      <c r="A75" s="1285"/>
      <c r="B75" s="385" t="s">
        <v>1133</v>
      </c>
      <c r="C75" s="1304"/>
      <c r="D75" s="1293"/>
      <c r="E75" s="386" t="s">
        <v>1134</v>
      </c>
    </row>
    <row r="76" spans="1:5">
      <c r="A76" s="1285"/>
      <c r="B76" s="385" t="s">
        <v>1135</v>
      </c>
      <c r="C76" s="1304"/>
      <c r="D76" s="1293"/>
      <c r="E76" s="386" t="s">
        <v>1136</v>
      </c>
    </row>
    <row r="77" spans="1:5">
      <c r="A77" s="1285"/>
      <c r="B77" s="385" t="s">
        <v>1137</v>
      </c>
      <c r="C77" s="1304"/>
      <c r="D77" s="1294"/>
      <c r="E77" s="386" t="s">
        <v>1138</v>
      </c>
    </row>
    <row r="78" spans="1:5">
      <c r="A78" s="1285"/>
      <c r="B78" s="385" t="s">
        <v>1139</v>
      </c>
      <c r="C78" s="1304"/>
      <c r="D78" s="1292" t="s">
        <v>1140</v>
      </c>
      <c r="E78" s="386" t="s">
        <v>1141</v>
      </c>
    </row>
    <row r="79" spans="1:5">
      <c r="A79" s="1285"/>
      <c r="B79" s="385" t="s">
        <v>1142</v>
      </c>
      <c r="C79" s="1304"/>
      <c r="D79" s="1293"/>
      <c r="E79" s="386" t="s">
        <v>1143</v>
      </c>
    </row>
    <row r="80" spans="1:5">
      <c r="A80" s="1286"/>
      <c r="B80" s="385" t="s">
        <v>1144</v>
      </c>
      <c r="C80" s="1304"/>
      <c r="D80" s="1293"/>
      <c r="E80" s="386" t="s">
        <v>1145</v>
      </c>
    </row>
    <row r="81" spans="1:5">
      <c r="A81" s="1284" t="s">
        <v>1146</v>
      </c>
      <c r="B81" s="385" t="s">
        <v>1147</v>
      </c>
      <c r="C81" s="1304"/>
      <c r="D81" s="1293"/>
      <c r="E81" s="386" t="s">
        <v>1148</v>
      </c>
    </row>
    <row r="82" spans="1:5">
      <c r="A82" s="1285"/>
      <c r="B82" s="385" t="s">
        <v>1149</v>
      </c>
      <c r="C82" s="1304"/>
      <c r="D82" s="1293"/>
      <c r="E82" s="386" t="s">
        <v>1150</v>
      </c>
    </row>
    <row r="83" spans="1:5">
      <c r="A83" s="1285"/>
      <c r="B83" s="385" t="s">
        <v>1151</v>
      </c>
      <c r="C83" s="1305"/>
      <c r="D83" s="1294"/>
      <c r="E83" s="386" t="s">
        <v>1152</v>
      </c>
    </row>
    <row r="84" spans="1:5">
      <c r="A84" s="1285"/>
      <c r="B84" s="385" t="s">
        <v>1153</v>
      </c>
      <c r="C84" s="1295" t="s">
        <v>1154</v>
      </c>
      <c r="D84" s="1296"/>
      <c r="E84" s="386" t="s">
        <v>1155</v>
      </c>
    </row>
    <row r="85" spans="1:5">
      <c r="A85" s="1285"/>
      <c r="B85" s="385" t="s">
        <v>1156</v>
      </c>
      <c r="C85" s="1297"/>
      <c r="D85" s="1298"/>
      <c r="E85" s="386" t="s">
        <v>1157</v>
      </c>
    </row>
    <row r="86" spans="1:5">
      <c r="A86" s="1285"/>
      <c r="B86" s="385" t="s">
        <v>1158</v>
      </c>
      <c r="C86" s="1297"/>
      <c r="D86" s="1298"/>
      <c r="E86" s="386" t="s">
        <v>1159</v>
      </c>
    </row>
    <row r="87" spans="1:5">
      <c r="A87" s="1285"/>
      <c r="B87" s="385" t="s">
        <v>1160</v>
      </c>
      <c r="C87" s="1297"/>
      <c r="D87" s="1298"/>
      <c r="E87" s="386" t="s">
        <v>1161</v>
      </c>
    </row>
    <row r="88" spans="1:5">
      <c r="A88" s="1285"/>
      <c r="B88" s="385" t="s">
        <v>1162</v>
      </c>
      <c r="C88" s="1297"/>
      <c r="D88" s="1298"/>
      <c r="E88" s="386" t="s">
        <v>1163</v>
      </c>
    </row>
    <row r="89" spans="1:5">
      <c r="A89" s="1285"/>
      <c r="B89" s="385" t="s">
        <v>1164</v>
      </c>
      <c r="C89" s="1297"/>
      <c r="D89" s="1298"/>
      <c r="E89" s="386" t="s">
        <v>1165</v>
      </c>
    </row>
    <row r="90" spans="1:5">
      <c r="A90" s="1285"/>
      <c r="B90" s="385" t="s">
        <v>1166</v>
      </c>
      <c r="C90" s="1299"/>
      <c r="D90" s="1300"/>
      <c r="E90" s="386" t="s">
        <v>1167</v>
      </c>
    </row>
    <row r="91" spans="1:5">
      <c r="A91" s="1285"/>
      <c r="B91" s="385" t="s">
        <v>1168</v>
      </c>
      <c r="C91" s="1295" t="s">
        <v>1169</v>
      </c>
      <c r="D91" s="1296"/>
      <c r="E91" s="386" t="s">
        <v>1170</v>
      </c>
    </row>
    <row r="92" spans="1:5" ht="15" thickBot="1">
      <c r="A92" s="1285"/>
      <c r="B92" s="385" t="s">
        <v>1171</v>
      </c>
      <c r="C92" s="1301"/>
      <c r="D92" s="1302"/>
      <c r="E92" s="387" t="s">
        <v>1172</v>
      </c>
    </row>
    <row r="93" spans="1:5">
      <c r="A93" s="1285"/>
      <c r="B93" s="388" t="s">
        <v>1173</v>
      </c>
      <c r="C93" s="389"/>
    </row>
    <row r="94" spans="1:5">
      <c r="A94" s="1286"/>
      <c r="B94" s="388" t="s">
        <v>1174</v>
      </c>
      <c r="C94" s="389"/>
    </row>
    <row r="95" spans="1:5">
      <c r="A95" s="1284" t="s">
        <v>1175</v>
      </c>
      <c r="B95" s="388" t="s">
        <v>1176</v>
      </c>
      <c r="C95" s="389"/>
    </row>
    <row r="96" spans="1:5">
      <c r="A96" s="1285"/>
      <c r="B96" s="388" t="s">
        <v>1177</v>
      </c>
      <c r="C96" s="389"/>
    </row>
    <row r="97" spans="1:3">
      <c r="A97" s="1285"/>
      <c r="B97" s="388" t="s">
        <v>1178</v>
      </c>
      <c r="C97" s="389"/>
    </row>
    <row r="98" spans="1:3">
      <c r="A98" s="1285"/>
      <c r="B98" s="388" t="s">
        <v>1179</v>
      </c>
      <c r="C98" s="389"/>
    </row>
    <row r="99" spans="1:3">
      <c r="A99" s="1286"/>
      <c r="B99" s="388" t="s">
        <v>1180</v>
      </c>
      <c r="C99" s="389"/>
    </row>
    <row r="100" spans="1:3">
      <c r="A100" s="1284" t="s">
        <v>1181</v>
      </c>
      <c r="B100" s="388" t="s">
        <v>1182</v>
      </c>
      <c r="C100" s="389"/>
    </row>
    <row r="101" spans="1:3">
      <c r="A101" s="1285"/>
      <c r="B101" s="388" t="s">
        <v>1183</v>
      </c>
      <c r="C101" s="389"/>
    </row>
    <row r="102" spans="1:3">
      <c r="A102" s="1286"/>
      <c r="B102" s="388" t="s">
        <v>1184</v>
      </c>
      <c r="C102" s="389"/>
    </row>
    <row r="103" spans="1:3">
      <c r="A103" s="1287"/>
      <c r="B103" s="1287"/>
      <c r="C103" s="1288"/>
    </row>
    <row r="104" spans="1:3">
      <c r="A104" s="1289"/>
      <c r="B104" s="1289"/>
      <c r="C104" s="1290"/>
    </row>
  </sheetData>
  <mergeCells count="30">
    <mergeCell ref="A59:A64"/>
    <mergeCell ref="D64:D73"/>
    <mergeCell ref="A65:A69"/>
    <mergeCell ref="A70:A80"/>
    <mergeCell ref="C4:E4"/>
    <mergeCell ref="A5:A17"/>
    <mergeCell ref="C5:C29"/>
    <mergeCell ref="D5:D10"/>
    <mergeCell ref="D11:D17"/>
    <mergeCell ref="A18:A36"/>
    <mergeCell ref="D18:D20"/>
    <mergeCell ref="D21:D29"/>
    <mergeCell ref="C30:C47"/>
    <mergeCell ref="D30:D38"/>
    <mergeCell ref="A100:A102"/>
    <mergeCell ref="A103:C103"/>
    <mergeCell ref="A104:C104"/>
    <mergeCell ref="B1:E1"/>
    <mergeCell ref="D74:D77"/>
    <mergeCell ref="D78:D83"/>
    <mergeCell ref="A81:A94"/>
    <mergeCell ref="C84:D90"/>
    <mergeCell ref="C91:D92"/>
    <mergeCell ref="A95:A99"/>
    <mergeCell ref="A37:A43"/>
    <mergeCell ref="D39:D47"/>
    <mergeCell ref="A44:A58"/>
    <mergeCell ref="C48:C83"/>
    <mergeCell ref="D48:D56"/>
    <mergeCell ref="D57:D6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C3DF-CA9F-4C05-8155-74A36D4CCA3F}">
  <sheetPr>
    <tabColor theme="4"/>
  </sheetPr>
  <dimension ref="A2:F27"/>
  <sheetViews>
    <sheetView topLeftCell="A9" workbookViewId="0">
      <selection activeCell="G21" sqref="G21"/>
    </sheetView>
  </sheetViews>
  <sheetFormatPr defaultColWidth="11.42578125" defaultRowHeight="14.65"/>
  <cols>
    <col min="1" max="1" width="53.42578125" style="342" customWidth="1"/>
    <col min="2" max="2" width="11.42578125" style="390"/>
    <col min="3" max="3" width="16.140625" style="390" bestFit="1" customWidth="1"/>
    <col min="4" max="6" width="11.42578125" style="390"/>
    <col min="7" max="16384" width="11.42578125" style="342"/>
  </cols>
  <sheetData>
    <row r="2" spans="1:3" ht="23.1">
      <c r="A2" s="1308" t="s">
        <v>1185</v>
      </c>
      <c r="B2" s="1308"/>
      <c r="C2" s="1308"/>
    </row>
    <row r="4" spans="1:3" ht="20.65">
      <c r="A4" s="391" t="s">
        <v>1186</v>
      </c>
      <c r="B4" s="392"/>
      <c r="C4" s="392"/>
    </row>
    <row r="5" spans="1:3">
      <c r="A5" s="357"/>
      <c r="B5" s="393" t="s">
        <v>542</v>
      </c>
      <c r="C5" s="393" t="s">
        <v>1187</v>
      </c>
    </row>
    <row r="6" spans="1:3">
      <c r="A6" s="394" t="s">
        <v>610</v>
      </c>
      <c r="B6" s="394">
        <v>1</v>
      </c>
      <c r="C6" s="981">
        <v>11600</v>
      </c>
    </row>
    <row r="7" spans="1:3">
      <c r="A7" s="394" t="s">
        <v>1188</v>
      </c>
      <c r="B7" s="394">
        <v>1</v>
      </c>
      <c r="C7" s="981">
        <v>2000000</v>
      </c>
    </row>
    <row r="8" spans="1:3">
      <c r="A8" s="394" t="s">
        <v>1189</v>
      </c>
      <c r="B8" s="394">
        <v>1</v>
      </c>
      <c r="C8" s="981">
        <v>8100</v>
      </c>
    </row>
    <row r="9" spans="1:3">
      <c r="A9" s="394" t="s">
        <v>1190</v>
      </c>
      <c r="B9" s="394">
        <v>1</v>
      </c>
      <c r="C9" s="981">
        <v>36000</v>
      </c>
    </row>
    <row r="10" spans="1:3">
      <c r="A10" s="394" t="s">
        <v>1191</v>
      </c>
      <c r="B10" s="394">
        <v>1</v>
      </c>
      <c r="C10" s="981">
        <v>0</v>
      </c>
    </row>
    <row r="11" spans="1:3">
      <c r="A11" s="394" t="s">
        <v>613</v>
      </c>
      <c r="B11" s="394">
        <v>1</v>
      </c>
      <c r="C11" s="981">
        <v>69000</v>
      </c>
    </row>
    <row r="12" spans="1:3">
      <c r="A12" s="394" t="s">
        <v>1192</v>
      </c>
      <c r="B12" s="394"/>
      <c r="C12" s="981"/>
    </row>
    <row r="13" spans="1:3">
      <c r="A13" s="106" t="s">
        <v>690</v>
      </c>
      <c r="B13" s="394"/>
      <c r="C13" s="982">
        <f>SUM(C6:C12)</f>
        <v>2124700</v>
      </c>
    </row>
    <row r="14" spans="1:3">
      <c r="A14" s="357"/>
      <c r="B14" s="394"/>
      <c r="C14" s="394"/>
    </row>
    <row r="15" spans="1:3">
      <c r="A15" s="357"/>
      <c r="B15" s="394"/>
      <c r="C15" s="394"/>
    </row>
    <row r="16" spans="1:3" ht="20.65">
      <c r="A16" s="1307" t="s">
        <v>1193</v>
      </c>
      <c r="B16" s="1307"/>
      <c r="C16" s="1307"/>
    </row>
    <row r="17" spans="1:3">
      <c r="B17" s="393" t="s">
        <v>542</v>
      </c>
      <c r="C17" s="393" t="s">
        <v>1187</v>
      </c>
    </row>
    <row r="18" spans="1:3">
      <c r="A18" s="395" t="s">
        <v>1194</v>
      </c>
      <c r="B18" s="394">
        <v>1</v>
      </c>
      <c r="C18" s="981">
        <v>23100</v>
      </c>
    </row>
    <row r="19" spans="1:3">
      <c r="A19" s="394" t="s">
        <v>615</v>
      </c>
      <c r="B19" s="394"/>
      <c r="C19" s="981">
        <v>0</v>
      </c>
    </row>
    <row r="20" spans="1:3">
      <c r="A20" s="394" t="s">
        <v>1195</v>
      </c>
      <c r="B20" s="394">
        <v>1</v>
      </c>
      <c r="C20" s="981">
        <v>50000</v>
      </c>
    </row>
    <row r="21" spans="1:3">
      <c r="A21" s="394" t="s">
        <v>616</v>
      </c>
      <c r="B21" s="394"/>
      <c r="C21" s="981">
        <v>0</v>
      </c>
    </row>
    <row r="22" spans="1:3">
      <c r="A22" s="394" t="s">
        <v>617</v>
      </c>
      <c r="B22" s="394"/>
      <c r="C22" s="981">
        <v>0</v>
      </c>
    </row>
    <row r="23" spans="1:3">
      <c r="A23" s="394" t="s">
        <v>1196</v>
      </c>
      <c r="B23" s="394"/>
      <c r="C23" s="981">
        <v>0</v>
      </c>
    </row>
    <row r="24" spans="1:3">
      <c r="A24" s="394" t="s">
        <v>619</v>
      </c>
      <c r="B24" s="394">
        <v>1</v>
      </c>
      <c r="C24" s="981">
        <v>1500000</v>
      </c>
    </row>
    <row r="25" spans="1:3">
      <c r="A25" s="394" t="s">
        <v>620</v>
      </c>
      <c r="B25" s="394"/>
      <c r="C25" s="981">
        <v>0</v>
      </c>
    </row>
    <row r="26" spans="1:3">
      <c r="A26" s="394" t="s">
        <v>1197</v>
      </c>
      <c r="B26" s="394">
        <v>1</v>
      </c>
      <c r="C26" s="981">
        <v>1600000</v>
      </c>
    </row>
    <row r="27" spans="1:3">
      <c r="A27" s="106" t="s">
        <v>690</v>
      </c>
      <c r="B27" s="394"/>
      <c r="C27" s="982">
        <f>SUM(C26:C26)</f>
        <v>1600000</v>
      </c>
    </row>
  </sheetData>
  <mergeCells count="2">
    <mergeCell ref="A16:C16"/>
    <mergeCell ref="A2:C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T180"/>
  <sheetViews>
    <sheetView tabSelected="1" topLeftCell="A132" zoomScale="70" zoomScaleNormal="70" workbookViewId="0">
      <selection activeCell="F103" sqref="F103"/>
    </sheetView>
  </sheetViews>
  <sheetFormatPr defaultColWidth="11.42578125" defaultRowHeight="15.95"/>
  <cols>
    <col min="1" max="1" width="6.140625" style="125" customWidth="1"/>
    <col min="2" max="2" width="94.28515625" style="125" bestFit="1" customWidth="1"/>
    <col min="3" max="3" width="28.140625" style="125" customWidth="1"/>
    <col min="4" max="5" width="27.85546875" style="125" customWidth="1"/>
    <col min="6" max="6" width="31.140625" style="125" customWidth="1"/>
    <col min="7" max="7" width="37.7109375" style="125" customWidth="1"/>
    <col min="8" max="8" width="37.42578125" style="125" customWidth="1"/>
    <col min="9" max="9" width="24.7109375" style="125" customWidth="1"/>
    <col min="10" max="10" width="26.28515625" style="400" customWidth="1"/>
    <col min="11" max="11" width="24.28515625" style="400" customWidth="1"/>
    <col min="12" max="12" width="21.7109375" style="400" customWidth="1"/>
    <col min="13" max="13" width="17.140625" style="400" bestFit="1" customWidth="1"/>
    <col min="14" max="19" width="11.42578125" style="400"/>
    <col min="20" max="16384" width="11.42578125" style="125"/>
  </cols>
  <sheetData>
    <row r="1" spans="2:10" ht="16.350000000000001" thickBot="1"/>
    <row r="2" spans="2:10" ht="15" customHeight="1">
      <c r="B2" s="1309" t="s">
        <v>1198</v>
      </c>
      <c r="C2" s="1310"/>
      <c r="D2" s="1310"/>
      <c r="E2" s="1310"/>
      <c r="F2" s="1310"/>
      <c r="G2" s="1310"/>
      <c r="H2" s="1310"/>
      <c r="I2" s="1311"/>
      <c r="J2" s="185"/>
    </row>
    <row r="3" spans="2:10" ht="15" customHeight="1" thickBot="1">
      <c r="B3" s="1312"/>
      <c r="C3" s="1313"/>
      <c r="D3" s="1313"/>
      <c r="E3" s="1313"/>
      <c r="F3" s="1313"/>
      <c r="G3" s="1313"/>
      <c r="H3" s="1313"/>
      <c r="I3" s="1314"/>
      <c r="J3" s="185"/>
    </row>
    <row r="4" spans="2:10">
      <c r="B4" s="126"/>
    </row>
    <row r="5" spans="2:10">
      <c r="B5" s="126"/>
    </row>
    <row r="6" spans="2:10" ht="24" customHeight="1">
      <c r="B6" s="1315" t="s">
        <v>1199</v>
      </c>
      <c r="C6" s="1315"/>
      <c r="D6" s="1315"/>
      <c r="E6" s="1315"/>
      <c r="F6" s="1315"/>
      <c r="G6" s="1315"/>
      <c r="H6" s="1315"/>
      <c r="I6" s="1315"/>
      <c r="J6" s="413"/>
    </row>
    <row r="7" spans="2:10">
      <c r="B7" s="200"/>
      <c r="C7" s="177">
        <v>0</v>
      </c>
      <c r="D7" s="177">
        <v>1</v>
      </c>
      <c r="E7" s="177">
        <v>2</v>
      </c>
      <c r="F7" s="177">
        <v>3</v>
      </c>
      <c r="G7" s="177">
        <v>4</v>
      </c>
      <c r="H7" s="177">
        <v>5</v>
      </c>
      <c r="I7" s="216"/>
    </row>
    <row r="8" spans="2:10">
      <c r="B8" s="200" t="s">
        <v>1200</v>
      </c>
      <c r="C8" s="496"/>
      <c r="D8" s="496"/>
      <c r="E8" s="496">
        <f>5%+1%</f>
        <v>6.0000000000000005E-2</v>
      </c>
      <c r="F8" s="496">
        <f t="shared" ref="F8:H8" si="0">E8+1%</f>
        <v>7.0000000000000007E-2</v>
      </c>
      <c r="G8" s="496">
        <f t="shared" si="0"/>
        <v>0.08</v>
      </c>
      <c r="H8" s="496">
        <f t="shared" si="0"/>
        <v>0.09</v>
      </c>
      <c r="I8" s="216"/>
    </row>
    <row r="9" spans="2:10">
      <c r="B9" s="200" t="s">
        <v>1201</v>
      </c>
      <c r="C9" s="983">
        <v>5.5100000000000003E-2</v>
      </c>
      <c r="D9" s="984">
        <f>C9*(1+3%)</f>
        <v>5.6753000000000005E-2</v>
      </c>
      <c r="E9" s="984">
        <f t="shared" ref="E9:H9" si="1">D9*(1+3%)</f>
        <v>5.8455590000000009E-2</v>
      </c>
      <c r="F9" s="984">
        <f t="shared" si="1"/>
        <v>6.0209257700000011E-2</v>
      </c>
      <c r="G9" s="984">
        <f t="shared" si="1"/>
        <v>6.201553543100001E-2</v>
      </c>
      <c r="H9" s="984">
        <f t="shared" si="1"/>
        <v>6.387600149393001E-2</v>
      </c>
      <c r="I9" s="216"/>
    </row>
    <row r="10" spans="2:10">
      <c r="B10" s="200" t="s">
        <v>1202</v>
      </c>
      <c r="C10" s="216"/>
      <c r="D10" s="216"/>
      <c r="E10" s="216"/>
      <c r="F10" s="216"/>
      <c r="G10" s="216"/>
      <c r="H10" s="216"/>
      <c r="I10" s="216"/>
    </row>
    <row r="11" spans="2:10" ht="26.25" customHeight="1">
      <c r="B11" s="200" t="s">
        <v>1203</v>
      </c>
      <c r="C11" s="497"/>
      <c r="D11" s="496">
        <v>0.3</v>
      </c>
      <c r="E11" s="496">
        <v>0.3</v>
      </c>
      <c r="F11" s="496">
        <v>0.3</v>
      </c>
      <c r="G11" s="496">
        <v>0.3</v>
      </c>
      <c r="H11" s="496">
        <v>0.3</v>
      </c>
      <c r="I11" s="496"/>
      <c r="J11" s="396"/>
    </row>
    <row r="12" spans="2:10" ht="26.25" customHeight="1">
      <c r="B12" s="522"/>
      <c r="C12" s="523"/>
      <c r="D12" s="524"/>
      <c r="E12" s="524"/>
      <c r="F12" s="524"/>
      <c r="G12" s="524"/>
      <c r="H12" s="524"/>
      <c r="I12" s="524"/>
      <c r="J12" s="396"/>
    </row>
    <row r="13" spans="2:10" ht="26.25" customHeight="1">
      <c r="B13" s="522" t="s">
        <v>1204</v>
      </c>
      <c r="C13" s="523"/>
      <c r="D13" s="525">
        <v>500</v>
      </c>
      <c r="E13" s="525">
        <f>D13*(1+E8)</f>
        <v>530</v>
      </c>
      <c r="F13" s="525">
        <f t="shared" ref="F13:H13" si="2">E13*(1+F8)</f>
        <v>567.1</v>
      </c>
      <c r="G13" s="525">
        <f t="shared" si="2"/>
        <v>612.46800000000007</v>
      </c>
      <c r="H13" s="525">
        <f t="shared" si="2"/>
        <v>667.59012000000018</v>
      </c>
      <c r="I13" s="525"/>
      <c r="J13" s="396"/>
    </row>
    <row r="14" spans="2:10" ht="26.25" customHeight="1">
      <c r="B14" s="522"/>
      <c r="C14" s="523"/>
      <c r="D14" s="524"/>
      <c r="E14" s="524"/>
      <c r="F14" s="524"/>
      <c r="G14" s="524"/>
      <c r="H14" s="524"/>
      <c r="I14" s="524"/>
      <c r="J14" s="396"/>
    </row>
    <row r="15" spans="2:10" ht="26.25" customHeight="1">
      <c r="B15" s="522" t="s">
        <v>1205</v>
      </c>
      <c r="C15" s="523">
        <f>'Identificación de costos'!D88</f>
        <v>1091814.9212371134</v>
      </c>
      <c r="D15" s="526">
        <f>C15*(1+$C$9)</f>
        <v>1151973.9233972782</v>
      </c>
      <c r="E15" s="526">
        <f t="shared" ref="E15:H15" si="3">D15*(1+$C$9)</f>
        <v>1215447.6865764682</v>
      </c>
      <c r="F15" s="526">
        <f t="shared" si="3"/>
        <v>1282418.8541068314</v>
      </c>
      <c r="G15" s="526">
        <f t="shared" si="3"/>
        <v>1353080.1329681177</v>
      </c>
      <c r="H15" s="526">
        <f t="shared" si="3"/>
        <v>1427634.8482946609</v>
      </c>
      <c r="I15" s="527"/>
      <c r="J15" s="396"/>
    </row>
    <row r="16" spans="2:10" ht="26.25" customHeight="1">
      <c r="B16" s="522" t="s">
        <v>1206</v>
      </c>
      <c r="C16" s="523"/>
      <c r="D16" s="986">
        <v>30000</v>
      </c>
      <c r="E16" s="986">
        <f>D16*($C$9+1)</f>
        <v>31652.999999999996</v>
      </c>
      <c r="F16" s="986">
        <f t="shared" ref="F16:H16" si="4">E16*($C$9+1)</f>
        <v>33397.080299999994</v>
      </c>
      <c r="G16" s="986">
        <f t="shared" si="4"/>
        <v>35237.259424529992</v>
      </c>
      <c r="H16" s="986">
        <f t="shared" si="4"/>
        <v>37178.832418821592</v>
      </c>
      <c r="I16" s="527"/>
      <c r="J16" s="396"/>
    </row>
    <row r="17" spans="1:19" ht="26.25" customHeight="1">
      <c r="B17" s="522"/>
      <c r="C17" s="523"/>
      <c r="D17" s="524"/>
      <c r="E17" s="524"/>
      <c r="F17" s="524"/>
      <c r="G17" s="524"/>
      <c r="H17" s="524"/>
      <c r="I17" s="524"/>
      <c r="J17" s="396"/>
    </row>
    <row r="18" spans="1:19" ht="21" thickBot="1">
      <c r="B18" s="131"/>
      <c r="C18" s="1320" t="s">
        <v>1207</v>
      </c>
      <c r="D18" s="1320"/>
      <c r="E18" s="1320"/>
      <c r="F18" s="1320"/>
      <c r="G18" s="1320"/>
      <c r="H18" s="1320"/>
      <c r="I18" s="1320"/>
    </row>
    <row r="19" spans="1:19" ht="34.5" customHeight="1">
      <c r="B19" s="132"/>
      <c r="C19" s="133">
        <v>0</v>
      </c>
      <c r="D19" s="133">
        <v>1</v>
      </c>
      <c r="E19" s="133">
        <v>2</v>
      </c>
      <c r="F19" s="133">
        <v>3</v>
      </c>
      <c r="G19" s="133">
        <v>4</v>
      </c>
      <c r="H19" s="177">
        <v>5</v>
      </c>
      <c r="J19" s="185"/>
    </row>
    <row r="20" spans="1:19" ht="42.75" customHeight="1">
      <c r="B20" s="135" t="s">
        <v>1208</v>
      </c>
      <c r="C20" s="426"/>
      <c r="D20" s="427">
        <f>+D13*D15</f>
        <v>575986961.69863904</v>
      </c>
      <c r="E20" s="427">
        <f t="shared" ref="E20:H20" si="5">+E13*E15</f>
        <v>644187273.88552809</v>
      </c>
      <c r="F20" s="427">
        <f t="shared" si="5"/>
        <v>727259732.16398406</v>
      </c>
      <c r="G20" s="427">
        <f t="shared" si="5"/>
        <v>828718282.87871718</v>
      </c>
      <c r="H20" s="427">
        <f t="shared" si="5"/>
        <v>953074919.68921471</v>
      </c>
      <c r="I20" s="442"/>
      <c r="J20" s="414"/>
    </row>
    <row r="21" spans="1:19" s="134" customFormat="1" ht="42.75" customHeight="1">
      <c r="A21" s="125"/>
      <c r="B21" s="135" t="s">
        <v>1209</v>
      </c>
      <c r="C21" s="426"/>
      <c r="D21" s="576">
        <f>SUM(D20)</f>
        <v>575986961.69863904</v>
      </c>
      <c r="E21" s="576">
        <f t="shared" ref="E21:H21" si="6">SUM(E20)</f>
        <v>644187273.88552809</v>
      </c>
      <c r="F21" s="576">
        <f t="shared" si="6"/>
        <v>727259732.16398406</v>
      </c>
      <c r="G21" s="576">
        <f t="shared" si="6"/>
        <v>828718282.87871718</v>
      </c>
      <c r="H21" s="576">
        <f t="shared" si="6"/>
        <v>953074919.68921471</v>
      </c>
      <c r="I21" s="442">
        <v>0</v>
      </c>
      <c r="J21" s="414"/>
      <c r="K21" s="400"/>
      <c r="L21" s="400"/>
      <c r="M21" s="400"/>
      <c r="N21" s="400"/>
      <c r="O21" s="400"/>
      <c r="P21" s="400"/>
      <c r="Q21" s="400"/>
      <c r="R21" s="400"/>
      <c r="S21" s="400"/>
    </row>
    <row r="22" spans="1:19" s="197" customFormat="1" ht="48" customHeight="1">
      <c r="A22" s="429"/>
      <c r="B22" s="198" t="s">
        <v>1210</v>
      </c>
      <c r="C22" s="428"/>
      <c r="D22" s="428">
        <f>'Identificación de costos'!G27</f>
        <v>343404736</v>
      </c>
      <c r="E22" s="428">
        <f>D22*(1+$C$9)</f>
        <v>362326336.95359999</v>
      </c>
      <c r="F22" s="428">
        <f t="shared" ref="F22:H22" si="7">E22*(1+$C$9)</f>
        <v>382290518.11974335</v>
      </c>
      <c r="G22" s="428">
        <f t="shared" si="7"/>
        <v>403354725.66814119</v>
      </c>
      <c r="H22" s="428">
        <f t="shared" si="7"/>
        <v>425579571.05245572</v>
      </c>
      <c r="I22" s="443"/>
      <c r="J22" s="414"/>
      <c r="K22" s="415"/>
      <c r="L22" s="415"/>
      <c r="M22" s="415"/>
      <c r="N22" s="415"/>
      <c r="O22" s="415"/>
      <c r="P22" s="415"/>
      <c r="Q22" s="415"/>
      <c r="R22" s="415"/>
      <c r="S22" s="415"/>
    </row>
    <row r="23" spans="1:19" s="197" customFormat="1" ht="48" customHeight="1">
      <c r="A23" s="429"/>
      <c r="B23" s="198" t="s">
        <v>1211</v>
      </c>
      <c r="C23" s="428"/>
      <c r="D23" s="428">
        <f>'Identificación de costos'!G37</f>
        <v>223551535.03999999</v>
      </c>
      <c r="E23" s="428">
        <f>D23*($C$9+1)</f>
        <v>235869224.62070397</v>
      </c>
      <c r="F23" s="428">
        <f t="shared" ref="F23:H23" si="8">E23*($C$9+1)</f>
        <v>248865618.89730474</v>
      </c>
      <c r="G23" s="428">
        <f t="shared" si="8"/>
        <v>262578114.49854621</v>
      </c>
      <c r="H23" s="428">
        <f t="shared" si="8"/>
        <v>277046168.60741609</v>
      </c>
      <c r="I23" s="443"/>
      <c r="J23" s="414"/>
      <c r="K23" s="415"/>
      <c r="L23" s="415"/>
      <c r="M23" s="415"/>
      <c r="N23" s="415"/>
      <c r="O23" s="415"/>
      <c r="P23" s="415"/>
      <c r="Q23" s="415"/>
      <c r="R23" s="415"/>
      <c r="S23" s="415"/>
    </row>
    <row r="24" spans="1:19" ht="45" customHeight="1">
      <c r="B24" s="135" t="s">
        <v>1212</v>
      </c>
      <c r="C24" s="426"/>
      <c r="D24" s="426">
        <f>D16</f>
        <v>30000</v>
      </c>
      <c r="E24" s="426">
        <f t="shared" ref="E24:H24" si="9">E16</f>
        <v>31652.999999999996</v>
      </c>
      <c r="F24" s="426">
        <f t="shared" si="9"/>
        <v>33397.080299999994</v>
      </c>
      <c r="G24" s="426">
        <f t="shared" si="9"/>
        <v>35237.259424529992</v>
      </c>
      <c r="H24" s="426">
        <f t="shared" si="9"/>
        <v>37178.832418821592</v>
      </c>
      <c r="I24" s="443"/>
      <c r="J24" s="401"/>
    </row>
    <row r="25" spans="1:19" s="197" customFormat="1" ht="45" customHeight="1">
      <c r="A25" s="429"/>
      <c r="B25" s="198" t="s">
        <v>1213</v>
      </c>
      <c r="C25" s="428"/>
      <c r="D25" s="428">
        <f>SUM(D24:D24)</f>
        <v>30000</v>
      </c>
      <c r="E25" s="428">
        <f t="shared" ref="E25:H25" si="10">SUM(E24:E24)</f>
        <v>31652.999999999996</v>
      </c>
      <c r="F25" s="428">
        <f t="shared" si="10"/>
        <v>33397.080299999994</v>
      </c>
      <c r="G25" s="428">
        <f t="shared" si="10"/>
        <v>35237.259424529992</v>
      </c>
      <c r="H25" s="428">
        <f t="shared" si="10"/>
        <v>37178.832418821592</v>
      </c>
      <c r="I25" s="443">
        <v>0</v>
      </c>
      <c r="J25" s="414"/>
      <c r="K25" s="415"/>
      <c r="L25" s="415"/>
      <c r="M25" s="415"/>
      <c r="N25" s="415"/>
      <c r="O25" s="415"/>
      <c r="P25" s="415"/>
      <c r="Q25" s="415"/>
      <c r="R25" s="415"/>
      <c r="S25" s="415"/>
    </row>
    <row r="26" spans="1:19" s="195" customFormat="1" ht="33" customHeight="1">
      <c r="B26" s="198" t="s">
        <v>1214</v>
      </c>
      <c r="C26" s="430"/>
      <c r="D26" s="430"/>
      <c r="E26" s="430"/>
      <c r="F26" s="430"/>
      <c r="G26" s="430"/>
      <c r="H26" s="430"/>
      <c r="I26" s="445"/>
      <c r="J26" s="401"/>
      <c r="K26" s="400"/>
      <c r="L26" s="400"/>
      <c r="M26" s="400"/>
      <c r="N26" s="400"/>
      <c r="O26" s="400"/>
      <c r="P26" s="400"/>
      <c r="Q26" s="400"/>
      <c r="R26" s="400"/>
      <c r="S26" s="400"/>
    </row>
    <row r="27" spans="1:19" s="195" customFormat="1" ht="39.75" customHeight="1">
      <c r="B27" s="431" t="s">
        <v>1215</v>
      </c>
      <c r="C27" s="428"/>
      <c r="D27" s="428">
        <f>+D22+D23+D25+D26</f>
        <v>566986271.03999996</v>
      </c>
      <c r="E27" s="428">
        <f t="shared" ref="E27:H27" si="11">+E22+E23+E25+E26</f>
        <v>598227214.57430398</v>
      </c>
      <c r="F27" s="428">
        <f t="shared" si="11"/>
        <v>631189534.09734809</v>
      </c>
      <c r="G27" s="428">
        <f t="shared" si="11"/>
        <v>665968077.42611194</v>
      </c>
      <c r="H27" s="428">
        <f t="shared" si="11"/>
        <v>702662918.49229062</v>
      </c>
      <c r="I27" s="443"/>
      <c r="J27" s="414"/>
      <c r="K27" s="400"/>
      <c r="L27" s="400"/>
      <c r="M27" s="400"/>
      <c r="N27" s="400"/>
      <c r="O27" s="400"/>
      <c r="P27" s="400"/>
      <c r="Q27" s="400"/>
      <c r="R27" s="400"/>
      <c r="S27" s="400"/>
    </row>
    <row r="28" spans="1:19" s="199" customFormat="1" ht="27" customHeight="1">
      <c r="A28" s="125"/>
      <c r="B28" s="135" t="s">
        <v>1216</v>
      </c>
      <c r="C28" s="426"/>
      <c r="D28" s="427">
        <f>+D21-D27</f>
        <v>9000690.6586390734</v>
      </c>
      <c r="E28" s="427">
        <f t="shared" ref="E28:H28" si="12">+E21-E27</f>
        <v>45960059.311224103</v>
      </c>
      <c r="F28" s="427">
        <f t="shared" si="12"/>
        <v>96070198.066635966</v>
      </c>
      <c r="G28" s="427">
        <f t="shared" si="12"/>
        <v>162750205.45260525</v>
      </c>
      <c r="H28" s="427">
        <f t="shared" si="12"/>
        <v>250412001.19692409</v>
      </c>
      <c r="I28" s="427">
        <v>0</v>
      </c>
      <c r="J28" s="414"/>
      <c r="K28" s="400"/>
      <c r="L28" s="400"/>
      <c r="M28" s="400"/>
      <c r="N28" s="400"/>
      <c r="O28" s="400"/>
      <c r="P28" s="400"/>
      <c r="Q28" s="400"/>
      <c r="R28" s="400"/>
      <c r="S28" s="400"/>
    </row>
    <row r="29" spans="1:19" s="195" customFormat="1" ht="27" customHeight="1">
      <c r="B29" s="194" t="s">
        <v>1217</v>
      </c>
      <c r="C29" s="430"/>
      <c r="D29" s="428">
        <f>D28*$D$11</f>
        <v>2700207.197591722</v>
      </c>
      <c r="E29" s="428">
        <f t="shared" ref="E29:H29" si="13">E28*$D$11</f>
        <v>13788017.793367231</v>
      </c>
      <c r="F29" s="428">
        <f t="shared" si="13"/>
        <v>28821059.419990789</v>
      </c>
      <c r="G29" s="428">
        <f t="shared" si="13"/>
        <v>48825061.635781571</v>
      </c>
      <c r="H29" s="428">
        <f t="shared" si="13"/>
        <v>75123600.35907723</v>
      </c>
      <c r="I29" s="443"/>
      <c r="J29" s="414"/>
      <c r="K29" s="400"/>
      <c r="L29" s="400"/>
      <c r="M29" s="400"/>
      <c r="N29" s="400"/>
      <c r="O29" s="400"/>
      <c r="P29" s="400"/>
      <c r="Q29" s="400"/>
      <c r="R29" s="400"/>
      <c r="S29" s="400"/>
    </row>
    <row r="30" spans="1:19" s="199" customFormat="1" ht="27.75" customHeight="1">
      <c r="A30" s="125"/>
      <c r="B30" s="432" t="s">
        <v>1218</v>
      </c>
      <c r="C30" s="427"/>
      <c r="D30" s="427">
        <f>+D28-D29</f>
        <v>6300483.4610473514</v>
      </c>
      <c r="E30" s="427">
        <f t="shared" ref="E30:H30" si="14">+E28-E29</f>
        <v>32172041.517856874</v>
      </c>
      <c r="F30" s="427">
        <f t="shared" si="14"/>
        <v>67249138.646645173</v>
      </c>
      <c r="G30" s="427">
        <f t="shared" si="14"/>
        <v>113925143.81682368</v>
      </c>
      <c r="H30" s="427">
        <f t="shared" si="14"/>
        <v>175288400.83784688</v>
      </c>
      <c r="I30" s="442"/>
      <c r="J30" s="414"/>
      <c r="K30" s="400"/>
      <c r="L30" s="400"/>
      <c r="M30" s="400"/>
      <c r="N30" s="400"/>
      <c r="O30" s="400"/>
      <c r="P30" s="400"/>
      <c r="Q30" s="400"/>
      <c r="R30" s="400"/>
      <c r="S30" s="400"/>
    </row>
    <row r="31" spans="1:19" ht="27" customHeight="1">
      <c r="B31" s="136" t="s">
        <v>1219</v>
      </c>
      <c r="C31" s="426"/>
      <c r="D31" s="426">
        <f>'C. inversiones y costos ctables'!F18</f>
        <v>6820000</v>
      </c>
      <c r="E31" s="426">
        <f>'C. inversiones y costos ctables'!G18</f>
        <v>6820000</v>
      </c>
      <c r="F31" s="426">
        <f>'C. inversiones y costos ctables'!H18</f>
        <v>6820000</v>
      </c>
      <c r="G31" s="426">
        <f>'C. inversiones y costos ctables'!I18</f>
        <v>6820000</v>
      </c>
      <c r="H31" s="426">
        <f>'C. inversiones y costos ctables'!J18</f>
        <v>6820000</v>
      </c>
      <c r="I31" s="444"/>
      <c r="J31" s="401"/>
    </row>
    <row r="32" spans="1:19" s="196" customFormat="1" ht="27" customHeight="1" thickBot="1">
      <c r="A32" s="125"/>
      <c r="B32" s="433" t="s">
        <v>1220</v>
      </c>
      <c r="C32" s="427"/>
      <c r="D32" s="427">
        <f>+D30-D31</f>
        <v>-519516.53895264864</v>
      </c>
      <c r="E32" s="427">
        <f t="shared" ref="E32:H32" si="15">+E30-E31</f>
        <v>25352041.517856874</v>
      </c>
      <c r="F32" s="427">
        <f t="shared" si="15"/>
        <v>60429138.646645173</v>
      </c>
      <c r="G32" s="427">
        <f t="shared" si="15"/>
        <v>107105143.81682368</v>
      </c>
      <c r="H32" s="427">
        <f t="shared" si="15"/>
        <v>168468400.83784688</v>
      </c>
      <c r="I32" s="442"/>
      <c r="J32" s="414"/>
      <c r="K32" s="400"/>
      <c r="L32" s="400"/>
      <c r="M32" s="400"/>
      <c r="N32" s="400"/>
      <c r="O32" s="400"/>
      <c r="P32" s="400"/>
      <c r="Q32" s="400"/>
      <c r="R32" s="400"/>
      <c r="S32" s="400"/>
    </row>
    <row r="33" spans="2:10" ht="28.5" customHeight="1">
      <c r="D33" s="139"/>
    </row>
    <row r="34" spans="2:10" ht="24.75" customHeight="1">
      <c r="B34" s="1316" t="s">
        <v>1221</v>
      </c>
      <c r="C34" s="1317"/>
      <c r="D34" s="1317"/>
      <c r="E34" s="1317"/>
      <c r="F34" s="1317"/>
      <c r="G34" s="1317"/>
      <c r="H34" s="1317"/>
      <c r="I34" s="1317"/>
      <c r="J34" s="416"/>
    </row>
    <row r="36" spans="2:10" ht="24" customHeight="1">
      <c r="B36" s="1318" t="s">
        <v>1222</v>
      </c>
      <c r="C36" s="1319"/>
      <c r="D36" s="1319"/>
      <c r="E36" s="1319"/>
      <c r="F36" s="1319"/>
      <c r="G36" s="1319"/>
      <c r="H36" s="1319"/>
      <c r="I36" s="1319"/>
      <c r="J36" s="417"/>
    </row>
    <row r="37" spans="2:10" ht="16.350000000000001" thickBot="1"/>
    <row r="38" spans="2:10" ht="25.5" customHeight="1">
      <c r="B38" s="140" t="s">
        <v>1223</v>
      </c>
      <c r="C38" s="133">
        <v>0</v>
      </c>
      <c r="D38" s="133">
        <v>1</v>
      </c>
      <c r="E38" s="133">
        <v>2</v>
      </c>
      <c r="F38" s="133">
        <v>3</v>
      </c>
      <c r="G38" s="133">
        <v>4</v>
      </c>
      <c r="H38" s="218"/>
      <c r="I38" s="446">
        <v>5</v>
      </c>
      <c r="J38" s="185"/>
    </row>
    <row r="39" spans="2:10" ht="18" customHeight="1">
      <c r="B39" s="136" t="s">
        <v>732</v>
      </c>
      <c r="C39" s="988">
        <v>3000000</v>
      </c>
      <c r="D39" s="141"/>
      <c r="E39" s="141"/>
      <c r="F39" s="141"/>
      <c r="G39" s="141"/>
      <c r="H39" s="397"/>
      <c r="I39" s="447"/>
      <c r="J39" s="401"/>
    </row>
    <row r="40" spans="2:10" ht="18" customHeight="1">
      <c r="B40" s="136" t="s">
        <v>737</v>
      </c>
      <c r="C40" s="988">
        <v>2400000</v>
      </c>
      <c r="D40" s="141"/>
      <c r="E40" s="141"/>
      <c r="F40" s="141"/>
      <c r="G40" s="141"/>
      <c r="H40" s="397"/>
      <c r="I40" s="447"/>
      <c r="J40" s="401"/>
    </row>
    <row r="41" spans="2:10" ht="18" customHeight="1">
      <c r="B41" s="136" t="s">
        <v>738</v>
      </c>
      <c r="C41" s="988">
        <v>9000000</v>
      </c>
      <c r="D41" s="141"/>
      <c r="E41" s="141"/>
      <c r="F41" s="141"/>
      <c r="G41" s="141"/>
      <c r="H41" s="397"/>
      <c r="I41" s="447"/>
      <c r="J41" s="401"/>
    </row>
    <row r="42" spans="2:10" ht="18" customHeight="1">
      <c r="B42" s="136" t="s">
        <v>739</v>
      </c>
      <c r="C42" s="988">
        <v>4000000</v>
      </c>
      <c r="D42" s="141"/>
      <c r="E42" s="141"/>
      <c r="F42" s="141"/>
      <c r="G42" s="141"/>
      <c r="H42" s="397"/>
      <c r="I42" s="447"/>
      <c r="J42" s="401"/>
    </row>
    <row r="43" spans="2:10" ht="18" customHeight="1">
      <c r="B43" s="136" t="s">
        <v>740</v>
      </c>
      <c r="C43" s="988">
        <v>4500000</v>
      </c>
      <c r="D43" s="141"/>
      <c r="E43" s="141"/>
      <c r="F43" s="141"/>
      <c r="G43" s="141"/>
      <c r="H43" s="397"/>
      <c r="I43" s="447"/>
      <c r="J43" s="401"/>
    </row>
    <row r="44" spans="2:10" ht="18" customHeight="1">
      <c r="B44" s="136" t="s">
        <v>741</v>
      </c>
      <c r="C44" s="988">
        <v>2500000</v>
      </c>
      <c r="D44" s="141"/>
      <c r="E44" s="141"/>
      <c r="F44" s="141"/>
      <c r="G44" s="141"/>
      <c r="H44" s="397"/>
      <c r="I44" s="447"/>
      <c r="J44" s="401"/>
    </row>
    <row r="45" spans="2:10" ht="18" customHeight="1">
      <c r="B45" s="136" t="s">
        <v>742</v>
      </c>
      <c r="C45" s="988">
        <v>1200000</v>
      </c>
      <c r="D45" s="141"/>
      <c r="E45" s="141"/>
      <c r="F45" s="141"/>
      <c r="G45" s="141"/>
      <c r="H45" s="397"/>
      <c r="I45" s="447"/>
      <c r="J45" s="401"/>
    </row>
    <row r="46" spans="2:10" ht="18" customHeight="1">
      <c r="B46" s="136" t="s">
        <v>743</v>
      </c>
      <c r="C46" s="988">
        <v>3000000</v>
      </c>
      <c r="D46" s="141"/>
      <c r="E46" s="141"/>
      <c r="F46" s="141"/>
      <c r="G46" s="141"/>
      <c r="H46" s="397"/>
      <c r="I46" s="447"/>
      <c r="J46" s="401"/>
    </row>
    <row r="47" spans="2:10" ht="18" customHeight="1">
      <c r="B47" s="136" t="s">
        <v>744</v>
      </c>
      <c r="C47" s="988">
        <v>8000000</v>
      </c>
      <c r="D47" s="141"/>
      <c r="E47" s="141"/>
      <c r="F47" s="141"/>
      <c r="G47" s="141"/>
      <c r="H47" s="397"/>
      <c r="I47" s="447"/>
      <c r="J47" s="401"/>
    </row>
    <row r="48" spans="2:10" ht="22.5" customHeight="1" thickBot="1">
      <c r="B48" s="142" t="s">
        <v>1224</v>
      </c>
      <c r="C48" s="143">
        <f>SUM(C39:C47)</f>
        <v>37600000</v>
      </c>
      <c r="D48" s="143">
        <v>0</v>
      </c>
      <c r="E48" s="143">
        <v>0</v>
      </c>
      <c r="F48" s="143">
        <v>0</v>
      </c>
      <c r="G48" s="143">
        <v>0</v>
      </c>
      <c r="H48" s="398"/>
      <c r="I48" s="448">
        <v>0</v>
      </c>
      <c r="J48" s="414"/>
    </row>
    <row r="49" spans="2:11" ht="16.350000000000001" thickBot="1"/>
    <row r="50" spans="2:11" ht="31.5" customHeight="1" thickBot="1">
      <c r="B50" s="1331" t="s">
        <v>1225</v>
      </c>
      <c r="C50" s="1332"/>
      <c r="D50" s="1332"/>
      <c r="E50" s="1333"/>
      <c r="F50" s="1333"/>
      <c r="G50" s="1333"/>
      <c r="H50" s="1333"/>
      <c r="I50" s="1333"/>
      <c r="J50" s="1332"/>
      <c r="K50" s="1334"/>
    </row>
    <row r="51" spans="2:11" ht="75" customHeight="1">
      <c r="B51" s="144" t="s">
        <v>1226</v>
      </c>
      <c r="C51" s="145" t="s">
        <v>1227</v>
      </c>
      <c r="D51" s="146" t="s">
        <v>1228</v>
      </c>
      <c r="E51" s="177" t="s">
        <v>1229</v>
      </c>
      <c r="F51" s="177" t="s">
        <v>1230</v>
      </c>
      <c r="G51" s="177" t="s">
        <v>1231</v>
      </c>
      <c r="H51" s="177" t="s">
        <v>1232</v>
      </c>
      <c r="I51" s="488" t="s">
        <v>1233</v>
      </c>
      <c r="J51" s="185"/>
    </row>
    <row r="52" spans="2:11" ht="18.75" customHeight="1">
      <c r="B52" s="136" t="s">
        <v>732</v>
      </c>
      <c r="C52" s="989">
        <f>C39</f>
        <v>3000000</v>
      </c>
      <c r="D52" s="284">
        <f>'C. inversiones y costos ctables'!K9</f>
        <v>3000000</v>
      </c>
      <c r="E52" s="148">
        <f>C52-D52</f>
        <v>0</v>
      </c>
      <c r="F52" s="147"/>
      <c r="G52" s="147"/>
      <c r="H52" s="501"/>
      <c r="I52" s="490"/>
      <c r="J52" s="402"/>
      <c r="K52" s="402"/>
    </row>
    <row r="53" spans="2:11" ht="18.75" customHeight="1">
      <c r="B53" s="136" t="s">
        <v>737</v>
      </c>
      <c r="C53" s="989">
        <f t="shared" ref="C53:C60" si="16">C40</f>
        <v>2400000</v>
      </c>
      <c r="D53" s="284">
        <f>'C. inversiones y costos ctables'!K10</f>
        <v>2400000</v>
      </c>
      <c r="E53" s="148">
        <f t="shared" ref="E53:E60" si="17">C53-D53</f>
        <v>0</v>
      </c>
      <c r="F53" s="147"/>
      <c r="G53" s="147"/>
      <c r="H53" s="489"/>
      <c r="I53" s="490"/>
      <c r="J53" s="402"/>
      <c r="K53" s="402"/>
    </row>
    <row r="54" spans="2:11" ht="18.75" customHeight="1">
      <c r="B54" s="136" t="s">
        <v>738</v>
      </c>
      <c r="C54" s="989">
        <f t="shared" si="16"/>
        <v>9000000</v>
      </c>
      <c r="D54" s="284">
        <f>'C. inversiones y costos ctables'!K11</f>
        <v>9000000</v>
      </c>
      <c r="E54" s="148">
        <f t="shared" si="17"/>
        <v>0</v>
      </c>
      <c r="F54" s="147"/>
      <c r="G54" s="147"/>
      <c r="H54" s="489"/>
      <c r="I54" s="490"/>
      <c r="J54" s="402"/>
      <c r="K54" s="402"/>
    </row>
    <row r="55" spans="2:11" ht="18.75" customHeight="1">
      <c r="B55" s="136" t="s">
        <v>739</v>
      </c>
      <c r="C55" s="989">
        <f t="shared" si="16"/>
        <v>4000000</v>
      </c>
      <c r="D55" s="284">
        <f>'C. inversiones y costos ctables'!K12</f>
        <v>4000000</v>
      </c>
      <c r="E55" s="148">
        <f t="shared" si="17"/>
        <v>0</v>
      </c>
      <c r="F55" s="147"/>
      <c r="G55" s="147"/>
      <c r="H55" s="489"/>
      <c r="I55" s="490"/>
      <c r="J55" s="402"/>
      <c r="K55" s="402"/>
    </row>
    <row r="56" spans="2:11" ht="18.75" customHeight="1">
      <c r="B56" s="136" t="s">
        <v>740</v>
      </c>
      <c r="C56" s="989">
        <f t="shared" si="16"/>
        <v>4500000</v>
      </c>
      <c r="D56" s="284">
        <f>'C. inversiones y costos ctables'!K13</f>
        <v>2250000</v>
      </c>
      <c r="E56" s="148">
        <f t="shared" si="17"/>
        <v>2250000</v>
      </c>
      <c r="F56" s="147">
        <f>E56</f>
        <v>2250000</v>
      </c>
      <c r="G56" s="147">
        <v>0</v>
      </c>
      <c r="H56" s="489">
        <v>0</v>
      </c>
      <c r="I56" s="490">
        <f>F56</f>
        <v>2250000</v>
      </c>
      <c r="J56" s="402"/>
      <c r="K56" s="402"/>
    </row>
    <row r="57" spans="2:11" ht="18.75" customHeight="1">
      <c r="B57" s="136" t="s">
        <v>741</v>
      </c>
      <c r="C57" s="989">
        <f t="shared" si="16"/>
        <v>2500000</v>
      </c>
      <c r="D57" s="284">
        <f>'C. inversiones y costos ctables'!K14</f>
        <v>1250000</v>
      </c>
      <c r="E57" s="148">
        <f t="shared" si="17"/>
        <v>1250000</v>
      </c>
      <c r="F57" s="147">
        <f>E57</f>
        <v>1250000</v>
      </c>
      <c r="G57" s="147">
        <v>0</v>
      </c>
      <c r="H57" s="489">
        <v>0</v>
      </c>
      <c r="I57" s="490">
        <f>F57</f>
        <v>1250000</v>
      </c>
      <c r="J57" s="402"/>
      <c r="K57" s="402"/>
    </row>
    <row r="58" spans="2:11" ht="18.75" customHeight="1">
      <c r="B58" s="136" t="s">
        <v>742</v>
      </c>
      <c r="C58" s="989">
        <f t="shared" si="16"/>
        <v>1200000</v>
      </c>
      <c r="D58" s="284">
        <f>'C. inversiones y costos ctables'!K15</f>
        <v>1200000</v>
      </c>
      <c r="E58" s="148">
        <f t="shared" si="17"/>
        <v>0</v>
      </c>
      <c r="F58" s="147"/>
      <c r="G58" s="147"/>
      <c r="H58" s="489"/>
      <c r="I58" s="490"/>
      <c r="J58" s="402"/>
      <c r="K58" s="402"/>
    </row>
    <row r="59" spans="2:11" ht="18.75" customHeight="1">
      <c r="B59" s="136" t="s">
        <v>743</v>
      </c>
      <c r="C59" s="989">
        <f t="shared" si="16"/>
        <v>3000000</v>
      </c>
      <c r="D59" s="284">
        <f>'C. inversiones y costos ctables'!K16</f>
        <v>3000000</v>
      </c>
      <c r="E59" s="148">
        <f t="shared" si="17"/>
        <v>0</v>
      </c>
      <c r="F59" s="147"/>
      <c r="G59" s="147"/>
      <c r="H59" s="489"/>
      <c r="I59" s="490"/>
      <c r="J59" s="402"/>
      <c r="K59" s="402"/>
    </row>
    <row r="60" spans="2:11" ht="18.75" customHeight="1">
      <c r="B60" s="136" t="s">
        <v>744</v>
      </c>
      <c r="C60" s="989">
        <f t="shared" si="16"/>
        <v>8000000</v>
      </c>
      <c r="D60" s="284">
        <f>'C. inversiones y costos ctables'!K17</f>
        <v>8000000</v>
      </c>
      <c r="E60" s="148">
        <f t="shared" si="17"/>
        <v>0</v>
      </c>
      <c r="F60" s="147"/>
      <c r="G60" s="147"/>
      <c r="H60" s="489"/>
      <c r="I60" s="490"/>
      <c r="J60" s="402"/>
      <c r="K60" s="402"/>
    </row>
    <row r="61" spans="2:11" ht="23.25" customHeight="1" thickBot="1">
      <c r="B61" s="1335"/>
      <c r="C61" s="1336"/>
      <c r="D61" s="1336"/>
      <c r="E61" s="1336"/>
      <c r="F61" s="1336"/>
      <c r="G61" s="1336"/>
      <c r="H61" s="1336"/>
      <c r="I61" s="1336"/>
      <c r="J61" s="413"/>
      <c r="K61" s="418"/>
    </row>
    <row r="62" spans="2:11" ht="16.350000000000001" thickBot="1"/>
    <row r="63" spans="2:11" ht="20.25" customHeight="1">
      <c r="B63" s="149" t="s">
        <v>1234</v>
      </c>
      <c r="C63" s="150">
        <v>90</v>
      </c>
      <c r="D63" s="150">
        <v>90</v>
      </c>
      <c r="E63" s="150">
        <v>90</v>
      </c>
      <c r="F63" s="150">
        <v>90</v>
      </c>
      <c r="G63" s="150">
        <v>90</v>
      </c>
      <c r="H63" s="150">
        <v>90</v>
      </c>
      <c r="I63" s="130"/>
      <c r="J63" s="403"/>
    </row>
    <row r="64" spans="2:11" ht="21" customHeight="1" thickBot="1">
      <c r="B64" s="151" t="s">
        <v>1235</v>
      </c>
      <c r="C64" s="152">
        <v>360</v>
      </c>
      <c r="D64" s="153">
        <v>360</v>
      </c>
      <c r="E64" s="153">
        <v>360</v>
      </c>
      <c r="F64" s="153">
        <v>360</v>
      </c>
      <c r="G64" s="153">
        <v>360</v>
      </c>
      <c r="H64" s="399">
        <v>360</v>
      </c>
      <c r="I64" s="130"/>
      <c r="J64" s="403"/>
    </row>
    <row r="65" spans="2:11" ht="16.350000000000001" thickBot="1"/>
    <row r="66" spans="2:11" ht="20.25" customHeight="1" thickBot="1">
      <c r="B66" s="1337" t="s">
        <v>1236</v>
      </c>
      <c r="C66" s="1338"/>
      <c r="D66" s="1338"/>
      <c r="E66" s="1338"/>
      <c r="F66" s="1338"/>
      <c r="G66" s="1338"/>
      <c r="H66" s="1338"/>
      <c r="I66" s="1339"/>
      <c r="J66" s="413"/>
      <c r="K66" s="164"/>
    </row>
    <row r="67" spans="2:11" ht="31.5" customHeight="1">
      <c r="B67" s="154"/>
      <c r="C67" s="133">
        <v>0</v>
      </c>
      <c r="D67" s="133">
        <v>1</v>
      </c>
      <c r="E67" s="133">
        <v>2</v>
      </c>
      <c r="F67" s="133">
        <v>3</v>
      </c>
      <c r="G67" s="133">
        <v>4</v>
      </c>
      <c r="H67" s="218">
        <v>5</v>
      </c>
      <c r="J67" s="185"/>
    </row>
    <row r="68" spans="2:11" ht="31.5" customHeight="1">
      <c r="B68" s="155" t="s">
        <v>1237</v>
      </c>
      <c r="C68" s="156"/>
      <c r="D68" s="156">
        <f>D27</f>
        <v>566986271.03999996</v>
      </c>
      <c r="E68" s="156">
        <f t="shared" ref="E68:H68" si="18">E27</f>
        <v>598227214.57430398</v>
      </c>
      <c r="F68" s="156">
        <f t="shared" si="18"/>
        <v>631189534.09734809</v>
      </c>
      <c r="G68" s="156">
        <f t="shared" si="18"/>
        <v>665968077.42611194</v>
      </c>
      <c r="H68" s="156">
        <f t="shared" si="18"/>
        <v>702662918.49229062</v>
      </c>
      <c r="I68" s="447"/>
      <c r="J68" s="401"/>
    </row>
    <row r="69" spans="2:11" ht="31.5" customHeight="1">
      <c r="B69" s="157" t="s">
        <v>1238</v>
      </c>
      <c r="D69" s="156">
        <f>(D68*D63)/D64</f>
        <v>141746567.75999999</v>
      </c>
      <c r="E69" s="156">
        <f t="shared" ref="E69:H69" si="19">(E68*E63)/E64</f>
        <v>149556803.643576</v>
      </c>
      <c r="F69" s="156">
        <f t="shared" si="19"/>
        <v>157797383.52433702</v>
      </c>
      <c r="G69" s="156">
        <f t="shared" si="19"/>
        <v>166492019.35652798</v>
      </c>
      <c r="H69" s="156">
        <f t="shared" si="19"/>
        <v>175665729.62307265</v>
      </c>
      <c r="I69" s="447"/>
      <c r="J69" s="401"/>
    </row>
    <row r="70" spans="2:11" ht="31.5" customHeight="1" thickBot="1">
      <c r="B70" s="158" t="s">
        <v>1236</v>
      </c>
      <c r="C70" s="159">
        <f>D69</f>
        <v>141746567.75999999</v>
      </c>
      <c r="D70" s="159">
        <f>E69-D69</f>
        <v>7810235.8835760057</v>
      </c>
      <c r="E70" s="159">
        <f t="shared" ref="E70:G70" si="20">F69-E69</f>
        <v>8240579.8807610273</v>
      </c>
      <c r="F70" s="159">
        <f t="shared" si="20"/>
        <v>8694635.8321909606</v>
      </c>
      <c r="G70" s="159">
        <f t="shared" si="20"/>
        <v>9173710.2665446699</v>
      </c>
      <c r="H70" s="159">
        <f>I69-H69</f>
        <v>-175665729.62307265</v>
      </c>
      <c r="I70" s="448"/>
      <c r="J70" s="414"/>
      <c r="K70" s="404"/>
    </row>
    <row r="71" spans="2:11">
      <c r="E71" s="160"/>
    </row>
    <row r="73" spans="2:11" ht="22.5" customHeight="1">
      <c r="B73" s="1340" t="s">
        <v>1239</v>
      </c>
      <c r="C73" s="1326"/>
      <c r="D73" s="1326"/>
      <c r="E73" s="1326"/>
      <c r="F73" s="1326"/>
      <c r="G73" s="1326"/>
      <c r="H73" s="1326"/>
      <c r="I73" s="1326"/>
      <c r="J73" s="164"/>
    </row>
    <row r="74" spans="2:11" ht="16.350000000000001" thickBot="1"/>
    <row r="75" spans="2:11" ht="30.75" customHeight="1">
      <c r="B75" s="161" t="s">
        <v>1240</v>
      </c>
      <c r="C75" s="133">
        <v>0</v>
      </c>
      <c r="D75" s="133">
        <v>1</v>
      </c>
      <c r="E75" s="133">
        <v>2</v>
      </c>
      <c r="F75" s="133">
        <v>3</v>
      </c>
      <c r="G75" s="133">
        <v>4</v>
      </c>
      <c r="H75" s="218"/>
      <c r="I75" s="446">
        <v>5</v>
      </c>
      <c r="J75" s="185"/>
    </row>
    <row r="76" spans="2:11" ht="23.25" customHeight="1">
      <c r="B76" s="127" t="s">
        <v>1241</v>
      </c>
      <c r="C76" s="156">
        <f>C48</f>
        <v>37600000</v>
      </c>
      <c r="D76" s="156"/>
      <c r="E76" s="156"/>
      <c r="F76" s="156"/>
      <c r="G76" s="156"/>
      <c r="H76" s="219"/>
      <c r="I76" s="447"/>
      <c r="J76" s="401"/>
    </row>
    <row r="77" spans="2:11" ht="34.5" customHeight="1">
      <c r="B77" s="127" t="s">
        <v>1242</v>
      </c>
      <c r="C77" s="156"/>
      <c r="D77" s="156"/>
      <c r="E77" s="156"/>
      <c r="F77" s="156"/>
      <c r="G77" s="156"/>
      <c r="H77" s="219">
        <f>'C. inversiones y costos ctables'!L18</f>
        <v>3500000</v>
      </c>
      <c r="I77" s="447"/>
      <c r="J77" s="401"/>
    </row>
    <row r="78" spans="2:11" ht="34.5" customHeight="1">
      <c r="B78" s="127" t="s">
        <v>1243</v>
      </c>
      <c r="C78" s="156">
        <f>'Estudio Legal'!C13+'Estudio Legal'!C27</f>
        <v>3724700</v>
      </c>
      <c r="D78" s="156"/>
      <c r="E78" s="156"/>
      <c r="F78" s="156"/>
      <c r="G78" s="156"/>
      <c r="H78" s="219"/>
      <c r="I78" s="447"/>
      <c r="J78" s="401"/>
    </row>
    <row r="79" spans="2:11" ht="23.25" customHeight="1">
      <c r="B79" s="127" t="s">
        <v>1244</v>
      </c>
      <c r="C79" s="156">
        <v>25000000</v>
      </c>
      <c r="D79" s="156"/>
      <c r="E79" s="156"/>
      <c r="F79" s="156"/>
      <c r="G79" s="156"/>
      <c r="H79" s="219"/>
      <c r="I79" s="447"/>
      <c r="J79" s="401"/>
    </row>
    <row r="80" spans="2:11" ht="23.25" customHeight="1">
      <c r="B80" s="127" t="s">
        <v>1245</v>
      </c>
      <c r="C80" s="156">
        <f>C70</f>
        <v>141746567.75999999</v>
      </c>
      <c r="D80" s="156">
        <f t="shared" ref="D80:G80" si="21">D70</f>
        <v>7810235.8835760057</v>
      </c>
      <c r="E80" s="156">
        <f t="shared" si="21"/>
        <v>8240579.8807610273</v>
      </c>
      <c r="F80" s="156">
        <f t="shared" si="21"/>
        <v>8694635.8321909606</v>
      </c>
      <c r="G80" s="156">
        <f t="shared" si="21"/>
        <v>9173710.2665446699</v>
      </c>
      <c r="H80" s="156">
        <f>H70</f>
        <v>-175665729.62307265</v>
      </c>
      <c r="I80" s="447"/>
      <c r="J80" s="401"/>
    </row>
    <row r="81" spans="2:10" ht="20.25" customHeight="1" thickBot="1">
      <c r="B81" s="435" t="s">
        <v>1246</v>
      </c>
      <c r="C81" s="434">
        <f>-(C76+C79+C80+C78)</f>
        <v>-208071267.75999999</v>
      </c>
      <c r="D81" s="434">
        <f>-(D76+D79+D80)</f>
        <v>-7810235.8835760057</v>
      </c>
      <c r="E81" s="434">
        <f>-(E76+E79+E80)</f>
        <v>-8240579.8807610273</v>
      </c>
      <c r="F81" s="434">
        <f>-(F76+F79+F80)</f>
        <v>-8694635.8321909606</v>
      </c>
      <c r="G81" s="434">
        <f>-(G76+G79+G80)</f>
        <v>-9173710.2665446699</v>
      </c>
      <c r="H81" s="434">
        <f>-(H76+H79+H80+H77)</f>
        <v>172165729.62307265</v>
      </c>
      <c r="I81" s="442"/>
      <c r="J81" s="414"/>
    </row>
    <row r="85" spans="2:10" ht="33" customHeight="1">
      <c r="B85" s="1340" t="s">
        <v>1247</v>
      </c>
      <c r="C85" s="1326"/>
      <c r="D85" s="1326"/>
      <c r="E85" s="1326"/>
      <c r="F85" s="1326"/>
      <c r="G85" s="1326"/>
      <c r="H85" s="1326"/>
      <c r="I85" s="1326"/>
      <c r="J85" s="413"/>
    </row>
    <row r="86" spans="2:10" ht="16.350000000000001" thickBot="1"/>
    <row r="87" spans="2:10" ht="23.25" customHeight="1">
      <c r="B87" s="154"/>
      <c r="C87" s="133">
        <v>0</v>
      </c>
      <c r="D87" s="133">
        <v>1</v>
      </c>
      <c r="E87" s="133">
        <v>2</v>
      </c>
      <c r="F87" s="133">
        <v>3</v>
      </c>
      <c r="G87" s="133">
        <v>4</v>
      </c>
      <c r="H87" s="218">
        <v>5</v>
      </c>
      <c r="I87" s="446"/>
      <c r="J87" s="185"/>
    </row>
    <row r="88" spans="2:10" ht="21" customHeight="1">
      <c r="B88" s="163" t="s">
        <v>1248</v>
      </c>
      <c r="C88" s="156">
        <f>C32</f>
        <v>0</v>
      </c>
      <c r="D88" s="156">
        <f t="shared" ref="D88:H88" si="22">D32</f>
        <v>-519516.53895264864</v>
      </c>
      <c r="E88" s="156">
        <f t="shared" si="22"/>
        <v>25352041.517856874</v>
      </c>
      <c r="F88" s="156">
        <f t="shared" si="22"/>
        <v>60429138.646645173</v>
      </c>
      <c r="G88" s="156">
        <f t="shared" si="22"/>
        <v>107105143.81682368</v>
      </c>
      <c r="H88" s="156">
        <f t="shared" si="22"/>
        <v>168468400.83784688</v>
      </c>
      <c r="I88" s="447"/>
      <c r="J88" s="401"/>
    </row>
    <row r="89" spans="2:10" ht="21" customHeight="1">
      <c r="B89" s="163" t="s">
        <v>1249</v>
      </c>
      <c r="C89" s="156">
        <f>C81</f>
        <v>-208071267.75999999</v>
      </c>
      <c r="D89" s="156">
        <f t="shared" ref="D89:H89" si="23">D81</f>
        <v>-7810235.8835760057</v>
      </c>
      <c r="E89" s="156">
        <f t="shared" si="23"/>
        <v>-8240579.8807610273</v>
      </c>
      <c r="F89" s="156">
        <f t="shared" si="23"/>
        <v>-8694635.8321909606</v>
      </c>
      <c r="G89" s="156">
        <f t="shared" si="23"/>
        <v>-9173710.2665446699</v>
      </c>
      <c r="H89" s="156">
        <f t="shared" si="23"/>
        <v>172165729.62307265</v>
      </c>
      <c r="I89" s="447"/>
      <c r="J89" s="401"/>
    </row>
    <row r="90" spans="2:10" ht="21" customHeight="1" thickBot="1">
      <c r="B90" s="137" t="s">
        <v>1250</v>
      </c>
      <c r="C90" s="138">
        <f>C88+C89</f>
        <v>-208071267.75999999</v>
      </c>
      <c r="D90" s="138">
        <f t="shared" ref="D90:H90" si="24">D88+D89</f>
        <v>-8329752.4225286543</v>
      </c>
      <c r="E90" s="138">
        <f t="shared" si="24"/>
        <v>17111461.637095846</v>
      </c>
      <c r="F90" s="138">
        <f t="shared" si="24"/>
        <v>51734502.814454213</v>
      </c>
      <c r="G90" s="138">
        <f t="shared" si="24"/>
        <v>97931433.550279006</v>
      </c>
      <c r="H90" s="138">
        <f t="shared" si="24"/>
        <v>340634130.4609195</v>
      </c>
      <c r="I90" s="442"/>
      <c r="J90" s="414"/>
    </row>
    <row r="91" spans="2:10" ht="21" customHeight="1"/>
    <row r="93" spans="2:10" ht="23.25" customHeight="1">
      <c r="B93" s="1325" t="s">
        <v>1251</v>
      </c>
      <c r="C93" s="1326"/>
      <c r="D93" s="1326"/>
      <c r="E93" s="1326"/>
      <c r="F93" s="1326"/>
      <c r="G93" s="1326"/>
      <c r="H93" s="1326"/>
      <c r="I93" s="1326"/>
      <c r="J93" s="164"/>
    </row>
    <row r="95" spans="2:10">
      <c r="B95" s="436" t="s">
        <v>1252</v>
      </c>
      <c r="C95" s="503"/>
    </row>
    <row r="96" spans="2:10">
      <c r="B96" s="436" t="s">
        <v>1253</v>
      </c>
      <c r="C96" s="504"/>
    </row>
    <row r="97" spans="2:19">
      <c r="B97" s="436" t="s">
        <v>1254</v>
      </c>
      <c r="C97" s="504"/>
    </row>
    <row r="98" spans="2:19">
      <c r="C98" s="285"/>
    </row>
    <row r="99" spans="2:19">
      <c r="C99" s="285"/>
    </row>
    <row r="100" spans="2:19" ht="26.25" customHeight="1">
      <c r="B100" s="165"/>
      <c r="C100" s="166" t="s">
        <v>1255</v>
      </c>
      <c r="D100" s="167"/>
      <c r="E100" s="165"/>
      <c r="F100" s="165"/>
    </row>
    <row r="101" spans="2:19" s="131" customFormat="1" ht="24.75" customHeight="1">
      <c r="B101" s="168" t="s">
        <v>1256</v>
      </c>
      <c r="C101" s="169">
        <f>C70*0.5</f>
        <v>70873283.879999995</v>
      </c>
      <c r="D101" s="170"/>
      <c r="E101" s="171"/>
      <c r="F101" s="171"/>
      <c r="J101" s="405"/>
      <c r="K101" s="405"/>
      <c r="L101" s="405"/>
      <c r="M101" s="405"/>
      <c r="N101" s="405"/>
      <c r="O101" s="405"/>
      <c r="P101" s="405"/>
      <c r="Q101" s="405"/>
      <c r="R101" s="405"/>
      <c r="S101" s="405"/>
    </row>
    <row r="102" spans="2:19" s="131" customFormat="1" ht="24.75" customHeight="1">
      <c r="B102" s="168" t="s">
        <v>1257</v>
      </c>
      <c r="C102" s="502">
        <v>0.19</v>
      </c>
      <c r="D102" s="172" t="s">
        <v>1258</v>
      </c>
      <c r="E102" s="171"/>
      <c r="F102" s="171"/>
      <c r="J102" s="405"/>
      <c r="K102" s="405"/>
      <c r="L102" s="405"/>
      <c r="M102" s="405"/>
      <c r="N102" s="405"/>
      <c r="O102" s="405"/>
      <c r="P102" s="405"/>
      <c r="Q102" s="405"/>
      <c r="R102" s="405"/>
      <c r="S102" s="405"/>
    </row>
    <row r="103" spans="2:19" s="131" customFormat="1" ht="24.75" customHeight="1">
      <c r="B103" s="168" t="s">
        <v>1259</v>
      </c>
      <c r="C103" s="173">
        <v>5</v>
      </c>
      <c r="D103" s="174"/>
      <c r="E103" s="171"/>
      <c r="F103" s="171"/>
      <c r="J103" s="405"/>
      <c r="K103" s="405"/>
      <c r="L103" s="405"/>
      <c r="M103" s="405"/>
      <c r="N103" s="405"/>
      <c r="O103" s="405"/>
      <c r="P103" s="405"/>
      <c r="Q103" s="405"/>
      <c r="R103" s="405"/>
      <c r="S103" s="405"/>
    </row>
    <row r="104" spans="2:19" ht="24.75" customHeight="1" thickBot="1">
      <c r="B104" s="437" t="s">
        <v>1260</v>
      </c>
      <c r="C104" s="438">
        <f>PMT(C102,C103,C101)</f>
        <v>-23179119.297589727</v>
      </c>
    </row>
    <row r="105" spans="2:19" s="131" customFormat="1" ht="24.75" customHeight="1">
      <c r="B105" s="209" t="s">
        <v>1261</v>
      </c>
      <c r="C105" s="210">
        <v>0.3</v>
      </c>
      <c r="D105" s="287">
        <f>+C105</f>
        <v>0.3</v>
      </c>
      <c r="E105" s="287">
        <f t="shared" ref="E105:H105" si="25">+D105</f>
        <v>0.3</v>
      </c>
      <c r="F105" s="287">
        <f t="shared" si="25"/>
        <v>0.3</v>
      </c>
      <c r="G105" s="287">
        <f t="shared" si="25"/>
        <v>0.3</v>
      </c>
      <c r="H105" s="287">
        <f t="shared" si="25"/>
        <v>0.3</v>
      </c>
      <c r="J105" s="405"/>
      <c r="K105" s="405"/>
      <c r="L105" s="405"/>
      <c r="M105" s="405"/>
      <c r="N105" s="405"/>
      <c r="O105" s="405"/>
      <c r="P105" s="405"/>
      <c r="Q105" s="405"/>
      <c r="R105" s="405"/>
      <c r="S105" s="405"/>
    </row>
    <row r="106" spans="2:19" ht="16.350000000000001" thickBot="1">
      <c r="B106" s="211"/>
      <c r="C106" s="212"/>
      <c r="D106" s="165"/>
      <c r="E106" s="165"/>
      <c r="F106" s="165"/>
    </row>
    <row r="107" spans="2:19" ht="20.25" customHeight="1">
      <c r="B107" s="208"/>
      <c r="C107" s="452" t="s">
        <v>1255</v>
      </c>
      <c r="D107" s="453"/>
      <c r="E107" s="453"/>
      <c r="F107" s="453"/>
      <c r="G107" s="453"/>
      <c r="H107" s="453"/>
      <c r="I107" s="454"/>
      <c r="J107" s="419"/>
    </row>
    <row r="108" spans="2:19" ht="21" customHeight="1">
      <c r="B108" s="176"/>
      <c r="C108" s="177">
        <v>0</v>
      </c>
      <c r="D108" s="177">
        <v>1</v>
      </c>
      <c r="E108" s="177">
        <v>2</v>
      </c>
      <c r="F108" s="177">
        <v>3</v>
      </c>
      <c r="G108" s="177">
        <v>4</v>
      </c>
      <c r="H108" s="441">
        <v>5</v>
      </c>
      <c r="J108" s="185"/>
    </row>
    <row r="109" spans="2:19" s="131" customFormat="1" ht="24.75" customHeight="1">
      <c r="B109" s="129" t="s">
        <v>1262</v>
      </c>
      <c r="C109" s="286">
        <f>C101</f>
        <v>70873283.879999995</v>
      </c>
      <c r="D109" s="3">
        <f>C109-D110</f>
        <v>61160088.519610271</v>
      </c>
      <c r="E109" s="3">
        <f t="shared" ref="E109:H109" si="26">D109-E110</f>
        <v>49601386.040746495</v>
      </c>
      <c r="F109" s="3">
        <f t="shared" si="26"/>
        <v>35846530.090898603</v>
      </c>
      <c r="G109" s="3">
        <f t="shared" si="26"/>
        <v>19478251.510579612</v>
      </c>
      <c r="H109" s="3">
        <f t="shared" si="26"/>
        <v>0</v>
      </c>
      <c r="J109" s="420"/>
      <c r="K109" s="405"/>
      <c r="L109" s="405"/>
      <c r="M109" s="405"/>
      <c r="N109" s="405"/>
      <c r="O109" s="405"/>
      <c r="P109" s="405"/>
      <c r="Q109" s="405"/>
      <c r="R109" s="405"/>
      <c r="S109" s="405"/>
    </row>
    <row r="110" spans="2:19" s="131" customFormat="1" ht="24.75" customHeight="1">
      <c r="B110" s="129" t="s">
        <v>1263</v>
      </c>
      <c r="C110" s="200"/>
      <c r="D110" s="201">
        <f>-D112-D111</f>
        <v>9713195.3603897281</v>
      </c>
      <c r="E110" s="201">
        <f t="shared" ref="E110:H110" si="27">-E112-E111</f>
        <v>11558702.478863776</v>
      </c>
      <c r="F110" s="201">
        <f t="shared" si="27"/>
        <v>13754855.949847892</v>
      </c>
      <c r="G110" s="201">
        <f t="shared" si="27"/>
        <v>16368278.580318991</v>
      </c>
      <c r="H110" s="201">
        <f t="shared" si="27"/>
        <v>19478251.510579601</v>
      </c>
      <c r="J110" s="406"/>
      <c r="K110" s="405"/>
      <c r="L110" s="405"/>
      <c r="M110" s="405"/>
      <c r="N110" s="405"/>
      <c r="O110" s="405"/>
      <c r="P110" s="405"/>
      <c r="Q110" s="405"/>
      <c r="R110" s="405"/>
      <c r="S110" s="405"/>
    </row>
    <row r="111" spans="2:19" s="131" customFormat="1" ht="24.75" customHeight="1">
      <c r="B111" s="129" t="s">
        <v>1264</v>
      </c>
      <c r="C111" s="200"/>
      <c r="D111" s="201">
        <f>C109*$C$102</f>
        <v>13465923.937199999</v>
      </c>
      <c r="E111" s="201">
        <f t="shared" ref="E111:H111" si="28">D109*$C$102</f>
        <v>11620416.818725951</v>
      </c>
      <c r="F111" s="201">
        <f t="shared" si="28"/>
        <v>9424263.3477418348</v>
      </c>
      <c r="G111" s="201">
        <f t="shared" si="28"/>
        <v>6810840.7172707347</v>
      </c>
      <c r="H111" s="201">
        <f t="shared" si="28"/>
        <v>3700867.7870101263</v>
      </c>
      <c r="J111" s="406"/>
      <c r="K111" s="405"/>
      <c r="L111" s="405"/>
      <c r="M111" s="405"/>
      <c r="N111" s="405"/>
      <c r="O111" s="405"/>
      <c r="P111" s="405"/>
      <c r="Q111" s="405"/>
      <c r="R111" s="405"/>
      <c r="S111" s="405"/>
    </row>
    <row r="112" spans="2:19" s="207" customFormat="1" ht="23.25" customHeight="1">
      <c r="B112" s="440" t="s">
        <v>1265</v>
      </c>
      <c r="C112" s="439"/>
      <c r="D112" s="439">
        <f t="shared" ref="D112:H112" si="29">$C$104</f>
        <v>-23179119.297589727</v>
      </c>
      <c r="E112" s="439">
        <f t="shared" si="29"/>
        <v>-23179119.297589727</v>
      </c>
      <c r="F112" s="439">
        <f t="shared" si="29"/>
        <v>-23179119.297589727</v>
      </c>
      <c r="G112" s="439">
        <f t="shared" si="29"/>
        <v>-23179119.297589727</v>
      </c>
      <c r="H112" s="439">
        <f t="shared" si="29"/>
        <v>-23179119.297589727</v>
      </c>
      <c r="J112" s="421"/>
      <c r="K112" s="405"/>
      <c r="L112" s="405"/>
      <c r="M112" s="405"/>
      <c r="N112" s="405"/>
      <c r="O112" s="405"/>
      <c r="P112" s="405"/>
      <c r="Q112" s="405"/>
      <c r="R112" s="405"/>
      <c r="S112" s="405"/>
    </row>
    <row r="113" spans="2:19" s="207" customFormat="1" ht="29.25" customHeight="1">
      <c r="B113" s="205" t="s">
        <v>1266</v>
      </c>
      <c r="C113" s="206"/>
      <c r="D113" s="528">
        <f>D111*D105</f>
        <v>4039777.1811599992</v>
      </c>
      <c r="E113" s="528">
        <f t="shared" ref="E113:G113" si="30">E111*E105</f>
        <v>3486125.0456177853</v>
      </c>
      <c r="F113" s="528">
        <f t="shared" si="30"/>
        <v>2827279.0043225503</v>
      </c>
      <c r="G113" s="528">
        <f t="shared" si="30"/>
        <v>2043252.2151812203</v>
      </c>
      <c r="H113" s="528">
        <f>H111*H105</f>
        <v>1110260.3361030379</v>
      </c>
      <c r="I113" s="449"/>
      <c r="J113" s="407"/>
      <c r="K113" s="408">
        <f>SUM(D113:I113)</f>
        <v>13506693.782384593</v>
      </c>
      <c r="L113" s="405"/>
      <c r="M113" s="405"/>
      <c r="N113" s="405"/>
      <c r="O113" s="405"/>
      <c r="P113" s="405"/>
      <c r="Q113" s="405"/>
      <c r="R113" s="405"/>
      <c r="S113" s="405"/>
    </row>
    <row r="114" spans="2:19" s="131" customFormat="1" ht="33.75" customHeight="1" thickBot="1">
      <c r="B114" s="137" t="s">
        <v>1267</v>
      </c>
      <c r="C114" s="202"/>
      <c r="D114" s="202">
        <f>D112+D113</f>
        <v>-19139342.116429728</v>
      </c>
      <c r="E114" s="202">
        <f t="shared" ref="E114:H114" si="31">E112+E113</f>
        <v>-19692994.251971941</v>
      </c>
      <c r="F114" s="202">
        <f t="shared" si="31"/>
        <v>-20351840.293267176</v>
      </c>
      <c r="G114" s="202">
        <f t="shared" si="31"/>
        <v>-21135867.082408506</v>
      </c>
      <c r="H114" s="202">
        <f t="shared" si="31"/>
        <v>-22068858.96148669</v>
      </c>
      <c r="I114" s="442"/>
      <c r="J114" s="414"/>
      <c r="K114" s="405"/>
      <c r="L114" s="405"/>
      <c r="M114" s="405"/>
      <c r="N114" s="405"/>
      <c r="O114" s="405"/>
      <c r="P114" s="405"/>
      <c r="Q114" s="405"/>
      <c r="R114" s="405"/>
      <c r="S114" s="405"/>
    </row>
    <row r="115" spans="2:19">
      <c r="B115" s="179"/>
      <c r="C115" s="180"/>
      <c r="D115" s="180"/>
      <c r="E115" s="180"/>
      <c r="F115" s="180"/>
    </row>
    <row r="116" spans="2:19">
      <c r="B116" s="165"/>
      <c r="C116" s="165"/>
      <c r="D116" s="181"/>
      <c r="E116" s="165"/>
      <c r="F116" s="165"/>
    </row>
    <row r="117" spans="2:19" ht="27.75" customHeight="1">
      <c r="B117" s="1316" t="s">
        <v>1268</v>
      </c>
      <c r="C117" s="1317"/>
      <c r="D117" s="1317"/>
      <c r="E117" s="1317"/>
      <c r="F117" s="1317"/>
      <c r="G117" s="1317"/>
      <c r="H117" s="1317"/>
      <c r="I117" s="1317"/>
      <c r="J117" s="413"/>
    </row>
    <row r="118" spans="2:19" ht="16.350000000000001" thickBot="1">
      <c r="B118" s="165"/>
      <c r="C118" s="165"/>
      <c r="D118" s="165"/>
      <c r="E118" s="165"/>
      <c r="F118" s="165"/>
    </row>
    <row r="119" spans="2:19" ht="27" customHeight="1">
      <c r="B119" s="175"/>
      <c r="C119" s="133">
        <v>0</v>
      </c>
      <c r="D119" s="133">
        <v>1</v>
      </c>
      <c r="E119" s="133">
        <v>2</v>
      </c>
      <c r="F119" s="133">
        <v>3</v>
      </c>
      <c r="G119" s="133">
        <v>4</v>
      </c>
      <c r="H119" s="218">
        <v>5</v>
      </c>
      <c r="I119" s="446"/>
      <c r="J119" s="185"/>
    </row>
    <row r="120" spans="2:19" ht="24" customHeight="1">
      <c r="B120" s="178" t="s">
        <v>1269</v>
      </c>
      <c r="C120" s="182">
        <f>C90</f>
        <v>-208071267.75999999</v>
      </c>
      <c r="D120" s="182">
        <f t="shared" ref="D120:H120" si="32">D90</f>
        <v>-8329752.4225286543</v>
      </c>
      <c r="E120" s="182">
        <f t="shared" si="32"/>
        <v>17111461.637095846</v>
      </c>
      <c r="F120" s="182">
        <f t="shared" si="32"/>
        <v>51734502.814454213</v>
      </c>
      <c r="G120" s="182">
        <f t="shared" si="32"/>
        <v>97931433.550279006</v>
      </c>
      <c r="H120" s="182">
        <f t="shared" si="32"/>
        <v>340634130.4609195</v>
      </c>
      <c r="I120" s="191"/>
      <c r="J120" s="422"/>
    </row>
    <row r="121" spans="2:19" ht="24" customHeight="1">
      <c r="B121" s="178" t="s">
        <v>1270</v>
      </c>
      <c r="C121" s="182">
        <f>C109</f>
        <v>70873283.879999995</v>
      </c>
      <c r="D121" s="182">
        <f>D114</f>
        <v>-19139342.116429728</v>
      </c>
      <c r="E121" s="182">
        <f t="shared" ref="E121:H121" si="33">E114</f>
        <v>-19692994.251971941</v>
      </c>
      <c r="F121" s="182">
        <f t="shared" si="33"/>
        <v>-20351840.293267176</v>
      </c>
      <c r="G121" s="182">
        <f t="shared" si="33"/>
        <v>-21135867.082408506</v>
      </c>
      <c r="H121" s="182">
        <f t="shared" si="33"/>
        <v>-22068858.96148669</v>
      </c>
      <c r="I121" s="191"/>
      <c r="J121" s="422"/>
    </row>
    <row r="122" spans="2:19" ht="24" customHeight="1" thickBot="1">
      <c r="B122" s="162" t="s">
        <v>1271</v>
      </c>
      <c r="C122" s="183">
        <f>C120+C121</f>
        <v>-137197983.88</v>
      </c>
      <c r="D122" s="183">
        <f t="shared" ref="D122:H122" si="34">D120+D121</f>
        <v>-27469094.538958382</v>
      </c>
      <c r="E122" s="183">
        <f t="shared" si="34"/>
        <v>-2581532.6148760952</v>
      </c>
      <c r="F122" s="183">
        <f t="shared" si="34"/>
        <v>31382662.521187037</v>
      </c>
      <c r="G122" s="183">
        <f t="shared" si="34"/>
        <v>76795566.467870504</v>
      </c>
      <c r="H122" s="183">
        <f t="shared" si="34"/>
        <v>318565271.4994328</v>
      </c>
      <c r="I122" s="190"/>
      <c r="J122" s="423"/>
    </row>
    <row r="123" spans="2:19" ht="15" customHeight="1"/>
    <row r="124" spans="2:19" ht="15" customHeight="1"/>
    <row r="125" spans="2:19" ht="33" customHeight="1">
      <c r="B125" s="1327" t="s">
        <v>1272</v>
      </c>
      <c r="C125" s="1327"/>
      <c r="D125" s="1327"/>
      <c r="E125" s="1327"/>
      <c r="F125" s="1327"/>
      <c r="G125" s="1327"/>
      <c r="H125" s="1327"/>
    </row>
    <row r="126" spans="2:19" ht="15" customHeight="1"/>
    <row r="127" spans="2:19" ht="26.25" customHeight="1">
      <c r="B127" s="1322" t="s">
        <v>1273</v>
      </c>
      <c r="C127" s="1323"/>
      <c r="D127" s="1323"/>
      <c r="E127" s="1323"/>
      <c r="F127" s="1323"/>
      <c r="G127" s="164"/>
      <c r="H127" s="164"/>
      <c r="I127" s="164"/>
      <c r="J127" s="164"/>
    </row>
    <row r="128" spans="2:19">
      <c r="B128" s="165"/>
      <c r="C128" s="165"/>
      <c r="D128" s="165"/>
      <c r="E128" s="165"/>
      <c r="F128" s="165"/>
    </row>
    <row r="129" spans="1:12" ht="37.5" customHeight="1">
      <c r="B129" s="458" t="s">
        <v>1274</v>
      </c>
      <c r="C129" s="458" t="s">
        <v>1275</v>
      </c>
      <c r="D129" s="458" t="s">
        <v>1276</v>
      </c>
      <c r="E129" s="458" t="s">
        <v>1277</v>
      </c>
      <c r="F129" s="458" t="s">
        <v>1278</v>
      </c>
      <c r="G129" s="510">
        <f>+F130*35%</f>
        <v>2.2651245550425053E-2</v>
      </c>
    </row>
    <row r="130" spans="1:12" ht="26.25" customHeight="1">
      <c r="B130" s="459" t="s">
        <v>1279</v>
      </c>
      <c r="C130" s="169">
        <f>C121</f>
        <v>70873283.879999995</v>
      </c>
      <c r="D130" s="471">
        <f>C130/C132</f>
        <v>0.34062023384097823</v>
      </c>
      <c r="E130" s="460">
        <f>C102</f>
        <v>0.19</v>
      </c>
      <c r="F130" s="460">
        <f>D130*E130</f>
        <v>6.471784442978587E-2</v>
      </c>
      <c r="G130" s="509"/>
      <c r="K130" s="409"/>
    </row>
    <row r="131" spans="1:12" ht="26.25" customHeight="1">
      <c r="B131" s="459" t="s">
        <v>1280</v>
      </c>
      <c r="C131" s="169">
        <f>-C90-C109</f>
        <v>137197983.88</v>
      </c>
      <c r="D131" s="471">
        <f>C131/C132</f>
        <v>0.65937976615902172</v>
      </c>
      <c r="E131" s="460">
        <f>C140</f>
        <v>0.60749999999999993</v>
      </c>
      <c r="F131" s="460">
        <f>E131*D131</f>
        <v>0.40057320794160567</v>
      </c>
      <c r="G131" s="184"/>
      <c r="K131" s="409"/>
    </row>
    <row r="132" spans="1:12" ht="26.25" customHeight="1">
      <c r="B132" s="461" t="s">
        <v>1281</v>
      </c>
      <c r="C132" s="462">
        <f>SUM(C130:C131)</f>
        <v>208071267.75999999</v>
      </c>
      <c r="D132" s="471"/>
      <c r="E132" s="463"/>
      <c r="F132" s="189">
        <f>SUM(F130:F131)</f>
        <v>0.46529105237139157</v>
      </c>
      <c r="G132" s="508"/>
    </row>
    <row r="133" spans="1:12" ht="26.25" customHeight="1">
      <c r="B133" s="190"/>
      <c r="C133" s="456"/>
      <c r="D133" s="457"/>
      <c r="E133" s="185"/>
      <c r="F133" s="186"/>
    </row>
    <row r="134" spans="1:12" ht="26.25" customHeight="1">
      <c r="B134" s="190"/>
      <c r="C134" s="456"/>
      <c r="D134" s="457"/>
      <c r="E134" s="185"/>
      <c r="F134" s="186"/>
    </row>
    <row r="135" spans="1:12" ht="26.25" customHeight="1">
      <c r="A135" s="1330" t="s">
        <v>1282</v>
      </c>
      <c r="B135" s="1330"/>
      <c r="C135" s="1330"/>
      <c r="D135" s="474"/>
      <c r="E135" s="474"/>
      <c r="F135" s="186"/>
    </row>
    <row r="136" spans="1:12" ht="26.25" customHeight="1">
      <c r="A136" s="1328" t="s">
        <v>1283</v>
      </c>
      <c r="B136" s="1328"/>
      <c r="C136" s="216"/>
      <c r="F136" s="186"/>
    </row>
    <row r="137" spans="1:12" ht="26.25" customHeight="1">
      <c r="A137" s="464" t="s">
        <v>1284</v>
      </c>
      <c r="B137" s="465" t="s">
        <v>1285</v>
      </c>
      <c r="C137" s="466">
        <v>9.2499999999999999E-2</v>
      </c>
      <c r="D137" s="184" t="s">
        <v>1286</v>
      </c>
      <c r="E137" s="184"/>
      <c r="F137" s="186"/>
    </row>
    <row r="138" spans="1:12" ht="26.25" customHeight="1">
      <c r="A138" s="464" t="s">
        <v>1287</v>
      </c>
      <c r="B138" s="465" t="s">
        <v>1288</v>
      </c>
      <c r="C138" s="505">
        <v>0.35</v>
      </c>
      <c r="D138" s="184"/>
      <c r="E138" s="184"/>
      <c r="F138" s="186"/>
    </row>
    <row r="139" spans="1:12" ht="26.25" customHeight="1">
      <c r="A139" s="464" t="s">
        <v>1289</v>
      </c>
      <c r="B139" s="465" t="s">
        <v>1290</v>
      </c>
      <c r="C139" s="216">
        <v>2</v>
      </c>
      <c r="F139" s="186"/>
    </row>
    <row r="140" spans="1:12" ht="42" customHeight="1">
      <c r="A140" s="455"/>
      <c r="B140" s="467" t="s">
        <v>1291</v>
      </c>
      <c r="C140" s="507">
        <f>C137+(C138-C137)*C139</f>
        <v>0.60749999999999993</v>
      </c>
      <c r="D140" s="506">
        <f>+C137+(C138-C137)*C139</f>
        <v>0.60749999999999993</v>
      </c>
      <c r="E140" s="184"/>
      <c r="F140" s="186"/>
    </row>
    <row r="141" spans="1:12" ht="26.25" customHeight="1">
      <c r="B141" s="190"/>
      <c r="C141" s="456"/>
      <c r="D141" s="457"/>
      <c r="E141" s="185"/>
      <c r="F141" s="186"/>
    </row>
    <row r="142" spans="1:12" ht="26.25" customHeight="1">
      <c r="B142" s="1329" t="s">
        <v>1272</v>
      </c>
      <c r="C142" s="1329"/>
      <c r="D142" s="1329"/>
      <c r="E142" s="185"/>
      <c r="F142" s="186"/>
    </row>
    <row r="144" spans="1:12">
      <c r="F144" s="1324"/>
      <c r="G144" s="1324"/>
      <c r="H144" s="1324"/>
      <c r="I144" s="1324"/>
      <c r="J144" s="1324"/>
      <c r="K144" s="1324"/>
      <c r="L144" s="1324"/>
    </row>
    <row r="145" spans="2:20" ht="22.5" customHeight="1">
      <c r="B145" s="472" t="s">
        <v>1292</v>
      </c>
      <c r="C145" s="470" t="s">
        <v>1293</v>
      </c>
      <c r="D145" s="470" t="s">
        <v>1294</v>
      </c>
      <c r="E145" s="165"/>
      <c r="G145" s="450"/>
      <c r="H145" s="450"/>
      <c r="I145" s="450"/>
      <c r="J145" s="415"/>
      <c r="K145" s="415"/>
      <c r="L145" s="415"/>
    </row>
    <row r="146" spans="2:20" ht="22.5" customHeight="1">
      <c r="B146" s="472" t="s">
        <v>1295</v>
      </c>
      <c r="C146" s="460">
        <v>0.505</v>
      </c>
      <c r="D146" s="128"/>
      <c r="F146" s="450"/>
      <c r="G146" s="468"/>
      <c r="H146" s="468"/>
      <c r="I146" s="451"/>
      <c r="J146" s="410"/>
      <c r="K146" s="411"/>
      <c r="L146" s="412"/>
    </row>
    <row r="147" spans="2:20" ht="22.5" customHeight="1">
      <c r="B147" s="472" t="s">
        <v>1296</v>
      </c>
      <c r="C147" s="128"/>
      <c r="D147" s="471">
        <v>0.6</v>
      </c>
      <c r="F147" s="469"/>
    </row>
    <row r="148" spans="2:20" ht="22.5" customHeight="1">
      <c r="B148" s="472" t="s">
        <v>1297</v>
      </c>
      <c r="C148" s="187">
        <f>NPV(C146,D120:H120)+C120</f>
        <v>-127669212.91934502</v>
      </c>
      <c r="D148" s="187">
        <f>NPV(D147,D122:H122)+C122</f>
        <v>-105613971.05296466</v>
      </c>
      <c r="E148" s="188"/>
      <c r="F148" s="469"/>
    </row>
    <row r="149" spans="2:20" ht="22.5" customHeight="1">
      <c r="B149" s="472" t="s">
        <v>1298</v>
      </c>
      <c r="C149" s="189">
        <f>IRR(C120:H120)</f>
        <v>0.21381625769821189</v>
      </c>
      <c r="D149" s="189">
        <f>IRR(C122:H122)</f>
        <v>0.2339984764102625</v>
      </c>
      <c r="F149" s="469"/>
    </row>
    <row r="150" spans="2:20" ht="17.25" customHeight="1">
      <c r="B150" s="473" t="s">
        <v>1299</v>
      </c>
      <c r="C150" s="992">
        <f>E166</f>
        <v>4.1456801234613598</v>
      </c>
      <c r="D150" s="216"/>
      <c r="E150" s="184"/>
      <c r="F150" s="469"/>
    </row>
    <row r="151" spans="2:20" ht="17.25" customHeight="1">
      <c r="C151" s="190"/>
      <c r="D151" s="191"/>
      <c r="E151" s="191"/>
      <c r="F151" s="469"/>
    </row>
    <row r="152" spans="2:20" ht="17.25" customHeight="1">
      <c r="F152" s="469"/>
    </row>
    <row r="153" spans="2:20" ht="17.25" customHeight="1">
      <c r="D153" s="192"/>
      <c r="F153" s="469"/>
    </row>
    <row r="155" spans="2:20" s="131" customFormat="1" ht="18" customHeight="1">
      <c r="H155" s="413"/>
      <c r="I155" s="447"/>
      <c r="J155" s="401"/>
      <c r="K155" s="405"/>
      <c r="L155" s="405"/>
      <c r="M155" s="405"/>
      <c r="N155" s="405"/>
      <c r="O155" s="405"/>
      <c r="P155" s="405"/>
      <c r="Q155" s="424"/>
      <c r="R155" s="405"/>
      <c r="S155" s="425"/>
      <c r="T155" s="475"/>
    </row>
    <row r="156" spans="2:20" s="171" customFormat="1">
      <c r="I156" s="447"/>
      <c r="J156" s="401"/>
      <c r="K156" s="405"/>
      <c r="L156" s="405"/>
      <c r="M156" s="405"/>
      <c r="N156" s="405"/>
      <c r="O156" s="405"/>
      <c r="P156" s="405"/>
      <c r="Q156" s="424"/>
      <c r="R156" s="405"/>
      <c r="S156" s="425"/>
      <c r="T156" s="193"/>
    </row>
    <row r="157" spans="2:20" s="171" customFormat="1">
      <c r="I157" s="447"/>
      <c r="J157" s="401"/>
      <c r="K157" s="405"/>
      <c r="L157" s="405"/>
      <c r="M157" s="405"/>
      <c r="N157" s="405"/>
      <c r="O157" s="405"/>
      <c r="P157" s="405"/>
      <c r="Q157" s="424"/>
      <c r="R157" s="405"/>
      <c r="S157" s="425"/>
      <c r="T157" s="193"/>
    </row>
    <row r="158" spans="2:20" s="171" customFormat="1" ht="15.75" customHeight="1">
      <c r="B158" s="1321" t="s">
        <v>1300</v>
      </c>
      <c r="C158" s="1321"/>
      <c r="D158" s="1321"/>
      <c r="E158" s="1321"/>
      <c r="F158" s="1321"/>
      <c r="G158" s="1321"/>
      <c r="H158" s="213"/>
      <c r="I158" s="447"/>
      <c r="J158" s="401"/>
      <c r="K158" s="405"/>
      <c r="L158" s="405"/>
      <c r="M158" s="405"/>
      <c r="N158" s="405"/>
      <c r="O158" s="405"/>
      <c r="P158" s="405"/>
      <c r="Q158" s="424"/>
      <c r="R158" s="405"/>
      <c r="S158" s="425"/>
      <c r="T158" s="193"/>
    </row>
    <row r="159" spans="2:20" s="171" customFormat="1">
      <c r="I159" s="447"/>
      <c r="J159" s="401"/>
      <c r="K159" s="405"/>
      <c r="L159" s="405"/>
      <c r="M159" s="405"/>
      <c r="N159" s="405"/>
      <c r="O159" s="405"/>
      <c r="P159" s="405"/>
      <c r="Q159" s="424"/>
      <c r="R159" s="405"/>
      <c r="S159" s="425"/>
      <c r="T159" s="193"/>
    </row>
    <row r="160" spans="2:20" s="171" customFormat="1" ht="39" customHeight="1">
      <c r="B160" s="529" t="s">
        <v>1240</v>
      </c>
      <c r="C160" s="529" t="s">
        <v>1301</v>
      </c>
      <c r="D160" s="529" t="s">
        <v>1302</v>
      </c>
      <c r="I160" s="447"/>
      <c r="J160" s="401"/>
      <c r="K160" s="405"/>
      <c r="L160" s="405"/>
      <c r="M160" s="405"/>
      <c r="N160" s="405"/>
      <c r="O160" s="405"/>
      <c r="P160" s="405"/>
      <c r="Q160" s="424"/>
      <c r="R160" s="405"/>
      <c r="S160" s="425"/>
      <c r="T160" s="193"/>
    </row>
    <row r="161" spans="2:20" s="131" customFormat="1" ht="17.45" customHeight="1">
      <c r="B161" s="128">
        <v>0</v>
      </c>
      <c r="C161" s="141" cm="1">
        <f t="array" ref="C161:C166">TRANSPOSE(C120:H120)</f>
        <v>-208071267.75999999</v>
      </c>
      <c r="D161" s="530">
        <f>C161</f>
        <v>-208071267.75999999</v>
      </c>
      <c r="I161" s="447"/>
      <c r="J161" s="401"/>
      <c r="K161" s="405"/>
      <c r="L161" s="405"/>
      <c r="M161" s="405"/>
      <c r="N161" s="405"/>
      <c r="O161" s="405"/>
      <c r="P161" s="405"/>
      <c r="Q161" s="424"/>
      <c r="R161" s="405"/>
      <c r="S161" s="425"/>
      <c r="T161" s="475"/>
    </row>
    <row r="162" spans="2:20" s="131" customFormat="1" ht="17.45" customHeight="1">
      <c r="B162" s="128">
        <v>1</v>
      </c>
      <c r="C162" s="141">
        <v>-8329752.4225286543</v>
      </c>
      <c r="D162" s="530">
        <f>D161+C162</f>
        <v>-216401020.18252864</v>
      </c>
      <c r="E162" s="491"/>
      <c r="I162" s="447"/>
      <c r="J162" s="401"/>
      <c r="K162" s="405"/>
      <c r="L162" s="405"/>
      <c r="M162" s="405"/>
      <c r="N162" s="405"/>
      <c r="O162" s="405"/>
      <c r="P162" s="405"/>
      <c r="Q162" s="424"/>
      <c r="R162" s="405"/>
      <c r="S162" s="425"/>
      <c r="T162" s="475"/>
    </row>
    <row r="163" spans="2:20" s="131" customFormat="1" ht="17.45" customHeight="1">
      <c r="B163" s="128">
        <v>2</v>
      </c>
      <c r="C163" s="141">
        <v>17111461.637095846</v>
      </c>
      <c r="D163" s="530">
        <f t="shared" ref="D163:D166" si="35">D162+C163</f>
        <v>-199289558.54543281</v>
      </c>
      <c r="E163" s="491"/>
      <c r="I163" s="447"/>
      <c r="J163" s="401"/>
      <c r="K163" s="405"/>
      <c r="L163" s="405"/>
      <c r="M163" s="405"/>
      <c r="N163" s="405"/>
      <c r="O163" s="405"/>
      <c r="P163" s="405"/>
      <c r="Q163" s="424"/>
      <c r="R163" s="405"/>
      <c r="S163" s="425"/>
      <c r="T163" s="475"/>
    </row>
    <row r="164" spans="2:20" s="131" customFormat="1" ht="17.45" customHeight="1">
      <c r="B164" s="128">
        <v>3</v>
      </c>
      <c r="C164" s="141">
        <v>51734502.814454213</v>
      </c>
      <c r="D164" s="530">
        <f t="shared" si="35"/>
        <v>-147555055.73097861</v>
      </c>
      <c r="E164" s="491"/>
      <c r="F164" s="283"/>
      <c r="I164" s="447"/>
      <c r="J164" s="401"/>
      <c r="K164" s="405"/>
      <c r="L164" s="405"/>
      <c r="M164" s="405"/>
      <c r="N164" s="405"/>
      <c r="O164" s="405"/>
      <c r="P164" s="405"/>
      <c r="Q164" s="424"/>
      <c r="R164" s="405"/>
      <c r="S164" s="425"/>
      <c r="T164" s="475"/>
    </row>
    <row r="165" spans="2:20" s="131" customFormat="1" ht="17.45" customHeight="1">
      <c r="B165" s="128">
        <v>4</v>
      </c>
      <c r="C165" s="141">
        <v>97931433.550279006</v>
      </c>
      <c r="D165" s="530">
        <f t="shared" si="35"/>
        <v>-49623622.180699602</v>
      </c>
      <c r="E165" s="491"/>
      <c r="I165" s="447"/>
      <c r="J165" s="401"/>
      <c r="K165" s="405"/>
      <c r="L165" s="405"/>
      <c r="M165" s="405"/>
      <c r="N165" s="405"/>
      <c r="O165" s="405"/>
      <c r="P165" s="405"/>
      <c r="Q165" s="424"/>
      <c r="R165" s="405"/>
      <c r="S165" s="425"/>
      <c r="T165" s="475"/>
    </row>
    <row r="166" spans="2:20" s="131" customFormat="1">
      <c r="B166" s="128">
        <v>5</v>
      </c>
      <c r="C166" s="141">
        <v>340634130.4609195</v>
      </c>
      <c r="D166" s="530">
        <f t="shared" si="35"/>
        <v>291010508.28021991</v>
      </c>
      <c r="E166" s="991">
        <f>INTERCEPT(B165:B166,D165:D166)</f>
        <v>4.1456801234613598</v>
      </c>
      <c r="I166" s="447"/>
      <c r="J166" s="401"/>
      <c r="K166" s="405"/>
      <c r="L166" s="405"/>
      <c r="M166" s="405"/>
      <c r="N166" s="405"/>
      <c r="O166" s="405"/>
      <c r="P166" s="405"/>
      <c r="Q166" s="424"/>
      <c r="R166" s="405"/>
      <c r="S166" s="425"/>
      <c r="T166" s="475"/>
    </row>
    <row r="167" spans="2:20" s="131" customFormat="1">
      <c r="D167" s="492"/>
      <c r="I167" s="447"/>
      <c r="J167" s="401"/>
      <c r="K167" s="405"/>
      <c r="L167" s="405"/>
      <c r="M167" s="405"/>
      <c r="N167" s="405"/>
      <c r="O167" s="405"/>
      <c r="P167" s="405"/>
      <c r="Q167" s="424"/>
      <c r="R167" s="405"/>
      <c r="S167" s="425"/>
      <c r="T167" s="475"/>
    </row>
    <row r="168" spans="2:20" s="131" customFormat="1">
      <c r="F168" s="130"/>
      <c r="I168" s="447"/>
      <c r="J168" s="401"/>
      <c r="K168" s="405"/>
      <c r="L168" s="405"/>
      <c r="M168" s="405"/>
      <c r="N168" s="405"/>
      <c r="O168" s="405"/>
      <c r="P168" s="405"/>
      <c r="Q168" s="424"/>
      <c r="R168" s="405"/>
      <c r="S168" s="425"/>
      <c r="T168" s="475"/>
    </row>
    <row r="169" spans="2:20" s="131" customFormat="1">
      <c r="I169" s="447"/>
      <c r="J169" s="401"/>
      <c r="K169" s="405"/>
      <c r="L169" s="405"/>
      <c r="M169" s="405"/>
      <c r="N169" s="405"/>
      <c r="O169" s="405"/>
      <c r="P169" s="405"/>
      <c r="Q169" s="424"/>
      <c r="R169" s="405"/>
      <c r="S169" s="425"/>
      <c r="T169" s="475"/>
    </row>
    <row r="170" spans="2:20" s="131" customFormat="1">
      <c r="D170" s="493"/>
      <c r="I170" s="447"/>
      <c r="J170" s="401"/>
      <c r="K170" s="405"/>
      <c r="L170" s="405"/>
      <c r="M170" s="405"/>
      <c r="N170" s="405"/>
      <c r="O170" s="405"/>
      <c r="P170" s="405"/>
      <c r="Q170" s="424"/>
      <c r="R170" s="405"/>
      <c r="S170" s="425"/>
      <c r="T170" s="475"/>
    </row>
    <row r="171" spans="2:20" s="131" customFormat="1">
      <c r="C171" s="494"/>
      <c r="D171" s="493"/>
      <c r="I171" s="447"/>
      <c r="J171" s="401"/>
      <c r="K171" s="405"/>
      <c r="L171" s="405"/>
      <c r="M171" s="405"/>
      <c r="N171" s="405"/>
      <c r="O171" s="405"/>
      <c r="P171" s="405"/>
      <c r="Q171" s="424"/>
      <c r="R171" s="405"/>
      <c r="S171" s="425"/>
      <c r="T171" s="475"/>
    </row>
    <row r="172" spans="2:20" s="131" customFormat="1">
      <c r="D172" s="495"/>
      <c r="I172" s="447"/>
      <c r="J172" s="401"/>
      <c r="K172" s="405"/>
      <c r="L172" s="405"/>
      <c r="M172" s="405"/>
      <c r="N172" s="405"/>
      <c r="O172" s="405"/>
      <c r="P172" s="405"/>
      <c r="Q172" s="424"/>
      <c r="R172" s="405"/>
      <c r="S172" s="425"/>
      <c r="T172" s="475"/>
    </row>
    <row r="173" spans="2:20" s="131" customFormat="1">
      <c r="D173" s="493"/>
      <c r="I173" s="447"/>
      <c r="J173" s="401"/>
      <c r="K173" s="405"/>
      <c r="L173" s="405"/>
      <c r="M173" s="405"/>
      <c r="N173" s="405"/>
      <c r="O173" s="405"/>
      <c r="P173" s="405"/>
      <c r="Q173" s="424"/>
      <c r="R173" s="405"/>
      <c r="S173" s="425"/>
      <c r="T173" s="475"/>
    </row>
    <row r="174" spans="2:20" s="131" customFormat="1">
      <c r="D174" s="493"/>
      <c r="I174" s="447"/>
      <c r="J174" s="401"/>
      <c r="K174" s="405"/>
      <c r="L174" s="405"/>
      <c r="M174" s="405"/>
      <c r="N174" s="405"/>
      <c r="O174" s="405"/>
      <c r="P174" s="405"/>
      <c r="Q174" s="424"/>
      <c r="R174" s="405"/>
      <c r="S174" s="425"/>
      <c r="T174" s="475"/>
    </row>
    <row r="175" spans="2:20" s="171" customFormat="1">
      <c r="I175" s="447"/>
      <c r="J175" s="401"/>
      <c r="K175" s="405"/>
      <c r="L175" s="405"/>
      <c r="M175" s="405"/>
      <c r="N175" s="405"/>
      <c r="O175" s="405"/>
      <c r="P175" s="405"/>
      <c r="Q175" s="424"/>
      <c r="R175" s="405"/>
      <c r="S175" s="425"/>
      <c r="T175" s="193"/>
    </row>
    <row r="176" spans="2:20" s="171" customFormat="1">
      <c r="D176" s="288"/>
      <c r="F176" s="215"/>
      <c r="I176" s="447"/>
      <c r="J176" s="401"/>
      <c r="K176" s="405"/>
      <c r="L176" s="405"/>
      <c r="M176" s="405"/>
      <c r="N176" s="405"/>
      <c r="O176" s="405"/>
      <c r="P176" s="405"/>
      <c r="Q176" s="424"/>
      <c r="R176" s="405"/>
      <c r="S176" s="425"/>
      <c r="T176" s="193"/>
    </row>
    <row r="177" spans="6:20" s="171" customFormat="1">
      <c r="F177" s="214"/>
      <c r="I177" s="447"/>
      <c r="J177" s="401"/>
      <c r="K177" s="405"/>
      <c r="L177" s="405"/>
      <c r="M177" s="405"/>
      <c r="N177" s="405"/>
      <c r="O177" s="405"/>
      <c r="P177" s="405"/>
      <c r="Q177" s="424"/>
      <c r="R177" s="405"/>
      <c r="S177" s="425"/>
      <c r="T177" s="193"/>
    </row>
    <row r="178" spans="6:20" s="171" customFormat="1">
      <c r="I178" s="447"/>
      <c r="J178" s="401"/>
      <c r="K178" s="405"/>
      <c r="L178" s="405"/>
      <c r="M178" s="405"/>
      <c r="N178" s="405"/>
      <c r="O178" s="405"/>
      <c r="P178" s="405"/>
      <c r="Q178" s="424"/>
      <c r="R178" s="405"/>
      <c r="S178" s="425"/>
      <c r="T178" s="193"/>
    </row>
    <row r="179" spans="6:20" s="171" customFormat="1">
      <c r="I179" s="447"/>
      <c r="J179" s="401"/>
      <c r="K179" s="405"/>
      <c r="L179" s="405"/>
      <c r="M179" s="405"/>
      <c r="N179" s="405"/>
      <c r="O179" s="405"/>
      <c r="P179" s="405"/>
      <c r="Q179" s="424"/>
      <c r="R179" s="405"/>
      <c r="S179" s="425"/>
      <c r="T179" s="193"/>
    </row>
    <row r="180" spans="6:20" s="171" customFormat="1">
      <c r="I180" s="447"/>
      <c r="J180" s="401"/>
      <c r="K180" s="405"/>
      <c r="L180" s="405"/>
      <c r="M180" s="405"/>
      <c r="N180" s="405"/>
      <c r="O180" s="405"/>
      <c r="P180" s="405"/>
      <c r="Q180" s="424"/>
      <c r="R180" s="405"/>
      <c r="S180" s="425"/>
      <c r="T180" s="193"/>
    </row>
  </sheetData>
  <mergeCells count="19">
    <mergeCell ref="B50:K50"/>
    <mergeCell ref="B61:I61"/>
    <mergeCell ref="B66:I66"/>
    <mergeCell ref="B85:I85"/>
    <mergeCell ref="B73:I73"/>
    <mergeCell ref="B158:G158"/>
    <mergeCell ref="B117:I117"/>
    <mergeCell ref="B127:F127"/>
    <mergeCell ref="F144:L144"/>
    <mergeCell ref="B93:I93"/>
    <mergeCell ref="B125:H125"/>
    <mergeCell ref="A136:B136"/>
    <mergeCell ref="B142:D142"/>
    <mergeCell ref="A135:C135"/>
    <mergeCell ref="B2:I3"/>
    <mergeCell ref="B6:I6"/>
    <mergeCell ref="B34:I34"/>
    <mergeCell ref="B36:I36"/>
    <mergeCell ref="C18:I18"/>
  </mergeCells>
  <phoneticPr fontId="71" type="noConversion"/>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2F4E6AC26D6B648B9091275FC10C460" ma:contentTypeVersion="2" ma:contentTypeDescription="Crear nuevo documento." ma:contentTypeScope="" ma:versionID="37f09f44750894233f6d463786efac97">
  <xsd:schema xmlns:xsd="http://www.w3.org/2001/XMLSchema" xmlns:xs="http://www.w3.org/2001/XMLSchema" xmlns:p="http://schemas.microsoft.com/office/2006/metadata/properties" xmlns:ns2="c442c436-930a-4fa0-b579-eed1259163c1" targetNamespace="http://schemas.microsoft.com/office/2006/metadata/properties" ma:root="true" ma:fieldsID="49cece1095f814e61f015040a088653d" ns2:_="">
    <xsd:import namespace="c442c436-930a-4fa0-b579-eed1259163c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c436-930a-4fa0-b579-eed1259163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4BD4E9-E244-4E0D-9B14-3999F4CEAB52}"/>
</file>

<file path=customXml/itemProps2.xml><?xml version="1.0" encoding="utf-8"?>
<ds:datastoreItem xmlns:ds="http://schemas.openxmlformats.org/officeDocument/2006/customXml" ds:itemID="{32B73197-99D6-4D33-AC02-458CCFCE0D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Universidad de Medellin</dc:creator>
  <cp:keywords/>
  <dc:description/>
  <cp:lastModifiedBy/>
  <cp:revision/>
  <dcterms:created xsi:type="dcterms:W3CDTF">2021-09-06T10:54:04Z</dcterms:created>
  <dcterms:modified xsi:type="dcterms:W3CDTF">2025-11-14T03:52:06Z</dcterms:modified>
  <cp:category/>
  <cp:contentStatus/>
</cp:coreProperties>
</file>