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youngermaster/Documents/Fisica II/"/>
    </mc:Choice>
  </mc:AlternateContent>
  <xr:revisionPtr revIDLastSave="0" documentId="13_ncr:1_{D06FE603-329E-5447-B734-11A5AAB27BC5}" xr6:coauthVersionLast="47" xr6:coauthVersionMax="47" xr10:uidLastSave="{00000000-0000-0000-0000-000000000000}"/>
  <bookViews>
    <workbookView xWindow="0" yWindow="760" windowWidth="30240" windowHeight="18880" xr2:uid="{F35B74BB-D271-47C0-A5F3-93C8F8450D2B}"/>
  </bookViews>
  <sheets>
    <sheet name="Solenoide A"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4" i="1" l="1"/>
  <c r="C58" i="1"/>
  <c r="D58" i="1"/>
  <c r="E58" i="1"/>
  <c r="F58" i="1"/>
  <c r="G58" i="1"/>
  <c r="H58" i="1"/>
  <c r="I58" i="1"/>
  <c r="J58" i="1"/>
  <c r="C59" i="1"/>
  <c r="D59" i="1"/>
  <c r="E59" i="1"/>
  <c r="F59" i="1"/>
  <c r="G59" i="1"/>
  <c r="H59" i="1"/>
  <c r="I59" i="1"/>
  <c r="J59" i="1"/>
  <c r="B58" i="1"/>
  <c r="B59" i="1"/>
  <c r="C44" i="1"/>
  <c r="K74" i="1"/>
  <c r="J74" i="1"/>
  <c r="I74" i="1"/>
  <c r="H74" i="1"/>
  <c r="G74" i="1"/>
  <c r="F74" i="1"/>
  <c r="E74" i="1"/>
  <c r="D74" i="1"/>
  <c r="C74" i="1"/>
  <c r="B74" i="1"/>
  <c r="J55" i="1"/>
  <c r="I55" i="1"/>
  <c r="H55" i="1"/>
  <c r="G55" i="1"/>
  <c r="E55" i="1"/>
  <c r="D55" i="1"/>
  <c r="C55" i="1"/>
  <c r="B55" i="1"/>
  <c r="C68" i="1"/>
  <c r="D68" i="1"/>
  <c r="E68" i="1"/>
  <c r="F68" i="1"/>
  <c r="G68" i="1"/>
  <c r="H68" i="1"/>
  <c r="I68" i="1"/>
  <c r="J68" i="1"/>
  <c r="B68" i="1"/>
  <c r="C46" i="1"/>
  <c r="J66" i="1"/>
  <c r="I66" i="1"/>
  <c r="H66" i="1"/>
  <c r="G66" i="1"/>
  <c r="F66" i="1"/>
  <c r="E66" i="1"/>
  <c r="D66" i="1"/>
  <c r="C66" i="1"/>
  <c r="B66" i="1"/>
  <c r="F55" i="1"/>
  <c r="B39" i="1"/>
  <c r="B24" i="1"/>
  <c r="J26" i="1"/>
  <c r="G32" i="1"/>
  <c r="B32" i="1"/>
  <c r="J24" i="1"/>
  <c r="D24" i="1"/>
  <c r="E24" i="1"/>
  <c r="F24" i="1"/>
  <c r="G24" i="1"/>
  <c r="H24" i="1"/>
  <c r="I24" i="1"/>
  <c r="C24" i="1"/>
  <c r="C4" i="1"/>
  <c r="E32" i="1"/>
  <c r="F32" i="1"/>
  <c r="H32" i="1"/>
  <c r="I32" i="1"/>
  <c r="J32" i="1"/>
  <c r="K32" i="1"/>
  <c r="D32" i="1"/>
  <c r="C32" i="1"/>
  <c r="F13" i="1"/>
  <c r="C7" i="1"/>
  <c r="B33" i="1" s="1"/>
  <c r="C6" i="1"/>
  <c r="F56" i="1" l="1"/>
  <c r="E56" i="1"/>
  <c r="G57" i="1"/>
  <c r="C57" i="1"/>
  <c r="D57" i="1"/>
  <c r="H57" i="1"/>
  <c r="C56" i="1"/>
  <c r="C26" i="1"/>
  <c r="F57" i="1"/>
  <c r="B26" i="1"/>
  <c r="I56" i="1"/>
  <c r="B57" i="1"/>
  <c r="D56" i="1"/>
  <c r="B62" i="1"/>
  <c r="E26" i="1"/>
  <c r="E57" i="1"/>
  <c r="I26" i="1"/>
  <c r="H26" i="1"/>
  <c r="J56" i="1"/>
  <c r="G26" i="1"/>
  <c r="F26" i="1"/>
  <c r="D26" i="1"/>
  <c r="B13" i="1"/>
  <c r="B34" i="1"/>
  <c r="B35" i="1" s="1"/>
  <c r="B36" i="1" s="1"/>
  <c r="C13" i="1"/>
  <c r="B20" i="1"/>
  <c r="C34" i="1"/>
  <c r="D34" i="1"/>
  <c r="E34" i="1"/>
  <c r="F34" i="1"/>
  <c r="G34" i="1"/>
  <c r="H34" i="1"/>
  <c r="I34" i="1"/>
  <c r="J34" i="1"/>
  <c r="K34" i="1"/>
  <c r="F15" i="1"/>
  <c r="F14" i="1"/>
  <c r="J13" i="1"/>
  <c r="I13" i="1"/>
  <c r="H13" i="1"/>
  <c r="G13" i="1"/>
  <c r="E13" i="1"/>
  <c r="D13" i="1"/>
  <c r="J60" i="1" l="1"/>
  <c r="D60" i="1"/>
  <c r="B61" i="1"/>
  <c r="G61" i="1"/>
  <c r="E61" i="1"/>
  <c r="I60" i="1"/>
  <c r="E60" i="1"/>
  <c r="B56" i="1"/>
  <c r="G56" i="1"/>
  <c r="I57" i="1"/>
  <c r="H61" i="1"/>
  <c r="F61" i="1"/>
  <c r="C61" i="1"/>
  <c r="F60" i="1"/>
  <c r="J57" i="1"/>
  <c r="D61" i="1"/>
  <c r="C60" i="1"/>
  <c r="H56" i="1"/>
  <c r="B14" i="1"/>
  <c r="B16" i="1" s="1"/>
  <c r="C33" i="1"/>
  <c r="C35" i="1" s="1"/>
  <c r="C36" i="1" s="1"/>
  <c r="B15" i="1"/>
  <c r="C15" i="1"/>
  <c r="C14" i="1"/>
  <c r="D15" i="1"/>
  <c r="D14" i="1"/>
  <c r="E15" i="1"/>
  <c r="E14" i="1"/>
  <c r="G15" i="1"/>
  <c r="G14" i="1"/>
  <c r="H15" i="1"/>
  <c r="H14" i="1"/>
  <c r="I15" i="1"/>
  <c r="I14" i="1"/>
  <c r="J15" i="1"/>
  <c r="J14" i="1"/>
  <c r="F16" i="1"/>
  <c r="F18" i="1" s="1"/>
  <c r="F17" i="1"/>
  <c r="F19" i="1" s="1"/>
  <c r="C63" i="1" l="1"/>
  <c r="C67" i="1" s="1"/>
  <c r="F63" i="1"/>
  <c r="D63" i="1"/>
  <c r="D67" i="1" s="1"/>
  <c r="E63" i="1"/>
  <c r="J61" i="1"/>
  <c r="J63" i="1" s="1"/>
  <c r="G60" i="1"/>
  <c r="G63" i="1" s="1"/>
  <c r="B60" i="1"/>
  <c r="B63" i="1" s="1"/>
  <c r="B67" i="1" s="1"/>
  <c r="H60" i="1"/>
  <c r="H63" i="1" s="1"/>
  <c r="I61" i="1"/>
  <c r="I63" i="1" s="1"/>
  <c r="F21" i="1"/>
  <c r="J16" i="1"/>
  <c r="J18" i="1" s="1"/>
  <c r="J17" i="1"/>
  <c r="J19" i="1" s="1"/>
  <c r="I16" i="1"/>
  <c r="I18" i="1" s="1"/>
  <c r="I17" i="1"/>
  <c r="I19" i="1" s="1"/>
  <c r="H16" i="1"/>
  <c r="H18" i="1" s="1"/>
  <c r="H17" i="1"/>
  <c r="H19" i="1" s="1"/>
  <c r="G16" i="1"/>
  <c r="G18" i="1" s="1"/>
  <c r="G17" i="1"/>
  <c r="G19" i="1" s="1"/>
  <c r="E16" i="1"/>
  <c r="E18" i="1" s="1"/>
  <c r="E17" i="1"/>
  <c r="E19" i="1" s="1"/>
  <c r="D16" i="1"/>
  <c r="D18" i="1" s="1"/>
  <c r="D17" i="1"/>
  <c r="D19" i="1" s="1"/>
  <c r="C16" i="1"/>
  <c r="C18" i="1" s="1"/>
  <c r="C17" i="1"/>
  <c r="C19" i="1" s="1"/>
  <c r="B18" i="1"/>
  <c r="B17" i="1"/>
  <c r="B19" i="1" s="1"/>
  <c r="D33" i="1"/>
  <c r="D35" i="1" s="1"/>
  <c r="D36" i="1" s="1"/>
  <c r="C64" i="1" l="1"/>
  <c r="D64" i="1"/>
  <c r="B64" i="1"/>
  <c r="G67" i="1"/>
  <c r="G64" i="1"/>
  <c r="J67" i="1"/>
  <c r="I67" i="1"/>
  <c r="I64" i="1"/>
  <c r="E67" i="1"/>
  <c r="E64" i="1"/>
  <c r="F67" i="1"/>
  <c r="F64" i="1"/>
  <c r="H67" i="1"/>
  <c r="H64" i="1"/>
  <c r="F25" i="1"/>
  <c r="F22" i="1"/>
  <c r="B21" i="1"/>
  <c r="B22" i="1" s="1"/>
  <c r="E33" i="1"/>
  <c r="E35" i="1" s="1"/>
  <c r="E36" i="1" s="1"/>
  <c r="C21" i="1"/>
  <c r="D21" i="1"/>
  <c r="E21" i="1"/>
  <c r="G21" i="1"/>
  <c r="H21" i="1"/>
  <c r="I21" i="1"/>
  <c r="J21" i="1"/>
  <c r="B25" i="1" l="1"/>
  <c r="J25" i="1"/>
  <c r="J22" i="1"/>
  <c r="I25" i="1"/>
  <c r="I22" i="1"/>
  <c r="H25" i="1"/>
  <c r="H22" i="1"/>
  <c r="G25" i="1"/>
  <c r="G22" i="1"/>
  <c r="E25" i="1"/>
  <c r="E22" i="1"/>
  <c r="D25" i="1"/>
  <c r="D22" i="1"/>
  <c r="C25" i="1"/>
  <c r="C22" i="1"/>
  <c r="F33" i="1"/>
  <c r="F35" i="1" s="1"/>
  <c r="F36" i="1" s="1"/>
  <c r="G33" i="1" l="1"/>
  <c r="G35" i="1" s="1"/>
  <c r="G36" i="1" s="1"/>
  <c r="H33" i="1" l="1"/>
  <c r="H35" i="1" s="1"/>
  <c r="H36" i="1" s="1"/>
  <c r="I33" i="1" l="1"/>
  <c r="I35" i="1" s="1"/>
  <c r="I36" i="1" s="1"/>
  <c r="K33" i="1" l="1"/>
  <c r="K35" i="1" s="1"/>
  <c r="K36" i="1" s="1"/>
  <c r="J33" i="1"/>
  <c r="J35" i="1" s="1"/>
  <c r="J36" i="1" s="1"/>
</calcChain>
</file>

<file path=xl/sharedStrings.xml><?xml version="1.0" encoding="utf-8"?>
<sst xmlns="http://schemas.openxmlformats.org/spreadsheetml/2006/main" count="105" uniqueCount="66">
  <si>
    <t>Datos del solenoide usado</t>
  </si>
  <si>
    <t>Número de espiras</t>
  </si>
  <si>
    <t>Diámetro [mm]</t>
  </si>
  <si>
    <t>Radio [m]</t>
  </si>
  <si>
    <t>Longitud [cm]</t>
  </si>
  <si>
    <t>Longitud [m]</t>
  </si>
  <si>
    <t>μ</t>
  </si>
  <si>
    <t>Experimento I (Campo magnético respecto a la posición)</t>
  </si>
  <si>
    <t>I[A]</t>
  </si>
  <si>
    <t xml:space="preserve">Posición </t>
  </si>
  <si>
    <t>-L/2</t>
  </si>
  <si>
    <t>-3L/8</t>
  </si>
  <si>
    <t>-L/4</t>
  </si>
  <si>
    <t>-L/8</t>
  </si>
  <si>
    <t>L/8</t>
  </si>
  <si>
    <t>L/4</t>
  </si>
  <si>
    <t>3L/8</t>
  </si>
  <si>
    <t>L/2</t>
  </si>
  <si>
    <t>L/2-x</t>
  </si>
  <si>
    <t>L/2+x</t>
  </si>
  <si>
    <t>raiz(xxx-x)</t>
  </si>
  <si>
    <t>raiz(xxx+x)</t>
  </si>
  <si>
    <t>L/2 / raiz (xxx)</t>
  </si>
  <si>
    <t>k</t>
  </si>
  <si>
    <t>Campo teorico (T)</t>
  </si>
  <si>
    <t>Campo (mT)</t>
  </si>
  <si>
    <t>Campo exp (mT)</t>
  </si>
  <si>
    <t>Campo exp (T)</t>
  </si>
  <si>
    <t>%error</t>
  </si>
  <si>
    <t>Experimento II (Campo magnético respecto a la corriente)</t>
  </si>
  <si>
    <t>Corriente [A]</t>
  </si>
  <si>
    <t>Campo (T)</t>
  </si>
  <si>
    <t>Campo teo (T)</t>
  </si>
  <si>
    <t>error %</t>
  </si>
  <si>
    <t>ALEATORIO</t>
  </si>
  <si>
    <t>Infinito</t>
  </si>
  <si>
    <t>Experimento I - 2 (Campo magnético respecto a la posición Externos)</t>
  </si>
  <si>
    <t>Experimento II - 2 (Campo magnético respecto a la corriente Externos)</t>
  </si>
  <si>
    <t>Datos del solenoide usado Externos</t>
  </si>
  <si>
    <t>1.3</t>
  </si>
  <si>
    <t>El campo magnético es más intenso en el centro del solenoide. Esto se debe a que en el centro del solenoide, los campos magnéticos producidos por las espiras adyacentes se suman más directamente, lo que resulta en un campo más fuerte.</t>
  </si>
  <si>
    <t>1.4</t>
  </si>
  <si>
    <t>La magnitud del campo magnético en el eje del solenoide es significativamente mayor que en los extremos. Esto es consistente con el comportamiento teórico de un solenoide, donde el campo es bastante uniforme en la región central pero disminuye rápidamente hacia los extremos debido a los efectos de borde.</t>
  </si>
  <si>
    <t>2.3</t>
  </si>
  <si>
    <t>Como se espera por la formula, el grafico nos demuestra un corpotanmiento lineal del campo, directamente proporcional al aumento de la corriente.</t>
  </si>
  <si>
    <t>2.4</t>
  </si>
  <si>
    <t>La pendiente de la recta en la gráfica B vs I representa la permeabilidad magnética del medio multiplicada por la cantidad de espiras por unidad de longitud del solenoide. Según la ley de Biot-Savart, la pendiente es directamente proporcional a estas constantes físicas, indicando cuánto contribuye cada amperio de corriente al campo magnético en el solenoide.</t>
  </si>
  <si>
    <t>2.5</t>
  </si>
  <si>
    <t>El porcentaje de error en la pendiente se calcula comparando la pendiente obtenida experimentalmente con la pendiente teórica esperada y utilizando la fórmula:</t>
  </si>
  <si>
    <t>Porcentaje de error de la pendiente</t>
  </si>
  <si>
    <t>2.6</t>
  </si>
  <si>
    <t>El cambio de polaridad en la fuente de alimentación invertirá la dirección del campo magnético, pero no afectará la magnitud del campo en el eje del solenoide.</t>
  </si>
  <si>
    <t>Comentarios y Sugerencias:</t>
  </si>
  <si>
    <t>Asegúrarse de que el solenoide esté bien alineado y no haya influencias magnéticas externas durante la medición.</t>
  </si>
  <si>
    <t>Utilizar cables con aislamiento adecuado y asegúrar de que las conexiones sean firmes para evitar variaciones en la corriente.</t>
  </si>
  <si>
    <t>Causas de Error:</t>
  </si>
  <si>
    <t>La inexactitud en las mediciones de corriente y campo magnético.</t>
  </si>
  <si>
    <t>Influencias magnéticas externas o la presencia de materiales ferromagnéticos cerca del área de experimentación.</t>
  </si>
  <si>
    <t>Efectos térmicos que pueden cambiar la resistencia del solenoide y alterar la corriente.</t>
  </si>
  <si>
    <t>Los resultados experimentales concuerdan con la teoría de Biot-Savart sobre la relación entre el campo magnético y la corriente en un solenoide.</t>
  </si>
  <si>
    <t>Los campos magnéticos más intensos se encuentran en el centro del solenoide, y disminuyen hacia los extremos, lo cual es típico de este tipo de configuración.</t>
  </si>
  <si>
    <t>La linealidad de la gráfica B vs I valida la proporcionalidad directa entre la corriente y el campo magnético generado en un solenoide.</t>
  </si>
  <si>
    <t>Línea experimental (azul): = 0.0021</t>
  </si>
  <si>
    <t>B=0.0021</t>
  </si>
  <si>
    <t>Línea teórica (naranja): = 0.0021</t>
  </si>
  <si>
    <t>PREGUNTAS Y RESPUESTAS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</si>
</sst>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E+00"/>
    <numFmt numFmtId="165" formatCode="0.0000000"/>
  </numFmts>
  <fonts count="9" x14ac:knownFonts="1">
    <font>
      <sz val="11"/>
      <color theme="1"/>
      <name val="Calibri"/>
      <family val="2"/>
      <scheme val="minor"/>
    </font>
    <font>
      <b/>
      <sz val="11"/>
      <color theme="1"/>
      <name val="Calibri"/>
      <family val="2"/>
      <scheme val="minor"/>
    </font>
    <font>
      <sz val="11"/>
      <color theme="1"/>
      <name val="Calibri"/>
      <family val="2"/>
      <scheme val="minor"/>
    </font>
    <font>
      <i/>
      <sz val="11"/>
      <color rgb="FF202122"/>
      <name val="Arial"/>
      <family val="2"/>
    </font>
    <font>
      <b/>
      <sz val="11"/>
      <color rgb="FFFF0000"/>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sz val="11"/>
      <color rgb="FFFFFFFF"/>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rgb="FF8EA9DB"/>
        <bgColor rgb="FF000000"/>
      </patternFill>
    </fill>
    <fill>
      <patternFill patternType="solid">
        <fgColor rgb="FFFF0000"/>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68">
    <xf numFmtId="0" fontId="0" fillId="0" borderId="0" xfId="0"/>
    <xf numFmtId="49" fontId="0" fillId="0" borderId="1" xfId="0" applyNumberFormat="1" applyBorder="1" applyAlignment="1">
      <alignment horizontal="center"/>
    </xf>
    <xf numFmtId="0" fontId="0" fillId="0" borderId="1" xfId="0" applyBorder="1" applyAlignment="1">
      <alignment horizontal="center"/>
    </xf>
    <xf numFmtId="0" fontId="0" fillId="0" borderId="0" xfId="0" applyAlignment="1">
      <alignment horizontal="center"/>
    </xf>
    <xf numFmtId="0" fontId="1" fillId="0" borderId="1" xfId="0" applyFont="1" applyBorder="1"/>
    <xf numFmtId="0" fontId="0" fillId="0" borderId="2" xfId="0" applyBorder="1" applyAlignment="1">
      <alignment horizontal="center"/>
    </xf>
    <xf numFmtId="2" fontId="0" fillId="0" borderId="1" xfId="0" applyNumberFormat="1" applyBorder="1" applyAlignment="1">
      <alignment horizontal="center"/>
    </xf>
    <xf numFmtId="2" fontId="0" fillId="0" borderId="0" xfId="0" applyNumberFormat="1"/>
    <xf numFmtId="0" fontId="1" fillId="0" borderId="0" xfId="0" applyFont="1"/>
    <xf numFmtId="11" fontId="0" fillId="0" borderId="1" xfId="0" applyNumberFormat="1" applyBorder="1" applyAlignment="1">
      <alignment horizontal="center"/>
    </xf>
    <xf numFmtId="11" fontId="0" fillId="0" borderId="1" xfId="0" applyNumberFormat="1" applyBorder="1"/>
    <xf numFmtId="9" fontId="0" fillId="0" borderId="1" xfId="1" applyFont="1" applyBorder="1"/>
    <xf numFmtId="0" fontId="0" fillId="0" borderId="1" xfId="0" applyBorder="1"/>
    <xf numFmtId="11" fontId="0" fillId="0" borderId="0" xfId="0" applyNumberFormat="1" applyAlignment="1">
      <alignment horizontal="center"/>
    </xf>
    <xf numFmtId="0" fontId="4" fillId="0" borderId="0" xfId="0" applyFont="1"/>
    <xf numFmtId="164" fontId="0" fillId="0" borderId="1" xfId="0" applyNumberFormat="1" applyBorder="1" applyAlignment="1">
      <alignment horizontal="center"/>
    </xf>
    <xf numFmtId="0" fontId="1" fillId="2" borderId="2" xfId="0" applyFont="1" applyFill="1" applyBorder="1" applyAlignment="1">
      <alignment horizontal="center"/>
    </xf>
    <xf numFmtId="165" fontId="0" fillId="0" borderId="1" xfId="1" applyNumberFormat="1" applyFont="1" applyBorder="1"/>
    <xf numFmtId="2" fontId="0" fillId="0" borderId="6" xfId="0" applyNumberFormat="1" applyBorder="1" applyAlignment="1">
      <alignment horizontal="center"/>
    </xf>
    <xf numFmtId="0" fontId="0" fillId="0" borderId="6" xfId="0" applyBorder="1" applyAlignment="1">
      <alignment horizontal="center"/>
    </xf>
    <xf numFmtId="0" fontId="1" fillId="2" borderId="1"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0" fontId="6" fillId="0" borderId="3" xfId="0" applyFont="1" applyBorder="1" applyAlignment="1">
      <alignment horizontal="left"/>
    </xf>
    <xf numFmtId="0" fontId="6" fillId="0" borderId="5" xfId="0" applyFont="1" applyBorder="1" applyAlignment="1">
      <alignment horizontal="left"/>
    </xf>
    <xf numFmtId="0" fontId="6" fillId="0" borderId="3" xfId="0" applyFont="1" applyBorder="1" applyAlignment="1">
      <alignment horizontal="right"/>
    </xf>
    <xf numFmtId="0" fontId="6" fillId="0" borderId="5" xfId="0" applyFont="1" applyBorder="1" applyAlignment="1">
      <alignment horizontal="right"/>
    </xf>
    <xf numFmtId="0" fontId="3" fillId="0" borderId="3" xfId="0" applyFont="1" applyBorder="1" applyAlignment="1">
      <alignment horizontal="center"/>
    </xf>
    <xf numFmtId="0" fontId="3" fillId="0" borderId="5" xfId="0" applyFont="1" applyBorder="1" applyAlignment="1">
      <alignment horizontal="center"/>
    </xf>
    <xf numFmtId="11" fontId="6" fillId="0" borderId="3" xfId="0" applyNumberFormat="1" applyFont="1" applyBorder="1" applyAlignment="1">
      <alignment horizontal="center"/>
    </xf>
    <xf numFmtId="11" fontId="6" fillId="0" borderId="5" xfId="0" applyNumberFormat="1" applyFont="1" applyBorder="1" applyAlignment="1">
      <alignment horizontal="center"/>
    </xf>
    <xf numFmtId="0" fontId="0" fillId="0" borderId="1" xfId="0" applyBorder="1" applyAlignment="1">
      <alignment horizontal="right"/>
    </xf>
    <xf numFmtId="0" fontId="0" fillId="0" borderId="1" xfId="0" applyBorder="1" applyAlignment="1">
      <alignment horizontal="left"/>
    </xf>
    <xf numFmtId="0" fontId="3" fillId="0" borderId="1" xfId="0" applyFont="1" applyBorder="1" applyAlignment="1">
      <alignment horizontal="center"/>
    </xf>
    <xf numFmtId="11" fontId="0" fillId="0" borderId="1" xfId="0" applyNumberFormat="1" applyBorder="1" applyAlignment="1">
      <alignment horizontal="center"/>
    </xf>
    <xf numFmtId="0" fontId="8" fillId="4" borderId="0" xfId="0" applyFont="1" applyFill="1" applyAlignment="1">
      <alignment horizontal="center" wrapText="1"/>
    </xf>
    <xf numFmtId="0" fontId="6" fillId="3" borderId="3" xfId="0" applyFont="1" applyFill="1" applyBorder="1" applyAlignment="1">
      <alignment horizontal="center" wrapText="1"/>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7" fillId="0" borderId="7" xfId="0" applyFont="1" applyBorder="1" applyAlignment="1">
      <alignment horizontal="center" wrapText="1"/>
    </xf>
    <xf numFmtId="0" fontId="7" fillId="0" borderId="8" xfId="0" applyFont="1" applyBorder="1" applyAlignment="1">
      <alignment horizont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0" xfId="0" applyFont="1" applyAlignment="1">
      <alignment horizontal="center" wrapText="1"/>
    </xf>
    <xf numFmtId="0" fontId="7" fillId="0" borderId="11" xfId="0" applyFont="1" applyBorder="1" applyAlignment="1">
      <alignment horizontal="center" wrapText="1"/>
    </xf>
    <xf numFmtId="0" fontId="7" fillId="0" borderId="12" xfId="0" applyFont="1" applyBorder="1" applyAlignment="1">
      <alignment horizontal="center" wrapText="1"/>
    </xf>
    <xf numFmtId="0" fontId="7" fillId="0" borderId="13" xfId="0" applyFont="1" applyBorder="1" applyAlignment="1">
      <alignment horizontal="center" wrapText="1"/>
    </xf>
    <xf numFmtId="0" fontId="7" fillId="0" borderId="14" xfId="0" applyFont="1" applyBorder="1" applyAlignment="1">
      <alignment horizontal="center" wrapText="1"/>
    </xf>
    <xf numFmtId="0" fontId="6" fillId="0" borderId="7" xfId="0" applyFont="1" applyBorder="1" applyAlignment="1">
      <alignment horizontal="center" wrapText="1"/>
    </xf>
    <xf numFmtId="0" fontId="6" fillId="0" borderId="8" xfId="0" applyFont="1" applyBorder="1" applyAlignment="1">
      <alignment horizontal="center" wrapText="1"/>
    </xf>
    <xf numFmtId="0" fontId="6" fillId="0" borderId="9" xfId="0" applyFont="1" applyBorder="1" applyAlignment="1">
      <alignment horizontal="center" wrapText="1"/>
    </xf>
    <xf numFmtId="0" fontId="6" fillId="0" borderId="10" xfId="0" applyFont="1" applyBorder="1" applyAlignment="1">
      <alignment horizontal="center" wrapText="1"/>
    </xf>
    <xf numFmtId="0" fontId="6" fillId="0" borderId="0" xfId="0" applyFont="1" applyAlignment="1">
      <alignment horizontal="center" wrapText="1"/>
    </xf>
    <xf numFmtId="0" fontId="6" fillId="0" borderId="11" xfId="0" applyFont="1" applyBorder="1" applyAlignment="1">
      <alignment horizontal="center" wrapText="1"/>
    </xf>
    <xf numFmtId="0" fontId="6" fillId="0" borderId="12" xfId="0" applyFont="1" applyBorder="1" applyAlignment="1">
      <alignment horizontal="center" wrapText="1"/>
    </xf>
    <xf numFmtId="0" fontId="6" fillId="0" borderId="13" xfId="0" applyFont="1" applyBorder="1" applyAlignment="1">
      <alignment horizontal="center" wrapText="1"/>
    </xf>
    <xf numFmtId="0" fontId="6" fillId="0" borderId="14" xfId="0" applyFont="1" applyBorder="1" applyAlignment="1">
      <alignment horizontal="center" wrapText="1"/>
    </xf>
    <xf numFmtId="0" fontId="6" fillId="3" borderId="3" xfId="0" applyFont="1" applyFill="1" applyBorder="1" applyAlignment="1">
      <alignment horizontal="center"/>
    </xf>
    <xf numFmtId="0" fontId="6" fillId="3" borderId="4" xfId="0" applyFont="1" applyFill="1" applyBorder="1" applyAlignment="1">
      <alignment horizontal="center"/>
    </xf>
    <xf numFmtId="0" fontId="6" fillId="3" borderId="5" xfId="0" applyFont="1" applyFill="1" applyBorder="1" applyAlignment="1">
      <alignment horizontal="center"/>
    </xf>
    <xf numFmtId="0" fontId="6" fillId="0" borderId="10" xfId="0" applyFont="1" applyBorder="1" applyAlignment="1">
      <alignment horizontal="center" vertical="top" wrapText="1"/>
    </xf>
    <xf numFmtId="0" fontId="6" fillId="0" borderId="0" xfId="0" applyFont="1" applyAlignment="1">
      <alignment horizontal="center" vertical="top" wrapText="1"/>
    </xf>
    <xf numFmtId="0" fontId="6" fillId="0" borderId="11" xfId="0" applyFont="1" applyBorder="1" applyAlignment="1">
      <alignment horizontal="center" vertical="top" wrapText="1"/>
    </xf>
    <xf numFmtId="0" fontId="6" fillId="0" borderId="12" xfId="0" applyFont="1" applyBorder="1" applyAlignment="1">
      <alignment horizontal="center" vertical="top" wrapText="1"/>
    </xf>
    <xf numFmtId="0" fontId="6" fillId="0" borderId="13" xfId="0" applyFont="1" applyBorder="1" applyAlignment="1">
      <alignment horizontal="center" vertical="top" wrapText="1"/>
    </xf>
    <xf numFmtId="0" fontId="6" fillId="0" borderId="14" xfId="0" applyFont="1" applyBorder="1" applyAlignment="1">
      <alignment horizontal="center" vertical="top" wrapText="1"/>
    </xf>
    <xf numFmtId="9" fontId="6" fillId="0" borderId="10" xfId="0" applyNumberFormat="1" applyFont="1" applyBorder="1"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B Vs 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O"/>
        </a:p>
      </c:txPr>
    </c:title>
    <c:autoTitleDeleted val="0"/>
    <c:plotArea>
      <c:layout/>
      <c:scatterChart>
        <c:scatterStyle val="lineMarker"/>
        <c:varyColors val="0"/>
        <c:ser>
          <c:idx val="0"/>
          <c:order val="0"/>
          <c:tx>
            <c:strRef>
              <c:f>'Solenoide A'!$A$21</c:f>
              <c:strCache>
                <c:ptCount val="1"/>
                <c:pt idx="0">
                  <c:v>Campo teorico (T)</c:v>
                </c:pt>
              </c:strCache>
            </c:strRef>
          </c:tx>
          <c:spPr>
            <a:ln w="25400" cap="rnd">
              <a:noFill/>
              <a:round/>
            </a:ln>
            <a:effectLst/>
          </c:spPr>
          <c:marker>
            <c:symbol val="circle"/>
            <c:size val="5"/>
            <c:spPr>
              <a:solidFill>
                <a:schemeClr val="accent1"/>
              </a:solidFill>
              <a:ln w="9525">
                <a:solidFill>
                  <a:schemeClr val="accent1"/>
                </a:solidFill>
              </a:ln>
              <a:effectLst/>
            </c:spPr>
          </c:marker>
          <c:xVal>
            <c:numRef>
              <c:f>'Solenoide A'!$B$13:$J$13</c:f>
              <c:numCache>
                <c:formatCode>General</c:formatCode>
                <c:ptCount val="9"/>
                <c:pt idx="0">
                  <c:v>-5.5E-2</c:v>
                </c:pt>
                <c:pt idx="1">
                  <c:v>-4.1250000000000002E-2</c:v>
                </c:pt>
                <c:pt idx="2">
                  <c:v>-2.75E-2</c:v>
                </c:pt>
                <c:pt idx="3">
                  <c:v>-1.375E-2</c:v>
                </c:pt>
                <c:pt idx="4">
                  <c:v>0</c:v>
                </c:pt>
                <c:pt idx="5">
                  <c:v>1.375E-2</c:v>
                </c:pt>
                <c:pt idx="6">
                  <c:v>2.75E-2</c:v>
                </c:pt>
                <c:pt idx="7">
                  <c:v>4.1250000000000002E-2</c:v>
                </c:pt>
                <c:pt idx="8">
                  <c:v>5.5E-2</c:v>
                </c:pt>
              </c:numCache>
            </c:numRef>
          </c:xVal>
          <c:yVal>
            <c:numRef>
              <c:f>'Solenoide A'!$B$21:$J$21</c:f>
              <c:numCache>
                <c:formatCode>0.00E+00</c:formatCode>
                <c:ptCount val="9"/>
                <c:pt idx="0" formatCode="0.000000E+00">
                  <c:v>1.1260665158892278E-3</c:v>
                </c:pt>
                <c:pt idx="1">
                  <c:v>1.7583839699627246E-3</c:v>
                </c:pt>
                <c:pt idx="2">
                  <c:v>2.0300127597152389E-3</c:v>
                </c:pt>
                <c:pt idx="3">
                  <c:v>2.1234602755842947E-3</c:v>
                </c:pt>
                <c:pt idx="4">
                  <c:v>2.1466447291885928E-3</c:v>
                </c:pt>
                <c:pt idx="5">
                  <c:v>2.1234602755842947E-3</c:v>
                </c:pt>
                <c:pt idx="6">
                  <c:v>2.0300127597152389E-3</c:v>
                </c:pt>
                <c:pt idx="7">
                  <c:v>1.7583839699627246E-3</c:v>
                </c:pt>
                <c:pt idx="8">
                  <c:v>1.1260665158892278E-3</c:v>
                </c:pt>
              </c:numCache>
            </c:numRef>
          </c:yVal>
          <c:smooth val="0"/>
          <c:extLst>
            <c:ext xmlns:c16="http://schemas.microsoft.com/office/drawing/2014/chart" uri="{C3380CC4-5D6E-409C-BE32-E72D297353CC}">
              <c16:uniqueId val="{00000000-F2CC-4768-BDE0-700702AFAAEC}"/>
            </c:ext>
          </c:extLst>
        </c:ser>
        <c:ser>
          <c:idx val="1"/>
          <c:order val="1"/>
          <c:tx>
            <c:strRef>
              <c:f>'Solenoide A'!$A$24</c:f>
              <c:strCache>
                <c:ptCount val="1"/>
                <c:pt idx="0">
                  <c:v>Campo exp (T)</c:v>
                </c:pt>
              </c:strCache>
            </c:strRef>
          </c:tx>
          <c:spPr>
            <a:ln w="25400" cap="rnd">
              <a:noFill/>
              <a:round/>
            </a:ln>
            <a:effectLst/>
          </c:spPr>
          <c:marker>
            <c:symbol val="circle"/>
            <c:size val="5"/>
            <c:spPr>
              <a:solidFill>
                <a:schemeClr val="accent2"/>
              </a:solidFill>
              <a:ln w="9525">
                <a:solidFill>
                  <a:schemeClr val="accent2"/>
                </a:solidFill>
              </a:ln>
              <a:effectLst/>
            </c:spPr>
          </c:marker>
          <c:xVal>
            <c:numRef>
              <c:f>'Solenoide A'!$B$13:$J$13</c:f>
              <c:numCache>
                <c:formatCode>General</c:formatCode>
                <c:ptCount val="9"/>
                <c:pt idx="0">
                  <c:v>-5.5E-2</c:v>
                </c:pt>
                <c:pt idx="1">
                  <c:v>-4.1250000000000002E-2</c:v>
                </c:pt>
                <c:pt idx="2">
                  <c:v>-2.75E-2</c:v>
                </c:pt>
                <c:pt idx="3">
                  <c:v>-1.375E-2</c:v>
                </c:pt>
                <c:pt idx="4">
                  <c:v>0</c:v>
                </c:pt>
                <c:pt idx="5">
                  <c:v>1.375E-2</c:v>
                </c:pt>
                <c:pt idx="6">
                  <c:v>2.75E-2</c:v>
                </c:pt>
                <c:pt idx="7">
                  <c:v>4.1250000000000002E-2</c:v>
                </c:pt>
                <c:pt idx="8">
                  <c:v>5.5E-2</c:v>
                </c:pt>
              </c:numCache>
            </c:numRef>
          </c:xVal>
          <c:yVal>
            <c:numRef>
              <c:f>'Solenoide A'!$B$24:$J$24</c:f>
              <c:numCache>
                <c:formatCode>0.00E+00</c:formatCode>
                <c:ptCount val="9"/>
                <c:pt idx="0">
                  <c:v>1.4599999999999999E-3</c:v>
                </c:pt>
                <c:pt idx="1">
                  <c:v>1.9499999999999999E-3</c:v>
                </c:pt>
                <c:pt idx="2">
                  <c:v>2.14E-3</c:v>
                </c:pt>
                <c:pt idx="3">
                  <c:v>2.2100000000000002E-3</c:v>
                </c:pt>
                <c:pt idx="4">
                  <c:v>2.2599999999999999E-3</c:v>
                </c:pt>
                <c:pt idx="5">
                  <c:v>2.2000000000000001E-3</c:v>
                </c:pt>
                <c:pt idx="6">
                  <c:v>2.1299999999999999E-3</c:v>
                </c:pt>
                <c:pt idx="7">
                  <c:v>1.8500000000000001E-3</c:v>
                </c:pt>
                <c:pt idx="8">
                  <c:v>1.23E-3</c:v>
                </c:pt>
              </c:numCache>
            </c:numRef>
          </c:yVal>
          <c:smooth val="0"/>
          <c:extLst>
            <c:ext xmlns:c16="http://schemas.microsoft.com/office/drawing/2014/chart" uri="{C3380CC4-5D6E-409C-BE32-E72D297353CC}">
              <c16:uniqueId val="{00000001-F2CC-4768-BDE0-700702AFAAEC}"/>
            </c:ext>
          </c:extLst>
        </c:ser>
        <c:ser>
          <c:idx val="2"/>
          <c:order val="2"/>
          <c:tx>
            <c:v>Solenoide Infinito</c:v>
          </c:tx>
          <c:spPr>
            <a:ln w="25400" cap="rnd">
              <a:noFill/>
              <a:round/>
            </a:ln>
            <a:effectLst/>
          </c:spPr>
          <c:marker>
            <c:symbol val="circle"/>
            <c:size val="5"/>
            <c:spPr>
              <a:solidFill>
                <a:schemeClr val="accent3"/>
              </a:solidFill>
              <a:ln w="9525">
                <a:solidFill>
                  <a:schemeClr val="accent3"/>
                </a:solidFill>
              </a:ln>
              <a:effectLst/>
            </c:spPr>
          </c:marker>
          <c:xVal>
            <c:numRef>
              <c:f>'Solenoide A'!$B$13:$J$13</c:f>
              <c:numCache>
                <c:formatCode>General</c:formatCode>
                <c:ptCount val="9"/>
                <c:pt idx="0">
                  <c:v>-5.5E-2</c:v>
                </c:pt>
                <c:pt idx="1">
                  <c:v>-4.1250000000000002E-2</c:v>
                </c:pt>
                <c:pt idx="2">
                  <c:v>-2.75E-2</c:v>
                </c:pt>
                <c:pt idx="3">
                  <c:v>-1.375E-2</c:v>
                </c:pt>
                <c:pt idx="4">
                  <c:v>0</c:v>
                </c:pt>
                <c:pt idx="5">
                  <c:v>1.375E-2</c:v>
                </c:pt>
                <c:pt idx="6">
                  <c:v>2.75E-2</c:v>
                </c:pt>
                <c:pt idx="7">
                  <c:v>4.1250000000000002E-2</c:v>
                </c:pt>
                <c:pt idx="8">
                  <c:v>5.5E-2</c:v>
                </c:pt>
              </c:numCache>
            </c:numRef>
          </c:xVal>
          <c:yVal>
            <c:numRef>
              <c:f>'Solenoide A'!$B$26:$J$26</c:f>
              <c:numCache>
                <c:formatCode>0.0000000</c:formatCode>
                <c:ptCount val="9"/>
                <c:pt idx="0">
                  <c:v>2.2909090909090908E-3</c:v>
                </c:pt>
                <c:pt idx="1">
                  <c:v>2.2909090909090908E-3</c:v>
                </c:pt>
                <c:pt idx="2">
                  <c:v>2.2909090909090908E-3</c:v>
                </c:pt>
                <c:pt idx="3">
                  <c:v>2.2909090909090908E-3</c:v>
                </c:pt>
                <c:pt idx="4">
                  <c:v>2.2909090909090908E-3</c:v>
                </c:pt>
                <c:pt idx="5">
                  <c:v>2.2909090909090908E-3</c:v>
                </c:pt>
                <c:pt idx="6">
                  <c:v>2.2909090909090908E-3</c:v>
                </c:pt>
                <c:pt idx="7">
                  <c:v>2.2909090909090908E-3</c:v>
                </c:pt>
                <c:pt idx="8">
                  <c:v>2.2909090909090908E-3</c:v>
                </c:pt>
              </c:numCache>
            </c:numRef>
          </c:yVal>
          <c:smooth val="0"/>
          <c:extLst>
            <c:ext xmlns:c16="http://schemas.microsoft.com/office/drawing/2014/chart" uri="{C3380CC4-5D6E-409C-BE32-E72D297353CC}">
              <c16:uniqueId val="{00000000-714C-0346-BA01-85ECF814F540}"/>
            </c:ext>
          </c:extLst>
        </c:ser>
        <c:dLbls>
          <c:showLegendKey val="0"/>
          <c:showVal val="0"/>
          <c:showCatName val="0"/>
          <c:showSerName val="0"/>
          <c:showPercent val="0"/>
          <c:showBubbleSize val="0"/>
        </c:dLbls>
        <c:axId val="857403887"/>
        <c:axId val="981698543"/>
      </c:scatterChart>
      <c:valAx>
        <c:axId val="8574038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Posición a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O"/>
          </a:p>
        </c:txPr>
        <c:crossAx val="981698543"/>
        <c:crosses val="autoZero"/>
        <c:crossBetween val="midCat"/>
      </c:valAx>
      <c:valAx>
        <c:axId val="981698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Campo B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O"/>
            </a:p>
          </c:txPr>
        </c:title>
        <c:numFmt formatCode="0.00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O"/>
          </a:p>
        </c:txPr>
        <c:crossAx val="8574038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B Vs 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O"/>
        </a:p>
      </c:txPr>
    </c:title>
    <c:autoTitleDeleted val="0"/>
    <c:plotArea>
      <c:layout/>
      <c:scatterChart>
        <c:scatterStyle val="lineMarker"/>
        <c:varyColors val="0"/>
        <c:ser>
          <c:idx val="0"/>
          <c:order val="0"/>
          <c:tx>
            <c:v>Campo Exp (T)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6.0393320400167372E-2"/>
                  <c:y val="-1.430555555555555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O"/>
                </a:p>
              </c:txPr>
            </c:trendlineLbl>
          </c:trendline>
          <c:xVal>
            <c:numRef>
              <c:f>'Solenoide A'!$B$30:$K$30</c:f>
              <c:numCache>
                <c:formatCode>0.00</c:formatCode>
                <c:ptCount val="10"/>
                <c:pt idx="0">
                  <c:v>0.93</c:v>
                </c:pt>
                <c:pt idx="1">
                  <c:v>0.84</c:v>
                </c:pt>
                <c:pt idx="2">
                  <c:v>0.47</c:v>
                </c:pt>
                <c:pt idx="3">
                  <c:v>0.38</c:v>
                </c:pt>
                <c:pt idx="4">
                  <c:v>0.57999999999999996</c:v>
                </c:pt>
                <c:pt idx="5">
                  <c:v>0.99</c:v>
                </c:pt>
                <c:pt idx="6">
                  <c:v>0.63</c:v>
                </c:pt>
                <c:pt idx="7">
                  <c:v>0.25</c:v>
                </c:pt>
                <c:pt idx="8">
                  <c:v>0.54</c:v>
                </c:pt>
                <c:pt idx="9">
                  <c:v>0.18</c:v>
                </c:pt>
              </c:numCache>
            </c:numRef>
          </c:xVal>
          <c:yVal>
            <c:numRef>
              <c:f>'Solenoide A'!$B$32:$K$32</c:f>
              <c:numCache>
                <c:formatCode>0.00E+00</c:formatCode>
                <c:ptCount val="10"/>
                <c:pt idx="0">
                  <c:v>2E-3</c:v>
                </c:pt>
                <c:pt idx="1">
                  <c:v>1.7900000000000001E-3</c:v>
                </c:pt>
                <c:pt idx="2">
                  <c:v>1.01E-3</c:v>
                </c:pt>
                <c:pt idx="3">
                  <c:v>8.1999999999999998E-4</c:v>
                </c:pt>
                <c:pt idx="4">
                  <c:v>1.25E-3</c:v>
                </c:pt>
                <c:pt idx="5">
                  <c:v>2.1099999999999999E-3</c:v>
                </c:pt>
                <c:pt idx="6">
                  <c:v>1.3500000000000001E-3</c:v>
                </c:pt>
                <c:pt idx="7">
                  <c:v>5.6000000000000006E-4</c:v>
                </c:pt>
                <c:pt idx="8">
                  <c:v>1.17E-3</c:v>
                </c:pt>
                <c:pt idx="9">
                  <c:v>4.0000000000000002E-4</c:v>
                </c:pt>
              </c:numCache>
            </c:numRef>
          </c:yVal>
          <c:smooth val="0"/>
          <c:extLst>
            <c:ext xmlns:c16="http://schemas.microsoft.com/office/drawing/2014/chart" uri="{C3380CC4-5D6E-409C-BE32-E72D297353CC}">
              <c16:uniqueId val="{00000000-6CCB-4325-9EB1-1A26AC1C5DE7}"/>
            </c:ext>
          </c:extLst>
        </c:ser>
        <c:ser>
          <c:idx val="1"/>
          <c:order val="1"/>
          <c:tx>
            <c:strRef>
              <c:f>'Solenoide A'!$A$35</c:f>
              <c:strCache>
                <c:ptCount val="1"/>
                <c:pt idx="0">
                  <c:v>Campo teo (T)</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intercept val="0"/>
            <c:dispRSqr val="1"/>
            <c:dispEq val="1"/>
            <c:trendlineLbl>
              <c:layout>
                <c:manualLayout>
                  <c:x val="3.2456921145726347E-2"/>
                  <c:y val="0.1201961213181685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O"/>
                </a:p>
              </c:txPr>
            </c:trendlineLbl>
          </c:trendline>
          <c:xVal>
            <c:numRef>
              <c:f>'Solenoide A'!$B$30:$K$30</c:f>
              <c:numCache>
                <c:formatCode>0.00</c:formatCode>
                <c:ptCount val="10"/>
                <c:pt idx="0">
                  <c:v>0.93</c:v>
                </c:pt>
                <c:pt idx="1">
                  <c:v>0.84</c:v>
                </c:pt>
                <c:pt idx="2">
                  <c:v>0.47</c:v>
                </c:pt>
                <c:pt idx="3">
                  <c:v>0.38</c:v>
                </c:pt>
                <c:pt idx="4">
                  <c:v>0.57999999999999996</c:v>
                </c:pt>
                <c:pt idx="5">
                  <c:v>0.99</c:v>
                </c:pt>
                <c:pt idx="6">
                  <c:v>0.63</c:v>
                </c:pt>
                <c:pt idx="7">
                  <c:v>0.25</c:v>
                </c:pt>
                <c:pt idx="8">
                  <c:v>0.54</c:v>
                </c:pt>
                <c:pt idx="9">
                  <c:v>0.18</c:v>
                </c:pt>
              </c:numCache>
            </c:numRef>
          </c:xVal>
          <c:yVal>
            <c:numRef>
              <c:f>'Solenoide A'!$B$35:$K$35</c:f>
              <c:numCache>
                <c:formatCode>0.00E+00</c:formatCode>
                <c:ptCount val="10"/>
                <c:pt idx="0">
                  <c:v>1.9963795981453917E-3</c:v>
                </c:pt>
                <c:pt idx="1">
                  <c:v>1.8031815725184179E-3</c:v>
                </c:pt>
                <c:pt idx="2">
                  <c:v>1.0089230227186387E-3</c:v>
                </c:pt>
                <c:pt idx="3">
                  <c:v>8.1572499709166529E-4</c:v>
                </c:pt>
                <c:pt idx="4">
                  <c:v>1.245053942929384E-3</c:v>
                </c:pt>
                <c:pt idx="5">
                  <c:v>2.1251782818967071E-3</c:v>
                </c:pt>
                <c:pt idx="6">
                  <c:v>1.3523861793888136E-3</c:v>
                </c:pt>
                <c:pt idx="7">
                  <c:v>5.3666118229714821E-4</c:v>
                </c:pt>
                <c:pt idx="8">
                  <c:v>1.1591881537618403E-3</c:v>
                </c:pt>
                <c:pt idx="9">
                  <c:v>3.8639605125394673E-4</c:v>
                </c:pt>
              </c:numCache>
            </c:numRef>
          </c:yVal>
          <c:smooth val="0"/>
          <c:extLst>
            <c:ext xmlns:c16="http://schemas.microsoft.com/office/drawing/2014/chart" uri="{C3380CC4-5D6E-409C-BE32-E72D297353CC}">
              <c16:uniqueId val="{00000001-6CCB-4325-9EB1-1A26AC1C5DE7}"/>
            </c:ext>
          </c:extLst>
        </c:ser>
        <c:dLbls>
          <c:showLegendKey val="0"/>
          <c:showVal val="0"/>
          <c:showCatName val="0"/>
          <c:showSerName val="0"/>
          <c:showPercent val="0"/>
          <c:showBubbleSize val="0"/>
        </c:dLbls>
        <c:axId val="1052246767"/>
        <c:axId val="1052448079"/>
      </c:scatterChart>
      <c:valAx>
        <c:axId val="10522467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Corriente I (A)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O"/>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O"/>
          </a:p>
        </c:txPr>
        <c:crossAx val="1052448079"/>
        <c:crosses val="autoZero"/>
        <c:crossBetween val="midCat"/>
      </c:valAx>
      <c:valAx>
        <c:axId val="105244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Campo B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O"/>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O"/>
          </a:p>
        </c:txPr>
        <c:crossAx val="10522467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B Vs 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O"/>
        </a:p>
      </c:txPr>
    </c:title>
    <c:autoTitleDeleted val="0"/>
    <c:plotArea>
      <c:layout/>
      <c:scatterChart>
        <c:scatterStyle val="lineMarker"/>
        <c:varyColors val="0"/>
        <c:ser>
          <c:idx val="0"/>
          <c:order val="0"/>
          <c:tx>
            <c:v>Campo Experimental 2</c:v>
          </c:tx>
          <c:spPr>
            <a:ln w="25400" cap="rnd">
              <a:noFill/>
              <a:round/>
            </a:ln>
            <a:effectLst/>
          </c:spPr>
          <c:marker>
            <c:symbol val="circle"/>
            <c:size val="5"/>
            <c:spPr>
              <a:solidFill>
                <a:schemeClr val="accent1"/>
              </a:solidFill>
              <a:ln w="9525">
                <a:solidFill>
                  <a:schemeClr val="accent1"/>
                </a:solidFill>
              </a:ln>
              <a:effectLst/>
            </c:spPr>
          </c:marker>
          <c:xVal>
            <c:numRef>
              <c:f>'Solenoide A'!$B$13:$J$13</c:f>
              <c:numCache>
                <c:formatCode>General</c:formatCode>
                <c:ptCount val="9"/>
                <c:pt idx="0">
                  <c:v>-5.5E-2</c:v>
                </c:pt>
                <c:pt idx="1">
                  <c:v>-4.1250000000000002E-2</c:v>
                </c:pt>
                <c:pt idx="2">
                  <c:v>-2.75E-2</c:v>
                </c:pt>
                <c:pt idx="3">
                  <c:v>-1.375E-2</c:v>
                </c:pt>
                <c:pt idx="4">
                  <c:v>0</c:v>
                </c:pt>
                <c:pt idx="5">
                  <c:v>1.375E-2</c:v>
                </c:pt>
                <c:pt idx="6">
                  <c:v>2.75E-2</c:v>
                </c:pt>
                <c:pt idx="7">
                  <c:v>4.1250000000000002E-2</c:v>
                </c:pt>
                <c:pt idx="8">
                  <c:v>5.5E-2</c:v>
                </c:pt>
              </c:numCache>
            </c:numRef>
          </c:xVal>
          <c:yVal>
            <c:numRef>
              <c:f>'Solenoide A'!$B$66:$J$66</c:f>
              <c:numCache>
                <c:formatCode>0.00E+00</c:formatCode>
                <c:ptCount val="9"/>
                <c:pt idx="0">
                  <c:v>2.2000000000000001E-4</c:v>
                </c:pt>
                <c:pt idx="1">
                  <c:v>4.8999999999999998E-4</c:v>
                </c:pt>
                <c:pt idx="2">
                  <c:v>5.5000000000000003E-4</c:v>
                </c:pt>
                <c:pt idx="3">
                  <c:v>5.5000000000000003E-4</c:v>
                </c:pt>
                <c:pt idx="4">
                  <c:v>5.5000000000000003E-4</c:v>
                </c:pt>
                <c:pt idx="5">
                  <c:v>5.5000000000000003E-4</c:v>
                </c:pt>
                <c:pt idx="6">
                  <c:v>5.5000000000000003E-4</c:v>
                </c:pt>
                <c:pt idx="7">
                  <c:v>5.1000000000000004E-4</c:v>
                </c:pt>
                <c:pt idx="8">
                  <c:v>2.6000000000000003E-4</c:v>
                </c:pt>
              </c:numCache>
            </c:numRef>
          </c:yVal>
          <c:smooth val="0"/>
          <c:extLst>
            <c:ext xmlns:c16="http://schemas.microsoft.com/office/drawing/2014/chart" uri="{C3380CC4-5D6E-409C-BE32-E72D297353CC}">
              <c16:uniqueId val="{00000000-B80C-A84E-AD68-1D1C0DC4C09A}"/>
            </c:ext>
          </c:extLst>
        </c:ser>
        <c:ser>
          <c:idx val="1"/>
          <c:order val="1"/>
          <c:tx>
            <c:v>Campo Experimental 1</c:v>
          </c:tx>
          <c:spPr>
            <a:ln w="25400" cap="rnd">
              <a:noFill/>
              <a:round/>
            </a:ln>
            <a:effectLst/>
          </c:spPr>
          <c:marker>
            <c:symbol val="circle"/>
            <c:size val="5"/>
            <c:spPr>
              <a:solidFill>
                <a:schemeClr val="accent2"/>
              </a:solidFill>
              <a:ln w="9525">
                <a:solidFill>
                  <a:schemeClr val="accent2"/>
                </a:solidFill>
              </a:ln>
              <a:effectLst/>
            </c:spPr>
          </c:marker>
          <c:xVal>
            <c:numRef>
              <c:f>'Solenoide A'!$B$13:$J$13</c:f>
              <c:numCache>
                <c:formatCode>General</c:formatCode>
                <c:ptCount val="9"/>
                <c:pt idx="0">
                  <c:v>-5.5E-2</c:v>
                </c:pt>
                <c:pt idx="1">
                  <c:v>-4.1250000000000002E-2</c:v>
                </c:pt>
                <c:pt idx="2">
                  <c:v>-2.75E-2</c:v>
                </c:pt>
                <c:pt idx="3">
                  <c:v>-1.375E-2</c:v>
                </c:pt>
                <c:pt idx="4">
                  <c:v>0</c:v>
                </c:pt>
                <c:pt idx="5">
                  <c:v>1.375E-2</c:v>
                </c:pt>
                <c:pt idx="6">
                  <c:v>2.75E-2</c:v>
                </c:pt>
                <c:pt idx="7">
                  <c:v>4.1250000000000002E-2</c:v>
                </c:pt>
                <c:pt idx="8">
                  <c:v>5.5E-2</c:v>
                </c:pt>
              </c:numCache>
            </c:numRef>
          </c:xVal>
          <c:yVal>
            <c:numRef>
              <c:f>'Solenoide A'!$B$24:$J$24</c:f>
              <c:numCache>
                <c:formatCode>0.00E+00</c:formatCode>
                <c:ptCount val="9"/>
                <c:pt idx="0">
                  <c:v>1.4599999999999999E-3</c:v>
                </c:pt>
                <c:pt idx="1">
                  <c:v>1.9499999999999999E-3</c:v>
                </c:pt>
                <c:pt idx="2">
                  <c:v>2.14E-3</c:v>
                </c:pt>
                <c:pt idx="3">
                  <c:v>2.2100000000000002E-3</c:v>
                </c:pt>
                <c:pt idx="4">
                  <c:v>2.2599999999999999E-3</c:v>
                </c:pt>
                <c:pt idx="5">
                  <c:v>2.2000000000000001E-3</c:v>
                </c:pt>
                <c:pt idx="6">
                  <c:v>2.1299999999999999E-3</c:v>
                </c:pt>
                <c:pt idx="7">
                  <c:v>1.8500000000000001E-3</c:v>
                </c:pt>
                <c:pt idx="8">
                  <c:v>1.23E-3</c:v>
                </c:pt>
              </c:numCache>
            </c:numRef>
          </c:yVal>
          <c:smooth val="0"/>
          <c:extLst>
            <c:ext xmlns:c16="http://schemas.microsoft.com/office/drawing/2014/chart" uri="{C3380CC4-5D6E-409C-BE32-E72D297353CC}">
              <c16:uniqueId val="{00000001-B80C-A84E-AD68-1D1C0DC4C09A}"/>
            </c:ext>
          </c:extLst>
        </c:ser>
        <c:dLbls>
          <c:showLegendKey val="0"/>
          <c:showVal val="0"/>
          <c:showCatName val="0"/>
          <c:showSerName val="0"/>
          <c:showPercent val="0"/>
          <c:showBubbleSize val="0"/>
        </c:dLbls>
        <c:axId val="857403887"/>
        <c:axId val="981698543"/>
      </c:scatterChart>
      <c:valAx>
        <c:axId val="8574038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Posición a (m)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O"/>
          </a:p>
        </c:txPr>
        <c:crossAx val="981698543"/>
        <c:crosses val="autoZero"/>
        <c:crossBetween val="midCat"/>
      </c:valAx>
      <c:valAx>
        <c:axId val="981698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Campo B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O"/>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O"/>
          </a:p>
        </c:txPr>
        <c:crossAx val="8574038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B Vs 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O"/>
        </a:p>
      </c:txPr>
    </c:title>
    <c:autoTitleDeleted val="0"/>
    <c:plotArea>
      <c:layout/>
      <c:scatterChart>
        <c:scatterStyle val="lineMarker"/>
        <c:varyColors val="0"/>
        <c:ser>
          <c:idx val="0"/>
          <c:order val="0"/>
          <c:tx>
            <c:v>Campo Experimental 2</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1"/>
            <c:dispEq val="1"/>
            <c:trendlineLbl>
              <c:layout>
                <c:manualLayout>
                  <c:x val="1.8642168777485434E-2"/>
                  <c:y val="-3.270937571498889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O"/>
                </a:p>
              </c:txPr>
            </c:trendlineLbl>
          </c:trendline>
          <c:xVal>
            <c:numRef>
              <c:f>'Solenoide A'!$B$30:$K$30</c:f>
              <c:numCache>
                <c:formatCode>0.00</c:formatCode>
                <c:ptCount val="10"/>
                <c:pt idx="0">
                  <c:v>0.93</c:v>
                </c:pt>
                <c:pt idx="1">
                  <c:v>0.84</c:v>
                </c:pt>
                <c:pt idx="2">
                  <c:v>0.47</c:v>
                </c:pt>
                <c:pt idx="3">
                  <c:v>0.38</c:v>
                </c:pt>
                <c:pt idx="4">
                  <c:v>0.57999999999999996</c:v>
                </c:pt>
                <c:pt idx="5">
                  <c:v>0.99</c:v>
                </c:pt>
                <c:pt idx="6">
                  <c:v>0.63</c:v>
                </c:pt>
                <c:pt idx="7">
                  <c:v>0.25</c:v>
                </c:pt>
                <c:pt idx="8">
                  <c:v>0.54</c:v>
                </c:pt>
                <c:pt idx="9">
                  <c:v>0.18</c:v>
                </c:pt>
              </c:numCache>
            </c:numRef>
          </c:xVal>
          <c:yVal>
            <c:numRef>
              <c:f>'Solenoide A'!$B$32:$K$32</c:f>
              <c:numCache>
                <c:formatCode>0.00E+00</c:formatCode>
                <c:ptCount val="10"/>
                <c:pt idx="0">
                  <c:v>2E-3</c:v>
                </c:pt>
                <c:pt idx="1">
                  <c:v>1.7900000000000001E-3</c:v>
                </c:pt>
                <c:pt idx="2">
                  <c:v>1.01E-3</c:v>
                </c:pt>
                <c:pt idx="3">
                  <c:v>8.1999999999999998E-4</c:v>
                </c:pt>
                <c:pt idx="4">
                  <c:v>1.25E-3</c:v>
                </c:pt>
                <c:pt idx="5">
                  <c:v>2.1099999999999999E-3</c:v>
                </c:pt>
                <c:pt idx="6">
                  <c:v>1.3500000000000001E-3</c:v>
                </c:pt>
                <c:pt idx="7">
                  <c:v>5.6000000000000006E-4</c:v>
                </c:pt>
                <c:pt idx="8">
                  <c:v>1.17E-3</c:v>
                </c:pt>
                <c:pt idx="9">
                  <c:v>4.0000000000000002E-4</c:v>
                </c:pt>
              </c:numCache>
            </c:numRef>
          </c:yVal>
          <c:smooth val="0"/>
          <c:extLst>
            <c:ext xmlns:c16="http://schemas.microsoft.com/office/drawing/2014/chart" uri="{C3380CC4-5D6E-409C-BE32-E72D297353CC}">
              <c16:uniqueId val="{00000001-F66C-7B4C-A689-D5B1F348643B}"/>
            </c:ext>
          </c:extLst>
        </c:ser>
        <c:ser>
          <c:idx val="1"/>
          <c:order val="1"/>
          <c:tx>
            <c:v>Campo Experimental 1</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intercept val="0"/>
            <c:dispRSqr val="1"/>
            <c:dispEq val="1"/>
            <c:trendlineLbl>
              <c:layout>
                <c:manualLayout>
                  <c:x val="3.2456921145726347E-2"/>
                  <c:y val="0.1201961213181685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O"/>
                </a:p>
              </c:txPr>
            </c:trendlineLbl>
          </c:trendline>
          <c:xVal>
            <c:numRef>
              <c:f>'Solenoide A'!$B$72:$L$72</c:f>
              <c:numCache>
                <c:formatCode>0.00</c:formatCode>
                <c:ptCount val="11"/>
                <c:pt idx="0">
                  <c:v>0.11</c:v>
                </c:pt>
                <c:pt idx="1">
                  <c:v>0.5</c:v>
                </c:pt>
                <c:pt idx="2">
                  <c:v>0.9</c:v>
                </c:pt>
                <c:pt idx="3">
                  <c:v>1.3</c:v>
                </c:pt>
                <c:pt idx="4">
                  <c:v>1.7</c:v>
                </c:pt>
                <c:pt idx="5">
                  <c:v>2.1</c:v>
                </c:pt>
                <c:pt idx="6">
                  <c:v>2.5</c:v>
                </c:pt>
                <c:pt idx="7">
                  <c:v>2.9</c:v>
                </c:pt>
                <c:pt idx="8">
                  <c:v>3.3</c:v>
                </c:pt>
                <c:pt idx="9">
                  <c:v>3.7</c:v>
                </c:pt>
                <c:pt idx="10">
                  <c:v>4</c:v>
                </c:pt>
              </c:numCache>
            </c:numRef>
          </c:xVal>
          <c:yVal>
            <c:numRef>
              <c:f>'Solenoide A'!$B$74:$L$74</c:f>
              <c:numCache>
                <c:formatCode>0.00E+00</c:formatCode>
                <c:ptCount val="11"/>
                <c:pt idx="0">
                  <c:v>2.9999999999999997E-5</c:v>
                </c:pt>
                <c:pt idx="1">
                  <c:v>2.6000000000000003E-4</c:v>
                </c:pt>
                <c:pt idx="2">
                  <c:v>4.8999999999999998E-4</c:v>
                </c:pt>
                <c:pt idx="3">
                  <c:v>7.1999999999999994E-4</c:v>
                </c:pt>
                <c:pt idx="4">
                  <c:v>9.3999999999999997E-4</c:v>
                </c:pt>
                <c:pt idx="5">
                  <c:v>1.1799999999999998E-3</c:v>
                </c:pt>
                <c:pt idx="6">
                  <c:v>1.41E-3</c:v>
                </c:pt>
                <c:pt idx="7">
                  <c:v>1.6299999999999999E-3</c:v>
                </c:pt>
                <c:pt idx="8">
                  <c:v>1.8700000000000001E-3</c:v>
                </c:pt>
                <c:pt idx="9">
                  <c:v>2.0899999999999998E-3</c:v>
                </c:pt>
                <c:pt idx="10">
                  <c:v>2.2599999999999999E-3</c:v>
                </c:pt>
              </c:numCache>
            </c:numRef>
          </c:yVal>
          <c:smooth val="0"/>
          <c:extLst>
            <c:ext xmlns:c16="http://schemas.microsoft.com/office/drawing/2014/chart" uri="{C3380CC4-5D6E-409C-BE32-E72D297353CC}">
              <c16:uniqueId val="{00000003-F66C-7B4C-A689-D5B1F348643B}"/>
            </c:ext>
          </c:extLst>
        </c:ser>
        <c:dLbls>
          <c:showLegendKey val="0"/>
          <c:showVal val="0"/>
          <c:showCatName val="0"/>
          <c:showSerName val="0"/>
          <c:showPercent val="0"/>
          <c:showBubbleSize val="0"/>
        </c:dLbls>
        <c:axId val="1052246767"/>
        <c:axId val="1052448079"/>
      </c:scatterChart>
      <c:valAx>
        <c:axId val="10522467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Corriente I (A)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O"/>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O"/>
          </a:p>
        </c:txPr>
        <c:crossAx val="1052448079"/>
        <c:crosses val="autoZero"/>
        <c:crossBetween val="midCat"/>
      </c:valAx>
      <c:valAx>
        <c:axId val="105244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Campo B (T)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O"/>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O"/>
          </a:p>
        </c:txPr>
        <c:crossAx val="10522467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2.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4</xdr:col>
      <xdr:colOff>628650</xdr:colOff>
      <xdr:row>2</xdr:row>
      <xdr:rowOff>123825</xdr:rowOff>
    </xdr:from>
    <xdr:to>
      <xdr:col>9</xdr:col>
      <xdr:colOff>867473</xdr:colOff>
      <xdr:row>6</xdr:row>
      <xdr:rowOff>76300</xdr:rowOff>
    </xdr:to>
    <xdr:pic>
      <xdr:nvPicPr>
        <xdr:cNvPr id="3" name="Imagen 2">
          <a:extLst>
            <a:ext uri="{FF2B5EF4-FFF2-40B4-BE49-F238E27FC236}">
              <a16:creationId xmlns:a16="http://schemas.microsoft.com/office/drawing/2014/main" id="{8708FCD7-7D7E-4A70-8423-5EC866CA1B52}"/>
            </a:ext>
          </a:extLst>
        </xdr:cNvPr>
        <xdr:cNvPicPr>
          <a:picLocks noChangeAspect="1"/>
        </xdr:cNvPicPr>
      </xdr:nvPicPr>
      <xdr:blipFill>
        <a:blip xmlns:r="http://schemas.openxmlformats.org/officeDocument/2006/relationships" r:embed="rId1"/>
        <a:stretch>
          <a:fillRect/>
        </a:stretch>
      </xdr:blipFill>
      <xdr:spPr>
        <a:xfrm>
          <a:off x="4076700" y="504825"/>
          <a:ext cx="5001323" cy="714475"/>
        </a:xfrm>
        <a:prstGeom prst="rect">
          <a:avLst/>
        </a:prstGeom>
      </xdr:spPr>
    </xdr:pic>
    <xdr:clientData/>
  </xdr:twoCellAnchor>
  <xdr:twoCellAnchor>
    <xdr:from>
      <xdr:col>10</xdr:col>
      <xdr:colOff>390525</xdr:colOff>
      <xdr:row>6</xdr:row>
      <xdr:rowOff>44720</xdr:rowOff>
    </xdr:from>
    <xdr:to>
      <xdr:col>18</xdr:col>
      <xdr:colOff>304084</xdr:colOff>
      <xdr:row>24</xdr:row>
      <xdr:rowOff>128588</xdr:rowOff>
    </xdr:to>
    <xdr:graphicFrame macro="">
      <xdr:nvGraphicFramePr>
        <xdr:cNvPr id="4" name="Gráfico 3">
          <a:extLst>
            <a:ext uri="{FF2B5EF4-FFF2-40B4-BE49-F238E27FC236}">
              <a16:creationId xmlns:a16="http://schemas.microsoft.com/office/drawing/2014/main" id="{EDF40AEE-8193-4894-B05B-0E32F0B57A82}"/>
            </a:ext>
            <a:ext uri="{147F2762-F138-4A5C-976F-8EAC2B608ADB}">
              <a16:predDERef xmlns:a16="http://schemas.microsoft.com/office/drawing/2014/main" pred="{8708FCD7-7D7E-4A70-8423-5EC866CA1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301670</xdr:colOff>
      <xdr:row>25</xdr:row>
      <xdr:rowOff>103501</xdr:rowOff>
    </xdr:from>
    <xdr:to>
      <xdr:col>18</xdr:col>
      <xdr:colOff>313028</xdr:colOff>
      <xdr:row>44</xdr:row>
      <xdr:rowOff>71549</xdr:rowOff>
    </xdr:to>
    <xdr:graphicFrame macro="">
      <xdr:nvGraphicFramePr>
        <xdr:cNvPr id="7" name="Gráfico 6">
          <a:extLst>
            <a:ext uri="{FF2B5EF4-FFF2-40B4-BE49-F238E27FC236}">
              <a16:creationId xmlns:a16="http://schemas.microsoft.com/office/drawing/2014/main" id="{5CDE20E0-3503-4808-9EE1-007ED9718BC9}"/>
            </a:ext>
            <a:ext uri="{147F2762-F138-4A5C-976F-8EAC2B608ADB}">
              <a16:predDERef xmlns:a16="http://schemas.microsoft.com/office/drawing/2014/main" pred="{EDF40AEE-8193-4894-B05B-0E32F0B57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581338</xdr:colOff>
      <xdr:row>50</xdr:row>
      <xdr:rowOff>44720</xdr:rowOff>
    </xdr:from>
    <xdr:to>
      <xdr:col>18</xdr:col>
      <xdr:colOff>259366</xdr:colOff>
      <xdr:row>65</xdr:row>
      <xdr:rowOff>137644</xdr:rowOff>
    </xdr:to>
    <xdr:graphicFrame macro="">
      <xdr:nvGraphicFramePr>
        <xdr:cNvPr id="5" name="Gráfico 3">
          <a:extLst>
            <a:ext uri="{FF2B5EF4-FFF2-40B4-BE49-F238E27FC236}">
              <a16:creationId xmlns:a16="http://schemas.microsoft.com/office/drawing/2014/main" id="{801A208B-6230-0D43-A220-F70E5C22390D}"/>
            </a:ext>
            <a:ext uri="{147F2762-F138-4A5C-976F-8EAC2B608ADB}">
              <a16:predDERef xmlns:a16="http://schemas.microsoft.com/office/drawing/2014/main" pred="{8708FCD7-7D7E-4A70-8423-5EC866CA1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107323</xdr:colOff>
      <xdr:row>67</xdr:row>
      <xdr:rowOff>71549</xdr:rowOff>
    </xdr:from>
    <xdr:to>
      <xdr:col>19</xdr:col>
      <xdr:colOff>160986</xdr:colOff>
      <xdr:row>86</xdr:row>
      <xdr:rowOff>75373</xdr:rowOff>
    </xdr:to>
    <xdr:graphicFrame macro="">
      <xdr:nvGraphicFramePr>
        <xdr:cNvPr id="8" name="Gráfico 6">
          <a:extLst>
            <a:ext uri="{FF2B5EF4-FFF2-40B4-BE49-F238E27FC236}">
              <a16:creationId xmlns:a16="http://schemas.microsoft.com/office/drawing/2014/main" id="{891AC9DC-4F01-AA4D-9F1A-0E99E103FEF2}"/>
            </a:ext>
            <a:ext uri="{147F2762-F138-4A5C-976F-8EAC2B608ADB}">
              <a16:predDERef xmlns:a16="http://schemas.microsoft.com/office/drawing/2014/main" pred="{EDF40AEE-8193-4894-B05B-0E32F0B57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224692</xdr:colOff>
      <xdr:row>30</xdr:row>
      <xdr:rowOff>84261</xdr:rowOff>
    </xdr:from>
    <xdr:to>
      <xdr:col>22</xdr:col>
      <xdr:colOff>592259</xdr:colOff>
      <xdr:row>36</xdr:row>
      <xdr:rowOff>148614</xdr:rowOff>
    </xdr:to>
    <xdr:pic>
      <xdr:nvPicPr>
        <xdr:cNvPr id="2" name="Picture 1">
          <a:extLst>
            <a:ext uri="{FF2B5EF4-FFF2-40B4-BE49-F238E27FC236}">
              <a16:creationId xmlns:a16="http://schemas.microsoft.com/office/drawing/2014/main" id="{D0AAA5A8-CB8C-6B6F-BE55-6078D443C63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0147817" y="5774838"/>
          <a:ext cx="2126029" cy="12000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235858</xdr:colOff>
      <xdr:row>1</xdr:row>
      <xdr:rowOff>18143</xdr:rowOff>
    </xdr:from>
    <xdr:to>
      <xdr:col>22</xdr:col>
      <xdr:colOff>791449</xdr:colOff>
      <xdr:row>1</xdr:row>
      <xdr:rowOff>18406</xdr:rowOff>
    </xdr:to>
    <xdr:cxnSp macro="">
      <xdr:nvCxnSpPr>
        <xdr:cNvPr id="10" name="Straight Arrow Connector 9">
          <a:extLst>
            <a:ext uri="{FF2B5EF4-FFF2-40B4-BE49-F238E27FC236}">
              <a16:creationId xmlns:a16="http://schemas.microsoft.com/office/drawing/2014/main" id="{5884BAAE-2A05-8146-3C94-E6AFA48B1934}"/>
            </a:ext>
          </a:extLst>
        </xdr:cNvPr>
        <xdr:cNvCxnSpPr/>
      </xdr:nvCxnSpPr>
      <xdr:spPr>
        <a:xfrm>
          <a:off x="8039916" y="202201"/>
          <a:ext cx="14415156" cy="263"/>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352778</xdr:colOff>
      <xdr:row>80</xdr:row>
      <xdr:rowOff>141111</xdr:rowOff>
    </xdr:from>
    <xdr:to>
      <xdr:col>18</xdr:col>
      <xdr:colOff>635000</xdr:colOff>
      <xdr:row>90</xdr:row>
      <xdr:rowOff>79375</xdr:rowOff>
    </xdr:to>
    <xdr:cxnSp macro="">
      <xdr:nvCxnSpPr>
        <xdr:cNvPr id="12" name="Straight Arrow Connector 11">
          <a:extLst>
            <a:ext uri="{FF2B5EF4-FFF2-40B4-BE49-F238E27FC236}">
              <a16:creationId xmlns:a16="http://schemas.microsoft.com/office/drawing/2014/main" id="{F009E6A0-65AB-3F4D-B4D1-3E8C544BA886}"/>
            </a:ext>
          </a:extLst>
        </xdr:cNvPr>
        <xdr:cNvCxnSpPr/>
      </xdr:nvCxnSpPr>
      <xdr:spPr>
        <a:xfrm>
          <a:off x="1649236" y="14971007"/>
          <a:ext cx="17149410" cy="1790347"/>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754062</xdr:colOff>
      <xdr:row>61</xdr:row>
      <xdr:rowOff>52916</xdr:rowOff>
    </xdr:from>
    <xdr:to>
      <xdr:col>22</xdr:col>
      <xdr:colOff>251354</xdr:colOff>
      <xdr:row>90</xdr:row>
      <xdr:rowOff>13229</xdr:rowOff>
    </xdr:to>
    <xdr:cxnSp macro="">
      <xdr:nvCxnSpPr>
        <xdr:cNvPr id="14" name="Straight Arrow Connector 13">
          <a:extLst>
            <a:ext uri="{FF2B5EF4-FFF2-40B4-BE49-F238E27FC236}">
              <a16:creationId xmlns:a16="http://schemas.microsoft.com/office/drawing/2014/main" id="{2AE656B5-4FFC-F144-832B-9D77604A064B}"/>
            </a:ext>
          </a:extLst>
        </xdr:cNvPr>
        <xdr:cNvCxnSpPr/>
      </xdr:nvCxnSpPr>
      <xdr:spPr>
        <a:xfrm flipV="1">
          <a:off x="18917708" y="11363854"/>
          <a:ext cx="2989792" cy="5331354"/>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833120</xdr:colOff>
      <xdr:row>1</xdr:row>
      <xdr:rowOff>0</xdr:rowOff>
    </xdr:from>
    <xdr:to>
      <xdr:col>22</xdr:col>
      <xdr:colOff>833120</xdr:colOff>
      <xdr:row>5</xdr:row>
      <xdr:rowOff>172720</xdr:rowOff>
    </xdr:to>
    <xdr:cxnSp macro="">
      <xdr:nvCxnSpPr>
        <xdr:cNvPr id="17" name="Straight Arrow Connector 16">
          <a:extLst>
            <a:ext uri="{FF2B5EF4-FFF2-40B4-BE49-F238E27FC236}">
              <a16:creationId xmlns:a16="http://schemas.microsoft.com/office/drawing/2014/main" id="{0350E05E-22BF-A64E-AF92-38636A642B55}"/>
            </a:ext>
          </a:extLst>
        </xdr:cNvPr>
        <xdr:cNvCxnSpPr/>
      </xdr:nvCxnSpPr>
      <xdr:spPr>
        <a:xfrm>
          <a:off x="22494240" y="193040"/>
          <a:ext cx="0" cy="94488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7E660-D8E4-4471-B49F-77A5465F49BE}">
  <dimension ref="A1:AA80"/>
  <sheetViews>
    <sheetView tabSelected="1" topLeftCell="A4" zoomScale="96" zoomScaleNormal="70" workbookViewId="0">
      <selection activeCell="A39" sqref="A39:B39"/>
    </sheetView>
  </sheetViews>
  <sheetFormatPr baseColWidth="10" defaultColWidth="11.5" defaultRowHeight="15" x14ac:dyDescent="0.2"/>
  <cols>
    <col min="1" max="1" width="17" customWidth="1"/>
    <col min="2" max="10" width="14.33203125" customWidth="1"/>
  </cols>
  <sheetData>
    <row r="1" spans="1:27" x14ac:dyDescent="0.2">
      <c r="A1" s="20" t="s">
        <v>0</v>
      </c>
      <c r="B1" s="20"/>
      <c r="C1" s="20"/>
      <c r="D1" s="20"/>
      <c r="F1" s="36" t="s">
        <v>65</v>
      </c>
      <c r="G1" s="36"/>
    </row>
    <row r="2" spans="1:27" ht="15" customHeight="1" x14ac:dyDescent="0.2">
      <c r="A2" s="33" t="s">
        <v>1</v>
      </c>
      <c r="B2" s="33"/>
      <c r="C2" s="32">
        <v>200</v>
      </c>
      <c r="D2" s="32"/>
      <c r="F2" s="36"/>
      <c r="G2" s="36"/>
    </row>
    <row r="3" spans="1:27" x14ac:dyDescent="0.2">
      <c r="A3" s="33" t="s">
        <v>2</v>
      </c>
      <c r="B3" s="33"/>
      <c r="C3" s="32">
        <v>41</v>
      </c>
      <c r="D3" s="32"/>
    </row>
    <row r="4" spans="1:27" x14ac:dyDescent="0.2">
      <c r="A4" s="33" t="s">
        <v>3</v>
      </c>
      <c r="B4" s="33"/>
      <c r="C4" s="32">
        <f>C3/2000</f>
        <v>2.0500000000000001E-2</v>
      </c>
      <c r="D4" s="32"/>
    </row>
    <row r="5" spans="1:27" x14ac:dyDescent="0.2">
      <c r="A5" s="33" t="s">
        <v>4</v>
      </c>
      <c r="B5" s="33"/>
      <c r="C5" s="32">
        <v>11</v>
      </c>
      <c r="D5" s="32"/>
    </row>
    <row r="6" spans="1:27" x14ac:dyDescent="0.2">
      <c r="A6" s="33" t="s">
        <v>5</v>
      </c>
      <c r="B6" s="33"/>
      <c r="C6" s="32">
        <f>C5/100</f>
        <v>0.11</v>
      </c>
      <c r="D6" s="32"/>
    </row>
    <row r="7" spans="1:27" ht="15" customHeight="1" x14ac:dyDescent="0.2">
      <c r="A7" s="34" t="s">
        <v>6</v>
      </c>
      <c r="B7" s="34"/>
      <c r="C7" s="35">
        <f>0.00000126</f>
        <v>1.26E-6</v>
      </c>
      <c r="D7" s="35"/>
      <c r="U7" s="37" t="s">
        <v>39</v>
      </c>
      <c r="V7" s="38"/>
      <c r="W7" s="38"/>
      <c r="X7" s="38"/>
      <c r="Y7" s="38"/>
      <c r="Z7" s="38"/>
      <c r="AA7" s="39"/>
    </row>
    <row r="8" spans="1:27" x14ac:dyDescent="0.2">
      <c r="U8" s="40" t="s">
        <v>40</v>
      </c>
      <c r="V8" s="41"/>
      <c r="W8" s="41"/>
      <c r="X8" s="41"/>
      <c r="Y8" s="41"/>
      <c r="Z8" s="41"/>
      <c r="AA8" s="42"/>
    </row>
    <row r="9" spans="1:27" x14ac:dyDescent="0.2">
      <c r="A9" s="20" t="s">
        <v>7</v>
      </c>
      <c r="B9" s="20"/>
      <c r="C9" s="20"/>
      <c r="D9" s="20"/>
      <c r="E9" s="20"/>
      <c r="F9" s="20"/>
      <c r="G9" s="20"/>
      <c r="H9" s="20"/>
      <c r="I9" s="20"/>
      <c r="J9" s="20"/>
      <c r="L9" s="14"/>
      <c r="U9" s="43"/>
      <c r="V9" s="44"/>
      <c r="W9" s="44"/>
      <c r="X9" s="44"/>
      <c r="Y9" s="44"/>
      <c r="Z9" s="44"/>
      <c r="AA9" s="45"/>
    </row>
    <row r="10" spans="1:27" x14ac:dyDescent="0.2">
      <c r="A10" s="16" t="s">
        <v>8</v>
      </c>
      <c r="B10" s="5">
        <v>1</v>
      </c>
      <c r="C10" s="3"/>
      <c r="D10" s="3"/>
      <c r="E10" s="3"/>
      <c r="F10" s="3"/>
      <c r="G10" s="3"/>
      <c r="H10" s="3"/>
      <c r="I10" s="3"/>
      <c r="J10" s="3"/>
      <c r="U10" s="43"/>
      <c r="V10" s="44"/>
      <c r="W10" s="44"/>
      <c r="X10" s="44"/>
      <c r="Y10" s="44"/>
      <c r="Z10" s="44"/>
      <c r="AA10" s="45"/>
    </row>
    <row r="11" spans="1:27" ht="15" customHeight="1" x14ac:dyDescent="0.2">
      <c r="A11" s="3"/>
      <c r="B11" s="3"/>
      <c r="C11" s="3"/>
      <c r="D11" s="3"/>
      <c r="E11" s="3"/>
      <c r="F11" s="3"/>
      <c r="G11" s="3"/>
      <c r="H11" s="3"/>
      <c r="I11" s="3"/>
      <c r="J11" s="3"/>
      <c r="U11" s="46"/>
      <c r="V11" s="47"/>
      <c r="W11" s="47"/>
      <c r="X11" s="47"/>
      <c r="Y11" s="47"/>
      <c r="Z11" s="47"/>
      <c r="AA11" s="48"/>
    </row>
    <row r="12" spans="1:27" ht="15" customHeight="1" x14ac:dyDescent="0.2">
      <c r="A12" s="4" t="s">
        <v>9</v>
      </c>
      <c r="B12" s="1" t="s">
        <v>10</v>
      </c>
      <c r="C12" s="1" t="s">
        <v>11</v>
      </c>
      <c r="D12" s="1" t="s">
        <v>12</v>
      </c>
      <c r="E12" s="1" t="s">
        <v>13</v>
      </c>
      <c r="F12" s="2">
        <v>0</v>
      </c>
      <c r="G12" s="1" t="s">
        <v>14</v>
      </c>
      <c r="H12" s="1" t="s">
        <v>15</v>
      </c>
      <c r="I12" s="1" t="s">
        <v>16</v>
      </c>
      <c r="J12" s="1" t="s">
        <v>17</v>
      </c>
      <c r="U12" s="37" t="s">
        <v>41</v>
      </c>
      <c r="V12" s="38"/>
      <c r="W12" s="38"/>
      <c r="X12" s="38"/>
      <c r="Y12" s="38"/>
      <c r="Z12" s="38"/>
      <c r="AA12" s="39"/>
    </row>
    <row r="13" spans="1:27" ht="15" customHeight="1" x14ac:dyDescent="0.2">
      <c r="A13" s="4" t="s">
        <v>9</v>
      </c>
      <c r="B13" s="2">
        <f>-$C$6/2</f>
        <v>-5.5E-2</v>
      </c>
      <c r="C13" s="2">
        <f>-($C$6*3)/8</f>
        <v>-4.1250000000000002E-2</v>
      </c>
      <c r="D13" s="2">
        <f>-$C$6/4</f>
        <v>-2.75E-2</v>
      </c>
      <c r="E13" s="2">
        <f>-$C$6/8</f>
        <v>-1.375E-2</v>
      </c>
      <c r="F13" s="2">
        <f>0</f>
        <v>0</v>
      </c>
      <c r="G13" s="2">
        <f>$C$6/8</f>
        <v>1.375E-2</v>
      </c>
      <c r="H13" s="2">
        <f>$C$6/4</f>
        <v>2.75E-2</v>
      </c>
      <c r="I13" s="2">
        <f>($C$6*3)/8</f>
        <v>4.1250000000000002E-2</v>
      </c>
      <c r="J13" s="2">
        <f>$C$6/2</f>
        <v>5.5E-2</v>
      </c>
      <c r="U13" s="49" t="s">
        <v>42</v>
      </c>
      <c r="V13" s="50"/>
      <c r="W13" s="50"/>
      <c r="X13" s="50"/>
      <c r="Y13" s="50"/>
      <c r="Z13" s="50"/>
      <c r="AA13" s="51"/>
    </row>
    <row r="14" spans="1:27" ht="15" customHeight="1" x14ac:dyDescent="0.2">
      <c r="A14" s="4" t="s">
        <v>18</v>
      </c>
      <c r="B14" s="2">
        <f>($C$6/2)-B13</f>
        <v>0.11</v>
      </c>
      <c r="C14" s="2">
        <f t="shared" ref="C14:J14" si="0">($C$6/2)-C13</f>
        <v>9.6250000000000002E-2</v>
      </c>
      <c r="D14" s="2">
        <f t="shared" si="0"/>
        <v>8.2500000000000004E-2</v>
      </c>
      <c r="E14" s="2">
        <f t="shared" si="0"/>
        <v>6.8750000000000006E-2</v>
      </c>
      <c r="F14" s="2">
        <f t="shared" si="0"/>
        <v>5.5E-2</v>
      </c>
      <c r="G14" s="2">
        <f t="shared" si="0"/>
        <v>4.1250000000000002E-2</v>
      </c>
      <c r="H14" s="2">
        <f t="shared" si="0"/>
        <v>2.75E-2</v>
      </c>
      <c r="I14" s="2">
        <f t="shared" si="0"/>
        <v>1.3749999999999998E-2</v>
      </c>
      <c r="J14" s="2">
        <f t="shared" si="0"/>
        <v>0</v>
      </c>
      <c r="U14" s="52"/>
      <c r="V14" s="53"/>
      <c r="W14" s="53"/>
      <c r="X14" s="53"/>
      <c r="Y14" s="53"/>
      <c r="Z14" s="53"/>
      <c r="AA14" s="54"/>
    </row>
    <row r="15" spans="1:27" x14ac:dyDescent="0.2">
      <c r="A15" s="4" t="s">
        <v>19</v>
      </c>
      <c r="B15" s="2">
        <f>($C$6/2)+B13</f>
        <v>0</v>
      </c>
      <c r="C15" s="2">
        <f t="shared" ref="C15:J15" si="1">($C$6/2)+C13</f>
        <v>1.3749999999999998E-2</v>
      </c>
      <c r="D15" s="2">
        <f t="shared" si="1"/>
        <v>2.75E-2</v>
      </c>
      <c r="E15" s="2">
        <f t="shared" si="1"/>
        <v>4.1250000000000002E-2</v>
      </c>
      <c r="F15" s="2">
        <f t="shared" si="1"/>
        <v>5.5E-2</v>
      </c>
      <c r="G15" s="2">
        <f t="shared" si="1"/>
        <v>6.8750000000000006E-2</v>
      </c>
      <c r="H15" s="2">
        <f t="shared" si="1"/>
        <v>8.2500000000000004E-2</v>
      </c>
      <c r="I15" s="2">
        <f t="shared" si="1"/>
        <v>9.6250000000000002E-2</v>
      </c>
      <c r="J15" s="2">
        <f t="shared" si="1"/>
        <v>0.11</v>
      </c>
      <c r="U15" s="55"/>
      <c r="V15" s="56"/>
      <c r="W15" s="56"/>
      <c r="X15" s="56"/>
      <c r="Y15" s="56"/>
      <c r="Z15" s="56"/>
      <c r="AA15" s="57"/>
    </row>
    <row r="16" spans="1:27" ht="15" customHeight="1" x14ac:dyDescent="0.2">
      <c r="A16" s="4" t="s">
        <v>20</v>
      </c>
      <c r="B16" s="2">
        <f>SQRT((B14^2)+($C$4^2))</f>
        <v>0.11189392298065164</v>
      </c>
      <c r="C16" s="2">
        <f t="shared" ref="C16:J16" si="2">SQRT((C14^2)+($C$4^2))</f>
        <v>9.84089045767709E-2</v>
      </c>
      <c r="D16" s="2">
        <f t="shared" si="2"/>
        <v>8.5008823071490644E-2</v>
      </c>
      <c r="E16" s="2">
        <f t="shared" si="2"/>
        <v>7.1741288669775097E-2</v>
      </c>
      <c r="F16" s="2">
        <f t="shared" si="2"/>
        <v>5.8696252009817457E-2</v>
      </c>
      <c r="G16" s="2">
        <f t="shared" si="2"/>
        <v>4.6063136020032334E-2</v>
      </c>
      <c r="H16" s="2">
        <f t="shared" si="2"/>
        <v>3.430014577228499E-2</v>
      </c>
      <c r="I16" s="2">
        <f t="shared" si="2"/>
        <v>2.4684256115994261E-2</v>
      </c>
      <c r="J16" s="2">
        <f t="shared" si="2"/>
        <v>2.0500000000000001E-2</v>
      </c>
    </row>
    <row r="17" spans="1:26" ht="15" customHeight="1" x14ac:dyDescent="0.2">
      <c r="A17" s="4" t="s">
        <v>21</v>
      </c>
      <c r="B17" s="2">
        <f>SQRT((B15^2)+($C$4^2))</f>
        <v>2.0500000000000001E-2</v>
      </c>
      <c r="C17" s="2">
        <f t="shared" ref="C17:J17" si="3">SQRT((C15^2)+($C$4^2))</f>
        <v>2.4684256115994261E-2</v>
      </c>
      <c r="D17" s="2">
        <f t="shared" si="3"/>
        <v>3.430014577228499E-2</v>
      </c>
      <c r="E17" s="2">
        <f t="shared" si="3"/>
        <v>4.6063136020032334E-2</v>
      </c>
      <c r="F17" s="2">
        <f t="shared" si="3"/>
        <v>5.8696252009817457E-2</v>
      </c>
      <c r="G17" s="2">
        <f t="shared" si="3"/>
        <v>7.1741288669775097E-2</v>
      </c>
      <c r="H17" s="2">
        <f t="shared" si="3"/>
        <v>8.5008823071490644E-2</v>
      </c>
      <c r="I17" s="2">
        <f t="shared" si="3"/>
        <v>9.84089045767709E-2</v>
      </c>
      <c r="J17" s="2">
        <f t="shared" si="3"/>
        <v>0.11189392298065164</v>
      </c>
    </row>
    <row r="18" spans="1:26" ht="16.5" customHeight="1" x14ac:dyDescent="0.2">
      <c r="A18" s="4" t="s">
        <v>22</v>
      </c>
      <c r="B18" s="2">
        <f>B14/B16</f>
        <v>0.98307394244297674</v>
      </c>
      <c r="C18" s="2">
        <f t="shared" ref="C18:J18" si="4">C14/C16</f>
        <v>0.97806189809696853</v>
      </c>
      <c r="D18" s="2">
        <f t="shared" si="4"/>
        <v>0.97048749787559374</v>
      </c>
      <c r="E18" s="2">
        <f t="shared" si="4"/>
        <v>0.95830450323322203</v>
      </c>
      <c r="F18" s="2">
        <f t="shared" si="4"/>
        <v>0.93702746115375091</v>
      </c>
      <c r="G18" s="2">
        <f t="shared" si="4"/>
        <v>0.89551002307052752</v>
      </c>
      <c r="H18" s="2">
        <f t="shared" si="4"/>
        <v>0.80174586378056723</v>
      </c>
      <c r="I18" s="2">
        <f t="shared" si="4"/>
        <v>0.55703521853715621</v>
      </c>
      <c r="J18" s="2">
        <f t="shared" si="4"/>
        <v>0</v>
      </c>
      <c r="U18" s="58" t="s">
        <v>43</v>
      </c>
      <c r="V18" s="59"/>
      <c r="W18" s="59"/>
      <c r="X18" s="59"/>
      <c r="Y18" s="59"/>
      <c r="Z18" s="60"/>
    </row>
    <row r="19" spans="1:26" x14ac:dyDescent="0.2">
      <c r="A19" s="4" t="s">
        <v>22</v>
      </c>
      <c r="B19" s="2">
        <f>B15/B17</f>
        <v>0</v>
      </c>
      <c r="C19" s="2">
        <f t="shared" ref="C19:J19" si="5">C15/C17</f>
        <v>0.55703521853715621</v>
      </c>
      <c r="D19" s="2">
        <f t="shared" si="5"/>
        <v>0.80174586378056723</v>
      </c>
      <c r="E19" s="2">
        <f t="shared" si="5"/>
        <v>0.89551002307052752</v>
      </c>
      <c r="F19" s="2">
        <f t="shared" si="5"/>
        <v>0.93702746115375091</v>
      </c>
      <c r="G19" s="2">
        <f t="shared" si="5"/>
        <v>0.95830450323322203</v>
      </c>
      <c r="H19" s="2">
        <f t="shared" si="5"/>
        <v>0.97048749787559374</v>
      </c>
      <c r="I19" s="2">
        <f t="shared" si="5"/>
        <v>0.97806189809696853</v>
      </c>
      <c r="J19" s="2">
        <f t="shared" si="5"/>
        <v>0.98307394244297674</v>
      </c>
      <c r="U19" s="49" t="s">
        <v>44</v>
      </c>
      <c r="V19" s="50"/>
      <c r="W19" s="50"/>
      <c r="X19" s="50"/>
      <c r="Y19" s="50"/>
      <c r="Z19" s="51"/>
    </row>
    <row r="20" spans="1:26" x14ac:dyDescent="0.2">
      <c r="A20" s="4" t="s">
        <v>23</v>
      </c>
      <c r="B20" s="13">
        <f>(($C$7*$B$10*$C$2)/(2*$C$6))</f>
        <v>1.1454545454545454E-3</v>
      </c>
      <c r="C20" s="2"/>
      <c r="D20" s="2"/>
      <c r="E20" s="2"/>
      <c r="F20" s="2"/>
      <c r="G20" s="2"/>
      <c r="H20" s="2"/>
      <c r="I20" s="2"/>
      <c r="J20" s="2"/>
      <c r="U20" s="52"/>
      <c r="V20" s="53"/>
      <c r="W20" s="53"/>
      <c r="X20" s="53"/>
      <c r="Y20" s="53"/>
      <c r="Z20" s="54"/>
    </row>
    <row r="21" spans="1:26" x14ac:dyDescent="0.2">
      <c r="A21" s="8" t="s">
        <v>24</v>
      </c>
      <c r="B21" s="15">
        <f>$B$20*(B18+B19)</f>
        <v>1.1260665158892278E-3</v>
      </c>
      <c r="C21" s="9">
        <f t="shared" ref="C21:J21" si="6">$B$20*(C18+C19)</f>
        <v>1.7583839699627246E-3</v>
      </c>
      <c r="D21" s="9">
        <f t="shared" si="6"/>
        <v>2.0300127597152389E-3</v>
      </c>
      <c r="E21" s="9">
        <f t="shared" si="6"/>
        <v>2.1234602755842947E-3</v>
      </c>
      <c r="F21" s="9">
        <f t="shared" si="6"/>
        <v>2.1466447291885928E-3</v>
      </c>
      <c r="G21" s="9">
        <f t="shared" si="6"/>
        <v>2.1234602755842947E-3</v>
      </c>
      <c r="H21" s="9">
        <f t="shared" si="6"/>
        <v>2.0300127597152389E-3</v>
      </c>
      <c r="I21" s="9">
        <f t="shared" si="6"/>
        <v>1.7583839699627246E-3</v>
      </c>
      <c r="J21" s="9">
        <f t="shared" si="6"/>
        <v>1.1260665158892278E-3</v>
      </c>
      <c r="U21" s="55"/>
      <c r="V21" s="56"/>
      <c r="W21" s="56"/>
      <c r="X21" s="56"/>
      <c r="Y21" s="56"/>
      <c r="Z21" s="57"/>
    </row>
    <row r="22" spans="1:26" x14ac:dyDescent="0.2">
      <c r="A22" s="4" t="s">
        <v>25</v>
      </c>
      <c r="B22" s="15">
        <f>B21*1000</f>
        <v>1.1260665158892278</v>
      </c>
      <c r="C22" s="15">
        <f t="shared" ref="C22:J22" si="7">C21*1000</f>
        <v>1.7583839699627246</v>
      </c>
      <c r="D22" s="15">
        <f t="shared" si="7"/>
        <v>2.0300127597152389</v>
      </c>
      <c r="E22" s="15">
        <f t="shared" si="7"/>
        <v>2.1234602755842946</v>
      </c>
      <c r="F22" s="15">
        <f t="shared" si="7"/>
        <v>2.1466447291885928</v>
      </c>
      <c r="G22" s="15">
        <f t="shared" si="7"/>
        <v>2.1234602755842946</v>
      </c>
      <c r="H22" s="15">
        <f t="shared" si="7"/>
        <v>2.0300127597152389</v>
      </c>
      <c r="I22" s="15">
        <f t="shared" si="7"/>
        <v>1.7583839699627246</v>
      </c>
      <c r="J22" s="15">
        <f t="shared" si="7"/>
        <v>1.1260665158892278</v>
      </c>
      <c r="U22" s="58" t="s">
        <v>45</v>
      </c>
      <c r="V22" s="59"/>
      <c r="W22" s="59"/>
      <c r="X22" s="59"/>
      <c r="Y22" s="59"/>
      <c r="Z22" s="60"/>
    </row>
    <row r="23" spans="1:26" ht="15" customHeight="1" x14ac:dyDescent="0.2">
      <c r="A23" s="4" t="s">
        <v>26</v>
      </c>
      <c r="B23" s="15">
        <v>1.46</v>
      </c>
      <c r="C23" s="15">
        <v>1.95</v>
      </c>
      <c r="D23" s="15">
        <v>2.14</v>
      </c>
      <c r="E23" s="15">
        <v>2.21</v>
      </c>
      <c r="F23" s="15">
        <v>2.2599999999999998</v>
      </c>
      <c r="G23" s="15">
        <v>2.2000000000000002</v>
      </c>
      <c r="H23" s="15">
        <v>2.13</v>
      </c>
      <c r="I23" s="15">
        <v>1.85</v>
      </c>
      <c r="J23" s="15">
        <v>1.23</v>
      </c>
      <c r="U23" s="49" t="s">
        <v>46</v>
      </c>
      <c r="V23" s="50"/>
      <c r="W23" s="50"/>
      <c r="X23" s="50"/>
      <c r="Y23" s="50"/>
      <c r="Z23" s="51"/>
    </row>
    <row r="24" spans="1:26" x14ac:dyDescent="0.2">
      <c r="A24" s="4" t="s">
        <v>27</v>
      </c>
      <c r="B24" s="10">
        <f>B23/1000</f>
        <v>1.4599999999999999E-3</v>
      </c>
      <c r="C24" s="10">
        <f>C23/1000</f>
        <v>1.9499999999999999E-3</v>
      </c>
      <c r="D24" s="10">
        <f t="shared" ref="D24:J24" si="8">D23/1000</f>
        <v>2.14E-3</v>
      </c>
      <c r="E24" s="10">
        <f t="shared" si="8"/>
        <v>2.2100000000000002E-3</v>
      </c>
      <c r="F24" s="10">
        <f t="shared" si="8"/>
        <v>2.2599999999999999E-3</v>
      </c>
      <c r="G24" s="10">
        <f t="shared" si="8"/>
        <v>2.2000000000000001E-3</v>
      </c>
      <c r="H24" s="10">
        <f t="shared" si="8"/>
        <v>2.1299999999999999E-3</v>
      </c>
      <c r="I24" s="10">
        <f t="shared" si="8"/>
        <v>1.8500000000000001E-3</v>
      </c>
      <c r="J24" s="10">
        <f t="shared" si="8"/>
        <v>1.23E-3</v>
      </c>
      <c r="U24" s="52"/>
      <c r="V24" s="53"/>
      <c r="W24" s="53"/>
      <c r="X24" s="53"/>
      <c r="Y24" s="53"/>
      <c r="Z24" s="54"/>
    </row>
    <row r="25" spans="1:26" x14ac:dyDescent="0.2">
      <c r="A25" s="4" t="s">
        <v>28</v>
      </c>
      <c r="B25" s="11">
        <f>(ABS(B21-B24)/B21)</f>
        <v>0.29654863136310627</v>
      </c>
      <c r="C25" s="11">
        <f t="shared" ref="C25:J25" si="9">(ABS(C21-C24)/C21)</f>
        <v>0.10897280304559268</v>
      </c>
      <c r="D25" s="11">
        <f t="shared" si="9"/>
        <v>5.418056598825987E-2</v>
      </c>
      <c r="E25" s="11">
        <f t="shared" si="9"/>
        <v>4.0754105650454432E-2</v>
      </c>
      <c r="F25" s="11">
        <f t="shared" si="9"/>
        <v>5.2805790017360736E-2</v>
      </c>
      <c r="G25" s="11">
        <f t="shared" si="9"/>
        <v>3.6044811054751005E-2</v>
      </c>
      <c r="H25" s="11">
        <f t="shared" si="9"/>
        <v>4.9254488577099763E-2</v>
      </c>
      <c r="I25" s="11">
        <f t="shared" si="9"/>
        <v>5.2102402889408525E-2</v>
      </c>
      <c r="J25" s="11">
        <f t="shared" si="9"/>
        <v>9.2297819573027934E-2</v>
      </c>
      <c r="U25" s="52"/>
      <c r="V25" s="53"/>
      <c r="W25" s="53"/>
      <c r="X25" s="53"/>
      <c r="Y25" s="53"/>
      <c r="Z25" s="54"/>
    </row>
    <row r="26" spans="1:26" x14ac:dyDescent="0.2">
      <c r="A26" s="4" t="s">
        <v>35</v>
      </c>
      <c r="B26" s="17">
        <f>($C$7*$B$10*$C$2)/$C$6</f>
        <v>2.2909090909090908E-3</v>
      </c>
      <c r="C26" s="17">
        <f t="shared" ref="C26:J26" si="10">($C$7*$B$10*$C$2)/$C$6</f>
        <v>2.2909090909090908E-3</v>
      </c>
      <c r="D26" s="17">
        <f t="shared" si="10"/>
        <v>2.2909090909090908E-3</v>
      </c>
      <c r="E26" s="17">
        <f t="shared" si="10"/>
        <v>2.2909090909090908E-3</v>
      </c>
      <c r="F26" s="17">
        <f t="shared" si="10"/>
        <v>2.2909090909090908E-3</v>
      </c>
      <c r="G26" s="17">
        <f t="shared" si="10"/>
        <v>2.2909090909090908E-3</v>
      </c>
      <c r="H26" s="17">
        <f t="shared" si="10"/>
        <v>2.2909090909090908E-3</v>
      </c>
      <c r="I26" s="17">
        <f t="shared" si="10"/>
        <v>2.2909090909090908E-3</v>
      </c>
      <c r="J26" s="17">
        <f t="shared" si="10"/>
        <v>2.2909090909090908E-3</v>
      </c>
      <c r="U26" s="52"/>
      <c r="V26" s="53"/>
      <c r="W26" s="53"/>
      <c r="X26" s="53"/>
      <c r="Y26" s="53"/>
      <c r="Z26" s="54"/>
    </row>
    <row r="27" spans="1:26" x14ac:dyDescent="0.2">
      <c r="U27" s="55"/>
      <c r="V27" s="56"/>
      <c r="W27" s="56"/>
      <c r="X27" s="56"/>
      <c r="Y27" s="56"/>
      <c r="Z27" s="57"/>
    </row>
    <row r="28" spans="1:26" x14ac:dyDescent="0.2">
      <c r="A28" s="20" t="s">
        <v>29</v>
      </c>
      <c r="B28" s="20"/>
      <c r="C28" s="20"/>
      <c r="D28" s="20"/>
      <c r="E28" s="20"/>
      <c r="F28" s="20"/>
      <c r="G28" s="20"/>
      <c r="H28" s="20"/>
      <c r="I28" s="20"/>
      <c r="J28" s="20"/>
      <c r="K28" s="20"/>
      <c r="U28" s="58" t="s">
        <v>47</v>
      </c>
      <c r="V28" s="59"/>
      <c r="W28" s="59"/>
      <c r="X28" s="59"/>
      <c r="Y28" s="59"/>
      <c r="Z28" s="60"/>
    </row>
    <row r="29" spans="1:26" ht="15" customHeight="1" x14ac:dyDescent="0.2">
      <c r="A29" s="3"/>
      <c r="B29" s="3"/>
      <c r="C29" s="3"/>
      <c r="D29" s="3"/>
      <c r="E29" s="3"/>
      <c r="F29" s="3"/>
      <c r="G29" s="3"/>
      <c r="H29" s="3"/>
      <c r="I29" s="3"/>
      <c r="J29" s="3"/>
      <c r="U29" s="49" t="s">
        <v>48</v>
      </c>
      <c r="V29" s="50"/>
      <c r="W29" s="50"/>
      <c r="X29" s="50"/>
      <c r="Y29" s="50"/>
      <c r="Z29" s="51"/>
    </row>
    <row r="30" spans="1:26" x14ac:dyDescent="0.2">
      <c r="A30" s="4" t="s">
        <v>30</v>
      </c>
      <c r="B30" s="6">
        <v>0.93</v>
      </c>
      <c r="C30" s="6">
        <v>0.84</v>
      </c>
      <c r="D30" s="6">
        <v>0.47</v>
      </c>
      <c r="E30" s="6">
        <v>0.38</v>
      </c>
      <c r="F30" s="6">
        <v>0.57999999999999996</v>
      </c>
      <c r="G30" s="6">
        <v>0.99</v>
      </c>
      <c r="H30" s="6">
        <v>0.63</v>
      </c>
      <c r="I30" s="6">
        <v>0.25</v>
      </c>
      <c r="J30" s="6">
        <v>0.54</v>
      </c>
      <c r="K30" s="6">
        <v>0.18</v>
      </c>
      <c r="L30" s="7"/>
      <c r="M30" s="7"/>
      <c r="N30" s="7"/>
      <c r="O30" s="7"/>
      <c r="P30" s="7"/>
      <c r="Q30" s="7"/>
      <c r="R30" s="7"/>
      <c r="U30" s="52"/>
      <c r="V30" s="53"/>
      <c r="W30" s="53"/>
      <c r="X30" s="53"/>
      <c r="Y30" s="53"/>
      <c r="Z30" s="54"/>
    </row>
    <row r="31" spans="1:26" ht="15" customHeight="1" x14ac:dyDescent="0.2">
      <c r="A31" s="4" t="s">
        <v>25</v>
      </c>
      <c r="B31">
        <v>2</v>
      </c>
      <c r="C31" s="2">
        <v>1.79</v>
      </c>
      <c r="D31" s="2">
        <v>1.01</v>
      </c>
      <c r="E31" s="2">
        <v>0.82</v>
      </c>
      <c r="F31" s="2">
        <v>1.25</v>
      </c>
      <c r="G31" s="2">
        <v>2.11</v>
      </c>
      <c r="H31" s="2">
        <v>1.35</v>
      </c>
      <c r="I31" s="2">
        <v>0.56000000000000005</v>
      </c>
      <c r="J31" s="2">
        <v>1.17</v>
      </c>
      <c r="K31" s="2">
        <v>0.4</v>
      </c>
      <c r="U31" s="49"/>
      <c r="V31" s="50"/>
      <c r="W31" s="51"/>
      <c r="X31" s="49" t="s">
        <v>62</v>
      </c>
      <c r="Y31" s="50"/>
      <c r="Z31" s="51"/>
    </row>
    <row r="32" spans="1:26" ht="15" customHeight="1" x14ac:dyDescent="0.2">
      <c r="A32" s="4" t="s">
        <v>31</v>
      </c>
      <c r="B32" s="9">
        <f>B31/1000</f>
        <v>2E-3</v>
      </c>
      <c r="C32" s="9">
        <f>C31/1000</f>
        <v>1.7900000000000001E-3</v>
      </c>
      <c r="D32" s="9">
        <f>D31/1000</f>
        <v>1.01E-3</v>
      </c>
      <c r="E32" s="9">
        <f t="shared" ref="E32:K32" si="11">E31/1000</f>
        <v>8.1999999999999998E-4</v>
      </c>
      <c r="F32" s="9">
        <f t="shared" si="11"/>
        <v>1.25E-3</v>
      </c>
      <c r="G32" s="9">
        <f t="shared" si="11"/>
        <v>2.1099999999999999E-3</v>
      </c>
      <c r="H32" s="9">
        <f t="shared" si="11"/>
        <v>1.3500000000000001E-3</v>
      </c>
      <c r="I32" s="9">
        <f t="shared" si="11"/>
        <v>5.6000000000000006E-4</v>
      </c>
      <c r="J32" s="9">
        <f t="shared" si="11"/>
        <v>1.17E-3</v>
      </c>
      <c r="K32" s="9">
        <f t="shared" si="11"/>
        <v>4.0000000000000002E-4</v>
      </c>
      <c r="U32" s="52"/>
      <c r="V32" s="53"/>
      <c r="W32" s="54"/>
      <c r="X32" s="61" t="s">
        <v>63</v>
      </c>
      <c r="Y32" s="62"/>
      <c r="Z32" s="63"/>
    </row>
    <row r="33" spans="1:26" x14ac:dyDescent="0.2">
      <c r="A33" s="4"/>
      <c r="B33" s="10">
        <f>($C$7*B30*$C$2)</f>
        <v>2.3436000000000003E-4</v>
      </c>
      <c r="C33" s="12">
        <f t="shared" ref="C33:K33" si="12">($C$7*C30*$C$2)</f>
        <v>2.1167999999999998E-4</v>
      </c>
      <c r="D33" s="12">
        <f t="shared" si="12"/>
        <v>1.1844000000000001E-4</v>
      </c>
      <c r="E33" s="12">
        <f t="shared" si="12"/>
        <v>9.5759999999999991E-5</v>
      </c>
      <c r="F33" s="12">
        <f t="shared" si="12"/>
        <v>1.4616E-4</v>
      </c>
      <c r="G33" s="12">
        <f t="shared" si="12"/>
        <v>2.4948E-4</v>
      </c>
      <c r="H33" s="12">
        <f t="shared" si="12"/>
        <v>1.5876E-4</v>
      </c>
      <c r="I33" s="12">
        <f t="shared" si="12"/>
        <v>6.3E-5</v>
      </c>
      <c r="J33" s="12">
        <f t="shared" si="12"/>
        <v>1.3608000000000001E-4</v>
      </c>
      <c r="K33" s="12">
        <f t="shared" si="12"/>
        <v>4.5359999999999999E-5</v>
      </c>
      <c r="U33" s="52"/>
      <c r="V33" s="53"/>
      <c r="W33" s="54"/>
      <c r="X33" s="64"/>
      <c r="Y33" s="65"/>
      <c r="Z33" s="66"/>
    </row>
    <row r="34" spans="1:26" ht="15" customHeight="1" x14ac:dyDescent="0.2">
      <c r="A34" s="4"/>
      <c r="B34" s="12">
        <f>2*SQRT(($C$4^2)+(($C$6/2)^2))</f>
        <v>0.11739250401963491</v>
      </c>
      <c r="C34" s="12">
        <f t="shared" ref="C34:K34" si="13">2*SQRT(($C$4^2)+(($C$6/2)^2))</f>
        <v>0.11739250401963491</v>
      </c>
      <c r="D34" s="12">
        <f t="shared" si="13"/>
        <v>0.11739250401963491</v>
      </c>
      <c r="E34" s="12">
        <f t="shared" si="13"/>
        <v>0.11739250401963491</v>
      </c>
      <c r="F34" s="12">
        <f t="shared" si="13"/>
        <v>0.11739250401963491</v>
      </c>
      <c r="G34" s="12">
        <f t="shared" si="13"/>
        <v>0.11739250401963491</v>
      </c>
      <c r="H34" s="12">
        <f t="shared" si="13"/>
        <v>0.11739250401963491</v>
      </c>
      <c r="I34" s="12">
        <f t="shared" si="13"/>
        <v>0.11739250401963491</v>
      </c>
      <c r="J34" s="12">
        <f t="shared" si="13"/>
        <v>0.11739250401963491</v>
      </c>
      <c r="K34" s="12">
        <f t="shared" si="13"/>
        <v>0.11739250401963491</v>
      </c>
      <c r="U34" s="52"/>
      <c r="V34" s="53"/>
      <c r="W34" s="54"/>
      <c r="X34" s="52" t="s">
        <v>64</v>
      </c>
      <c r="Y34" s="53"/>
      <c r="Z34" s="54"/>
    </row>
    <row r="35" spans="1:26" ht="15" customHeight="1" x14ac:dyDescent="0.2">
      <c r="A35" s="4" t="s">
        <v>32</v>
      </c>
      <c r="B35" s="10">
        <f>B33/B34</f>
        <v>1.9963795981453917E-3</v>
      </c>
      <c r="C35" s="10">
        <f t="shared" ref="C35:K35" si="14">C33/C34</f>
        <v>1.8031815725184179E-3</v>
      </c>
      <c r="D35" s="10">
        <f t="shared" si="14"/>
        <v>1.0089230227186387E-3</v>
      </c>
      <c r="E35" s="10">
        <f t="shared" si="14"/>
        <v>8.1572499709166529E-4</v>
      </c>
      <c r="F35" s="10">
        <f t="shared" si="14"/>
        <v>1.245053942929384E-3</v>
      </c>
      <c r="G35" s="10">
        <f t="shared" si="14"/>
        <v>2.1251782818967071E-3</v>
      </c>
      <c r="H35" s="10">
        <f t="shared" si="14"/>
        <v>1.3523861793888136E-3</v>
      </c>
      <c r="I35" s="10">
        <f t="shared" si="14"/>
        <v>5.3666118229714821E-4</v>
      </c>
      <c r="J35" s="10">
        <f t="shared" si="14"/>
        <v>1.1591881537618403E-3</v>
      </c>
      <c r="K35" s="10">
        <f t="shared" si="14"/>
        <v>3.8639605125394673E-4</v>
      </c>
      <c r="U35" s="52"/>
      <c r="V35" s="53"/>
      <c r="W35" s="54"/>
      <c r="X35" s="55"/>
      <c r="Y35" s="56"/>
      <c r="Z35" s="57"/>
    </row>
    <row r="36" spans="1:26" ht="15" customHeight="1" x14ac:dyDescent="0.2">
      <c r="A36" s="4" t="s">
        <v>33</v>
      </c>
      <c r="B36" s="11">
        <f>ABS(B35-B32)/B32</f>
        <v>1.8102009273041845E-3</v>
      </c>
      <c r="C36" s="11">
        <f t="shared" ref="C36:K36" si="15">ABS(C35-C32)/C32</f>
        <v>7.3640069935294889E-3</v>
      </c>
      <c r="D36" s="11">
        <f t="shared" si="15"/>
        <v>1.0663141399617161E-3</v>
      </c>
      <c r="E36" s="11">
        <f t="shared" si="15"/>
        <v>5.2134181808959606E-3</v>
      </c>
      <c r="F36" s="11">
        <f t="shared" si="15"/>
        <v>3.9568456564928467E-3</v>
      </c>
      <c r="G36" s="11">
        <f t="shared" si="15"/>
        <v>7.1934985292451056E-3</v>
      </c>
      <c r="H36" s="11">
        <f t="shared" si="15"/>
        <v>1.7675402880100277E-3</v>
      </c>
      <c r="I36" s="11">
        <f t="shared" si="15"/>
        <v>4.167646018366402E-2</v>
      </c>
      <c r="J36" s="11">
        <f t="shared" si="15"/>
        <v>9.2408942206493455E-3</v>
      </c>
      <c r="K36" s="11">
        <f t="shared" si="15"/>
        <v>3.4009871865133219E-2</v>
      </c>
      <c r="U36" s="52"/>
      <c r="V36" s="53"/>
      <c r="W36" s="54"/>
      <c r="X36" s="61" t="s">
        <v>63</v>
      </c>
      <c r="Y36" s="62"/>
      <c r="Z36" s="63"/>
    </row>
    <row r="37" spans="1:26" x14ac:dyDescent="0.2">
      <c r="U37" s="55"/>
      <c r="V37" s="56"/>
      <c r="W37" s="57"/>
      <c r="X37" s="64"/>
      <c r="Y37" s="65"/>
      <c r="Z37" s="66"/>
    </row>
    <row r="38" spans="1:26" x14ac:dyDescent="0.2">
      <c r="U38" s="49" t="s">
        <v>49</v>
      </c>
      <c r="V38" s="50"/>
      <c r="W38" s="51"/>
      <c r="X38" s="67">
        <v>0.01</v>
      </c>
      <c r="Y38" s="53"/>
      <c r="Z38" s="54"/>
    </row>
    <row r="39" spans="1:26" ht="15" customHeight="1" x14ac:dyDescent="0.2">
      <c r="A39" s="16" t="s">
        <v>34</v>
      </c>
      <c r="B39" s="6">
        <f ca="1">RAND()*(1-0.1)+0.1</f>
        <v>0.82395497322941225</v>
      </c>
      <c r="U39" s="55"/>
      <c r="V39" s="56"/>
      <c r="W39" s="57"/>
      <c r="X39" s="55"/>
      <c r="Y39" s="56"/>
      <c r="Z39" s="57"/>
    </row>
    <row r="40" spans="1:26" x14ac:dyDescent="0.2">
      <c r="U40" s="58" t="s">
        <v>50</v>
      </c>
      <c r="V40" s="59"/>
      <c r="W40" s="59"/>
      <c r="X40" s="59"/>
      <c r="Y40" s="59"/>
      <c r="Z40" s="60"/>
    </row>
    <row r="41" spans="1:26" ht="15" customHeight="1" x14ac:dyDescent="0.2">
      <c r="A41" s="21" t="s">
        <v>38</v>
      </c>
      <c r="B41" s="22"/>
      <c r="C41" s="22"/>
      <c r="D41" s="23"/>
      <c r="U41" s="49" t="s">
        <v>51</v>
      </c>
      <c r="V41" s="50"/>
      <c r="W41" s="50"/>
      <c r="X41" s="50"/>
      <c r="Y41" s="50"/>
      <c r="Z41" s="51"/>
    </row>
    <row r="42" spans="1:26" x14ac:dyDescent="0.2">
      <c r="A42" s="24" t="s">
        <v>1</v>
      </c>
      <c r="B42" s="25"/>
      <c r="C42" s="26">
        <v>75</v>
      </c>
      <c r="D42" s="27"/>
      <c r="U42" s="55"/>
      <c r="V42" s="56"/>
      <c r="W42" s="56"/>
      <c r="X42" s="56"/>
      <c r="Y42" s="56"/>
      <c r="Z42" s="57"/>
    </row>
    <row r="43" spans="1:26" x14ac:dyDescent="0.2">
      <c r="A43" s="24" t="s">
        <v>2</v>
      </c>
      <c r="B43" s="25"/>
      <c r="C43" s="26">
        <v>26</v>
      </c>
      <c r="D43" s="27"/>
      <c r="U43" s="58" t="s">
        <v>52</v>
      </c>
      <c r="V43" s="59"/>
      <c r="W43" s="59"/>
      <c r="X43" s="59"/>
      <c r="Y43" s="59"/>
      <c r="Z43" s="60"/>
    </row>
    <row r="44" spans="1:26" ht="15" customHeight="1" x14ac:dyDescent="0.2">
      <c r="A44" s="24" t="s">
        <v>3</v>
      </c>
      <c r="B44" s="25"/>
      <c r="C44" s="26">
        <f>C43/2000</f>
        <v>1.2999999999999999E-2</v>
      </c>
      <c r="D44" s="27"/>
      <c r="U44" s="49" t="s">
        <v>53</v>
      </c>
      <c r="V44" s="50"/>
      <c r="W44" s="50"/>
      <c r="X44" s="50"/>
      <c r="Y44" s="50"/>
      <c r="Z44" s="51"/>
    </row>
    <row r="45" spans="1:26" x14ac:dyDescent="0.2">
      <c r="A45" s="24" t="s">
        <v>4</v>
      </c>
      <c r="B45" s="25"/>
      <c r="C45" s="26">
        <v>16</v>
      </c>
      <c r="D45" s="27"/>
      <c r="U45" s="55"/>
      <c r="V45" s="56"/>
      <c r="W45" s="56"/>
      <c r="X45" s="56"/>
      <c r="Y45" s="56"/>
      <c r="Z45" s="57"/>
    </row>
    <row r="46" spans="1:26" ht="15" customHeight="1" x14ac:dyDescent="0.2">
      <c r="A46" s="24" t="s">
        <v>5</v>
      </c>
      <c r="B46" s="25"/>
      <c r="C46" s="26">
        <f>C45/100</f>
        <v>0.16</v>
      </c>
      <c r="D46" s="27"/>
      <c r="U46" s="49" t="s">
        <v>54</v>
      </c>
      <c r="V46" s="50"/>
      <c r="W46" s="50"/>
      <c r="X46" s="50"/>
      <c r="Y46" s="50"/>
      <c r="Z46" s="51"/>
    </row>
    <row r="47" spans="1:26" x14ac:dyDescent="0.2">
      <c r="A47" s="28" t="s">
        <v>6</v>
      </c>
      <c r="B47" s="29"/>
      <c r="C47" s="30">
        <v>1.26E-6</v>
      </c>
      <c r="D47" s="31"/>
      <c r="U47" s="55"/>
      <c r="V47" s="56"/>
      <c r="W47" s="56"/>
      <c r="X47" s="56"/>
      <c r="Y47" s="56"/>
      <c r="Z47" s="57"/>
    </row>
    <row r="48" spans="1:26" x14ac:dyDescent="0.2">
      <c r="U48" s="58" t="s">
        <v>55</v>
      </c>
      <c r="V48" s="59"/>
      <c r="W48" s="59"/>
      <c r="X48" s="59"/>
      <c r="Y48" s="59"/>
      <c r="Z48" s="60"/>
    </row>
    <row r="49" spans="1:26" x14ac:dyDescent="0.2">
      <c r="U49" s="49" t="s">
        <v>56</v>
      </c>
      <c r="V49" s="50"/>
      <c r="W49" s="50"/>
      <c r="X49" s="50"/>
      <c r="Y49" s="50"/>
      <c r="Z49" s="51"/>
    </row>
    <row r="50" spans="1:26" x14ac:dyDescent="0.2">
      <c r="U50" s="55"/>
      <c r="V50" s="56"/>
      <c r="W50" s="56"/>
      <c r="X50" s="56"/>
      <c r="Y50" s="56"/>
      <c r="Z50" s="57"/>
    </row>
    <row r="51" spans="1:26" ht="15" customHeight="1" x14ac:dyDescent="0.2">
      <c r="A51" s="20" t="s">
        <v>36</v>
      </c>
      <c r="B51" s="20"/>
      <c r="C51" s="20"/>
      <c r="D51" s="20"/>
      <c r="E51" s="20"/>
      <c r="F51" s="20"/>
      <c r="G51" s="20"/>
      <c r="H51" s="20"/>
      <c r="I51" s="20"/>
      <c r="J51" s="20"/>
      <c r="U51" s="49" t="s">
        <v>57</v>
      </c>
      <c r="V51" s="50"/>
      <c r="W51" s="50"/>
      <c r="X51" s="50"/>
      <c r="Y51" s="50"/>
      <c r="Z51" s="51"/>
    </row>
    <row r="52" spans="1:26" x14ac:dyDescent="0.2">
      <c r="A52" s="16" t="s">
        <v>8</v>
      </c>
      <c r="B52" s="5">
        <v>1</v>
      </c>
      <c r="C52" s="3"/>
      <c r="D52" s="3"/>
      <c r="E52" s="3"/>
      <c r="F52" s="3"/>
      <c r="G52" s="3"/>
      <c r="H52" s="3"/>
      <c r="I52" s="3"/>
      <c r="J52" s="3"/>
      <c r="U52" s="55"/>
      <c r="V52" s="56"/>
      <c r="W52" s="56"/>
      <c r="X52" s="56"/>
      <c r="Y52" s="56"/>
      <c r="Z52" s="57"/>
    </row>
    <row r="53" spans="1:26" x14ac:dyDescent="0.2">
      <c r="A53" s="3"/>
      <c r="B53" s="3"/>
      <c r="C53" s="3"/>
      <c r="D53" s="3"/>
      <c r="E53" s="3"/>
      <c r="F53" s="3"/>
      <c r="G53" s="3"/>
      <c r="H53" s="3"/>
      <c r="I53" s="3"/>
      <c r="J53" s="3"/>
      <c r="U53" s="49" t="s">
        <v>58</v>
      </c>
      <c r="V53" s="50"/>
      <c r="W53" s="50"/>
      <c r="X53" s="50"/>
      <c r="Y53" s="50"/>
      <c r="Z53" s="51"/>
    </row>
    <row r="54" spans="1:26" x14ac:dyDescent="0.2">
      <c r="A54" s="4" t="s">
        <v>9</v>
      </c>
      <c r="B54" s="1" t="s">
        <v>10</v>
      </c>
      <c r="C54" s="1" t="s">
        <v>11</v>
      </c>
      <c r="D54" s="1" t="s">
        <v>12</v>
      </c>
      <c r="E54" s="1" t="s">
        <v>13</v>
      </c>
      <c r="F54" s="2">
        <v>0</v>
      </c>
      <c r="G54" s="1" t="s">
        <v>14</v>
      </c>
      <c r="H54" s="1" t="s">
        <v>15</v>
      </c>
      <c r="I54" s="1" t="s">
        <v>16</v>
      </c>
      <c r="J54" s="1" t="s">
        <v>17</v>
      </c>
      <c r="U54" s="55"/>
      <c r="V54" s="56"/>
      <c r="W54" s="56"/>
      <c r="X54" s="56"/>
      <c r="Y54" s="56"/>
      <c r="Z54" s="57"/>
    </row>
    <row r="55" spans="1:26" ht="15" customHeight="1" x14ac:dyDescent="0.2">
      <c r="A55" s="4" t="s">
        <v>9</v>
      </c>
      <c r="B55" s="2">
        <f>-0.08</f>
        <v>-0.08</v>
      </c>
      <c r="C55" s="2">
        <f>-0.06</f>
        <v>-0.06</v>
      </c>
      <c r="D55" s="2">
        <f>-0.04</f>
        <v>-0.04</v>
      </c>
      <c r="E55" s="2">
        <f>-0.02</f>
        <v>-0.02</v>
      </c>
      <c r="F55" s="2">
        <f>0</f>
        <v>0</v>
      </c>
      <c r="G55" s="2">
        <f>0.02</f>
        <v>0.02</v>
      </c>
      <c r="H55" s="2">
        <f>0.04</f>
        <v>0.04</v>
      </c>
      <c r="I55" s="2">
        <f>0.06</f>
        <v>0.06</v>
      </c>
      <c r="J55" s="2">
        <f>0.08</f>
        <v>0.08</v>
      </c>
      <c r="U55" s="58" t="s">
        <v>55</v>
      </c>
      <c r="V55" s="59"/>
      <c r="W55" s="59"/>
      <c r="X55" s="59"/>
      <c r="Y55" s="59"/>
      <c r="Z55" s="60"/>
    </row>
    <row r="56" spans="1:26" ht="15" customHeight="1" x14ac:dyDescent="0.2">
      <c r="A56" s="4" t="s">
        <v>18</v>
      </c>
      <c r="B56" s="2">
        <f>($C$6/2)-B55</f>
        <v>0.13500000000000001</v>
      </c>
      <c r="C56" s="2">
        <f t="shared" ref="C56:J56" si="16">($C$6/2)-C55</f>
        <v>0.11499999999999999</v>
      </c>
      <c r="D56" s="2">
        <f t="shared" si="16"/>
        <v>9.5000000000000001E-2</v>
      </c>
      <c r="E56" s="2">
        <f t="shared" si="16"/>
        <v>7.4999999999999997E-2</v>
      </c>
      <c r="F56" s="2">
        <f t="shared" si="16"/>
        <v>5.5E-2</v>
      </c>
      <c r="G56" s="2">
        <f t="shared" si="16"/>
        <v>3.5000000000000003E-2</v>
      </c>
      <c r="H56" s="2">
        <f t="shared" si="16"/>
        <v>1.4999999999999999E-2</v>
      </c>
      <c r="I56" s="2">
        <f t="shared" si="16"/>
        <v>-4.9999999999999975E-3</v>
      </c>
      <c r="J56" s="2">
        <f t="shared" si="16"/>
        <v>-2.5000000000000001E-2</v>
      </c>
      <c r="U56" s="49" t="s">
        <v>59</v>
      </c>
      <c r="V56" s="50"/>
      <c r="W56" s="50"/>
      <c r="X56" s="50"/>
      <c r="Y56" s="50"/>
      <c r="Z56" s="51"/>
    </row>
    <row r="57" spans="1:26" x14ac:dyDescent="0.2">
      <c r="A57" s="4" t="s">
        <v>19</v>
      </c>
      <c r="B57" s="2">
        <f>($C$6/2)+B55</f>
        <v>-2.5000000000000001E-2</v>
      </c>
      <c r="C57" s="2">
        <f t="shared" ref="C57:J57" si="17">($C$6/2)+C55</f>
        <v>-4.9999999999999975E-3</v>
      </c>
      <c r="D57" s="2">
        <f t="shared" si="17"/>
        <v>1.4999999999999999E-2</v>
      </c>
      <c r="E57" s="2">
        <f t="shared" si="17"/>
        <v>3.5000000000000003E-2</v>
      </c>
      <c r="F57" s="2">
        <f t="shared" si="17"/>
        <v>5.5E-2</v>
      </c>
      <c r="G57" s="2">
        <f t="shared" si="17"/>
        <v>7.4999999999999997E-2</v>
      </c>
      <c r="H57" s="2">
        <f t="shared" si="17"/>
        <v>9.5000000000000001E-2</v>
      </c>
      <c r="I57" s="2">
        <f t="shared" si="17"/>
        <v>0.11499999999999999</v>
      </c>
      <c r="J57" s="2">
        <f t="shared" si="17"/>
        <v>0.13500000000000001</v>
      </c>
      <c r="U57" s="55"/>
      <c r="V57" s="56"/>
      <c r="W57" s="56"/>
      <c r="X57" s="56"/>
      <c r="Y57" s="56"/>
      <c r="Z57" s="57"/>
    </row>
    <row r="58" spans="1:26" ht="15" customHeight="1" x14ac:dyDescent="0.2">
      <c r="A58" s="4" t="s">
        <v>20</v>
      </c>
      <c r="B58" s="2">
        <f>SQRT((B56^2)+($C$44^2))</f>
        <v>0.1356244815658294</v>
      </c>
      <c r="C58" s="2">
        <f t="shared" ref="C58:J58" si="18">SQRT((C56^2)+($C$44^2))</f>
        <v>0.11573245007343445</v>
      </c>
      <c r="D58" s="2">
        <f t="shared" si="18"/>
        <v>9.5885348202944962E-2</v>
      </c>
      <c r="E58" s="2">
        <f t="shared" si="18"/>
        <v>7.6118328935940255E-2</v>
      </c>
      <c r="F58" s="2">
        <f t="shared" si="18"/>
        <v>5.6515484603779163E-2</v>
      </c>
      <c r="G58" s="2">
        <f t="shared" si="18"/>
        <v>3.7336309405188943E-2</v>
      </c>
      <c r="H58" s="2">
        <f t="shared" si="18"/>
        <v>1.9849433241279208E-2</v>
      </c>
      <c r="I58" s="2">
        <f t="shared" si="18"/>
        <v>1.3928388277184118E-2</v>
      </c>
      <c r="J58" s="2">
        <f t="shared" si="18"/>
        <v>2.8178005607210743E-2</v>
      </c>
      <c r="U58" s="49" t="s">
        <v>60</v>
      </c>
      <c r="V58" s="50"/>
      <c r="W58" s="50"/>
      <c r="X58" s="50"/>
      <c r="Y58" s="50"/>
      <c r="Z58" s="51"/>
    </row>
    <row r="59" spans="1:26" x14ac:dyDescent="0.2">
      <c r="A59" s="4" t="s">
        <v>21</v>
      </c>
      <c r="B59" s="2">
        <f>SQRT((B57^2)+($C$44^2))</f>
        <v>2.8178005607210743E-2</v>
      </c>
      <c r="C59" s="2">
        <f t="shared" ref="C59:J59" si="19">SQRT((C57^2)+($C$44^2))</f>
        <v>1.3928388277184118E-2</v>
      </c>
      <c r="D59" s="2">
        <f t="shared" si="19"/>
        <v>1.9849433241279208E-2</v>
      </c>
      <c r="E59" s="2">
        <f t="shared" si="19"/>
        <v>3.7336309405188943E-2</v>
      </c>
      <c r="F59" s="2">
        <f t="shared" si="19"/>
        <v>5.6515484603779163E-2</v>
      </c>
      <c r="G59" s="2">
        <f t="shared" si="19"/>
        <v>7.6118328935940255E-2</v>
      </c>
      <c r="H59" s="2">
        <f t="shared" si="19"/>
        <v>9.5885348202944962E-2</v>
      </c>
      <c r="I59" s="2">
        <f t="shared" si="19"/>
        <v>0.11573245007343445</v>
      </c>
      <c r="J59" s="2">
        <f t="shared" si="19"/>
        <v>0.1356244815658294</v>
      </c>
      <c r="U59" s="55"/>
      <c r="V59" s="56"/>
      <c r="W59" s="56"/>
      <c r="X59" s="56"/>
      <c r="Y59" s="56"/>
      <c r="Z59" s="57"/>
    </row>
    <row r="60" spans="1:26" ht="15" customHeight="1" x14ac:dyDescent="0.2">
      <c r="A60" s="4" t="s">
        <v>22</v>
      </c>
      <c r="B60" s="2">
        <f>B56/B58</f>
        <v>0.99539551002429982</v>
      </c>
      <c r="C60" s="2">
        <f t="shared" ref="C60:J60" si="20">C56/C58</f>
        <v>0.99367117802336591</v>
      </c>
      <c r="D60" s="2">
        <f t="shared" si="20"/>
        <v>0.99076659552749302</v>
      </c>
      <c r="E60" s="2">
        <f t="shared" si="20"/>
        <v>0.98530802039964094</v>
      </c>
      <c r="F60" s="2">
        <f t="shared" si="20"/>
        <v>0.97318461277641022</v>
      </c>
      <c r="G60" s="2">
        <f t="shared" si="20"/>
        <v>0.93742527200976533</v>
      </c>
      <c r="H60" s="2">
        <f t="shared" si="20"/>
        <v>0.7556890827898175</v>
      </c>
      <c r="I60" s="2">
        <f t="shared" si="20"/>
        <v>-0.35897907930886891</v>
      </c>
      <c r="J60" s="2">
        <f t="shared" si="20"/>
        <v>-0.88721680123459512</v>
      </c>
      <c r="U60" s="49" t="s">
        <v>61</v>
      </c>
      <c r="V60" s="50"/>
      <c r="W60" s="50"/>
      <c r="X60" s="50"/>
      <c r="Y60" s="50"/>
      <c r="Z60" s="51"/>
    </row>
    <row r="61" spans="1:26" x14ac:dyDescent="0.2">
      <c r="A61" s="4" t="s">
        <v>22</v>
      </c>
      <c r="B61" s="2">
        <f>B57/B59</f>
        <v>-0.88721680123459512</v>
      </c>
      <c r="C61" s="2">
        <f t="shared" ref="C61:J61" si="21">C57/C59</f>
        <v>-0.35897907930886891</v>
      </c>
      <c r="D61" s="2">
        <f t="shared" si="21"/>
        <v>0.7556890827898175</v>
      </c>
      <c r="E61" s="2">
        <f t="shared" si="21"/>
        <v>0.93742527200976533</v>
      </c>
      <c r="F61" s="2">
        <f t="shared" si="21"/>
        <v>0.97318461277641022</v>
      </c>
      <c r="G61" s="2">
        <f t="shared" si="21"/>
        <v>0.98530802039964094</v>
      </c>
      <c r="H61" s="2">
        <f t="shared" si="21"/>
        <v>0.99076659552749302</v>
      </c>
      <c r="I61" s="2">
        <f t="shared" si="21"/>
        <v>0.99367117802336591</v>
      </c>
      <c r="J61" s="2">
        <f t="shared" si="21"/>
        <v>0.99539551002429982</v>
      </c>
      <c r="U61" s="55"/>
      <c r="V61" s="56"/>
      <c r="W61" s="56"/>
      <c r="X61" s="56"/>
      <c r="Y61" s="56"/>
      <c r="Z61" s="57"/>
    </row>
    <row r="62" spans="1:26" x14ac:dyDescent="0.2">
      <c r="A62" s="4" t="s">
        <v>23</v>
      </c>
      <c r="B62" s="13">
        <f>(($C$7*$B$10*$C$2)/(2*$C$6))</f>
        <v>1.1454545454545454E-3</v>
      </c>
      <c r="C62" s="2"/>
      <c r="D62" s="2"/>
      <c r="E62" s="2"/>
      <c r="F62" s="2"/>
      <c r="G62" s="2"/>
      <c r="H62" s="2"/>
      <c r="I62" s="2"/>
      <c r="J62" s="2"/>
    </row>
    <row r="63" spans="1:26" x14ac:dyDescent="0.2">
      <c r="A63" s="8" t="s">
        <v>24</v>
      </c>
      <c r="B63" s="15">
        <f t="shared" ref="B63:J63" si="22">$B$20*(B60+B61)</f>
        <v>1.2391379370457084E-4</v>
      </c>
      <c r="C63" s="9">
        <f t="shared" si="22"/>
        <v>7.2701094943660566E-4</v>
      </c>
      <c r="D63" s="9">
        <f t="shared" si="22"/>
        <v>2.0004855951634647E-3</v>
      </c>
      <c r="E63" s="9">
        <f t="shared" si="22"/>
        <v>2.2024035894871378E-3</v>
      </c>
      <c r="F63" s="9">
        <f t="shared" si="22"/>
        <v>2.2294774765423213E-3</v>
      </c>
      <c r="G63" s="9">
        <f t="shared" si="22"/>
        <v>2.2024035894871378E-3</v>
      </c>
      <c r="H63" s="9">
        <f t="shared" si="22"/>
        <v>2.0004855951634647E-3</v>
      </c>
      <c r="I63" s="9">
        <f t="shared" si="22"/>
        <v>7.2701094943660566E-4</v>
      </c>
      <c r="J63" s="9">
        <f t="shared" si="22"/>
        <v>1.2391379370457084E-4</v>
      </c>
    </row>
    <row r="64" spans="1:26" x14ac:dyDescent="0.2">
      <c r="A64" s="4" t="s">
        <v>25</v>
      </c>
      <c r="B64" s="15">
        <f>B63*1000</f>
        <v>0.12391379370457084</v>
      </c>
      <c r="C64" s="15">
        <f t="shared" ref="C64:I64" si="23">C63*1000</f>
        <v>0.72701094943660571</v>
      </c>
      <c r="D64" s="15">
        <f t="shared" si="23"/>
        <v>2.0004855951634646</v>
      </c>
      <c r="E64" s="15">
        <f t="shared" si="23"/>
        <v>2.2024035894871377</v>
      </c>
      <c r="F64" s="15">
        <f t="shared" si="23"/>
        <v>2.2294774765423213</v>
      </c>
      <c r="G64" s="15">
        <f t="shared" si="23"/>
        <v>2.2024035894871377</v>
      </c>
      <c r="H64" s="15">
        <f t="shared" si="23"/>
        <v>2.0004855951634646</v>
      </c>
      <c r="I64" s="15">
        <f t="shared" si="23"/>
        <v>0.72701094943660571</v>
      </c>
      <c r="J64" s="15">
        <v>0.26</v>
      </c>
    </row>
    <row r="65" spans="1:12" x14ac:dyDescent="0.2">
      <c r="A65" s="4" t="s">
        <v>26</v>
      </c>
      <c r="B65" s="15">
        <v>0.22</v>
      </c>
      <c r="C65" s="15">
        <v>0.49</v>
      </c>
      <c r="D65" s="15">
        <v>0.55000000000000004</v>
      </c>
      <c r="E65" s="15">
        <v>0.55000000000000004</v>
      </c>
      <c r="F65" s="15">
        <v>0.55000000000000004</v>
      </c>
      <c r="G65" s="15">
        <v>0.55000000000000004</v>
      </c>
      <c r="H65" s="15">
        <v>0.55000000000000004</v>
      </c>
      <c r="I65" s="15">
        <v>0.51</v>
      </c>
      <c r="J65" s="15">
        <v>0.26</v>
      </c>
    </row>
    <row r="66" spans="1:12" x14ac:dyDescent="0.2">
      <c r="A66" s="4" t="s">
        <v>27</v>
      </c>
      <c r="B66" s="10">
        <f>B65/1000</f>
        <v>2.2000000000000001E-4</v>
      </c>
      <c r="C66" s="10">
        <f>C65/1000</f>
        <v>4.8999999999999998E-4</v>
      </c>
      <c r="D66" s="10">
        <f t="shared" ref="D66:J66" si="24">D65/1000</f>
        <v>5.5000000000000003E-4</v>
      </c>
      <c r="E66" s="10">
        <f t="shared" si="24"/>
        <v>5.5000000000000003E-4</v>
      </c>
      <c r="F66" s="10">
        <f t="shared" si="24"/>
        <v>5.5000000000000003E-4</v>
      </c>
      <c r="G66" s="10">
        <f t="shared" si="24"/>
        <v>5.5000000000000003E-4</v>
      </c>
      <c r="H66" s="10">
        <f t="shared" si="24"/>
        <v>5.5000000000000003E-4</v>
      </c>
      <c r="I66" s="10">
        <f t="shared" si="24"/>
        <v>5.1000000000000004E-4</v>
      </c>
      <c r="J66" s="10">
        <f t="shared" si="24"/>
        <v>2.6000000000000003E-4</v>
      </c>
    </row>
    <row r="67" spans="1:12" x14ac:dyDescent="0.2">
      <c r="A67" s="4" t="s">
        <v>28</v>
      </c>
      <c r="B67" s="11">
        <f>(ABS(B63-B66)/B63)</f>
        <v>0.7754278472380014</v>
      </c>
      <c r="C67" s="11">
        <f t="shared" ref="C67:J67" si="25">(ABS(C63-C66)/C63)</f>
        <v>0.32600740005398321</v>
      </c>
      <c r="D67" s="11">
        <f t="shared" si="25"/>
        <v>0.72506675312747837</v>
      </c>
      <c r="E67" s="11">
        <f t="shared" si="25"/>
        <v>0.75027283708338133</v>
      </c>
      <c r="F67" s="11">
        <f t="shared" si="25"/>
        <v>0.75330542434858294</v>
      </c>
      <c r="G67" s="11">
        <f t="shared" si="25"/>
        <v>0.75027283708338133</v>
      </c>
      <c r="H67" s="11">
        <f t="shared" si="25"/>
        <v>0.72506675312747837</v>
      </c>
      <c r="I67" s="11">
        <f t="shared" si="25"/>
        <v>0.29849749801537023</v>
      </c>
      <c r="J67" s="11">
        <f t="shared" si="25"/>
        <v>1.0982329103721837</v>
      </c>
    </row>
    <row r="68" spans="1:12" x14ac:dyDescent="0.2">
      <c r="A68" s="4" t="s">
        <v>35</v>
      </c>
      <c r="B68" s="17">
        <f>($C$47*$B$52*$C$42)/$C$46</f>
        <v>5.90625E-4</v>
      </c>
      <c r="C68" s="17">
        <f t="shared" ref="C68:J68" si="26">($C$47*$B$52*$C$42)/$C$46</f>
        <v>5.90625E-4</v>
      </c>
      <c r="D68" s="17">
        <f t="shared" si="26"/>
        <v>5.90625E-4</v>
      </c>
      <c r="E68" s="17">
        <f t="shared" si="26"/>
        <v>5.90625E-4</v>
      </c>
      <c r="F68" s="17">
        <f t="shared" si="26"/>
        <v>5.90625E-4</v>
      </c>
      <c r="G68" s="17">
        <f t="shared" si="26"/>
        <v>5.90625E-4</v>
      </c>
      <c r="H68" s="17">
        <f t="shared" si="26"/>
        <v>5.90625E-4</v>
      </c>
      <c r="I68" s="17">
        <f t="shared" si="26"/>
        <v>5.90625E-4</v>
      </c>
      <c r="J68" s="17">
        <f t="shared" si="26"/>
        <v>5.90625E-4</v>
      </c>
    </row>
    <row r="70" spans="1:12" x14ac:dyDescent="0.2">
      <c r="A70" s="20" t="s">
        <v>37</v>
      </c>
      <c r="B70" s="20"/>
      <c r="C70" s="20"/>
      <c r="D70" s="20"/>
      <c r="E70" s="20"/>
      <c r="F70" s="20"/>
      <c r="G70" s="20"/>
      <c r="H70" s="20"/>
      <c r="I70" s="20"/>
      <c r="J70" s="20"/>
      <c r="K70" s="20"/>
    </row>
    <row r="71" spans="1:12" x14ac:dyDescent="0.2">
      <c r="A71" s="3"/>
      <c r="B71" s="3"/>
      <c r="C71" s="3"/>
      <c r="D71" s="3"/>
      <c r="E71" s="3"/>
      <c r="F71" s="3"/>
      <c r="G71" s="3"/>
      <c r="H71" s="3"/>
      <c r="I71" s="3"/>
      <c r="J71" s="3"/>
    </row>
    <row r="72" spans="1:12" x14ac:dyDescent="0.2">
      <c r="A72" s="4" t="s">
        <v>30</v>
      </c>
      <c r="B72" s="6">
        <v>0.11</v>
      </c>
      <c r="C72" s="6">
        <v>0.5</v>
      </c>
      <c r="D72" s="6">
        <v>0.9</v>
      </c>
      <c r="E72" s="6">
        <v>1.3</v>
      </c>
      <c r="F72" s="6">
        <v>1.7</v>
      </c>
      <c r="G72" s="6">
        <v>2.1</v>
      </c>
      <c r="H72" s="6">
        <v>2.5</v>
      </c>
      <c r="I72" s="6">
        <v>2.9</v>
      </c>
      <c r="J72" s="6">
        <v>3.3</v>
      </c>
      <c r="K72" s="6">
        <v>3.7</v>
      </c>
      <c r="L72" s="18">
        <v>4</v>
      </c>
    </row>
    <row r="73" spans="1:12" x14ac:dyDescent="0.2">
      <c r="A73" s="4" t="s">
        <v>25</v>
      </c>
      <c r="B73">
        <v>0.03</v>
      </c>
      <c r="C73" s="2">
        <v>0.26</v>
      </c>
      <c r="D73" s="2">
        <v>0.49</v>
      </c>
      <c r="E73" s="2">
        <v>0.72</v>
      </c>
      <c r="F73" s="2">
        <v>0.94</v>
      </c>
      <c r="G73" s="2">
        <v>1.18</v>
      </c>
      <c r="H73" s="2">
        <v>1.41</v>
      </c>
      <c r="I73" s="2">
        <v>1.63</v>
      </c>
      <c r="J73" s="2">
        <v>1.87</v>
      </c>
      <c r="K73" s="2">
        <v>2.09</v>
      </c>
      <c r="L73" s="19">
        <v>2.2599999999999998</v>
      </c>
    </row>
    <row r="74" spans="1:12" x14ac:dyDescent="0.2">
      <c r="A74" s="4" t="s">
        <v>31</v>
      </c>
      <c r="B74" s="9">
        <f>B73/1000</f>
        <v>2.9999999999999997E-5</v>
      </c>
      <c r="C74" s="9">
        <f>C73/1000</f>
        <v>2.6000000000000003E-4</v>
      </c>
      <c r="D74" s="9">
        <f>D73/1000</f>
        <v>4.8999999999999998E-4</v>
      </c>
      <c r="E74" s="9">
        <f t="shared" ref="E74:L74" si="27">E73/1000</f>
        <v>7.1999999999999994E-4</v>
      </c>
      <c r="F74" s="9">
        <f t="shared" si="27"/>
        <v>9.3999999999999997E-4</v>
      </c>
      <c r="G74" s="9">
        <f t="shared" si="27"/>
        <v>1.1799999999999998E-3</v>
      </c>
      <c r="H74" s="9">
        <f t="shared" si="27"/>
        <v>1.41E-3</v>
      </c>
      <c r="I74" s="9">
        <f t="shared" si="27"/>
        <v>1.6299999999999999E-3</v>
      </c>
      <c r="J74" s="9">
        <f t="shared" si="27"/>
        <v>1.8700000000000001E-3</v>
      </c>
      <c r="K74" s="9">
        <f t="shared" si="27"/>
        <v>2.0899999999999998E-3</v>
      </c>
      <c r="L74" s="9">
        <f t="shared" si="27"/>
        <v>2.2599999999999999E-3</v>
      </c>
    </row>
    <row r="75" spans="1:12" x14ac:dyDescent="0.2">
      <c r="A75" s="4"/>
      <c r="B75" s="10"/>
      <c r="C75" s="10"/>
      <c r="D75" s="10"/>
      <c r="E75" s="10"/>
      <c r="F75" s="10"/>
      <c r="G75" s="10"/>
      <c r="H75" s="10"/>
      <c r="I75" s="10"/>
      <c r="J75" s="10"/>
      <c r="K75" s="10"/>
    </row>
    <row r="79" spans="1:12" x14ac:dyDescent="0.2">
      <c r="A79" s="36" t="s">
        <v>65</v>
      </c>
      <c r="B79" s="36"/>
    </row>
    <row r="80" spans="1:12" x14ac:dyDescent="0.2">
      <c r="A80" s="36"/>
      <c r="B80" s="36"/>
    </row>
  </sheetData>
  <mergeCells count="62">
    <mergeCell ref="A79:B80"/>
    <mergeCell ref="U53:Z54"/>
    <mergeCell ref="U55:Z55"/>
    <mergeCell ref="U56:Z57"/>
    <mergeCell ref="U58:Z59"/>
    <mergeCell ref="U60:Z61"/>
    <mergeCell ref="A70:K70"/>
    <mergeCell ref="U44:Z45"/>
    <mergeCell ref="U46:Z47"/>
    <mergeCell ref="U48:Z48"/>
    <mergeCell ref="U49:Z50"/>
    <mergeCell ref="U51:Z52"/>
    <mergeCell ref="U38:W39"/>
    <mergeCell ref="X38:Z39"/>
    <mergeCell ref="U40:Z40"/>
    <mergeCell ref="U41:Z42"/>
    <mergeCell ref="U43:Z43"/>
    <mergeCell ref="U31:W37"/>
    <mergeCell ref="X31:Z31"/>
    <mergeCell ref="X32:Z33"/>
    <mergeCell ref="X34:Z35"/>
    <mergeCell ref="X36:Z37"/>
    <mergeCell ref="U19:Z21"/>
    <mergeCell ref="U22:Z22"/>
    <mergeCell ref="U23:Z27"/>
    <mergeCell ref="U28:Z28"/>
    <mergeCell ref="U29:Z30"/>
    <mergeCell ref="U7:AA7"/>
    <mergeCell ref="U8:AA11"/>
    <mergeCell ref="U12:AA12"/>
    <mergeCell ref="U13:AA15"/>
    <mergeCell ref="U18:Z18"/>
    <mergeCell ref="A28:K28"/>
    <mergeCell ref="A1:D1"/>
    <mergeCell ref="C2:D2"/>
    <mergeCell ref="C3:D3"/>
    <mergeCell ref="C5:D5"/>
    <mergeCell ref="A9:J9"/>
    <mergeCell ref="A2:B2"/>
    <mergeCell ref="A3:B3"/>
    <mergeCell ref="A5:B5"/>
    <mergeCell ref="A4:B4"/>
    <mergeCell ref="C4:D4"/>
    <mergeCell ref="A6:B6"/>
    <mergeCell ref="C6:D6"/>
    <mergeCell ref="A7:B7"/>
    <mergeCell ref="C7:D7"/>
    <mergeCell ref="F1:G2"/>
    <mergeCell ref="A51:J51"/>
    <mergeCell ref="A41:D41"/>
    <mergeCell ref="A42:B42"/>
    <mergeCell ref="C42:D42"/>
    <mergeCell ref="A43:B43"/>
    <mergeCell ref="C43:D43"/>
    <mergeCell ref="A44:B44"/>
    <mergeCell ref="C44:D44"/>
    <mergeCell ref="A45:B45"/>
    <mergeCell ref="C45:D45"/>
    <mergeCell ref="A46:B46"/>
    <mergeCell ref="C46:D46"/>
    <mergeCell ref="A47:B47"/>
    <mergeCell ref="C47:D47"/>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BDFDE1E87CBB44CAF8D0316F8FC35DD" ma:contentTypeVersion="9" ma:contentTypeDescription="Create a new document." ma:contentTypeScope="" ma:versionID="1a40ba8e3e2f4a68bbb1d5444c0d0259">
  <xsd:schema xmlns:xsd="http://www.w3.org/2001/XMLSchema" xmlns:xs="http://www.w3.org/2001/XMLSchema" xmlns:p="http://schemas.microsoft.com/office/2006/metadata/properties" xmlns:ns2="b8bb6421-562d-4dfb-bdca-8da1e1e524c6" targetNamespace="http://schemas.microsoft.com/office/2006/metadata/properties" ma:root="true" ma:fieldsID="feaa72feeb7f368c1844d2fc43171324" ns2:_="">
    <xsd:import namespace="b8bb6421-562d-4dfb-bdca-8da1e1e524c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bb6421-562d-4dfb-bdca-8da1e1e524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147E3C1-9601-455A-8571-992D3A4F24D9}">
  <ds:schemaRefs>
    <ds:schemaRef ds:uri="http://schemas.microsoft.com/sharepoint/v3/contenttype/forms"/>
  </ds:schemaRefs>
</ds:datastoreItem>
</file>

<file path=customXml/itemProps2.xml><?xml version="1.0" encoding="utf-8"?>
<ds:datastoreItem xmlns:ds="http://schemas.openxmlformats.org/officeDocument/2006/customXml" ds:itemID="{8B79F6BA-3E82-4996-92C2-4D33E9B639F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7117B3B-EA05-48B0-9743-26A17B07DE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8bb6421-562d-4dfb-bdca-8da1e1e524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Solenoide 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Augusto</dc:creator>
  <cp:keywords/>
  <dc:description/>
  <cp:lastModifiedBy>Juan Manuel Young Hoyos</cp:lastModifiedBy>
  <cp:revision/>
  <dcterms:created xsi:type="dcterms:W3CDTF">2020-03-29T03:33:07Z</dcterms:created>
  <dcterms:modified xsi:type="dcterms:W3CDTF">2024-10-02T20:48:58Z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0x0101000BDFDE1E87CBB44CAF8D0316F8FC35DD</vt:lpwstr>
  </property>
</Properties>
</file>