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ync\Projects\Ottis Goulbourne\"/>
    </mc:Choice>
  </mc:AlternateContent>
  <bookViews>
    <workbookView xWindow="0" yWindow="0" windowWidth="19200" windowHeight="6465" activeTab="1"/>
    <workbookView xWindow="0" yWindow="0" windowWidth="28800" windowHeight="12435" activeTab="2"/>
  </bookViews>
  <sheets>
    <sheet name="Sheet1" sheetId="1" r:id="rId1"/>
    <sheet name="List by Event" sheetId="2" r:id="rId2"/>
    <sheet name="Summary" sheetId="4" r:id="rId3"/>
    <sheet name="List by Vessel" sheetId="3" r:id="rId4"/>
  </sheets>
  <definedNames>
    <definedName name="_xlnm._FilterDatabase" localSheetId="1" hidden="1">'List by Event'!$B$3:$I$131</definedName>
    <definedName name="_xlnm._FilterDatabase" localSheetId="3" hidden="1">'List by Vessel'!$A$10:$I$89</definedName>
    <definedName name="_xlnm._FilterDatabase" localSheetId="0" hidden="1">Sheet1!$A$2:$F$77</definedName>
    <definedName name="_xlnm.Print_Area" localSheetId="1">Summary!$G$2:$Q$42</definedName>
    <definedName name="_xlnm.Print_Area" localSheetId="2">Summary!$A$1:$V$42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4" l="1" a="1"/>
  <c r="E32" i="4" s="1"/>
  <c r="E31" i="4" a="1"/>
  <c r="E31" i="4" s="1"/>
  <c r="E30" i="4" a="1"/>
  <c r="E30" i="4" s="1"/>
  <c r="E29" i="4" a="1"/>
  <c r="E29" i="4" s="1"/>
  <c r="E28" i="4" a="1"/>
  <c r="E28" i="4" s="1"/>
  <c r="E27" i="4" a="1"/>
  <c r="E27" i="4" s="1"/>
  <c r="E26" i="4" a="1"/>
  <c r="E26" i="4" s="1"/>
  <c r="E25" i="4" a="1"/>
  <c r="E25" i="4"/>
  <c r="D32" i="4"/>
  <c r="D31" i="4"/>
  <c r="D30" i="4"/>
  <c r="D29" i="4"/>
  <c r="D28" i="4"/>
  <c r="D27" i="4"/>
  <c r="D26" i="4"/>
  <c r="D25" i="4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B32" i="4"/>
  <c r="B31" i="4"/>
  <c r="B30" i="4"/>
  <c r="B29" i="4"/>
  <c r="B28" i="4"/>
  <c r="B27" i="4"/>
  <c r="B26" i="4"/>
  <c r="B25" i="4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31" i="2" l="1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H131" i="2" a="1"/>
  <c r="H131" i="2" s="1"/>
  <c r="G131" i="2" a="1"/>
  <c r="G131" i="2" s="1"/>
  <c r="H130" i="2" a="1"/>
  <c r="H130" i="2" s="1"/>
  <c r="G130" i="2" a="1"/>
  <c r="G130" i="2" s="1"/>
  <c r="H129" i="2" a="1"/>
  <c r="H129" i="2" s="1"/>
  <c r="G129" i="2" a="1"/>
  <c r="G129" i="2" s="1"/>
  <c r="H128" i="2" a="1"/>
  <c r="H128" i="2" s="1"/>
  <c r="G128" i="2" a="1"/>
  <c r="G128" i="2" s="1"/>
  <c r="H127" i="2" a="1"/>
  <c r="H127" i="2" s="1"/>
  <c r="G127" i="2" a="1"/>
  <c r="G127" i="2" s="1"/>
  <c r="H126" i="2" a="1"/>
  <c r="H126" i="2" s="1"/>
  <c r="G126" i="2" a="1"/>
  <c r="G126" i="2" s="1"/>
  <c r="H125" i="2" a="1"/>
  <c r="H125" i="2" s="1"/>
  <c r="G125" i="2" a="1"/>
  <c r="G125" i="2" s="1"/>
  <c r="H124" i="2" a="1"/>
  <c r="H124" i="2" s="1"/>
  <c r="G124" i="2" a="1"/>
  <c r="G124" i="2" s="1"/>
  <c r="H123" i="2" a="1"/>
  <c r="H123" i="2" s="1"/>
  <c r="G123" i="2" a="1"/>
  <c r="G123" i="2" s="1"/>
  <c r="H122" i="2" a="1"/>
  <c r="H122" i="2" s="1"/>
  <c r="G122" i="2" a="1"/>
  <c r="G122" i="2" s="1"/>
  <c r="H121" i="2" a="1"/>
  <c r="H121" i="2" s="1"/>
  <c r="G121" i="2" a="1"/>
  <c r="G121" i="2" s="1"/>
  <c r="H120" i="2" a="1"/>
  <c r="H120" i="2" s="1"/>
  <c r="G120" i="2" a="1"/>
  <c r="G120" i="2" s="1"/>
  <c r="H119" i="2" a="1"/>
  <c r="H119" i="2" s="1"/>
  <c r="G119" i="2" a="1"/>
  <c r="G119" i="2" s="1"/>
  <c r="H118" i="2" a="1"/>
  <c r="H118" i="2" s="1"/>
  <c r="G118" i="2" a="1"/>
  <c r="G118" i="2" s="1"/>
  <c r="H117" i="2" a="1"/>
  <c r="H117" i="2" s="1"/>
  <c r="G117" i="2" a="1"/>
  <c r="G117" i="2" s="1"/>
  <c r="H116" i="2" a="1"/>
  <c r="H116" i="2" s="1"/>
  <c r="G116" i="2" a="1"/>
  <c r="G116" i="2" s="1"/>
  <c r="H115" i="2" a="1"/>
  <c r="H115" i="2" s="1"/>
  <c r="G115" i="2" a="1"/>
  <c r="G115" i="2" s="1"/>
  <c r="H114" i="2" a="1"/>
  <c r="H114" i="2" s="1"/>
  <c r="G114" i="2" a="1"/>
  <c r="G114" i="2" s="1"/>
  <c r="H113" i="2" a="1"/>
  <c r="H113" i="2" s="1"/>
  <c r="G113" i="2" a="1"/>
  <c r="G113" i="2" s="1"/>
  <c r="H112" i="2" a="1"/>
  <c r="H112" i="2" s="1"/>
  <c r="G112" i="2" a="1"/>
  <c r="G112" i="2" s="1"/>
  <c r="H111" i="2" a="1"/>
  <c r="H111" i="2" s="1"/>
  <c r="G111" i="2" a="1"/>
  <c r="G111" i="2" s="1"/>
  <c r="H110" i="2" a="1"/>
  <c r="H110" i="2" s="1"/>
  <c r="G110" i="2" a="1"/>
  <c r="G110" i="2" s="1"/>
  <c r="H109" i="2" a="1"/>
  <c r="H109" i="2" s="1"/>
  <c r="G109" i="2" a="1"/>
  <c r="G109" i="2" s="1"/>
  <c r="H108" i="2" a="1"/>
  <c r="H108" i="2" s="1"/>
  <c r="G108" i="2" a="1"/>
  <c r="G108" i="2" s="1"/>
  <c r="H107" i="2" a="1"/>
  <c r="H107" i="2" s="1"/>
  <c r="G107" i="2" a="1"/>
  <c r="G107" i="2" s="1"/>
  <c r="H106" i="2" a="1"/>
  <c r="H106" i="2" s="1"/>
  <c r="G106" i="2" a="1"/>
  <c r="G106" i="2" s="1"/>
  <c r="H105" i="2" a="1"/>
  <c r="H105" i="2" s="1"/>
  <c r="G105" i="2" a="1"/>
  <c r="G105" i="2" s="1"/>
  <c r="H104" i="2" a="1"/>
  <c r="H104" i="2" s="1"/>
  <c r="G104" i="2" a="1"/>
  <c r="G104" i="2" s="1"/>
  <c r="H103" i="2" a="1"/>
  <c r="H103" i="2" s="1"/>
  <c r="G103" i="2" a="1"/>
  <c r="G103" i="2" s="1"/>
  <c r="H102" i="2" a="1"/>
  <c r="H102" i="2" s="1"/>
  <c r="G102" i="2" a="1"/>
  <c r="G102" i="2" s="1"/>
  <c r="H101" i="2" a="1"/>
  <c r="H101" i="2" s="1"/>
  <c r="G101" i="2" a="1"/>
  <c r="G101" i="2" s="1"/>
  <c r="H100" i="2" a="1"/>
  <c r="H100" i="2" s="1"/>
  <c r="G100" i="2" a="1"/>
  <c r="G100" i="2" s="1"/>
  <c r="H99" i="2" a="1"/>
  <c r="H99" i="2" s="1"/>
  <c r="G99" i="2" a="1"/>
  <c r="G99" i="2" s="1"/>
  <c r="H98" i="2" a="1"/>
  <c r="H98" i="2" s="1"/>
  <c r="G98" i="2" a="1"/>
  <c r="G98" i="2" s="1"/>
  <c r="H97" i="2" a="1"/>
  <c r="H97" i="2" s="1"/>
  <c r="G97" i="2" a="1"/>
  <c r="G97" i="2" s="1"/>
  <c r="H96" i="2" a="1"/>
  <c r="H96" i="2" s="1"/>
  <c r="G96" i="2" a="1"/>
  <c r="G96" i="2" s="1"/>
  <c r="H95" i="2" a="1"/>
  <c r="H95" i="2" s="1"/>
  <c r="G95" i="2" a="1"/>
  <c r="G95" i="2" s="1"/>
  <c r="H94" i="2" a="1"/>
  <c r="H94" i="2" s="1"/>
  <c r="G94" i="2" a="1"/>
  <c r="G94" i="2" s="1"/>
  <c r="H93" i="2" a="1"/>
  <c r="H93" i="2" s="1"/>
  <c r="G93" i="2" a="1"/>
  <c r="G93" i="2" s="1"/>
  <c r="H92" i="2" a="1"/>
  <c r="H92" i="2" s="1"/>
  <c r="G92" i="2" a="1"/>
  <c r="G92" i="2" s="1"/>
  <c r="H91" i="2" a="1"/>
  <c r="H91" i="2" s="1"/>
  <c r="G91" i="2" a="1"/>
  <c r="G91" i="2" s="1"/>
  <c r="H90" i="2" a="1"/>
  <c r="H90" i="2" s="1"/>
  <c r="G90" i="2" a="1"/>
  <c r="G90" i="2" s="1"/>
  <c r="H89" i="2" a="1"/>
  <c r="H89" i="2" s="1"/>
  <c r="G89" i="2" a="1"/>
  <c r="G89" i="2" s="1"/>
  <c r="H88" i="2" a="1"/>
  <c r="H88" i="2" s="1"/>
  <c r="G88" i="2" a="1"/>
  <c r="G88" i="2" s="1"/>
  <c r="H87" i="2" a="1"/>
  <c r="H87" i="2" s="1"/>
  <c r="G87" i="2" a="1"/>
  <c r="G87" i="2" s="1"/>
  <c r="H86" i="2" a="1"/>
  <c r="H86" i="2" s="1"/>
  <c r="G86" i="2" a="1"/>
  <c r="G86" i="2" s="1"/>
  <c r="H85" i="2" a="1"/>
  <c r="H85" i="2" s="1"/>
  <c r="G85" i="2" a="1"/>
  <c r="G85" i="2" s="1"/>
  <c r="H84" i="2" a="1"/>
  <c r="H84" i="2" s="1"/>
  <c r="G84" i="2" a="1"/>
  <c r="G84" i="2" s="1"/>
  <c r="H83" i="2" a="1"/>
  <c r="H83" i="2" s="1"/>
  <c r="G83" i="2" a="1"/>
  <c r="G83" i="2" s="1"/>
  <c r="H82" i="2" a="1"/>
  <c r="H82" i="2" s="1"/>
  <c r="G82" i="2" a="1"/>
  <c r="G82" i="2" s="1"/>
  <c r="H81" i="2" a="1"/>
  <c r="H81" i="2" s="1"/>
  <c r="G81" i="2" a="1"/>
  <c r="G81" i="2" s="1"/>
  <c r="H80" i="2" a="1"/>
  <c r="H80" i="2" s="1"/>
  <c r="G80" i="2" a="1"/>
  <c r="G80" i="2" s="1"/>
  <c r="H79" i="2" a="1"/>
  <c r="H79" i="2" s="1"/>
  <c r="G79" i="2" a="1"/>
  <c r="G79" i="2" s="1"/>
  <c r="H78" i="2" a="1"/>
  <c r="H78" i="2" s="1"/>
  <c r="G78" i="2" a="1"/>
  <c r="G78" i="2" s="1"/>
  <c r="H77" i="2" a="1"/>
  <c r="H77" i="2" s="1"/>
  <c r="G77" i="2" a="1"/>
  <c r="G77" i="2" s="1"/>
  <c r="H76" i="2" a="1"/>
  <c r="H76" i="2" s="1"/>
  <c r="G76" i="2" a="1"/>
  <c r="G76" i="2" s="1"/>
  <c r="H75" i="2" a="1"/>
  <c r="H75" i="2" s="1"/>
  <c r="G75" i="2" a="1"/>
  <c r="G75" i="2" s="1"/>
  <c r="H74" i="2" a="1"/>
  <c r="H74" i="2" s="1"/>
  <c r="G74" i="2" a="1"/>
  <c r="G74" i="2" s="1"/>
  <c r="H73" i="2" a="1"/>
  <c r="H73" i="2" s="1"/>
  <c r="G73" i="2" a="1"/>
  <c r="G73" i="2" s="1"/>
  <c r="H72" i="2" a="1"/>
  <c r="H72" i="2" s="1"/>
  <c r="G72" i="2" a="1"/>
  <c r="G72" i="2" s="1"/>
  <c r="H71" i="2" a="1"/>
  <c r="H71" i="2" s="1"/>
  <c r="G71" i="2" a="1"/>
  <c r="G71" i="2" s="1"/>
  <c r="H70" i="2" a="1"/>
  <c r="H70" i="2" s="1"/>
  <c r="G70" i="2" a="1"/>
  <c r="G70" i="2" s="1"/>
  <c r="H69" i="2" a="1"/>
  <c r="H69" i="2" s="1"/>
  <c r="G69" i="2" a="1"/>
  <c r="G69" i="2" s="1"/>
  <c r="H68" i="2" a="1"/>
  <c r="H68" i="2" s="1"/>
  <c r="G68" i="2" a="1"/>
  <c r="G68" i="2" s="1"/>
  <c r="H67" i="2" a="1"/>
  <c r="H67" i="2" s="1"/>
  <c r="G67" i="2" a="1"/>
  <c r="G67" i="2" s="1"/>
  <c r="H66" i="2" a="1"/>
  <c r="H66" i="2" s="1"/>
  <c r="G66" i="2" a="1"/>
  <c r="G66" i="2" s="1"/>
  <c r="H65" i="2" a="1"/>
  <c r="H65" i="2" s="1"/>
  <c r="G65" i="2" a="1"/>
  <c r="G65" i="2" s="1"/>
  <c r="H64" i="2" a="1"/>
  <c r="H64" i="2" s="1"/>
  <c r="G64" i="2" a="1"/>
  <c r="G64" i="2" s="1"/>
  <c r="H63" i="2" a="1"/>
  <c r="H63" i="2" s="1"/>
  <c r="G63" i="2" a="1"/>
  <c r="G63" i="2" s="1"/>
  <c r="H62" i="2" a="1"/>
  <c r="H62" i="2" s="1"/>
  <c r="G62" i="2" a="1"/>
  <c r="G62" i="2" s="1"/>
  <c r="H61" i="2" a="1"/>
  <c r="H61" i="2" s="1"/>
  <c r="G61" i="2" a="1"/>
  <c r="G61" i="2" s="1"/>
  <c r="H60" i="2" a="1"/>
  <c r="H60" i="2" s="1"/>
  <c r="G60" i="2" a="1"/>
  <c r="G60" i="2" s="1"/>
  <c r="H59" i="2" a="1"/>
  <c r="H59" i="2" s="1"/>
  <c r="G59" i="2" a="1"/>
  <c r="G59" i="2" s="1"/>
  <c r="H58" i="2" a="1"/>
  <c r="H58" i="2" s="1"/>
  <c r="G58" i="2" a="1"/>
  <c r="G58" i="2" s="1"/>
  <c r="H57" i="2" a="1"/>
  <c r="H57" i="2" s="1"/>
  <c r="G57" i="2" a="1"/>
  <c r="G57" i="2" s="1"/>
  <c r="H56" i="2" a="1"/>
  <c r="H56" i="2" s="1"/>
  <c r="G56" i="2" a="1"/>
  <c r="G56" i="2" s="1"/>
  <c r="H55" i="2" a="1"/>
  <c r="H55" i="2" s="1"/>
  <c r="G55" i="2" a="1"/>
  <c r="G55" i="2" s="1"/>
  <c r="H54" i="2" a="1"/>
  <c r="H54" i="2" s="1"/>
  <c r="G54" i="2" a="1"/>
  <c r="G54" i="2" s="1"/>
  <c r="H53" i="2" a="1"/>
  <c r="H53" i="2" s="1"/>
  <c r="G53" i="2" a="1"/>
  <c r="G53" i="2" s="1"/>
  <c r="H52" i="2" a="1"/>
  <c r="H52" i="2" s="1"/>
  <c r="G52" i="2" a="1"/>
  <c r="G52" i="2" s="1"/>
  <c r="H51" i="2" a="1"/>
  <c r="H51" i="2" s="1"/>
  <c r="G51" i="2" a="1"/>
  <c r="G51" i="2" s="1"/>
  <c r="H50" i="2" a="1"/>
  <c r="H50" i="2" s="1"/>
  <c r="G50" i="2" a="1"/>
  <c r="G50" i="2" s="1"/>
  <c r="H49" i="2" a="1"/>
  <c r="H49" i="2" s="1"/>
  <c r="G49" i="2" a="1"/>
  <c r="G49" i="2" s="1"/>
  <c r="H48" i="2" a="1"/>
  <c r="H48" i="2" s="1"/>
  <c r="G48" i="2" a="1"/>
  <c r="G48" i="2" s="1"/>
  <c r="H47" i="2" a="1"/>
  <c r="H47" i="2" s="1"/>
  <c r="G47" i="2" a="1"/>
  <c r="G47" i="2" s="1"/>
  <c r="H46" i="2" a="1"/>
  <c r="H46" i="2" s="1"/>
  <c r="G46" i="2" a="1"/>
  <c r="G46" i="2" s="1"/>
  <c r="H45" i="2" a="1"/>
  <c r="H45" i="2" s="1"/>
  <c r="G45" i="2" a="1"/>
  <c r="G45" i="2" s="1"/>
  <c r="H44" i="2" a="1"/>
  <c r="H44" i="2" s="1"/>
  <c r="G44" i="2" a="1"/>
  <c r="G44" i="2" s="1"/>
  <c r="H43" i="2" a="1"/>
  <c r="H43" i="2" s="1"/>
  <c r="G43" i="2" a="1"/>
  <c r="G43" i="2" s="1"/>
  <c r="H42" i="2" a="1"/>
  <c r="H42" i="2" s="1"/>
  <c r="G42" i="2" a="1"/>
  <c r="G42" i="2" s="1"/>
  <c r="H41" i="2" a="1"/>
  <c r="H41" i="2" s="1"/>
  <c r="G41" i="2" a="1"/>
  <c r="G41" i="2" s="1"/>
  <c r="H40" i="2" a="1"/>
  <c r="H40" i="2" s="1"/>
  <c r="G40" i="2" a="1"/>
  <c r="G40" i="2" s="1"/>
  <c r="H39" i="2" a="1"/>
  <c r="H39" i="2" s="1"/>
  <c r="G39" i="2" a="1"/>
  <c r="G39" i="2" s="1"/>
  <c r="H38" i="2" a="1"/>
  <c r="H38" i="2" s="1"/>
  <c r="G38" i="2" a="1"/>
  <c r="G38" i="2" s="1"/>
  <c r="H37" i="2" a="1"/>
  <c r="H37" i="2" s="1"/>
  <c r="G37" i="2" a="1"/>
  <c r="G37" i="2" s="1"/>
  <c r="H36" i="2" a="1"/>
  <c r="H36" i="2" s="1"/>
  <c r="G36" i="2" a="1"/>
  <c r="G36" i="2" s="1"/>
  <c r="H35" i="2" a="1"/>
  <c r="H35" i="2" s="1"/>
  <c r="G35" i="2" a="1"/>
  <c r="G35" i="2" s="1"/>
  <c r="H34" i="2" a="1"/>
  <c r="H34" i="2" s="1"/>
  <c r="G34" i="2" a="1"/>
  <c r="G34" i="2" s="1"/>
  <c r="H33" i="2" a="1"/>
  <c r="H33" i="2" s="1"/>
  <c r="G33" i="2" a="1"/>
  <c r="G33" i="2" s="1"/>
  <c r="H32" i="2" a="1"/>
  <c r="H32" i="2" s="1"/>
  <c r="G32" i="2" a="1"/>
  <c r="G32" i="2" s="1"/>
  <c r="H31" i="2" a="1"/>
  <c r="H31" i="2" s="1"/>
  <c r="G31" i="2" a="1"/>
  <c r="G31" i="2" s="1"/>
  <c r="H30" i="2" a="1"/>
  <c r="H30" i="2" s="1"/>
  <c r="G30" i="2" a="1"/>
  <c r="G30" i="2" s="1"/>
  <c r="H29" i="2" a="1"/>
  <c r="H29" i="2" s="1"/>
  <c r="G29" i="2" a="1"/>
  <c r="G29" i="2" s="1"/>
  <c r="H28" i="2" a="1"/>
  <c r="H28" i="2" s="1"/>
  <c r="G28" i="2" a="1"/>
  <c r="G28" i="2" s="1"/>
  <c r="H27" i="2" a="1"/>
  <c r="H27" i="2" s="1"/>
  <c r="G27" i="2" a="1"/>
  <c r="G27" i="2" s="1"/>
  <c r="H26" i="2" a="1"/>
  <c r="H26" i="2" s="1"/>
  <c r="G26" i="2" a="1"/>
  <c r="G26" i="2" s="1"/>
  <c r="H25" i="2" a="1"/>
  <c r="H25" i="2" s="1"/>
  <c r="G25" i="2" a="1"/>
  <c r="G25" i="2" s="1"/>
  <c r="H24" i="2" a="1"/>
  <c r="H24" i="2" s="1"/>
  <c r="G24" i="2" a="1"/>
  <c r="G24" i="2" s="1"/>
  <c r="H23" i="2" a="1"/>
  <c r="H23" i="2" s="1"/>
  <c r="G23" i="2" a="1"/>
  <c r="G23" i="2" s="1"/>
  <c r="H22" i="2" a="1"/>
  <c r="H22" i="2" s="1"/>
  <c r="G22" i="2" a="1"/>
  <c r="G22" i="2" s="1"/>
  <c r="H21" i="2" a="1"/>
  <c r="H21" i="2" s="1"/>
  <c r="G21" i="2" a="1"/>
  <c r="G21" i="2" s="1"/>
  <c r="H20" i="2" a="1"/>
  <c r="H20" i="2" s="1"/>
  <c r="G20" i="2" a="1"/>
  <c r="G20" i="2" s="1"/>
  <c r="H19" i="2" a="1"/>
  <c r="H19" i="2" s="1"/>
  <c r="G19" i="2" a="1"/>
  <c r="G19" i="2" s="1"/>
  <c r="H18" i="2" a="1"/>
  <c r="H18" i="2" s="1"/>
  <c r="G18" i="2" a="1"/>
  <c r="G18" i="2" s="1"/>
  <c r="H17" i="2" a="1"/>
  <c r="H17" i="2" s="1"/>
  <c r="G17" i="2" a="1"/>
  <c r="G17" i="2" s="1"/>
  <c r="H16" i="2" a="1"/>
  <c r="H16" i="2" s="1"/>
  <c r="G16" i="2" a="1"/>
  <c r="G16" i="2" s="1"/>
  <c r="H15" i="2" a="1"/>
  <c r="H15" i="2" s="1"/>
  <c r="G15" i="2" a="1"/>
  <c r="G15" i="2" s="1"/>
  <c r="H14" i="2" a="1"/>
  <c r="H14" i="2" s="1"/>
  <c r="G14" i="2" a="1"/>
  <c r="G14" i="2" s="1"/>
  <c r="H13" i="2" a="1"/>
  <c r="H13" i="2" s="1"/>
  <c r="G13" i="2" a="1"/>
  <c r="G13" i="2" s="1"/>
  <c r="H12" i="2" a="1"/>
  <c r="H12" i="2" s="1"/>
  <c r="G12" i="2" a="1"/>
  <c r="G12" i="2" s="1"/>
  <c r="H11" i="2" a="1"/>
  <c r="H11" i="2" s="1"/>
  <c r="G11" i="2" a="1"/>
  <c r="G11" i="2" s="1"/>
  <c r="H10" i="2" a="1"/>
  <c r="H10" i="2" s="1"/>
  <c r="G10" i="2" a="1"/>
  <c r="G10" i="2" s="1"/>
  <c r="H9" i="2" a="1"/>
  <c r="H9" i="2" s="1"/>
  <c r="G9" i="2" a="1"/>
  <c r="G9" i="2" s="1"/>
  <c r="D16" i="4" l="1"/>
  <c r="D13" i="4"/>
  <c r="D17" i="4"/>
  <c r="D14" i="4"/>
  <c r="D18" i="4"/>
  <c r="D15" i="4"/>
  <c r="B18" i="4"/>
  <c r="B14" i="4"/>
  <c r="B12" i="4"/>
  <c r="B11" i="4"/>
  <c r="B17" i="4"/>
  <c r="B13" i="4"/>
  <c r="B16" i="4"/>
  <c r="B15" i="4"/>
  <c r="H8" i="2" a="1"/>
  <c r="H8" i="2" s="1"/>
  <c r="G8" i="2" a="1"/>
  <c r="G8" i="2" s="1"/>
  <c r="D12" i="4" s="1"/>
  <c r="H7" i="2" a="1"/>
  <c r="H7" i="2" s="1"/>
  <c r="G7" i="2" a="1"/>
  <c r="G7" i="2" s="1"/>
  <c r="H6" i="2" a="1"/>
  <c r="H6" i="2" s="1"/>
  <c r="G6" i="2" a="1"/>
  <c r="G6" i="2" s="1"/>
  <c r="H5" i="2" a="1"/>
  <c r="H5" i="2" s="1"/>
  <c r="G5" i="2" a="1"/>
  <c r="G5" i="2" s="1"/>
  <c r="E12" i="4" s="1" a="1"/>
  <c r="E12" i="4" s="1"/>
  <c r="H4" i="2" a="1"/>
  <c r="H4" i="2" s="1"/>
  <c r="G4" i="2" a="1"/>
  <c r="G4" i="2" s="1"/>
  <c r="E16" i="4" s="1" a="1"/>
  <c r="E16" i="4" s="1"/>
  <c r="D11" i="4" l="1"/>
  <c r="E15" i="4" a="1"/>
  <c r="E15" i="4" s="1"/>
  <c r="E14" i="4" a="1"/>
  <c r="E14" i="4" s="1"/>
  <c r="E13" i="4" a="1"/>
  <c r="E13" i="4" s="1"/>
  <c r="E11" i="4" a="1"/>
  <c r="E11" i="4" s="1"/>
  <c r="E18" i="4" a="1"/>
  <c r="E18" i="4" s="1"/>
  <c r="E17" i="4" a="1"/>
  <c r="E17" i="4" s="1"/>
  <c r="D4" i="4"/>
  <c r="E4" i="4" a="1"/>
  <c r="E4" i="4" s="1"/>
  <c r="E5" i="4" a="1"/>
  <c r="E5" i="4" s="1"/>
  <c r="D5" i="4"/>
  <c r="C5" i="4" a="1"/>
  <c r="C5" i="4" s="1"/>
  <c r="C4" i="4" a="1"/>
  <c r="C4" i="4" s="1"/>
  <c r="H3" i="4"/>
  <c r="I3" i="4" s="1"/>
  <c r="J3" i="4"/>
  <c r="K3" i="4" s="1"/>
  <c r="B3" i="4"/>
  <c r="H4" i="4"/>
  <c r="I4" i="4" s="1"/>
  <c r="J4" i="4"/>
  <c r="K4" i="4" s="1"/>
  <c r="B4" i="4"/>
  <c r="G5" i="4"/>
  <c r="H5" i="4" s="1"/>
  <c r="I5" i="4" s="1"/>
  <c r="G6" i="4"/>
  <c r="J6" i="4" s="1"/>
  <c r="K6" i="4" s="1"/>
  <c r="G7" i="4"/>
  <c r="J7" i="4" s="1"/>
  <c r="K7" i="4" s="1"/>
  <c r="G8" i="4"/>
  <c r="H8" i="4" s="1"/>
  <c r="I8" i="4" s="1"/>
  <c r="G9" i="4"/>
  <c r="J9" i="4" s="1"/>
  <c r="K9" i="4" s="1"/>
  <c r="G10" i="4"/>
  <c r="J10" i="4" s="1"/>
  <c r="K10" i="4" s="1"/>
  <c r="G11" i="4"/>
  <c r="J11" i="4" s="1"/>
  <c r="K11" i="4" s="1"/>
  <c r="G12" i="4"/>
  <c r="H12" i="4" s="1"/>
  <c r="I12" i="4" s="1"/>
  <c r="G13" i="4"/>
  <c r="H13" i="4" s="1"/>
  <c r="I13" i="4" s="1"/>
  <c r="G14" i="4"/>
  <c r="J14" i="4" s="1"/>
  <c r="K14" i="4" s="1"/>
  <c r="G15" i="4"/>
  <c r="J15" i="4" s="1"/>
  <c r="K15" i="4" s="1"/>
  <c r="G16" i="4"/>
  <c r="H16" i="4" s="1"/>
  <c r="I16" i="4" s="1"/>
  <c r="G17" i="4"/>
  <c r="J17" i="4" s="1"/>
  <c r="K17" i="4" s="1"/>
  <c r="G18" i="4"/>
  <c r="J18" i="4" s="1"/>
  <c r="K18" i="4" s="1"/>
  <c r="G19" i="4"/>
  <c r="J19" i="4" s="1"/>
  <c r="K19" i="4" s="1"/>
  <c r="G20" i="4"/>
  <c r="H20" i="4" s="1"/>
  <c r="I20" i="4" s="1"/>
  <c r="G21" i="4"/>
  <c r="H21" i="4" s="1"/>
  <c r="I21" i="4" s="1"/>
  <c r="G22" i="4"/>
  <c r="J22" i="4" s="1"/>
  <c r="K22" i="4" s="1"/>
  <c r="G23" i="4"/>
  <c r="J23" i="4" s="1"/>
  <c r="K23" i="4" s="1"/>
  <c r="G24" i="4"/>
  <c r="H24" i="4" s="1"/>
  <c r="I24" i="4" s="1"/>
  <c r="G25" i="4"/>
  <c r="J25" i="4" s="1"/>
  <c r="K25" i="4" s="1"/>
  <c r="G26" i="4"/>
  <c r="J26" i="4" s="1"/>
  <c r="K26" i="4" s="1"/>
  <c r="G27" i="4"/>
  <c r="J27" i="4" s="1"/>
  <c r="K27" i="4" s="1"/>
  <c r="G28" i="4"/>
  <c r="H28" i="4" s="1"/>
  <c r="I28" i="4" s="1"/>
  <c r="G29" i="4"/>
  <c r="H29" i="4" s="1"/>
  <c r="I29" i="4" s="1"/>
  <c r="G30" i="4"/>
  <c r="J30" i="4" s="1"/>
  <c r="K30" i="4" s="1"/>
  <c r="G31" i="4"/>
  <c r="J31" i="4" s="1"/>
  <c r="K31" i="4" s="1"/>
  <c r="G32" i="4"/>
  <c r="H32" i="4" s="1"/>
  <c r="I32" i="4" s="1"/>
  <c r="G33" i="4"/>
  <c r="J33" i="4" s="1"/>
  <c r="K33" i="4" s="1"/>
  <c r="G34" i="4"/>
  <c r="J34" i="4" s="1"/>
  <c r="K34" i="4" s="1"/>
  <c r="B5" i="4"/>
  <c r="G35" i="4"/>
  <c r="J35" i="4" s="1"/>
  <c r="K35" i="4" s="1"/>
  <c r="G36" i="4"/>
  <c r="J36" i="4" s="1"/>
  <c r="K36" i="4" s="1"/>
  <c r="G37" i="4"/>
  <c r="J37" i="4" s="1"/>
  <c r="K37" i="4" s="1"/>
  <c r="G38" i="4"/>
  <c r="H38" i="4" s="1"/>
  <c r="I38" i="4" s="1"/>
  <c r="H15" i="4" l="1"/>
  <c r="I15" i="4" s="1"/>
  <c r="H37" i="4"/>
  <c r="I37" i="4" s="1"/>
  <c r="H31" i="4"/>
  <c r="I31" i="4" s="1"/>
  <c r="H11" i="4"/>
  <c r="I11" i="4" s="1"/>
  <c r="H27" i="4"/>
  <c r="I27" i="4" s="1"/>
  <c r="H19" i="4"/>
  <c r="I19" i="4" s="1"/>
  <c r="H23" i="4"/>
  <c r="I23" i="4" s="1"/>
  <c r="H7" i="4"/>
  <c r="I7" i="4" s="1"/>
  <c r="H36" i="4"/>
  <c r="I36" i="4" s="1"/>
  <c r="H35" i="4"/>
  <c r="I35" i="4" s="1"/>
  <c r="H34" i="4"/>
  <c r="I34" i="4" s="1"/>
  <c r="H33" i="4"/>
  <c r="I33" i="4" s="1"/>
  <c r="J29" i="4"/>
  <c r="K29" i="4" s="1"/>
  <c r="H26" i="4"/>
  <c r="I26" i="4" s="1"/>
  <c r="H25" i="4"/>
  <c r="I25" i="4" s="1"/>
  <c r="J21" i="4"/>
  <c r="K21" i="4" s="1"/>
  <c r="H18" i="4"/>
  <c r="I18" i="4" s="1"/>
  <c r="H17" i="4"/>
  <c r="I17" i="4" s="1"/>
  <c r="J13" i="4"/>
  <c r="K13" i="4" s="1"/>
  <c r="H10" i="4"/>
  <c r="I10" i="4" s="1"/>
  <c r="H9" i="4"/>
  <c r="I9" i="4" s="1"/>
  <c r="J5" i="4"/>
  <c r="K5" i="4" s="1"/>
  <c r="H30" i="4"/>
  <c r="I30" i="4" s="1"/>
  <c r="H22" i="4"/>
  <c r="I22" i="4" s="1"/>
  <c r="H14" i="4"/>
  <c r="I14" i="4" s="1"/>
  <c r="H6" i="4"/>
  <c r="I6" i="4" s="1"/>
  <c r="J38" i="4"/>
  <c r="K38" i="4" s="1"/>
  <c r="J32" i="4"/>
  <c r="K32" i="4" s="1"/>
  <c r="J28" i="4"/>
  <c r="K28" i="4" s="1"/>
  <c r="J24" i="4"/>
  <c r="K24" i="4" s="1"/>
  <c r="J20" i="4"/>
  <c r="K20" i="4" s="1"/>
  <c r="J16" i="4"/>
  <c r="K16" i="4" s="1"/>
  <c r="J12" i="4"/>
  <c r="K12" i="4" s="1"/>
  <c r="J8" i="4"/>
  <c r="K8" i="4" s="1"/>
  <c r="N92" i="3"/>
  <c r="M92" i="3"/>
  <c r="M91" i="3"/>
  <c r="W65" i="3"/>
  <c r="V65" i="3"/>
  <c r="W64" i="3"/>
  <c r="V64" i="3"/>
  <c r="W63" i="3"/>
  <c r="V63" i="3"/>
  <c r="W62" i="3"/>
  <c r="V62" i="3"/>
  <c r="W61" i="3"/>
  <c r="V61" i="3"/>
  <c r="W60" i="3"/>
  <c r="V60" i="3"/>
  <c r="W59" i="3"/>
  <c r="V59" i="3"/>
  <c r="W58" i="3"/>
  <c r="V58" i="3"/>
  <c r="W57" i="3"/>
  <c r="V57" i="3"/>
  <c r="W56" i="3"/>
  <c r="V56" i="3"/>
  <c r="W55" i="3"/>
  <c r="V55" i="3"/>
  <c r="W54" i="3"/>
  <c r="V54" i="3"/>
  <c r="W53" i="3"/>
  <c r="V53" i="3"/>
  <c r="W52" i="3"/>
  <c r="V52" i="3"/>
  <c r="W51" i="3"/>
  <c r="V51" i="3"/>
  <c r="W50" i="3"/>
  <c r="V50" i="3"/>
  <c r="W49" i="3"/>
  <c r="V49" i="3"/>
  <c r="W48" i="3"/>
  <c r="V48" i="3"/>
  <c r="W47" i="3"/>
  <c r="V47" i="3"/>
  <c r="W46" i="3"/>
  <c r="V46" i="3"/>
  <c r="W45" i="3"/>
  <c r="V45" i="3"/>
  <c r="W44" i="3"/>
  <c r="V44" i="3"/>
  <c r="W43" i="3"/>
  <c r="V43" i="3"/>
  <c r="W42" i="3"/>
  <c r="V42" i="3"/>
  <c r="W41" i="3"/>
  <c r="V41" i="3"/>
  <c r="W40" i="3"/>
  <c r="V40" i="3"/>
  <c r="W39" i="3"/>
  <c r="V39" i="3"/>
  <c r="W38" i="3"/>
  <c r="V38" i="3"/>
  <c r="W37" i="3"/>
  <c r="V37" i="3"/>
  <c r="W36" i="3"/>
  <c r="V36" i="3"/>
  <c r="W35" i="3"/>
  <c r="V35" i="3"/>
  <c r="W34" i="3"/>
  <c r="V34" i="3"/>
  <c r="W33" i="3"/>
  <c r="V33" i="3"/>
  <c r="W32" i="3"/>
  <c r="V32" i="3"/>
  <c r="W31" i="3"/>
  <c r="V31" i="3"/>
  <c r="W30" i="3"/>
  <c r="V30" i="3"/>
  <c r="W29" i="3"/>
  <c r="V29" i="3"/>
  <c r="W28" i="3"/>
  <c r="V28" i="3"/>
  <c r="W27" i="3"/>
  <c r="V27" i="3"/>
  <c r="W26" i="3"/>
  <c r="V26" i="3"/>
  <c r="W25" i="3"/>
  <c r="V25" i="3"/>
  <c r="W24" i="3"/>
  <c r="V24" i="3"/>
  <c r="W23" i="3"/>
  <c r="V23" i="3"/>
  <c r="W22" i="3"/>
  <c r="V22" i="3"/>
  <c r="W21" i="3"/>
  <c r="V21" i="3"/>
  <c r="W20" i="3"/>
  <c r="V20" i="3"/>
  <c r="W19" i="3"/>
  <c r="V19" i="3"/>
  <c r="W18" i="3"/>
  <c r="V18" i="3"/>
  <c r="W17" i="3"/>
  <c r="V17" i="3"/>
  <c r="W16" i="3"/>
  <c r="V16" i="3"/>
  <c r="W15" i="3"/>
  <c r="V15" i="3"/>
  <c r="W14" i="3"/>
  <c r="V14" i="3"/>
  <c r="W13" i="3"/>
  <c r="V13" i="3"/>
  <c r="W12" i="3"/>
  <c r="V12" i="3"/>
  <c r="W11" i="3"/>
  <c r="V11" i="3"/>
  <c r="N4" i="3" a="1"/>
  <c r="N4" i="3" s="1"/>
  <c r="M4" i="3"/>
  <c r="L4" i="3" a="1"/>
  <c r="L4" i="3" s="1"/>
  <c r="K4" i="3"/>
  <c r="N3" i="3" a="1"/>
  <c r="N3" i="3" s="1"/>
  <c r="M3" i="3"/>
  <c r="L3" i="3" a="1"/>
  <c r="L3" i="3" s="1"/>
  <c r="K3" i="3"/>
  <c r="M2" i="3"/>
  <c r="K2" i="3"/>
  <c r="AA11" i="3" l="1"/>
  <c r="AC11" i="3"/>
  <c r="AF13" i="3"/>
  <c r="Z12" i="3"/>
  <c r="AG12" i="3"/>
  <c r="AG13" i="3"/>
  <c r="AF11" i="3"/>
  <c r="AG11" i="3"/>
  <c r="AF12" i="3"/>
  <c r="O102" i="2"/>
  <c r="N102" i="2"/>
  <c r="N101" i="2"/>
  <c r="X74" i="2"/>
  <c r="W74" i="2"/>
  <c r="X73" i="2"/>
  <c r="W73" i="2"/>
  <c r="X72" i="2"/>
  <c r="W72" i="2"/>
  <c r="X71" i="2"/>
  <c r="W71" i="2"/>
  <c r="X70" i="2"/>
  <c r="W70" i="2"/>
  <c r="X69" i="2"/>
  <c r="W69" i="2"/>
  <c r="X68" i="2"/>
  <c r="W68" i="2"/>
  <c r="X67" i="2"/>
  <c r="W67" i="2"/>
  <c r="X66" i="2"/>
  <c r="W66" i="2"/>
  <c r="X65" i="2"/>
  <c r="W65" i="2"/>
  <c r="X64" i="2"/>
  <c r="W64" i="2"/>
  <c r="X63" i="2"/>
  <c r="W63" i="2"/>
  <c r="X62" i="2"/>
  <c r="W62" i="2"/>
  <c r="X61" i="2"/>
  <c r="W61" i="2"/>
  <c r="X60" i="2"/>
  <c r="W60" i="2"/>
  <c r="X59" i="2"/>
  <c r="W59" i="2"/>
  <c r="X58" i="2"/>
  <c r="W58" i="2"/>
  <c r="X57" i="2"/>
  <c r="W57" i="2"/>
  <c r="X56" i="2"/>
  <c r="W56" i="2"/>
  <c r="X55" i="2"/>
  <c r="W55" i="2"/>
  <c r="X54" i="2"/>
  <c r="W54" i="2"/>
  <c r="X53" i="2"/>
  <c r="W53" i="2"/>
  <c r="X52" i="2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AA5" i="2"/>
  <c r="X5" i="2"/>
  <c r="W5" i="2"/>
  <c r="X4" i="2"/>
  <c r="W4" i="2"/>
  <c r="B4" i="1"/>
  <c r="AC12" i="3" l="1"/>
  <c r="AA12" i="3"/>
  <c r="AG4" i="2"/>
  <c r="AH4" i="2"/>
  <c r="AH6" i="2"/>
  <c r="AG10" i="2"/>
  <c r="AG6" i="2"/>
  <c r="AG11" i="2"/>
  <c r="AG7" i="2"/>
  <c r="AG8" i="2"/>
  <c r="AH11" i="2"/>
  <c r="AH7" i="2"/>
  <c r="AH8" i="2"/>
  <c r="AH9" i="2"/>
  <c r="AG5" i="2"/>
  <c r="AA6" i="2"/>
  <c r="AG9" i="2"/>
  <c r="AH10" i="2"/>
  <c r="AH5" i="2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T7" i="1" s="1"/>
  <c r="J5" i="1"/>
  <c r="J4" i="1"/>
  <c r="J3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4" i="1"/>
  <c r="S10" i="1" s="1"/>
  <c r="I3" i="1"/>
  <c r="I11" i="1"/>
  <c r="AA7" i="2" l="1"/>
  <c r="T10" i="1"/>
  <c r="S3" i="1"/>
  <c r="S4" i="1"/>
  <c r="S8" i="1"/>
  <c r="T3" i="1"/>
  <c r="S5" i="1"/>
  <c r="S9" i="1"/>
  <c r="T4" i="1"/>
  <c r="T8" i="1"/>
  <c r="S6" i="1"/>
  <c r="T5" i="1"/>
  <c r="T9" i="1"/>
  <c r="S7" i="1"/>
  <c r="T6" i="1"/>
  <c r="M4" i="1"/>
  <c r="D74" i="1"/>
  <c r="AB5" i="2" l="1"/>
  <c r="AB6" i="2"/>
  <c r="AB4" i="2"/>
  <c r="AA8" i="2"/>
  <c r="AB7" i="2"/>
  <c r="M5" i="1"/>
  <c r="E75" i="1"/>
  <c r="N3" i="1" s="1"/>
  <c r="D75" i="1"/>
  <c r="P3" i="1" s="1"/>
  <c r="Z13" i="3" l="1"/>
  <c r="AB8" i="2"/>
  <c r="AA9" i="2"/>
  <c r="P4" i="1"/>
  <c r="N4" i="1"/>
  <c r="M6" i="1"/>
  <c r="N5" i="1"/>
  <c r="P5" i="1"/>
  <c r="AD8" i="2" l="1"/>
  <c r="AD4" i="2"/>
  <c r="AD7" i="2"/>
  <c r="AD6" i="2"/>
  <c r="AD5" i="2"/>
  <c r="AC13" i="3"/>
  <c r="AA13" i="3"/>
  <c r="AD9" i="2"/>
  <c r="AB9" i="2"/>
  <c r="AA10" i="2"/>
  <c r="M7" i="1"/>
  <c r="N6" i="1"/>
  <c r="P6" i="1"/>
  <c r="Z14" i="3" l="1"/>
  <c r="AA11" i="2"/>
  <c r="AD10" i="2"/>
  <c r="AB10" i="2"/>
  <c r="M8" i="1"/>
  <c r="N7" i="1"/>
  <c r="P7" i="1"/>
  <c r="AC14" i="3" l="1"/>
  <c r="AA14" i="3"/>
  <c r="AA12" i="2"/>
  <c r="AD11" i="2"/>
  <c r="AB11" i="2"/>
  <c r="M9" i="1"/>
  <c r="N8" i="1"/>
  <c r="P8" i="1"/>
  <c r="AA13" i="2" l="1"/>
  <c r="AB12" i="2"/>
  <c r="AD12" i="2"/>
  <c r="M10" i="1"/>
  <c r="N9" i="1"/>
  <c r="P9" i="1"/>
  <c r="AD13" i="2" l="1"/>
  <c r="AB13" i="2"/>
  <c r="AA14" i="2"/>
  <c r="M11" i="1"/>
  <c r="N10" i="1"/>
  <c r="P10" i="1"/>
  <c r="Z15" i="3" l="1"/>
  <c r="AD14" i="2"/>
  <c r="AA15" i="2"/>
  <c r="AB14" i="2"/>
  <c r="M12" i="1"/>
  <c r="N11" i="1"/>
  <c r="P11" i="1"/>
  <c r="AC15" i="3" l="1"/>
  <c r="AA15" i="3"/>
  <c r="AD15" i="2"/>
  <c r="AA16" i="2"/>
  <c r="AB15" i="2"/>
  <c r="M13" i="1"/>
  <c r="N12" i="1"/>
  <c r="P12" i="1"/>
  <c r="Z16" i="3" l="1"/>
  <c r="AA17" i="2"/>
  <c r="AB16" i="2"/>
  <c r="AD16" i="2"/>
  <c r="M14" i="1"/>
  <c r="N13" i="1"/>
  <c r="P13" i="1"/>
  <c r="AA16" i="3" l="1"/>
  <c r="AC16" i="3"/>
  <c r="AD17" i="2"/>
  <c r="AB17" i="2"/>
  <c r="AA18" i="2"/>
  <c r="M15" i="1"/>
  <c r="N14" i="1"/>
  <c r="P14" i="1"/>
  <c r="AD18" i="2" l="1"/>
  <c r="AA19" i="2"/>
  <c r="AB18" i="2"/>
  <c r="M16" i="1"/>
  <c r="N15" i="1"/>
  <c r="P15" i="1"/>
  <c r="Z17" i="3" l="1"/>
  <c r="AD19" i="2"/>
  <c r="AA20" i="2"/>
  <c r="AB19" i="2"/>
  <c r="M17" i="1"/>
  <c r="N16" i="1"/>
  <c r="P16" i="1"/>
  <c r="AC17" i="3" l="1"/>
  <c r="AA17" i="3"/>
  <c r="AA21" i="2"/>
  <c r="AB20" i="2"/>
  <c r="AD20" i="2"/>
  <c r="M18" i="1"/>
  <c r="N17" i="1"/>
  <c r="P17" i="1"/>
  <c r="AD21" i="2" l="1"/>
  <c r="AB21" i="2"/>
  <c r="AA22" i="2"/>
  <c r="M19" i="1"/>
  <c r="N18" i="1"/>
  <c r="P18" i="1"/>
  <c r="Z18" i="3" l="1"/>
  <c r="AD22" i="2"/>
  <c r="AA23" i="2"/>
  <c r="AB22" i="2"/>
  <c r="M20" i="1"/>
  <c r="N19" i="1"/>
  <c r="P19" i="1"/>
  <c r="AC18" i="3" l="1"/>
  <c r="AA18" i="3"/>
  <c r="AD23" i="2"/>
  <c r="AA24" i="2"/>
  <c r="AB23" i="2"/>
  <c r="M21" i="1"/>
  <c r="N20" i="1"/>
  <c r="P20" i="1"/>
  <c r="AA25" i="2" l="1"/>
  <c r="AB24" i="2"/>
  <c r="AD24" i="2"/>
  <c r="M22" i="1"/>
  <c r="N21" i="1"/>
  <c r="P21" i="1"/>
  <c r="Z19" i="3" l="1"/>
  <c r="AD25" i="2"/>
  <c r="AA26" i="2"/>
  <c r="AB25" i="2"/>
  <c r="M23" i="1"/>
  <c r="N22" i="1"/>
  <c r="P22" i="1"/>
  <c r="AC19" i="3" l="1"/>
  <c r="AA19" i="3"/>
  <c r="Z20" i="3"/>
  <c r="AD26" i="2"/>
  <c r="AA27" i="2"/>
  <c r="AB26" i="2"/>
  <c r="M24" i="1"/>
  <c r="N23" i="1"/>
  <c r="P23" i="1"/>
  <c r="AC20" i="3" l="1"/>
  <c r="Z21" i="3"/>
  <c r="AA20" i="3"/>
  <c r="AD27" i="2"/>
  <c r="AA28" i="2"/>
  <c r="AB27" i="2"/>
  <c r="M25" i="1"/>
  <c r="N24" i="1"/>
  <c r="P24" i="1"/>
  <c r="AC21" i="3" l="1"/>
  <c r="Z22" i="3"/>
  <c r="AA21" i="3"/>
  <c r="AA29" i="2"/>
  <c r="AB28" i="2"/>
  <c r="AD28" i="2"/>
  <c r="M26" i="1"/>
  <c r="N25" i="1"/>
  <c r="P25" i="1"/>
  <c r="Z23" i="3" l="1"/>
  <c r="AA22" i="3"/>
  <c r="AC22" i="3"/>
  <c r="AD29" i="2"/>
  <c r="AB29" i="2"/>
  <c r="AA30" i="2"/>
  <c r="M27" i="1"/>
  <c r="N26" i="1"/>
  <c r="P26" i="1"/>
  <c r="AC23" i="3" l="1"/>
  <c r="AA23" i="3"/>
  <c r="Z24" i="3"/>
  <c r="AD30" i="2"/>
  <c r="AA31" i="2"/>
  <c r="AB30" i="2"/>
  <c r="M28" i="1"/>
  <c r="N27" i="1"/>
  <c r="P27" i="1"/>
  <c r="AC24" i="3" l="1"/>
  <c r="Z25" i="3"/>
  <c r="AA24" i="3"/>
  <c r="AD31" i="2"/>
  <c r="AA32" i="2"/>
  <c r="AB31" i="2"/>
  <c r="M29" i="1"/>
  <c r="N28" i="1"/>
  <c r="P28" i="1"/>
  <c r="AC25" i="3" l="1"/>
  <c r="Z26" i="3"/>
  <c r="AA25" i="3"/>
  <c r="AA33" i="2"/>
  <c r="AB32" i="2"/>
  <c r="AD32" i="2"/>
  <c r="M30" i="1"/>
  <c r="N29" i="1"/>
  <c r="P29" i="1"/>
  <c r="Z27" i="3" l="1"/>
  <c r="AA26" i="3"/>
  <c r="AC26" i="3"/>
  <c r="AD33" i="2"/>
  <c r="AB33" i="2"/>
  <c r="AA34" i="2"/>
  <c r="M31" i="1"/>
  <c r="N30" i="1"/>
  <c r="P30" i="1"/>
  <c r="AC27" i="3" l="1"/>
  <c r="Z28" i="3"/>
  <c r="AA27" i="3"/>
  <c r="AD34" i="2"/>
  <c r="AA35" i="2"/>
  <c r="AB34" i="2"/>
  <c r="M32" i="1"/>
  <c r="N31" i="1"/>
  <c r="P31" i="1"/>
  <c r="AC28" i="3" l="1"/>
  <c r="Z29" i="3"/>
  <c r="AA28" i="3"/>
  <c r="AD35" i="2"/>
  <c r="AA36" i="2"/>
  <c r="AB35" i="2"/>
  <c r="M33" i="1"/>
  <c r="N32" i="1"/>
  <c r="P32" i="1"/>
  <c r="AC29" i="3" l="1"/>
  <c r="AC30" i="3" s="1"/>
  <c r="AA29" i="3"/>
  <c r="AA30" i="3" s="1"/>
  <c r="AA37" i="2"/>
  <c r="AB36" i="2"/>
  <c r="AD36" i="2"/>
  <c r="N33" i="1"/>
  <c r="P33" i="1"/>
  <c r="M34" i="1"/>
  <c r="AD37" i="2" l="1"/>
  <c r="AB37" i="2"/>
  <c r="AA38" i="2"/>
  <c r="N34" i="1"/>
  <c r="P34" i="1"/>
  <c r="M35" i="1"/>
  <c r="AD38" i="2" l="1"/>
  <c r="AD39" i="2" s="1"/>
  <c r="AB38" i="2"/>
  <c r="AB39" i="2" s="1"/>
  <c r="N35" i="1"/>
  <c r="P35" i="1"/>
  <c r="M36" i="1"/>
  <c r="N36" i="1" l="1"/>
  <c r="P36" i="1"/>
  <c r="M37" i="1"/>
  <c r="N37" i="1" l="1"/>
  <c r="N38" i="1" s="1"/>
  <c r="P37" i="1"/>
  <c r="P38" i="1" s="1"/>
</calcChain>
</file>

<file path=xl/sharedStrings.xml><?xml version="1.0" encoding="utf-8"?>
<sst xmlns="http://schemas.openxmlformats.org/spreadsheetml/2006/main" count="845" uniqueCount="85">
  <si>
    <t>31-0Z103A</t>
  </si>
  <si>
    <t>31-0Z103B</t>
  </si>
  <si>
    <t>minor</t>
  </si>
  <si>
    <t>31-0Z103C</t>
  </si>
  <si>
    <t>31-0Z103D</t>
  </si>
  <si>
    <t>31-0Z103E</t>
  </si>
  <si>
    <t>31-0Z103F</t>
  </si>
  <si>
    <t>31-0Z103G</t>
  </si>
  <si>
    <t>31-0Z103H</t>
  </si>
  <si>
    <t>31-0Z105A</t>
  </si>
  <si>
    <t>31-0Z105B</t>
  </si>
  <si>
    <t>31-0Z105C</t>
  </si>
  <si>
    <t>31-0Z105D</t>
  </si>
  <si>
    <t>31-0Z105E</t>
  </si>
  <si>
    <t>floor</t>
  </si>
  <si>
    <t>31-0Z105F</t>
  </si>
  <si>
    <t>Liner history Train 1 - 8 WAC Vessels</t>
  </si>
  <si>
    <t>Replaced</t>
  </si>
  <si>
    <t>Repaired</t>
  </si>
  <si>
    <t>Repair/Replace Date</t>
  </si>
  <si>
    <t>Commissioning Date</t>
  </si>
  <si>
    <t>Vessel #</t>
  </si>
  <si>
    <t>31-0Z105G</t>
  </si>
  <si>
    <t>31-0Z105H</t>
  </si>
  <si>
    <t>31-0Z129A</t>
  </si>
  <si>
    <t>31-0Z129B</t>
  </si>
  <si>
    <t>31-0Z129C</t>
  </si>
  <si>
    <t>31-0Z129D</t>
  </si>
  <si>
    <t>31-0Z129E</t>
  </si>
  <si>
    <t>31-0Z129F</t>
  </si>
  <si>
    <t>31-0Z129G</t>
  </si>
  <si>
    <t>31-0Z129H</t>
  </si>
  <si>
    <t>floor liner</t>
  </si>
  <si>
    <t>1/1/1977 (assumed)</t>
  </si>
  <si>
    <t>Count</t>
  </si>
  <si>
    <t>Average interval</t>
  </si>
  <si>
    <t>total failures</t>
  </si>
  <si>
    <t>Total years in service</t>
  </si>
  <si>
    <t>Replace</t>
  </si>
  <si>
    <t>Repair</t>
  </si>
  <si>
    <t>Repair Bucket</t>
  </si>
  <si>
    <t>Replace Bucket</t>
  </si>
  <si>
    <t>Repair Date</t>
  </si>
  <si>
    <t>Replace Date</t>
  </si>
  <si>
    <t/>
  </si>
  <si>
    <t>Action</t>
  </si>
  <si>
    <t>Commissioning</t>
  </si>
  <si>
    <t>Years to Repair</t>
  </si>
  <si>
    <t>Years from Commissioning</t>
  </si>
  <si>
    <t>Events</t>
  </si>
  <si>
    <t>Event Years, Min</t>
  </si>
  <si>
    <t>Event Years, Avg</t>
  </si>
  <si>
    <t>Event Years, Max</t>
  </si>
  <si>
    <t>Years to Replace</t>
  </si>
  <si>
    <t>Event Date</t>
  </si>
  <si>
    <t>Average</t>
  </si>
  <si>
    <t>Commission Date</t>
  </si>
  <si>
    <t>Vessel</t>
  </si>
  <si>
    <t>Years before first repair</t>
  </si>
  <si>
    <t>31-0Z104A</t>
  </si>
  <si>
    <t>31-0Z104B</t>
  </si>
  <si>
    <t>31-0Z104C</t>
  </si>
  <si>
    <t>31-0Z104D</t>
  </si>
  <si>
    <t>31-0Z104E</t>
  </si>
  <si>
    <t>31-0Z104F</t>
  </si>
  <si>
    <t>31-0Z104G</t>
  </si>
  <si>
    <t>31-0Z104H</t>
  </si>
  <si>
    <t>Number of Repair Actions that reach x years</t>
  </si>
  <si>
    <t>Percentage of Repair Actions that reach x years</t>
  </si>
  <si>
    <t>Number of Repairs if First repair Action is pushed to x years</t>
  </si>
  <si>
    <t>Percentage of Repairs if First repair Action is pushed to x years</t>
  </si>
  <si>
    <t>Actions</t>
  </si>
  <si>
    <t>Action Years, Min</t>
  </si>
  <si>
    <t>Action Years, Avg</t>
  </si>
  <si>
    <t>Action Years, Max</t>
  </si>
  <si>
    <t>Train</t>
  </si>
  <si>
    <t>Sequence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</si>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</sst>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/mmm/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1" applyFon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9" fontId="0" fillId="0" borderId="0" xfId="1" applyFont="1" applyBorder="1" applyAlignment="1">
      <alignment vertical="center"/>
    </xf>
    <xf numFmtId="165" fontId="0" fillId="0" borderId="0" xfId="0" applyNumberForma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65" fontId="3" fillId="0" borderId="9" xfId="0" applyNumberFormat="1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165" fontId="4" fillId="5" borderId="10" xfId="0" applyNumberFormat="1" applyFont="1" applyFill="1" applyBorder="1" applyAlignment="1">
      <alignment horizontal="center" vertical="center" wrapText="1"/>
    </xf>
    <xf numFmtId="1" fontId="4" fillId="5" borderId="10" xfId="0" applyNumberFormat="1" applyFont="1" applyFill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65" fontId="0" fillId="6" borderId="0" xfId="0" applyNumberFormat="1" applyFill="1" applyBorder="1" applyAlignment="1">
      <alignment vertical="center"/>
    </xf>
    <xf numFmtId="1" fontId="1" fillId="6" borderId="0" xfId="0" applyNumberFormat="1" applyFont="1" applyFill="1" applyBorder="1" applyAlignment="1">
      <alignment horizontal="center" vertical="center"/>
    </xf>
    <xf numFmtId="1" fontId="4" fillId="6" borderId="0" xfId="0" applyNumberFormat="1" applyFon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/>
    </xf>
    <xf numFmtId="1" fontId="4" fillId="5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9" fontId="0" fillId="0" borderId="0" xfId="1" applyFont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 wrapText="1"/>
    </xf>
    <xf numFmtId="1" fontId="0" fillId="7" borderId="0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1" fontId="5" fillId="8" borderId="0" xfId="0" applyNumberFormat="1" applyFont="1" applyFill="1" applyBorder="1" applyAlignment="1">
      <alignment horizontal="center" vertical="center" wrapText="1"/>
    </xf>
    <xf numFmtId="9" fontId="2" fillId="0" borderId="11" xfId="1" applyFont="1" applyBorder="1" applyAlignment="1">
      <alignment horizontal="center" vertical="center"/>
    </xf>
    <xf numFmtId="1" fontId="0" fillId="9" borderId="11" xfId="0" applyNumberFormat="1" applyFill="1" applyBorder="1" applyAlignment="1">
      <alignment horizontal="center" vertical="center"/>
    </xf>
    <xf numFmtId="1" fontId="0" fillId="9" borderId="12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2">
    <dxf>
      <border>
        <top style="thin">
          <color theme="1"/>
        </top>
        <vertical/>
        <horizontal/>
      </border>
    </dxf>
    <dxf>
      <border>
        <top style="thin">
          <color theme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0.17677482636441499"/>
          <c:w val="0.90286351706036749"/>
          <c:h val="0.73597262581546241"/>
        </c:manualLayout>
      </c:layout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Repair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Sheet1!$R$4:$R$10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11</c:v>
                </c:pt>
                <c:pt idx="1">
                  <c:v>15</c:v>
                </c:pt>
                <c:pt idx="2">
                  <c:v>7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Replace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Sheet1!$R$4:$R$10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Sheet1!$T$4:$T$10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586960"/>
        <c:axId val="905586568"/>
      </c:lineChart>
      <c:catAx>
        <c:axId val="90558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86568"/>
        <c:crosses val="autoZero"/>
        <c:auto val="1"/>
        <c:lblAlgn val="ctr"/>
        <c:lblOffset val="100"/>
        <c:noMultiLvlLbl val="0"/>
      </c:catAx>
      <c:valAx>
        <c:axId val="90558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5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0.17677482636441499"/>
          <c:w val="0.90286351706036749"/>
          <c:h val="0.73597262581546241"/>
        </c:manualLayout>
      </c:layout>
      <c:lineChart>
        <c:grouping val="standard"/>
        <c:varyColors val="0"/>
        <c:ser>
          <c:idx val="0"/>
          <c:order val="0"/>
          <c:tx>
            <c:strRef>
              <c:f>'List by Event'!$AG$3</c:f>
              <c:strCache>
                <c:ptCount val="1"/>
                <c:pt idx="0">
                  <c:v>Repair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'List by Event'!$AF$5:$AF$11</c:f>
            </c:numRef>
          </c:cat>
          <c:val>
            <c:numRef>
              <c:f>'List by Event'!$AG$5:$AG$11</c:f>
            </c:numRef>
          </c:val>
          <c:smooth val="0"/>
        </c:ser>
        <c:ser>
          <c:idx val="1"/>
          <c:order val="1"/>
          <c:tx>
            <c:strRef>
              <c:f>'List by Event'!$AH$3</c:f>
              <c:strCache>
                <c:ptCount val="1"/>
                <c:pt idx="0">
                  <c:v>Replace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 by Event'!$AF$5:$AF$11</c:f>
            </c:numRef>
          </c:cat>
          <c:val>
            <c:numRef>
              <c:f>'List by Event'!$AH$5:$AH$11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399192"/>
        <c:axId val="1149398800"/>
      </c:lineChart>
      <c:catAx>
        <c:axId val="114939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98800"/>
        <c:crosses val="autoZero"/>
        <c:auto val="1"/>
        <c:lblAlgn val="ctr"/>
        <c:lblOffset val="100"/>
        <c:noMultiLvlLbl val="0"/>
      </c:catAx>
      <c:valAx>
        <c:axId val="11493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9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0.246615439164065"/>
          <c:w val="0.87232174103237092"/>
          <c:h val="0.57292335449217391"/>
        </c:manualLayout>
      </c:layout>
      <c:lineChart>
        <c:grouping val="standard"/>
        <c:varyColors val="0"/>
        <c:ser>
          <c:idx val="0"/>
          <c:order val="0"/>
          <c:tx>
            <c:strRef>
              <c:f>Summary!$I$2</c:f>
              <c:strCache>
                <c:ptCount val="1"/>
                <c:pt idx="0">
                  <c:v>Percentage of Repair Actions that reach x years</c:v>
                </c:pt>
              </c:strCache>
            </c:strRef>
          </c:tx>
          <c:spPr>
            <a:ln w="444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Summary!$G$3:$G$38</c15:sqref>
                  </c15:fullRef>
                </c:ext>
              </c:extLst>
              <c:f>Summary!$G$8:$G$23</c:f>
              <c:numCache>
                <c:formatCode>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Summary!$I$3:$I$38</c15:sqref>
                  </c15:fullRef>
                </c:ext>
              </c:extLst>
              <c:f>Summary!$I$8:$I$23</c:f>
              <c:numCache>
                <c:formatCode>0%</c:formatCode>
                <c:ptCount val="16"/>
                <c:pt idx="0">
                  <c:v>0.84745762711864403</c:v>
                </c:pt>
                <c:pt idx="1">
                  <c:v>0.81355932203389836</c:v>
                </c:pt>
                <c:pt idx="2">
                  <c:v>0.79661016949152541</c:v>
                </c:pt>
                <c:pt idx="3">
                  <c:v>0.72881355932203384</c:v>
                </c:pt>
                <c:pt idx="4">
                  <c:v>0.69491525423728817</c:v>
                </c:pt>
                <c:pt idx="5">
                  <c:v>0.66101694915254239</c:v>
                </c:pt>
                <c:pt idx="6">
                  <c:v>0.6271186440677966</c:v>
                </c:pt>
                <c:pt idx="7">
                  <c:v>0.6271186440677966</c:v>
                </c:pt>
                <c:pt idx="8">
                  <c:v>0.59322033898305082</c:v>
                </c:pt>
                <c:pt idx="9">
                  <c:v>0.50847457627118642</c:v>
                </c:pt>
                <c:pt idx="10">
                  <c:v>0.47457627118644069</c:v>
                </c:pt>
                <c:pt idx="11">
                  <c:v>0.3559322033898305</c:v>
                </c:pt>
                <c:pt idx="12">
                  <c:v>0.30508474576271188</c:v>
                </c:pt>
                <c:pt idx="13">
                  <c:v>0.20338983050847459</c:v>
                </c:pt>
                <c:pt idx="14">
                  <c:v>0.1864406779661017</c:v>
                </c:pt>
                <c:pt idx="15">
                  <c:v>0.15254237288135594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Summary!$K$2</c:f>
              <c:strCache>
                <c:ptCount val="1"/>
                <c:pt idx="0">
                  <c:v>Percentage of Repairs if First repair Action is pushed to x years</c:v>
                </c:pt>
              </c:strCache>
            </c:strRef>
          </c:tx>
          <c:spPr>
            <a:ln w="476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Summary!$K$3:$K$38</c15:sqref>
                  </c15:fullRef>
                </c:ext>
              </c:extLst>
              <c:f>Summary!$K$8:$K$23</c:f>
              <c:numCache>
                <c:formatCode>0%</c:formatCode>
                <c:ptCount val="16"/>
                <c:pt idx="0">
                  <c:v>0.15254237288135594</c:v>
                </c:pt>
                <c:pt idx="1">
                  <c:v>0.1864406779661017</c:v>
                </c:pt>
                <c:pt idx="2">
                  <c:v>0.20338983050847459</c:v>
                </c:pt>
                <c:pt idx="3">
                  <c:v>0.2711864406779661</c:v>
                </c:pt>
                <c:pt idx="4">
                  <c:v>0.30508474576271188</c:v>
                </c:pt>
                <c:pt idx="5">
                  <c:v>0.33898305084745761</c:v>
                </c:pt>
                <c:pt idx="6">
                  <c:v>0.3728813559322034</c:v>
                </c:pt>
                <c:pt idx="7">
                  <c:v>0.3728813559322034</c:v>
                </c:pt>
                <c:pt idx="8">
                  <c:v>0.40677966101694918</c:v>
                </c:pt>
                <c:pt idx="9">
                  <c:v>0.49152542372881358</c:v>
                </c:pt>
                <c:pt idx="10">
                  <c:v>0.52542372881355937</c:v>
                </c:pt>
                <c:pt idx="11">
                  <c:v>0.64406779661016944</c:v>
                </c:pt>
                <c:pt idx="12">
                  <c:v>0.69491525423728817</c:v>
                </c:pt>
                <c:pt idx="13">
                  <c:v>0.79661016949152541</c:v>
                </c:pt>
                <c:pt idx="14">
                  <c:v>0.81355932203389836</c:v>
                </c:pt>
                <c:pt idx="15">
                  <c:v>0.84745762711864403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497200"/>
        <c:axId val="452511400"/>
      </c:lineChart>
      <c:catAx>
        <c:axId val="803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/>
                  <a:t>Years before first repair</a:t>
                </a:r>
              </a:p>
            </c:rich>
          </c:tx>
          <c:layout>
            <c:manualLayout>
              <c:xMode val="edge"/>
              <c:yMode val="edge"/>
              <c:x val="0.39133223972003506"/>
              <c:y val="0.9119670003333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1400"/>
        <c:crosses val="autoZero"/>
        <c:auto val="1"/>
        <c:lblAlgn val="ctr"/>
        <c:lblOffset val="100"/>
        <c:noMultiLvlLbl val="0"/>
      </c:catAx>
      <c:valAx>
        <c:axId val="452511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97200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316807098066113E-2"/>
          <c:y val="1.4164493276996513E-2"/>
          <c:w val="0.87126285291817551"/>
          <c:h val="0.20319714201523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22703412073491E-2"/>
          <c:y val="0.24407550977987158"/>
          <c:w val="0.87232174103237092"/>
          <c:h val="0.57546316938607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Summary!$I$2</c:f>
              <c:strCache>
                <c:ptCount val="1"/>
                <c:pt idx="0">
                  <c:v>Percentage of Repair Actions that reach x years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Summary!$G$3:$G$38</c15:sqref>
                  </c15:fullRef>
                </c:ext>
              </c:extLst>
              <c:f>Summary!$G$8:$G$23</c:f>
              <c:numCache>
                <c:formatCode>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Summary!$I$3:$I$38</c15:sqref>
                  </c15:fullRef>
                </c:ext>
              </c:extLst>
              <c:f>Summary!$I$8:$I$23</c:f>
              <c:numCache>
                <c:formatCode>0%</c:formatCode>
                <c:ptCount val="16"/>
                <c:pt idx="0">
                  <c:v>0.84745762711864403</c:v>
                </c:pt>
                <c:pt idx="1">
                  <c:v>0.81355932203389836</c:v>
                </c:pt>
                <c:pt idx="2">
                  <c:v>0.79661016949152541</c:v>
                </c:pt>
                <c:pt idx="3">
                  <c:v>0.72881355932203384</c:v>
                </c:pt>
                <c:pt idx="4">
                  <c:v>0.69491525423728817</c:v>
                </c:pt>
                <c:pt idx="5">
                  <c:v>0.66101694915254239</c:v>
                </c:pt>
                <c:pt idx="6">
                  <c:v>0.6271186440677966</c:v>
                </c:pt>
                <c:pt idx="7">
                  <c:v>0.6271186440677966</c:v>
                </c:pt>
                <c:pt idx="8">
                  <c:v>0.59322033898305082</c:v>
                </c:pt>
                <c:pt idx="9">
                  <c:v>0.50847457627118642</c:v>
                </c:pt>
                <c:pt idx="10">
                  <c:v>0.47457627118644069</c:v>
                </c:pt>
                <c:pt idx="11">
                  <c:v>0.3559322033898305</c:v>
                </c:pt>
                <c:pt idx="12">
                  <c:v>0.30508474576271188</c:v>
                </c:pt>
                <c:pt idx="13">
                  <c:v>0.20338983050847459</c:v>
                </c:pt>
                <c:pt idx="14">
                  <c:v>0.1864406779661017</c:v>
                </c:pt>
                <c:pt idx="15">
                  <c:v>0.15254237288135594</c:v>
                </c:pt>
              </c:numCache>
            </c:numRef>
          </c:val>
        </c:ser>
        <c:ser>
          <c:idx val="1"/>
          <c:order val="1"/>
          <c:tx>
            <c:strRef>
              <c:f>Summary!$K$2</c:f>
              <c:strCache>
                <c:ptCount val="1"/>
                <c:pt idx="0">
                  <c:v>Percentage of Repairs if First repair Action is pushed to x years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Summary!$K$3:$K$38</c15:sqref>
                  </c15:fullRef>
                </c:ext>
              </c:extLst>
              <c:f>Summary!$K$8:$K$23</c:f>
              <c:numCache>
                <c:formatCode>0%</c:formatCode>
                <c:ptCount val="16"/>
                <c:pt idx="0">
                  <c:v>0.15254237288135594</c:v>
                </c:pt>
                <c:pt idx="1">
                  <c:v>0.1864406779661017</c:v>
                </c:pt>
                <c:pt idx="2">
                  <c:v>0.20338983050847459</c:v>
                </c:pt>
                <c:pt idx="3">
                  <c:v>0.2711864406779661</c:v>
                </c:pt>
                <c:pt idx="4">
                  <c:v>0.30508474576271188</c:v>
                </c:pt>
                <c:pt idx="5">
                  <c:v>0.33898305084745761</c:v>
                </c:pt>
                <c:pt idx="6">
                  <c:v>0.3728813559322034</c:v>
                </c:pt>
                <c:pt idx="7">
                  <c:v>0.3728813559322034</c:v>
                </c:pt>
                <c:pt idx="8">
                  <c:v>0.40677966101694918</c:v>
                </c:pt>
                <c:pt idx="9">
                  <c:v>0.49152542372881358</c:v>
                </c:pt>
                <c:pt idx="10">
                  <c:v>0.52542372881355937</c:v>
                </c:pt>
                <c:pt idx="11">
                  <c:v>0.64406779661016944</c:v>
                </c:pt>
                <c:pt idx="12">
                  <c:v>0.69491525423728817</c:v>
                </c:pt>
                <c:pt idx="13">
                  <c:v>0.79661016949152541</c:v>
                </c:pt>
                <c:pt idx="14">
                  <c:v>0.81355932203389836</c:v>
                </c:pt>
                <c:pt idx="15">
                  <c:v>0.84745762711864403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512184"/>
        <c:axId val="452512576"/>
      </c:barChart>
      <c:catAx>
        <c:axId val="45251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/>
                  <a:t>Years before first repair</a:t>
                </a:r>
              </a:p>
            </c:rich>
          </c:tx>
          <c:layout>
            <c:manualLayout>
              <c:xMode val="edge"/>
              <c:yMode val="edge"/>
              <c:x val="0.39133223972003506"/>
              <c:y val="0.9119670003333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2576"/>
        <c:crosses val="autoZero"/>
        <c:auto val="1"/>
        <c:lblAlgn val="ctr"/>
        <c:lblOffset val="100"/>
        <c:noMultiLvlLbl val="0"/>
      </c:catAx>
      <c:valAx>
        <c:axId val="452512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12184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4269973160138455E-2"/>
          <c:y val="2.0366348377881826E-2"/>
          <c:w val="0.95945415027146164"/>
          <c:h val="0.18435993413225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Liner Repairs,</a:t>
            </a:r>
            <a:r>
              <a:rPr lang="en-US" baseline="0"/>
              <a:t> by Train</a:t>
            </a:r>
            <a:endParaRPr lang="en-US"/>
          </a:p>
        </c:rich>
      </c:tx>
      <c:layout>
        <c:manualLayout>
          <c:xMode val="edge"/>
          <c:yMode val="edge"/>
          <c:x val="1.9492959179779183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965601860743019E-2"/>
          <c:y val="0.14549513816976353"/>
          <c:w val="0.74835222333880314"/>
          <c:h val="0.73071282963078732"/>
        </c:manualLayout>
      </c:layout>
      <c:lineChart>
        <c:grouping val="standard"/>
        <c:varyColors val="0"/>
        <c:ser>
          <c:idx val="0"/>
          <c:order val="0"/>
          <c:tx>
            <c:strRef>
              <c:f>Summary!$A$11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Summary!$C$11:$E$11</c:f>
              <c:numCache>
                <c:formatCode>0</c:formatCode>
                <c:ptCount val="3"/>
                <c:pt idx="0">
                  <c:v>9.0191780821917806</c:v>
                </c:pt>
                <c:pt idx="1">
                  <c:v>18.678538812785391</c:v>
                </c:pt>
                <c:pt idx="2">
                  <c:v>27.512328767123286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Summary!$A$12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Summary!$C$12:$E$12</c:f>
              <c:numCache>
                <c:formatCode>0</c:formatCode>
                <c:ptCount val="3"/>
                <c:pt idx="0">
                  <c:v>10.167123287671233</c:v>
                </c:pt>
                <c:pt idx="1">
                  <c:v>13.787671232876713</c:v>
                </c:pt>
                <c:pt idx="2">
                  <c:v>16.339726027397262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Summary!$A$13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Summary!$C$13:$E$13</c:f>
              <c:numCache>
                <c:formatCode>0</c:formatCode>
                <c:ptCount val="3"/>
                <c:pt idx="0">
                  <c:v>3.4821917808219176</c:v>
                </c:pt>
                <c:pt idx="1">
                  <c:v>11.690958904109589</c:v>
                </c:pt>
                <c:pt idx="2">
                  <c:v>24.539726027397261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Summary!$A$14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Summary!$C$14:$E$14</c:f>
              <c:numCache>
                <c:formatCode>0</c:formatCode>
                <c:ptCount val="3"/>
                <c:pt idx="0">
                  <c:v>1.7698630136986302</c:v>
                </c:pt>
                <c:pt idx="1">
                  <c:v>15.954520547945204</c:v>
                </c:pt>
                <c:pt idx="2">
                  <c:v>24.4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Summary!$A$15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Summary!$C$15:$E$15</c:f>
              <c:numCache>
                <c:formatCode>0</c:formatCode>
                <c:ptCount val="3"/>
                <c:pt idx="0">
                  <c:v>14.673972602739726</c:v>
                </c:pt>
                <c:pt idx="1">
                  <c:v>16.864109589041096</c:v>
                </c:pt>
                <c:pt idx="2">
                  <c:v>19.649315068493152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Summary!$A$16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Summary!$C$16:$E$16</c:f>
              <c:numCache>
                <c:formatCode>0</c:formatCode>
                <c:ptCount val="3"/>
                <c:pt idx="0">
                  <c:v>4.580821917808219</c:v>
                </c:pt>
                <c:pt idx="1">
                  <c:v>12.788767123287673</c:v>
                </c:pt>
                <c:pt idx="2">
                  <c:v>26.402739726027399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Summary!$A$17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Summary!$C$17:$E$17</c:f>
              <c:numCache>
                <c:formatCode>0</c:formatCode>
                <c:ptCount val="3"/>
                <c:pt idx="0">
                  <c:v>1.1643835616438356</c:v>
                </c:pt>
                <c:pt idx="1">
                  <c:v>9.1565068493150683</c:v>
                </c:pt>
                <c:pt idx="2">
                  <c:v>17.61917808219178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Summary!$A$18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Summary!$C$18:$E$18</c:f>
              <c:numCache>
                <c:formatCode>0</c:formatCode>
                <c:ptCount val="3"/>
                <c:pt idx="0">
                  <c:v>3.2712328767123289</c:v>
                </c:pt>
                <c:pt idx="1">
                  <c:v>9.4157534246575345</c:v>
                </c:pt>
                <c:pt idx="2">
                  <c:v>15.33972602739726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422856"/>
        <c:axId val="758642552"/>
      </c:lineChart>
      <c:catAx>
        <c:axId val="44942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42552"/>
        <c:crosses val="autoZero"/>
        <c:auto val="1"/>
        <c:lblAlgn val="ctr"/>
        <c:lblOffset val="100"/>
        <c:noMultiLvlLbl val="0"/>
      </c:catAx>
      <c:valAx>
        <c:axId val="7586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2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695802658813991"/>
          <c:y val="7.9095508504759451E-2"/>
          <c:w val="0.11210020698632184"/>
          <c:h val="0.854846246903434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Liner</a:t>
            </a:r>
            <a:r>
              <a:rPr lang="en-US" baseline="0"/>
              <a:t> Replacements, by Train</a:t>
            </a:r>
            <a:endParaRPr lang="en-US"/>
          </a:p>
        </c:rich>
      </c:tx>
      <c:layout>
        <c:manualLayout>
          <c:xMode val="edge"/>
          <c:yMode val="edge"/>
          <c:x val="1.352728636193175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965601860743019E-2"/>
          <c:y val="0.12895264694263664"/>
          <c:w val="0.71388805667584232"/>
          <c:h val="0.71086172199854525"/>
        </c:manualLayout>
      </c:layout>
      <c:lineChart>
        <c:grouping val="standard"/>
        <c:varyColors val="0"/>
        <c:ser>
          <c:idx val="0"/>
          <c:order val="0"/>
          <c:tx>
            <c:strRef>
              <c:f>Summary!$A$25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Summary!$C$25:$E$25</c:f>
              <c:numCache>
                <c:formatCode>0</c:formatCode>
                <c:ptCount val="3"/>
                <c:pt idx="0">
                  <c:v>18.493150684931507</c:v>
                </c:pt>
                <c:pt idx="1">
                  <c:v>23.002739726027396</c:v>
                </c:pt>
                <c:pt idx="2">
                  <c:v>27.512328767123286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Summary!$A$26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Summary!$C$26:$E$26</c:f>
              <c:numCache>
                <c:formatCode>0</c:formatCode>
                <c:ptCount val="3"/>
                <c:pt idx="0">
                  <c:v>16.972602739726028</c:v>
                </c:pt>
                <c:pt idx="1">
                  <c:v>21.520547945205482</c:v>
                </c:pt>
                <c:pt idx="2">
                  <c:v>37.413698630136984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Summary!$A$27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Summary!$C$27:$E$27</c:f>
              <c:numCache>
                <c:formatCode>0</c:formatCode>
                <c:ptCount val="3"/>
                <c:pt idx="0">
                  <c:v>15.90958904109589</c:v>
                </c:pt>
                <c:pt idx="1">
                  <c:v>25.115616438356163</c:v>
                </c:pt>
                <c:pt idx="2">
                  <c:v>33.731506849315068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Summary!$A$28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Summary!$C$28:$E$28</c:f>
              <c:numCache>
                <c:formatCode>0</c:formatCode>
                <c:ptCount val="3"/>
                <c:pt idx="0">
                  <c:v>16.843835616438355</c:v>
                </c:pt>
                <c:pt idx="1">
                  <c:v>27.806575342465749</c:v>
                </c:pt>
                <c:pt idx="2">
                  <c:v>34.863013698630134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Summary!$A$29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Summary!$C$29:$E$29</c:f>
              <c:numCache>
                <c:formatCode>0</c:formatCode>
                <c:ptCount val="3"/>
                <c:pt idx="0">
                  <c:v>19.717808219178082</c:v>
                </c:pt>
                <c:pt idx="1">
                  <c:v>27.56780821917808</c:v>
                </c:pt>
                <c:pt idx="2">
                  <c:v>35.457534246575342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Summary!$A$30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Summary!$C$30:$E$30</c:f>
              <c:numCache>
                <c:formatCode>0</c:formatCode>
                <c:ptCount val="3"/>
                <c:pt idx="0">
                  <c:v>13.336986301369864</c:v>
                </c:pt>
                <c:pt idx="1">
                  <c:v>22.604931506849312</c:v>
                </c:pt>
                <c:pt idx="2">
                  <c:v>39.358904109589041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Summary!$A$31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Summary!$C$31:$E$31</c:f>
              <c:numCache>
                <c:formatCode>0</c:formatCode>
                <c:ptCount val="3"/>
                <c:pt idx="0">
                  <c:v>10.465753424657533</c:v>
                </c:pt>
                <c:pt idx="1">
                  <c:v>18.276027397260272</c:v>
                </c:pt>
                <c:pt idx="2">
                  <c:v>29.854794520547944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Summary!$A$32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Summary!$C$9:$E$10</c:f>
              <c:strCache>
                <c:ptCount val="3"/>
                <c:pt idx="0">
                  <c:v>Action Years, Min</c:v>
                </c:pt>
                <c:pt idx="1">
                  <c:v>Action Years, Avg</c:v>
                </c:pt>
                <c:pt idx="2">
                  <c:v>Action Years, Max</c:v>
                </c:pt>
              </c:strCache>
            </c:strRef>
          </c:cat>
          <c:val>
            <c:numRef>
              <c:f>Summary!$C$32:$E$32</c:f>
              <c:numCache>
                <c:formatCode>0</c:formatCode>
                <c:ptCount val="3"/>
                <c:pt idx="0">
                  <c:v>4.3698630136986303</c:v>
                </c:pt>
                <c:pt idx="1">
                  <c:v>24.518356164383562</c:v>
                </c:pt>
                <c:pt idx="2">
                  <c:v>38.353424657534248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642912"/>
        <c:axId val="759643304"/>
      </c:lineChart>
      <c:catAx>
        <c:axId val="75964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43304"/>
        <c:crosses val="autoZero"/>
        <c:auto val="1"/>
        <c:lblAlgn val="ctr"/>
        <c:lblOffset val="100"/>
        <c:noMultiLvlLbl val="0"/>
      </c:catAx>
      <c:valAx>
        <c:axId val="75964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695802658813991"/>
          <c:y val="7.9095508504759451E-2"/>
          <c:w val="0.11210020698632184"/>
          <c:h val="0.854846246903434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0.17677482636441499"/>
          <c:w val="0.90286351706036749"/>
          <c:h val="0.73597262581546241"/>
        </c:manualLayout>
      </c:layout>
      <c:lineChart>
        <c:grouping val="standard"/>
        <c:varyColors val="0"/>
        <c:ser>
          <c:idx val="0"/>
          <c:order val="0"/>
          <c:tx>
            <c:strRef>
              <c:f>'List by Vessel'!$AF$10</c:f>
              <c:strCache>
                <c:ptCount val="1"/>
                <c:pt idx="0">
                  <c:v>Repair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'List by Vessel'!$AE$12:$AE$13</c:f>
              <c:numCache>
                <c:formatCode>General</c:formatCode>
                <c:ptCount val="2"/>
                <c:pt idx="0">
                  <c:v>15</c:v>
                </c:pt>
                <c:pt idx="1">
                  <c:v>35</c:v>
                </c:pt>
              </c:numCache>
            </c:numRef>
          </c:cat>
          <c:val>
            <c:numRef>
              <c:f>'List by Vessel'!$AF$12:$AF$13</c:f>
              <c:numCache>
                <c:formatCode>General</c:formatCode>
                <c:ptCount val="2"/>
                <c:pt idx="0">
                  <c:v>28</c:v>
                </c:pt>
                <c:pt idx="1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'List by Vessel'!$AG$10</c:f>
              <c:strCache>
                <c:ptCount val="1"/>
                <c:pt idx="0">
                  <c:v>Replace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 by Vessel'!$AE$12:$AE$13</c:f>
              <c:numCache>
                <c:formatCode>General</c:formatCode>
                <c:ptCount val="2"/>
                <c:pt idx="0">
                  <c:v>15</c:v>
                </c:pt>
                <c:pt idx="1">
                  <c:v>35</c:v>
                </c:pt>
              </c:numCache>
            </c:numRef>
          </c:cat>
          <c:val>
            <c:numRef>
              <c:f>'List by Vessel'!$AG$12:$AG$13</c:f>
              <c:numCache>
                <c:formatCode>General</c:formatCode>
                <c:ptCount val="2"/>
                <c:pt idx="0">
                  <c:v>13</c:v>
                </c:pt>
                <c:pt idx="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250496"/>
        <c:axId val="1280250888"/>
      </c:lineChart>
      <c:catAx>
        <c:axId val="128025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50888"/>
        <c:crosses val="autoZero"/>
        <c:auto val="1"/>
        <c:lblAlgn val="ctr"/>
        <c:lblOffset val="100"/>
        <c:noMultiLvlLbl val="0"/>
      </c:catAx>
      <c:valAx>
        <c:axId val="128025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5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 by Vessel'!$L$1</c:f>
              <c:strCache>
                <c:ptCount val="1"/>
                <c:pt idx="0">
                  <c:v>Event Years,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'List by Vessel'!$I$3:$I$4</c:f>
              <c:strCache>
                <c:ptCount val="2"/>
                <c:pt idx="0">
                  <c:v>Repair</c:v>
                </c:pt>
                <c:pt idx="1">
                  <c:v>Replace</c:v>
                </c:pt>
              </c:strCache>
            </c:strRef>
          </c:cat>
          <c:val>
            <c:numRef>
              <c:f>'List by Vessel'!$L$3:$L$4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'List by Vessel'!$M$1</c:f>
              <c:strCache>
                <c:ptCount val="1"/>
                <c:pt idx="0">
                  <c:v>Event Years,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'List by Vessel'!$I$3:$I$4</c:f>
              <c:strCache>
                <c:ptCount val="2"/>
                <c:pt idx="0">
                  <c:v>Repair</c:v>
                </c:pt>
                <c:pt idx="1">
                  <c:v>Replace</c:v>
                </c:pt>
              </c:strCache>
            </c:strRef>
          </c:cat>
          <c:val>
            <c:numRef>
              <c:f>'List by Vessel'!$M$3:$M$4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'List by Vessel'!$N$1</c:f>
              <c:strCache>
                <c:ptCount val="1"/>
                <c:pt idx="0">
                  <c:v>Event Years, 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'List by Vessel'!$I$3:$I$4</c:f>
              <c:strCache>
                <c:ptCount val="2"/>
                <c:pt idx="0">
                  <c:v>Repair</c:v>
                </c:pt>
                <c:pt idx="1">
                  <c:v>Replace</c:v>
                </c:pt>
              </c:strCache>
            </c:strRef>
          </c:cat>
          <c:val>
            <c:numRef>
              <c:f>'List by Vessel'!$N$3:$N$4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0251280"/>
        <c:axId val="1280252064"/>
      </c:barChart>
      <c:catAx>
        <c:axId val="12802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52064"/>
        <c:crosses val="autoZero"/>
        <c:auto val="1"/>
        <c:lblAlgn val="ctr"/>
        <c:lblOffset val="100"/>
        <c:noMultiLvlLbl val="0"/>
      </c:catAx>
      <c:valAx>
        <c:axId val="12802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638175</xdr:colOff>
      <xdr:row>12</xdr:row>
      <xdr:rowOff>47625</xdr:rowOff>
    </xdr:from>
    <xdr:to>
      <xdr:col>23</xdr:col>
      <xdr:colOff>438150</xdr:colOff>
      <xdr:row>29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638175</xdr:colOff>
      <xdr:row>13</xdr:row>
      <xdr:rowOff>47625</xdr:rowOff>
    </xdr:from>
    <xdr:to>
      <xdr:col>37</xdr:col>
      <xdr:colOff>438150</xdr:colOff>
      <xdr:row>30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532074</xdr:colOff>
      <xdr:row>1</xdr:row>
      <xdr:rowOff>734787</xdr:rowOff>
    </xdr:from>
    <xdr:to>
      <xdr:col>32</xdr:col>
      <xdr:colOff>598714</xdr:colOff>
      <xdr:row>26</xdr:row>
      <xdr:rowOff>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1</xdr:row>
      <xdr:rowOff>668608</xdr:rowOff>
    </xdr:from>
    <xdr:to>
      <xdr:col>21</xdr:col>
      <xdr:colOff>349250</xdr:colOff>
      <xdr:row>24</xdr:row>
      <xdr:rowOff>79375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857249</xdr:colOff>
      <xdr:row>31</xdr:row>
      <xdr:rowOff>9525</xdr:rowOff>
    </xdr:from>
    <xdr:to>
      <xdr:col>22</xdr:col>
      <xdr:colOff>200024</xdr:colOff>
      <xdr:row>51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85725</xdr:colOff>
      <xdr:row>31</xdr:row>
      <xdr:rowOff>152400</xdr:rowOff>
    </xdr:from>
    <xdr:to>
      <xdr:col>33</xdr:col>
      <xdr:colOff>466725</xdr:colOff>
      <xdr:row>50</xdr:row>
      <xdr:rowOff>185737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638175</xdr:colOff>
      <xdr:row>14</xdr:row>
      <xdr:rowOff>0</xdr:rowOff>
    </xdr:from>
    <xdr:to>
      <xdr:col>36</xdr:col>
      <xdr:colOff>438150</xdr:colOff>
      <xdr:row>21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476250</xdr:colOff>
      <xdr:row>0</xdr:row>
      <xdr:rowOff>261937</xdr:rowOff>
    </xdr:from>
    <xdr:to>
      <xdr:col>7</xdr:col>
      <xdr:colOff>295275</xdr:colOff>
      <xdr:row>7</xdr:row>
      <xdr:rowOff>338137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zoomScaleNormal="100" workbookViewId="0">
      <selection activeCell="D5" sqref="D5"/>
    </sheetView>
    <sheetView workbookViewId="1">
      <selection sqref="A1:F1"/>
    </sheetView>
  </sheetViews>
  <sheetFormatPr defaultColWidth="9.7109375" defaultRowHeight="15" x14ac:dyDescent="0.25"/>
  <cols>
    <col min="1" max="1" width="14.7109375" style="1" customWidth="1"/>
    <col min="2" max="2" width="19.42578125" style="1" bestFit="1" customWidth="1"/>
    <col min="3" max="3" width="23.7109375" style="1" customWidth="1"/>
    <col min="4" max="4" width="12" style="1" bestFit="1" customWidth="1"/>
    <col min="5" max="5" width="9" style="1" bestFit="1" customWidth="1"/>
    <col min="6" max="6" width="19.7109375" style="16" bestFit="1" customWidth="1"/>
    <col min="7" max="7" width="18" style="16" customWidth="1"/>
    <col min="8" max="8" width="12" style="1" customWidth="1"/>
    <col min="9" max="9" width="18" style="16" customWidth="1"/>
    <col min="10" max="10" width="16.42578125" style="16" customWidth="1"/>
    <col min="11" max="11" width="12" style="1" customWidth="1"/>
    <col min="12" max="12" width="9.7109375" style="1"/>
    <col min="13" max="13" width="5.28515625" style="1" customWidth="1"/>
    <col min="14" max="14" width="6.7109375" style="16" bestFit="1" customWidth="1"/>
    <col min="15" max="15" width="6.7109375" style="16" customWidth="1"/>
    <col min="16" max="16" width="8" style="16" bestFit="1" customWidth="1"/>
    <col min="18" max="19" width="9.7109375" style="1"/>
    <col min="20" max="20" width="11" style="1" customWidth="1"/>
    <col min="21" max="21" width="12" style="1" bestFit="1" customWidth="1"/>
    <col min="22" max="16384" width="9.7109375" style="1"/>
  </cols>
  <sheetData>
    <row r="1" spans="1:23" ht="15.75" thickBot="1" x14ac:dyDescent="0.3">
      <c r="A1" s="87" t="s">
        <v>16</v>
      </c>
      <c r="B1" s="88"/>
      <c r="C1" s="88"/>
      <c r="D1" s="88"/>
      <c r="E1" s="88"/>
      <c r="F1" s="89"/>
      <c r="Q1" s="1"/>
    </row>
    <row r="2" spans="1:23" ht="15.75" thickBot="1" x14ac:dyDescent="0.3">
      <c r="A2" s="2" t="s">
        <v>21</v>
      </c>
      <c r="B2" s="3" t="s">
        <v>20</v>
      </c>
      <c r="C2" s="3" t="s">
        <v>19</v>
      </c>
      <c r="D2" s="3" t="s">
        <v>17</v>
      </c>
      <c r="E2" s="3" t="s">
        <v>18</v>
      </c>
      <c r="F2" s="4"/>
      <c r="I2" s="16" t="s">
        <v>40</v>
      </c>
      <c r="J2" s="16" t="s">
        <v>41</v>
      </c>
      <c r="N2" s="18" t="s">
        <v>39</v>
      </c>
      <c r="O2" s="18"/>
      <c r="P2" s="17" t="s">
        <v>38</v>
      </c>
      <c r="Q2" s="1"/>
      <c r="S2" s="19" t="s">
        <v>39</v>
      </c>
      <c r="T2" s="19" t="s">
        <v>38</v>
      </c>
    </row>
    <row r="3" spans="1:23" x14ac:dyDescent="0.25">
      <c r="A3" s="5" t="s">
        <v>0</v>
      </c>
      <c r="B3" s="6">
        <v>28126</v>
      </c>
      <c r="C3" s="6">
        <v>38168</v>
      </c>
      <c r="D3" s="7">
        <v>11</v>
      </c>
      <c r="E3" s="8"/>
      <c r="F3" s="8"/>
      <c r="G3" s="20"/>
      <c r="I3" s="16" t="str">
        <f t="shared" ref="I3:I10" si="0">IF(E3="","",INDEX($R$3:$R$10,MATCH(E3,$R$3:$R$10,TRUE)+1,1))</f>
        <v/>
      </c>
      <c r="J3" s="16">
        <f>IF(D3="","",INDEX($R$3:$R$10,MATCH(D3,$R$3:$R$10,TRUE)+1,1))</f>
        <v>15</v>
      </c>
      <c r="M3" s="1">
        <v>1</v>
      </c>
      <c r="N3" s="16">
        <f t="shared" ref="N3:N37" si="1">COUNTIF(E:E,$M3)</f>
        <v>0</v>
      </c>
      <c r="P3" s="16">
        <f>COUNTIF(D:D,$M3)</f>
        <v>0</v>
      </c>
      <c r="Q3" s="1"/>
      <c r="R3" s="1">
        <v>0</v>
      </c>
      <c r="S3" s="1">
        <f>COUNTIF(I:I,$R3)</f>
        <v>0</v>
      </c>
      <c r="T3" s="1">
        <f t="shared" ref="T3:T10" si="2">COUNTIF(J:J,$R3)</f>
        <v>0</v>
      </c>
      <c r="U3" s="9"/>
      <c r="W3" s="9"/>
    </row>
    <row r="4" spans="1:23" x14ac:dyDescent="0.25">
      <c r="A4" s="5" t="s">
        <v>0</v>
      </c>
      <c r="B4" s="10">
        <f>B3</f>
        <v>28126</v>
      </c>
      <c r="C4" s="10">
        <v>34240</v>
      </c>
      <c r="D4" s="11"/>
      <c r="E4" s="12">
        <v>16</v>
      </c>
      <c r="F4" s="11"/>
      <c r="I4" s="16">
        <f t="shared" si="0"/>
        <v>20</v>
      </c>
      <c r="J4" s="16" t="str">
        <f t="shared" ref="J4:J67" si="3">IF(D4="","",INDEX($R$3:$R$10,MATCH(D4,$R$3:$R$10,TRUE)+1,1))</f>
        <v/>
      </c>
      <c r="M4" s="1">
        <f>M3+1</f>
        <v>2</v>
      </c>
      <c r="N4" s="16">
        <f t="shared" si="1"/>
        <v>2</v>
      </c>
      <c r="P4" s="16">
        <f t="shared" ref="P4:P37" si="4">COUNTIF(D:D,M4)</f>
        <v>1</v>
      </c>
      <c r="Q4" s="1"/>
      <c r="R4" s="1">
        <v>5</v>
      </c>
      <c r="S4" s="1">
        <f t="shared" ref="S4:S10" si="5">COUNTIF(I:I,R4)</f>
        <v>11</v>
      </c>
      <c r="T4" s="1">
        <f t="shared" si="2"/>
        <v>4</v>
      </c>
      <c r="U4" s="9"/>
      <c r="W4" s="9"/>
    </row>
    <row r="5" spans="1:23" x14ac:dyDescent="0.25">
      <c r="A5" s="13" t="s">
        <v>1</v>
      </c>
      <c r="B5" s="10">
        <v>28126</v>
      </c>
      <c r="C5" s="10">
        <v>41791</v>
      </c>
      <c r="D5" s="12">
        <v>17</v>
      </c>
      <c r="E5" s="12"/>
      <c r="F5" s="11"/>
      <c r="I5" s="16" t="str">
        <f t="shared" si="0"/>
        <v/>
      </c>
      <c r="J5" s="16">
        <f t="shared" si="3"/>
        <v>20</v>
      </c>
      <c r="M5" s="1">
        <f t="shared" ref="M5:M37" si="6">M4+1</f>
        <v>3</v>
      </c>
      <c r="N5" s="16">
        <f t="shared" si="1"/>
        <v>5</v>
      </c>
      <c r="P5" s="16">
        <f t="shared" si="4"/>
        <v>1</v>
      </c>
      <c r="Q5" s="1"/>
      <c r="R5" s="1">
        <v>10</v>
      </c>
      <c r="S5" s="1">
        <f t="shared" si="5"/>
        <v>15</v>
      </c>
      <c r="T5" s="1">
        <f t="shared" si="2"/>
        <v>6</v>
      </c>
      <c r="U5" s="9"/>
      <c r="W5" s="9"/>
    </row>
    <row r="6" spans="1:23" x14ac:dyDescent="0.25">
      <c r="A6" s="13" t="s">
        <v>1</v>
      </c>
      <c r="B6" s="10"/>
      <c r="C6" s="10">
        <v>35587</v>
      </c>
      <c r="D6" s="12">
        <v>7</v>
      </c>
      <c r="E6" s="12"/>
      <c r="F6" s="11"/>
      <c r="I6" s="16" t="str">
        <f t="shared" si="0"/>
        <v/>
      </c>
      <c r="J6" s="16">
        <f t="shared" si="3"/>
        <v>10</v>
      </c>
      <c r="M6" s="1">
        <f t="shared" si="6"/>
        <v>4</v>
      </c>
      <c r="N6" s="16">
        <f t="shared" si="1"/>
        <v>4</v>
      </c>
      <c r="P6" s="16">
        <f t="shared" si="4"/>
        <v>2</v>
      </c>
      <c r="Q6" s="1"/>
      <c r="R6" s="1">
        <v>15</v>
      </c>
      <c r="S6" s="1">
        <f t="shared" si="5"/>
        <v>7</v>
      </c>
      <c r="T6" s="1">
        <f t="shared" si="2"/>
        <v>7</v>
      </c>
      <c r="U6" s="9"/>
      <c r="W6" s="9"/>
    </row>
    <row r="7" spans="1:23" x14ac:dyDescent="0.25">
      <c r="A7" s="13" t="s">
        <v>1</v>
      </c>
      <c r="B7" s="10"/>
      <c r="C7" s="10">
        <v>32933</v>
      </c>
      <c r="D7" s="11"/>
      <c r="E7" s="12">
        <v>13</v>
      </c>
      <c r="F7" s="11" t="s">
        <v>2</v>
      </c>
      <c r="I7" s="16">
        <f t="shared" si="0"/>
        <v>15</v>
      </c>
      <c r="J7" s="16" t="str">
        <f t="shared" si="3"/>
        <v/>
      </c>
      <c r="M7" s="1">
        <f t="shared" si="6"/>
        <v>5</v>
      </c>
      <c r="N7" s="16">
        <f t="shared" si="1"/>
        <v>4</v>
      </c>
      <c r="P7" s="16">
        <f t="shared" si="4"/>
        <v>0</v>
      </c>
      <c r="Q7" s="1"/>
      <c r="R7" s="1">
        <v>20</v>
      </c>
      <c r="S7" s="1">
        <f t="shared" si="5"/>
        <v>11</v>
      </c>
      <c r="T7" s="1">
        <f t="shared" si="2"/>
        <v>6</v>
      </c>
      <c r="U7" s="9"/>
      <c r="W7" s="9"/>
    </row>
    <row r="8" spans="1:23" x14ac:dyDescent="0.25">
      <c r="A8" s="13" t="s">
        <v>3</v>
      </c>
      <c r="B8" s="10">
        <v>28126</v>
      </c>
      <c r="C8" s="10">
        <v>40438</v>
      </c>
      <c r="D8" s="12">
        <v>33</v>
      </c>
      <c r="E8" s="12"/>
      <c r="F8" s="11"/>
      <c r="I8" s="16" t="str">
        <f t="shared" si="0"/>
        <v/>
      </c>
      <c r="J8" s="16">
        <f t="shared" si="3"/>
        <v>35</v>
      </c>
      <c r="M8" s="1">
        <f t="shared" si="6"/>
        <v>6</v>
      </c>
      <c r="N8" s="16">
        <f t="shared" si="1"/>
        <v>4</v>
      </c>
      <c r="P8" s="16">
        <f t="shared" si="4"/>
        <v>0</v>
      </c>
      <c r="Q8" s="1"/>
      <c r="R8" s="1">
        <v>25</v>
      </c>
      <c r="S8" s="1">
        <f t="shared" si="5"/>
        <v>1</v>
      </c>
      <c r="T8" s="1">
        <f t="shared" si="2"/>
        <v>1</v>
      </c>
      <c r="U8" s="9"/>
      <c r="W8" s="9"/>
    </row>
    <row r="9" spans="1:23" x14ac:dyDescent="0.25">
      <c r="A9" s="13" t="s">
        <v>4</v>
      </c>
      <c r="B9" s="10">
        <v>28126</v>
      </c>
      <c r="C9" s="10">
        <v>40800</v>
      </c>
      <c r="D9" s="12">
        <v>10</v>
      </c>
      <c r="E9" s="12"/>
      <c r="F9" s="11"/>
      <c r="I9" s="16" t="str">
        <f t="shared" si="0"/>
        <v/>
      </c>
      <c r="J9" s="16">
        <f t="shared" si="3"/>
        <v>15</v>
      </c>
      <c r="M9" s="1">
        <f t="shared" si="6"/>
        <v>7</v>
      </c>
      <c r="N9" s="16">
        <f t="shared" si="1"/>
        <v>6</v>
      </c>
      <c r="P9" s="16">
        <f t="shared" si="4"/>
        <v>1</v>
      </c>
      <c r="Q9" s="1"/>
      <c r="R9" s="1">
        <v>30</v>
      </c>
      <c r="S9" s="1">
        <f t="shared" si="5"/>
        <v>0</v>
      </c>
      <c r="T9" s="1">
        <f t="shared" si="2"/>
        <v>0</v>
      </c>
      <c r="U9" s="9"/>
    </row>
    <row r="10" spans="1:23" x14ac:dyDescent="0.25">
      <c r="A10" s="13" t="s">
        <v>4</v>
      </c>
      <c r="B10" s="10"/>
      <c r="C10" s="10">
        <v>37032</v>
      </c>
      <c r="D10" s="11"/>
      <c r="E10" s="12">
        <v>6</v>
      </c>
      <c r="F10" s="11" t="s">
        <v>2</v>
      </c>
      <c r="I10" s="16">
        <f t="shared" si="0"/>
        <v>10</v>
      </c>
      <c r="J10" s="16" t="str">
        <f t="shared" si="3"/>
        <v/>
      </c>
      <c r="M10" s="1">
        <f t="shared" si="6"/>
        <v>8</v>
      </c>
      <c r="N10" s="16">
        <f t="shared" si="1"/>
        <v>0</v>
      </c>
      <c r="P10" s="16">
        <f t="shared" si="4"/>
        <v>4</v>
      </c>
      <c r="Q10" s="1"/>
      <c r="R10" s="1">
        <v>35</v>
      </c>
      <c r="S10" s="1">
        <f t="shared" si="5"/>
        <v>0</v>
      </c>
      <c r="T10" s="1">
        <f t="shared" si="2"/>
        <v>1</v>
      </c>
      <c r="U10" s="9"/>
    </row>
    <row r="11" spans="1:23" x14ac:dyDescent="0.25">
      <c r="A11" s="13" t="s">
        <v>4</v>
      </c>
      <c r="B11" s="10"/>
      <c r="C11" s="10">
        <v>34912</v>
      </c>
      <c r="D11" s="11"/>
      <c r="E11" s="12">
        <v>18</v>
      </c>
      <c r="F11" s="11" t="s">
        <v>2</v>
      </c>
      <c r="I11" s="16">
        <f>IF(E11="","",INDEX($R$3:$R$10,MATCH(E11,$R$3:$R$10,TRUE)+1,1))</f>
        <v>20</v>
      </c>
      <c r="J11" s="16" t="str">
        <f t="shared" si="3"/>
        <v/>
      </c>
      <c r="M11" s="1">
        <f t="shared" si="6"/>
        <v>9</v>
      </c>
      <c r="N11" s="16">
        <f t="shared" si="1"/>
        <v>1</v>
      </c>
      <c r="P11" s="16">
        <f t="shared" si="4"/>
        <v>1</v>
      </c>
      <c r="Q11" s="1"/>
      <c r="T11" s="9"/>
      <c r="U11" s="9"/>
    </row>
    <row r="12" spans="1:23" x14ac:dyDescent="0.25">
      <c r="A12" s="13" t="s">
        <v>5</v>
      </c>
      <c r="B12" s="10">
        <v>28126</v>
      </c>
      <c r="C12" s="10">
        <v>41068</v>
      </c>
      <c r="D12" s="12">
        <v>35</v>
      </c>
      <c r="E12" s="12"/>
      <c r="F12" s="11"/>
      <c r="I12" s="16" t="str">
        <f t="shared" ref="I12:I73" si="7">IF(E12="","",INDEX($R$3:$R$10,MATCH(E12,$R$3:$R$10,TRUE)+1,1))</f>
        <v/>
      </c>
      <c r="J12" s="16" t="e">
        <f t="shared" si="3"/>
        <v>#REF!</v>
      </c>
      <c r="M12" s="1">
        <f t="shared" si="6"/>
        <v>10</v>
      </c>
      <c r="N12" s="16">
        <f t="shared" si="1"/>
        <v>2</v>
      </c>
      <c r="P12" s="16">
        <f t="shared" si="4"/>
        <v>3</v>
      </c>
      <c r="Q12" s="1"/>
      <c r="T12" s="9"/>
      <c r="U12" s="9"/>
    </row>
    <row r="13" spans="1:23" x14ac:dyDescent="0.25">
      <c r="A13" s="13" t="s">
        <v>6</v>
      </c>
      <c r="B13" s="10">
        <v>28126</v>
      </c>
      <c r="C13" s="14">
        <v>35796</v>
      </c>
      <c r="D13" s="12">
        <v>8</v>
      </c>
      <c r="E13" s="12"/>
      <c r="F13" s="11"/>
      <c r="I13" s="16" t="str">
        <f t="shared" si="7"/>
        <v/>
      </c>
      <c r="J13" s="16">
        <f t="shared" si="3"/>
        <v>10</v>
      </c>
      <c r="M13" s="1">
        <f t="shared" si="6"/>
        <v>11</v>
      </c>
      <c r="N13" s="16">
        <f t="shared" si="1"/>
        <v>0</v>
      </c>
      <c r="P13" s="16">
        <f t="shared" si="4"/>
        <v>1</v>
      </c>
      <c r="Q13" s="1"/>
      <c r="T13" s="9"/>
      <c r="U13" s="9"/>
    </row>
    <row r="14" spans="1:23" x14ac:dyDescent="0.25">
      <c r="A14" s="13" t="s">
        <v>6</v>
      </c>
      <c r="B14" s="10"/>
      <c r="C14" s="10">
        <v>32994</v>
      </c>
      <c r="D14" s="11"/>
      <c r="E14" s="12">
        <v>13</v>
      </c>
      <c r="F14" s="11"/>
      <c r="I14" s="16">
        <f t="shared" si="7"/>
        <v>15</v>
      </c>
      <c r="J14" s="16" t="str">
        <f t="shared" si="3"/>
        <v/>
      </c>
      <c r="M14" s="1">
        <f t="shared" si="6"/>
        <v>12</v>
      </c>
      <c r="N14" s="16">
        <f t="shared" si="1"/>
        <v>1</v>
      </c>
      <c r="P14" s="16">
        <f t="shared" si="4"/>
        <v>1</v>
      </c>
      <c r="Q14" s="1"/>
      <c r="T14" s="9"/>
      <c r="U14" s="9"/>
    </row>
    <row r="15" spans="1:23" x14ac:dyDescent="0.25">
      <c r="A15" s="13" t="s">
        <v>7</v>
      </c>
      <c r="B15" s="10">
        <v>28126</v>
      </c>
      <c r="C15" s="10">
        <v>39023</v>
      </c>
      <c r="D15" s="12">
        <v>8</v>
      </c>
      <c r="E15" s="12"/>
      <c r="F15" s="11"/>
      <c r="I15" s="16" t="str">
        <f t="shared" si="7"/>
        <v/>
      </c>
      <c r="J15" s="16">
        <f t="shared" si="3"/>
        <v>10</v>
      </c>
      <c r="M15" s="1">
        <f t="shared" si="6"/>
        <v>13</v>
      </c>
      <c r="N15" s="16">
        <f t="shared" si="1"/>
        <v>3</v>
      </c>
      <c r="P15" s="16">
        <f t="shared" si="4"/>
        <v>2</v>
      </c>
      <c r="Q15" s="1"/>
      <c r="T15" s="9"/>
      <c r="U15" s="9"/>
    </row>
    <row r="16" spans="1:23" x14ac:dyDescent="0.25">
      <c r="A16" s="13" t="s">
        <v>7</v>
      </c>
      <c r="B16" s="10"/>
      <c r="C16" s="10">
        <v>34557</v>
      </c>
      <c r="D16" s="11"/>
      <c r="E16" s="12">
        <v>17</v>
      </c>
      <c r="F16" s="11" t="s">
        <v>2</v>
      </c>
      <c r="I16" s="16">
        <f t="shared" si="7"/>
        <v>20</v>
      </c>
      <c r="J16" s="16" t="str">
        <f t="shared" si="3"/>
        <v/>
      </c>
      <c r="M16" s="1">
        <f t="shared" si="6"/>
        <v>14</v>
      </c>
      <c r="N16" s="16">
        <f t="shared" si="1"/>
        <v>1</v>
      </c>
      <c r="P16" s="16">
        <f t="shared" si="4"/>
        <v>0</v>
      </c>
      <c r="Q16" s="1"/>
      <c r="T16" s="9"/>
      <c r="U16" s="9"/>
    </row>
    <row r="17" spans="1:21" x14ac:dyDescent="0.25">
      <c r="A17" s="13" t="s">
        <v>8</v>
      </c>
      <c r="B17" s="10">
        <v>28126</v>
      </c>
      <c r="C17" s="10">
        <v>42125</v>
      </c>
      <c r="D17" s="12">
        <v>23</v>
      </c>
      <c r="E17" s="12"/>
      <c r="F17" s="11"/>
      <c r="I17" s="16" t="str">
        <f t="shared" si="7"/>
        <v/>
      </c>
      <c r="J17" s="16">
        <f t="shared" si="3"/>
        <v>25</v>
      </c>
      <c r="M17" s="1">
        <f t="shared" si="6"/>
        <v>15</v>
      </c>
      <c r="N17" s="16">
        <f t="shared" si="1"/>
        <v>4</v>
      </c>
      <c r="P17" s="16">
        <f t="shared" si="4"/>
        <v>1</v>
      </c>
      <c r="Q17" s="1"/>
      <c r="T17" s="9"/>
      <c r="U17" s="9"/>
    </row>
    <row r="18" spans="1:21" x14ac:dyDescent="0.25">
      <c r="A18" s="13" t="s">
        <v>8</v>
      </c>
      <c r="B18" s="10"/>
      <c r="C18" s="10">
        <v>33725</v>
      </c>
      <c r="D18" s="11"/>
      <c r="E18" s="12">
        <v>15</v>
      </c>
      <c r="F18" s="11"/>
      <c r="I18" s="16">
        <f t="shared" si="7"/>
        <v>20</v>
      </c>
      <c r="J18" s="16" t="str">
        <f t="shared" si="3"/>
        <v/>
      </c>
      <c r="M18" s="1">
        <f t="shared" si="6"/>
        <v>16</v>
      </c>
      <c r="N18" s="16">
        <f t="shared" si="1"/>
        <v>3</v>
      </c>
      <c r="P18" s="16">
        <f t="shared" si="4"/>
        <v>2</v>
      </c>
      <c r="Q18" s="1"/>
      <c r="T18" s="9"/>
      <c r="U18" s="9"/>
    </row>
    <row r="19" spans="1:21" x14ac:dyDescent="0.25">
      <c r="A19" s="13" t="s">
        <v>9</v>
      </c>
      <c r="B19" s="10">
        <v>28126</v>
      </c>
      <c r="C19" s="10">
        <v>38168</v>
      </c>
      <c r="D19" s="11"/>
      <c r="E19" s="12">
        <v>12</v>
      </c>
      <c r="F19" s="11" t="s">
        <v>2</v>
      </c>
      <c r="I19" s="16">
        <f t="shared" si="7"/>
        <v>15</v>
      </c>
      <c r="J19" s="16" t="str">
        <f t="shared" si="3"/>
        <v/>
      </c>
      <c r="M19" s="1">
        <f t="shared" si="6"/>
        <v>17</v>
      </c>
      <c r="N19" s="16">
        <f t="shared" si="1"/>
        <v>2</v>
      </c>
      <c r="P19" s="16">
        <f t="shared" si="4"/>
        <v>2</v>
      </c>
      <c r="Q19" s="1"/>
      <c r="T19" s="9"/>
      <c r="U19" s="9"/>
    </row>
    <row r="20" spans="1:21" x14ac:dyDescent="0.25">
      <c r="A20" s="13" t="s">
        <v>9</v>
      </c>
      <c r="B20" s="10"/>
      <c r="C20" s="10">
        <v>33905</v>
      </c>
      <c r="D20" s="11"/>
      <c r="E20" s="12">
        <v>15</v>
      </c>
      <c r="F20" s="11" t="s">
        <v>2</v>
      </c>
      <c r="I20" s="16">
        <f t="shared" si="7"/>
        <v>20</v>
      </c>
      <c r="J20" s="16" t="str">
        <f t="shared" si="3"/>
        <v/>
      </c>
      <c r="M20" s="1">
        <f t="shared" si="6"/>
        <v>18</v>
      </c>
      <c r="N20" s="16">
        <f t="shared" si="1"/>
        <v>1</v>
      </c>
      <c r="P20" s="16">
        <f t="shared" si="4"/>
        <v>0</v>
      </c>
      <c r="Q20" s="1"/>
      <c r="T20" s="9"/>
      <c r="U20" s="9"/>
    </row>
    <row r="21" spans="1:21" x14ac:dyDescent="0.25">
      <c r="A21" s="13" t="s">
        <v>10</v>
      </c>
      <c r="B21" s="10">
        <v>28126</v>
      </c>
      <c r="C21" s="10">
        <v>42134</v>
      </c>
      <c r="D21" s="12">
        <v>8</v>
      </c>
      <c r="E21" s="12"/>
      <c r="F21" s="11"/>
      <c r="I21" s="16" t="str">
        <f t="shared" si="7"/>
        <v/>
      </c>
      <c r="J21" s="16">
        <f t="shared" si="3"/>
        <v>10</v>
      </c>
      <c r="M21" s="1">
        <f t="shared" si="6"/>
        <v>19</v>
      </c>
      <c r="N21" s="16">
        <f t="shared" si="1"/>
        <v>1</v>
      </c>
      <c r="P21" s="16">
        <f t="shared" si="4"/>
        <v>1</v>
      </c>
      <c r="Q21" s="1"/>
      <c r="T21" s="9"/>
      <c r="U21" s="9"/>
    </row>
    <row r="22" spans="1:21" x14ac:dyDescent="0.25">
      <c r="A22" s="13" t="s">
        <v>10</v>
      </c>
      <c r="B22" s="10"/>
      <c r="C22" s="10">
        <v>35587</v>
      </c>
      <c r="D22" s="12">
        <v>4</v>
      </c>
      <c r="E22" s="12"/>
      <c r="F22" s="11"/>
      <c r="I22" s="16" t="str">
        <f t="shared" si="7"/>
        <v/>
      </c>
      <c r="J22" s="16">
        <f t="shared" si="3"/>
        <v>5</v>
      </c>
      <c r="M22" s="1">
        <f t="shared" si="6"/>
        <v>20</v>
      </c>
      <c r="N22" s="16">
        <f t="shared" si="1"/>
        <v>0</v>
      </c>
      <c r="P22" s="16">
        <f t="shared" si="4"/>
        <v>0</v>
      </c>
      <c r="Q22" s="1"/>
      <c r="T22" s="9"/>
      <c r="U22" s="9"/>
    </row>
    <row r="23" spans="1:21" x14ac:dyDescent="0.25">
      <c r="A23" s="13" t="s">
        <v>10</v>
      </c>
      <c r="B23" s="10"/>
      <c r="C23" s="10">
        <v>34090</v>
      </c>
      <c r="D23" s="11"/>
      <c r="E23" s="12">
        <v>6</v>
      </c>
      <c r="F23" s="11" t="s">
        <v>2</v>
      </c>
      <c r="I23" s="16">
        <f t="shared" si="7"/>
        <v>10</v>
      </c>
      <c r="J23" s="16" t="str">
        <f t="shared" si="3"/>
        <v/>
      </c>
      <c r="M23" s="1">
        <f t="shared" si="6"/>
        <v>21</v>
      </c>
      <c r="N23" s="16">
        <f t="shared" si="1"/>
        <v>1</v>
      </c>
      <c r="P23" s="16">
        <f t="shared" si="4"/>
        <v>0</v>
      </c>
      <c r="Q23" s="1"/>
      <c r="T23" s="9"/>
      <c r="U23" s="9"/>
    </row>
    <row r="24" spans="1:21" x14ac:dyDescent="0.25">
      <c r="A24" s="13" t="s">
        <v>10</v>
      </c>
      <c r="B24" s="10"/>
      <c r="C24" s="10">
        <v>31837</v>
      </c>
      <c r="D24" s="13"/>
      <c r="E24" s="12">
        <v>10</v>
      </c>
      <c r="F24" s="11" t="s">
        <v>2</v>
      </c>
      <c r="I24" s="16">
        <f t="shared" si="7"/>
        <v>15</v>
      </c>
      <c r="J24" s="16" t="str">
        <f t="shared" si="3"/>
        <v/>
      </c>
      <c r="M24" s="1">
        <f t="shared" si="6"/>
        <v>22</v>
      </c>
      <c r="N24" s="16">
        <f t="shared" si="1"/>
        <v>0</v>
      </c>
      <c r="P24" s="16">
        <f t="shared" si="4"/>
        <v>0</v>
      </c>
      <c r="Q24" s="1"/>
      <c r="T24" s="9"/>
      <c r="U24" s="9"/>
    </row>
    <row r="25" spans="1:21" x14ac:dyDescent="0.25">
      <c r="A25" s="13" t="s">
        <v>11</v>
      </c>
      <c r="B25" s="10">
        <v>28126</v>
      </c>
      <c r="C25" s="10">
        <v>42264</v>
      </c>
      <c r="D25" s="12">
        <v>19</v>
      </c>
      <c r="E25" s="15"/>
      <c r="F25" s="11"/>
      <c r="I25" s="16" t="str">
        <f t="shared" si="7"/>
        <v/>
      </c>
      <c r="J25" s="16">
        <f t="shared" si="3"/>
        <v>20</v>
      </c>
      <c r="M25" s="1">
        <f t="shared" si="6"/>
        <v>23</v>
      </c>
      <c r="N25" s="16">
        <f t="shared" si="1"/>
        <v>0</v>
      </c>
      <c r="P25" s="16">
        <f t="shared" si="4"/>
        <v>1</v>
      </c>
      <c r="Q25" s="1"/>
      <c r="T25" s="9"/>
      <c r="U25" s="9"/>
    </row>
    <row r="26" spans="1:21" x14ac:dyDescent="0.25">
      <c r="A26" s="13" t="s">
        <v>11</v>
      </c>
      <c r="B26" s="10"/>
      <c r="C26" s="10">
        <v>35204</v>
      </c>
      <c r="D26" s="11"/>
      <c r="E26" s="12">
        <v>4</v>
      </c>
      <c r="F26" s="11" t="s">
        <v>2</v>
      </c>
      <c r="I26" s="16">
        <f t="shared" si="7"/>
        <v>5</v>
      </c>
      <c r="J26" s="16" t="str">
        <f t="shared" si="3"/>
        <v/>
      </c>
      <c r="M26" s="1">
        <f t="shared" si="6"/>
        <v>24</v>
      </c>
      <c r="N26" s="16">
        <f t="shared" si="1"/>
        <v>0</v>
      </c>
      <c r="P26" s="16">
        <f t="shared" si="4"/>
        <v>0</v>
      </c>
      <c r="Q26" s="1"/>
      <c r="T26" s="9"/>
      <c r="U26" s="9"/>
    </row>
    <row r="27" spans="1:21" x14ac:dyDescent="0.25">
      <c r="A27" s="13" t="s">
        <v>11</v>
      </c>
      <c r="B27" s="10"/>
      <c r="C27" s="10">
        <v>33933</v>
      </c>
      <c r="D27" s="12">
        <v>8</v>
      </c>
      <c r="E27" s="12"/>
      <c r="F27" s="11"/>
      <c r="I27" s="16" t="str">
        <f t="shared" si="7"/>
        <v/>
      </c>
      <c r="J27" s="16">
        <f t="shared" si="3"/>
        <v>10</v>
      </c>
      <c r="M27" s="1">
        <f t="shared" si="6"/>
        <v>25</v>
      </c>
      <c r="N27" s="16">
        <f t="shared" si="1"/>
        <v>0</v>
      </c>
      <c r="P27" s="16">
        <f t="shared" si="4"/>
        <v>0</v>
      </c>
      <c r="Q27" s="1"/>
      <c r="T27" s="9"/>
      <c r="U27" s="9"/>
    </row>
    <row r="28" spans="1:21" x14ac:dyDescent="0.25">
      <c r="A28" s="13" t="s">
        <v>11</v>
      </c>
      <c r="B28" s="10"/>
      <c r="C28" s="10">
        <v>30987</v>
      </c>
      <c r="D28" s="11"/>
      <c r="E28" s="12">
        <v>7</v>
      </c>
      <c r="F28" s="11" t="s">
        <v>2</v>
      </c>
      <c r="I28" s="16">
        <f t="shared" si="7"/>
        <v>10</v>
      </c>
      <c r="J28" s="16" t="str">
        <f t="shared" si="3"/>
        <v/>
      </c>
      <c r="M28" s="1">
        <f t="shared" si="6"/>
        <v>26</v>
      </c>
      <c r="N28" s="16">
        <f t="shared" si="1"/>
        <v>0</v>
      </c>
      <c r="P28" s="16">
        <f t="shared" si="4"/>
        <v>1</v>
      </c>
      <c r="Q28" s="1"/>
      <c r="T28" s="9"/>
      <c r="U28" s="9"/>
    </row>
    <row r="29" spans="1:21" x14ac:dyDescent="0.25">
      <c r="A29" s="13" t="s">
        <v>12</v>
      </c>
      <c r="B29" s="10">
        <v>28126</v>
      </c>
      <c r="C29" s="14">
        <v>40851</v>
      </c>
      <c r="D29" s="12">
        <v>10</v>
      </c>
      <c r="E29" s="12"/>
      <c r="F29" s="11"/>
      <c r="I29" s="16" t="str">
        <f t="shared" si="7"/>
        <v/>
      </c>
      <c r="J29" s="16">
        <f t="shared" si="3"/>
        <v>15</v>
      </c>
      <c r="M29" s="1">
        <f t="shared" si="6"/>
        <v>27</v>
      </c>
      <c r="N29" s="16">
        <f t="shared" si="1"/>
        <v>0</v>
      </c>
      <c r="P29" s="16">
        <f t="shared" si="4"/>
        <v>0</v>
      </c>
      <c r="Q29" s="1"/>
      <c r="T29" s="9"/>
      <c r="U29" s="9"/>
    </row>
    <row r="30" spans="1:21" x14ac:dyDescent="0.25">
      <c r="A30" s="13" t="s">
        <v>12</v>
      </c>
      <c r="B30" s="10"/>
      <c r="C30" s="14">
        <v>37032</v>
      </c>
      <c r="D30" s="12"/>
      <c r="E30" s="12">
        <v>7</v>
      </c>
      <c r="F30" s="11" t="s">
        <v>2</v>
      </c>
      <c r="I30" s="16">
        <f t="shared" si="7"/>
        <v>10</v>
      </c>
      <c r="J30" s="16" t="str">
        <f t="shared" si="3"/>
        <v/>
      </c>
      <c r="M30" s="1">
        <f t="shared" si="6"/>
        <v>28</v>
      </c>
      <c r="N30" s="16">
        <f t="shared" si="1"/>
        <v>0</v>
      </c>
      <c r="P30" s="16">
        <f t="shared" si="4"/>
        <v>0</v>
      </c>
      <c r="Q30" s="1"/>
      <c r="T30" s="9"/>
      <c r="U30" s="9"/>
    </row>
    <row r="31" spans="1:21" x14ac:dyDescent="0.25">
      <c r="A31" s="13" t="s">
        <v>12</v>
      </c>
      <c r="B31" s="10"/>
      <c r="C31" s="14">
        <v>34572</v>
      </c>
      <c r="D31" s="12"/>
      <c r="E31" s="12">
        <v>10</v>
      </c>
      <c r="F31" s="11" t="s">
        <v>2</v>
      </c>
      <c r="I31" s="16">
        <f t="shared" si="7"/>
        <v>15</v>
      </c>
      <c r="J31" s="16" t="str">
        <f t="shared" si="3"/>
        <v/>
      </c>
      <c r="M31" s="1">
        <f t="shared" si="6"/>
        <v>29</v>
      </c>
      <c r="N31" s="16">
        <f t="shared" si="1"/>
        <v>0</v>
      </c>
      <c r="P31" s="16">
        <f t="shared" si="4"/>
        <v>0</v>
      </c>
      <c r="Q31" s="1"/>
      <c r="T31" s="9"/>
      <c r="U31" s="9"/>
    </row>
    <row r="32" spans="1:21" x14ac:dyDescent="0.25">
      <c r="A32" s="13" t="s">
        <v>12</v>
      </c>
      <c r="B32" s="10"/>
      <c r="C32" s="14">
        <v>30987</v>
      </c>
      <c r="D32" s="12"/>
      <c r="E32" s="12">
        <v>7</v>
      </c>
      <c r="F32" s="11" t="s">
        <v>2</v>
      </c>
      <c r="I32" s="16">
        <f t="shared" si="7"/>
        <v>10</v>
      </c>
      <c r="J32" s="16" t="str">
        <f t="shared" si="3"/>
        <v/>
      </c>
      <c r="M32" s="1">
        <f t="shared" si="6"/>
        <v>30</v>
      </c>
      <c r="N32" s="16">
        <f t="shared" si="1"/>
        <v>0</v>
      </c>
      <c r="P32" s="16">
        <f t="shared" si="4"/>
        <v>0</v>
      </c>
      <c r="Q32" s="1"/>
      <c r="T32" s="9"/>
      <c r="U32" s="9"/>
    </row>
    <row r="33" spans="1:21" x14ac:dyDescent="0.25">
      <c r="A33" s="13" t="s">
        <v>13</v>
      </c>
      <c r="B33" s="10">
        <v>28126</v>
      </c>
      <c r="C33" s="14">
        <v>41090</v>
      </c>
      <c r="D33" s="12">
        <v>16</v>
      </c>
      <c r="E33" s="12"/>
      <c r="F33" s="11"/>
      <c r="I33" s="16" t="str">
        <f t="shared" si="7"/>
        <v/>
      </c>
      <c r="J33" s="16">
        <f t="shared" si="3"/>
        <v>20</v>
      </c>
      <c r="M33" s="1">
        <f t="shared" si="6"/>
        <v>31</v>
      </c>
      <c r="N33" s="16">
        <f t="shared" si="1"/>
        <v>0</v>
      </c>
      <c r="P33" s="16">
        <f t="shared" si="4"/>
        <v>0</v>
      </c>
      <c r="Q33" s="1"/>
      <c r="T33" s="9"/>
      <c r="U33" s="9"/>
    </row>
    <row r="34" spans="1:21" x14ac:dyDescent="0.25">
      <c r="A34" s="13" t="s">
        <v>13</v>
      </c>
      <c r="B34" s="10"/>
      <c r="C34" s="14">
        <v>35323</v>
      </c>
      <c r="D34" s="12">
        <v>2</v>
      </c>
      <c r="E34" s="15"/>
      <c r="F34" s="11" t="s">
        <v>14</v>
      </c>
      <c r="I34" s="16" t="str">
        <f t="shared" si="7"/>
        <v/>
      </c>
      <c r="J34" s="16">
        <f t="shared" si="3"/>
        <v>5</v>
      </c>
      <c r="M34" s="1">
        <f t="shared" si="6"/>
        <v>32</v>
      </c>
      <c r="N34" s="16">
        <f t="shared" si="1"/>
        <v>0</v>
      </c>
      <c r="P34" s="16">
        <f t="shared" si="4"/>
        <v>0</v>
      </c>
      <c r="Q34" s="1"/>
      <c r="T34" s="9"/>
      <c r="U34" s="9"/>
    </row>
    <row r="35" spans="1:21" x14ac:dyDescent="0.25">
      <c r="A35" s="13" t="s">
        <v>13</v>
      </c>
      <c r="B35" s="10"/>
      <c r="C35" s="14">
        <v>34516</v>
      </c>
      <c r="D35" s="12"/>
      <c r="E35" s="12">
        <v>3</v>
      </c>
      <c r="F35" s="11" t="s">
        <v>2</v>
      </c>
      <c r="I35" s="16">
        <f t="shared" si="7"/>
        <v>5</v>
      </c>
      <c r="J35" s="16" t="str">
        <f t="shared" si="3"/>
        <v/>
      </c>
      <c r="M35" s="1">
        <f t="shared" si="6"/>
        <v>33</v>
      </c>
      <c r="N35" s="16">
        <f t="shared" si="1"/>
        <v>0</v>
      </c>
      <c r="P35" s="16">
        <f t="shared" si="4"/>
        <v>1</v>
      </c>
      <c r="Q35" s="1"/>
      <c r="T35" s="9"/>
      <c r="U35" s="9"/>
    </row>
    <row r="36" spans="1:21" x14ac:dyDescent="0.25">
      <c r="A36" s="13" t="s">
        <v>13</v>
      </c>
      <c r="B36" s="10"/>
      <c r="C36" s="14">
        <v>33482</v>
      </c>
      <c r="D36" s="12"/>
      <c r="E36" s="12">
        <v>14</v>
      </c>
      <c r="F36" s="11" t="s">
        <v>2</v>
      </c>
      <c r="I36" s="16">
        <f t="shared" si="7"/>
        <v>15</v>
      </c>
      <c r="J36" s="16" t="str">
        <f t="shared" si="3"/>
        <v/>
      </c>
      <c r="M36" s="1">
        <f t="shared" si="6"/>
        <v>34</v>
      </c>
      <c r="N36" s="16">
        <f t="shared" si="1"/>
        <v>0</v>
      </c>
      <c r="P36" s="16">
        <f t="shared" si="4"/>
        <v>0</v>
      </c>
      <c r="Q36" s="1"/>
      <c r="T36" s="9"/>
      <c r="U36" s="9"/>
    </row>
    <row r="37" spans="1:21" x14ac:dyDescent="0.25">
      <c r="A37" s="13" t="s">
        <v>15</v>
      </c>
      <c r="B37" s="10">
        <v>28126</v>
      </c>
      <c r="C37" s="14">
        <v>42476</v>
      </c>
      <c r="D37" s="12">
        <v>13</v>
      </c>
      <c r="E37" s="12"/>
      <c r="F37" s="11"/>
      <c r="I37" s="16" t="str">
        <f t="shared" si="7"/>
        <v/>
      </c>
      <c r="J37" s="16">
        <f t="shared" si="3"/>
        <v>15</v>
      </c>
      <c r="M37" s="1">
        <f t="shared" si="6"/>
        <v>35</v>
      </c>
      <c r="N37" s="16">
        <f t="shared" si="1"/>
        <v>0</v>
      </c>
      <c r="P37" s="16">
        <f t="shared" si="4"/>
        <v>1</v>
      </c>
      <c r="Q37" s="1"/>
      <c r="T37" s="9"/>
      <c r="U37" s="9"/>
    </row>
    <row r="38" spans="1:21" x14ac:dyDescent="0.25">
      <c r="A38" s="13" t="s">
        <v>15</v>
      </c>
      <c r="B38" s="10"/>
      <c r="C38" s="14">
        <v>37763</v>
      </c>
      <c r="D38" s="12"/>
      <c r="E38" s="12">
        <v>5</v>
      </c>
      <c r="F38" s="11" t="s">
        <v>2</v>
      </c>
      <c r="I38" s="16">
        <f t="shared" si="7"/>
        <v>10</v>
      </c>
      <c r="J38" s="16" t="str">
        <f t="shared" si="3"/>
        <v/>
      </c>
      <c r="N38" s="16">
        <f>SUM(N3:N37)</f>
        <v>45</v>
      </c>
      <c r="P38" s="16">
        <f>SUM(P3:P37)</f>
        <v>27</v>
      </c>
      <c r="Q38" s="1"/>
    </row>
    <row r="39" spans="1:21" x14ac:dyDescent="0.25">
      <c r="A39" s="13" t="s">
        <v>15</v>
      </c>
      <c r="B39" s="10"/>
      <c r="C39" s="14">
        <v>35923</v>
      </c>
      <c r="D39" s="12">
        <v>4</v>
      </c>
      <c r="E39" s="12"/>
      <c r="F39" s="11"/>
      <c r="I39" s="16" t="str">
        <f t="shared" si="7"/>
        <v/>
      </c>
      <c r="J39" s="16">
        <f t="shared" si="3"/>
        <v>5</v>
      </c>
      <c r="Q39" s="1"/>
    </row>
    <row r="40" spans="1:21" x14ac:dyDescent="0.25">
      <c r="A40" s="13" t="s">
        <v>15</v>
      </c>
      <c r="B40" s="10"/>
      <c r="C40" s="14">
        <v>34429</v>
      </c>
      <c r="D40" s="12"/>
      <c r="E40" s="12">
        <v>4</v>
      </c>
      <c r="F40" s="11" t="s">
        <v>2</v>
      </c>
      <c r="I40" s="16">
        <f t="shared" si="7"/>
        <v>5</v>
      </c>
      <c r="J40" s="16" t="str">
        <f t="shared" si="3"/>
        <v/>
      </c>
      <c r="Q40" s="1"/>
    </row>
    <row r="41" spans="1:21" x14ac:dyDescent="0.25">
      <c r="A41" s="13" t="s">
        <v>15</v>
      </c>
      <c r="B41" s="10"/>
      <c r="C41" s="14">
        <v>32994</v>
      </c>
      <c r="D41" s="15"/>
      <c r="E41" s="12">
        <v>13</v>
      </c>
      <c r="F41" s="11" t="s">
        <v>2</v>
      </c>
      <c r="I41" s="16">
        <f t="shared" si="7"/>
        <v>15</v>
      </c>
      <c r="J41" s="16" t="str">
        <f t="shared" si="3"/>
        <v/>
      </c>
      <c r="Q41" s="1"/>
    </row>
    <row r="42" spans="1:21" x14ac:dyDescent="0.25">
      <c r="A42" s="13" t="s">
        <v>22</v>
      </c>
      <c r="B42" s="10">
        <v>29952</v>
      </c>
      <c r="C42" s="14">
        <v>39022</v>
      </c>
      <c r="D42" s="15"/>
      <c r="E42" s="12">
        <v>7</v>
      </c>
      <c r="F42" s="11"/>
      <c r="I42" s="16">
        <f t="shared" si="7"/>
        <v>10</v>
      </c>
      <c r="J42" s="16" t="str">
        <f t="shared" si="3"/>
        <v/>
      </c>
      <c r="Q42" s="1"/>
    </row>
    <row r="43" spans="1:21" x14ac:dyDescent="0.25">
      <c r="A43" s="13" t="s">
        <v>22</v>
      </c>
      <c r="B43" s="10"/>
      <c r="C43" s="14">
        <v>36358</v>
      </c>
      <c r="D43" s="15"/>
      <c r="E43" s="12">
        <v>5</v>
      </c>
      <c r="F43" s="11" t="s">
        <v>2</v>
      </c>
      <c r="I43" s="16">
        <f t="shared" si="7"/>
        <v>10</v>
      </c>
      <c r="J43" s="16" t="str">
        <f t="shared" si="3"/>
        <v/>
      </c>
      <c r="Q43" s="1"/>
    </row>
    <row r="44" spans="1:21" x14ac:dyDescent="0.25">
      <c r="A44" s="13" t="s">
        <v>22</v>
      </c>
      <c r="B44" s="10"/>
      <c r="C44" s="14">
        <v>34564</v>
      </c>
      <c r="D44" s="12">
        <v>3</v>
      </c>
      <c r="E44" s="12"/>
      <c r="F44" s="11" t="s">
        <v>14</v>
      </c>
      <c r="I44" s="16" t="str">
        <f t="shared" si="7"/>
        <v/>
      </c>
      <c r="J44" s="16">
        <f t="shared" si="3"/>
        <v>5</v>
      </c>
      <c r="Q44" s="1"/>
    </row>
    <row r="45" spans="1:21" x14ac:dyDescent="0.25">
      <c r="A45" s="13" t="s">
        <v>22</v>
      </c>
      <c r="B45" s="10"/>
      <c r="C45" s="14">
        <v>33482</v>
      </c>
      <c r="D45" s="12"/>
      <c r="E45" s="12">
        <v>9</v>
      </c>
      <c r="F45" s="11" t="s">
        <v>2</v>
      </c>
      <c r="I45" s="16">
        <f t="shared" si="7"/>
        <v>10</v>
      </c>
      <c r="J45" s="16" t="str">
        <f t="shared" si="3"/>
        <v/>
      </c>
      <c r="Q45" s="1"/>
    </row>
    <row r="46" spans="1:21" x14ac:dyDescent="0.25">
      <c r="A46" s="15" t="s">
        <v>23</v>
      </c>
      <c r="B46" s="10">
        <v>31413</v>
      </c>
      <c r="C46" s="14">
        <v>42131</v>
      </c>
      <c r="D46" s="12">
        <v>15</v>
      </c>
      <c r="E46" s="12"/>
      <c r="F46" s="11"/>
      <c r="I46" s="16" t="str">
        <f t="shared" si="7"/>
        <v/>
      </c>
      <c r="J46" s="16">
        <f t="shared" si="3"/>
        <v>20</v>
      </c>
      <c r="Q46" s="1"/>
    </row>
    <row r="47" spans="1:21" x14ac:dyDescent="0.25">
      <c r="A47" s="15" t="s">
        <v>23</v>
      </c>
      <c r="B47" s="10"/>
      <c r="C47" s="14">
        <v>36759</v>
      </c>
      <c r="D47" s="12"/>
      <c r="E47" s="12">
        <v>2</v>
      </c>
      <c r="F47" s="11" t="s">
        <v>2</v>
      </c>
      <c r="I47" s="16">
        <f t="shared" si="7"/>
        <v>5</v>
      </c>
      <c r="J47" s="16" t="str">
        <f t="shared" si="3"/>
        <v/>
      </c>
      <c r="Q47" s="1"/>
    </row>
    <row r="48" spans="1:21" x14ac:dyDescent="0.25">
      <c r="A48" s="15" t="s">
        <v>23</v>
      </c>
      <c r="B48" s="10"/>
      <c r="C48" s="14">
        <v>35997</v>
      </c>
      <c r="D48" s="12"/>
      <c r="E48" s="12">
        <v>6</v>
      </c>
      <c r="F48" s="11" t="s">
        <v>2</v>
      </c>
      <c r="I48" s="16">
        <f t="shared" si="7"/>
        <v>10</v>
      </c>
      <c r="J48" s="16" t="str">
        <f t="shared" si="3"/>
        <v/>
      </c>
      <c r="Q48" s="1"/>
    </row>
    <row r="49" spans="1:17" x14ac:dyDescent="0.25">
      <c r="A49" s="15" t="s">
        <v>23</v>
      </c>
      <c r="B49" s="10"/>
      <c r="C49" s="14">
        <v>33725</v>
      </c>
      <c r="D49" s="12"/>
      <c r="E49" s="12">
        <v>3</v>
      </c>
      <c r="F49" s="11" t="s">
        <v>2</v>
      </c>
      <c r="I49" s="16">
        <f t="shared" si="7"/>
        <v>5</v>
      </c>
      <c r="J49" s="16" t="str">
        <f t="shared" si="3"/>
        <v/>
      </c>
      <c r="Q49" s="1"/>
    </row>
    <row r="50" spans="1:17" x14ac:dyDescent="0.25">
      <c r="A50" s="15" t="s">
        <v>23</v>
      </c>
      <c r="B50" s="10"/>
      <c r="C50" s="14">
        <v>32607</v>
      </c>
      <c r="D50" s="12"/>
      <c r="E50" s="12">
        <v>3</v>
      </c>
      <c r="F50" s="11" t="s">
        <v>2</v>
      </c>
      <c r="I50" s="16">
        <f t="shared" si="7"/>
        <v>5</v>
      </c>
      <c r="J50" s="16" t="str">
        <f t="shared" si="3"/>
        <v/>
      </c>
      <c r="Q50" s="1"/>
    </row>
    <row r="51" spans="1:17" x14ac:dyDescent="0.25">
      <c r="A51" s="15" t="s">
        <v>24</v>
      </c>
      <c r="B51" s="10">
        <v>28126</v>
      </c>
      <c r="C51" s="10">
        <v>38168</v>
      </c>
      <c r="D51" s="11"/>
      <c r="E51" s="12">
        <v>5</v>
      </c>
      <c r="F51" s="11" t="s">
        <v>2</v>
      </c>
      <c r="I51" s="16">
        <f t="shared" si="7"/>
        <v>10</v>
      </c>
      <c r="J51" s="16" t="str">
        <f t="shared" si="3"/>
        <v/>
      </c>
      <c r="Q51" s="1"/>
    </row>
    <row r="52" spans="1:17" x14ac:dyDescent="0.25">
      <c r="A52" s="15" t="s">
        <v>24</v>
      </c>
      <c r="B52" s="10"/>
      <c r="C52" s="10">
        <v>36431</v>
      </c>
      <c r="D52" s="11"/>
      <c r="E52" s="12">
        <v>3</v>
      </c>
      <c r="F52" s="11" t="s">
        <v>2</v>
      </c>
      <c r="I52" s="16">
        <f t="shared" si="7"/>
        <v>5</v>
      </c>
      <c r="J52" s="16" t="str">
        <f t="shared" si="3"/>
        <v/>
      </c>
      <c r="Q52" s="1"/>
    </row>
    <row r="53" spans="1:17" x14ac:dyDescent="0.25">
      <c r="A53" s="15" t="s">
        <v>24</v>
      </c>
      <c r="B53" s="10"/>
      <c r="C53" s="10">
        <v>35217</v>
      </c>
      <c r="D53" s="11"/>
      <c r="E53" s="12">
        <v>19</v>
      </c>
      <c r="F53" s="11" t="s">
        <v>2</v>
      </c>
      <c r="I53" s="16">
        <f t="shared" si="7"/>
        <v>20</v>
      </c>
      <c r="J53" s="16" t="str">
        <f t="shared" si="3"/>
        <v/>
      </c>
      <c r="Q53" s="1"/>
    </row>
    <row r="54" spans="1:17" x14ac:dyDescent="0.25">
      <c r="A54" s="15" t="s">
        <v>25</v>
      </c>
      <c r="B54" s="10">
        <v>28126</v>
      </c>
      <c r="C54" s="10">
        <v>41782</v>
      </c>
      <c r="D54" s="12">
        <v>12</v>
      </c>
      <c r="E54" s="12"/>
      <c r="F54" s="11"/>
      <c r="I54" s="16" t="str">
        <f t="shared" si="7"/>
        <v/>
      </c>
      <c r="J54" s="16">
        <f t="shared" si="3"/>
        <v>15</v>
      </c>
      <c r="Q54" s="1"/>
    </row>
    <row r="55" spans="1:17" x14ac:dyDescent="0.25">
      <c r="A55" s="15" t="s">
        <v>25</v>
      </c>
      <c r="B55" s="10"/>
      <c r="C55" s="10">
        <v>33774</v>
      </c>
      <c r="D55" s="13"/>
      <c r="E55" s="12">
        <v>15</v>
      </c>
      <c r="F55" s="11" t="s">
        <v>2</v>
      </c>
      <c r="I55" s="16">
        <f t="shared" si="7"/>
        <v>20</v>
      </c>
      <c r="J55" s="16" t="str">
        <f t="shared" si="3"/>
        <v/>
      </c>
      <c r="Q55" s="1"/>
    </row>
    <row r="56" spans="1:17" x14ac:dyDescent="0.25">
      <c r="A56" s="15" t="s">
        <v>26</v>
      </c>
      <c r="B56" s="10">
        <v>28126</v>
      </c>
      <c r="C56" s="10">
        <v>40438</v>
      </c>
      <c r="D56" s="12">
        <v>9</v>
      </c>
      <c r="E56" s="12"/>
      <c r="F56" s="11"/>
      <c r="I56" s="16" t="str">
        <f t="shared" si="7"/>
        <v/>
      </c>
      <c r="J56" s="16">
        <f t="shared" si="3"/>
        <v>10</v>
      </c>
      <c r="Q56" s="1"/>
    </row>
    <row r="57" spans="1:17" x14ac:dyDescent="0.25">
      <c r="A57" s="15" t="s">
        <v>26</v>
      </c>
      <c r="B57" s="10"/>
      <c r="C57" s="10">
        <v>37083</v>
      </c>
      <c r="D57" s="11"/>
      <c r="E57" s="12">
        <v>7</v>
      </c>
      <c r="F57" s="11" t="s">
        <v>2</v>
      </c>
      <c r="I57" s="16">
        <f t="shared" si="7"/>
        <v>10</v>
      </c>
      <c r="J57" s="16" t="str">
        <f t="shared" si="3"/>
        <v/>
      </c>
      <c r="Q57" s="1"/>
    </row>
    <row r="58" spans="1:17" x14ac:dyDescent="0.25">
      <c r="A58" s="15" t="s">
        <v>26</v>
      </c>
      <c r="B58" s="10"/>
      <c r="C58" s="10">
        <v>34639</v>
      </c>
      <c r="D58" s="11"/>
      <c r="E58" s="12">
        <v>17</v>
      </c>
      <c r="F58" s="11"/>
      <c r="I58" s="16">
        <f t="shared" si="7"/>
        <v>20</v>
      </c>
      <c r="J58" s="16" t="str">
        <f t="shared" si="3"/>
        <v/>
      </c>
      <c r="Q58" s="1"/>
    </row>
    <row r="59" spans="1:17" x14ac:dyDescent="0.25">
      <c r="A59" s="15" t="s">
        <v>27</v>
      </c>
      <c r="B59" s="10">
        <v>28126</v>
      </c>
      <c r="C59" s="10">
        <v>40800</v>
      </c>
      <c r="D59" s="12">
        <v>10</v>
      </c>
      <c r="E59" s="12"/>
      <c r="F59" s="11"/>
      <c r="I59" s="16" t="str">
        <f t="shared" si="7"/>
        <v/>
      </c>
      <c r="J59" s="16">
        <f t="shared" si="3"/>
        <v>15</v>
      </c>
      <c r="Q59" s="1"/>
    </row>
    <row r="60" spans="1:17" x14ac:dyDescent="0.25">
      <c r="A60" s="15" t="s">
        <v>27</v>
      </c>
      <c r="B60" s="10"/>
      <c r="C60" s="10">
        <v>37032</v>
      </c>
      <c r="D60" s="11"/>
      <c r="E60" s="12">
        <v>7</v>
      </c>
      <c r="F60" s="11" t="s">
        <v>2</v>
      </c>
      <c r="I60" s="16">
        <f t="shared" si="7"/>
        <v>10</v>
      </c>
      <c r="J60" s="16" t="str">
        <f t="shared" si="3"/>
        <v/>
      </c>
      <c r="Q60" s="1"/>
    </row>
    <row r="61" spans="1:17" x14ac:dyDescent="0.25">
      <c r="A61" s="15" t="s">
        <v>27</v>
      </c>
      <c r="B61" s="10"/>
      <c r="C61" s="10">
        <v>34575</v>
      </c>
      <c r="D61" s="11"/>
      <c r="E61" s="12">
        <v>2</v>
      </c>
      <c r="F61" s="11" t="s">
        <v>2</v>
      </c>
      <c r="I61" s="16">
        <f t="shared" si="7"/>
        <v>5</v>
      </c>
      <c r="J61" s="16" t="str">
        <f t="shared" si="3"/>
        <v/>
      </c>
      <c r="Q61" s="1"/>
    </row>
    <row r="62" spans="1:17" x14ac:dyDescent="0.25">
      <c r="A62" s="15" t="s">
        <v>27</v>
      </c>
      <c r="B62" s="10"/>
      <c r="C62" s="10">
        <v>33695</v>
      </c>
      <c r="D62" s="11"/>
      <c r="E62" s="12">
        <v>15</v>
      </c>
      <c r="F62" s="11" t="s">
        <v>2</v>
      </c>
      <c r="I62" s="16">
        <f t="shared" si="7"/>
        <v>20</v>
      </c>
      <c r="J62" s="16" t="str">
        <f t="shared" si="3"/>
        <v/>
      </c>
      <c r="Q62" s="1"/>
    </row>
    <row r="63" spans="1:17" x14ac:dyDescent="0.25">
      <c r="A63" s="15" t="s">
        <v>28</v>
      </c>
      <c r="B63" s="10" t="s">
        <v>33</v>
      </c>
      <c r="C63" s="10">
        <v>41039</v>
      </c>
      <c r="D63" s="12">
        <v>16</v>
      </c>
      <c r="E63" s="12"/>
      <c r="F63" s="11"/>
      <c r="I63" s="16" t="str">
        <f t="shared" si="7"/>
        <v/>
      </c>
      <c r="J63" s="16">
        <f t="shared" si="3"/>
        <v>20</v>
      </c>
      <c r="Q63" s="1"/>
    </row>
    <row r="64" spans="1:17" x14ac:dyDescent="0.25">
      <c r="A64" s="15" t="s">
        <v>28</v>
      </c>
      <c r="B64" s="10"/>
      <c r="C64" s="10">
        <v>35298</v>
      </c>
      <c r="D64" s="13"/>
      <c r="E64" s="12">
        <v>3</v>
      </c>
      <c r="F64" s="11" t="s">
        <v>2</v>
      </c>
      <c r="I64" s="16">
        <f t="shared" si="7"/>
        <v>5</v>
      </c>
      <c r="J64" s="16" t="str">
        <f t="shared" si="3"/>
        <v/>
      </c>
      <c r="Q64" s="1"/>
    </row>
    <row r="65" spans="1:17" x14ac:dyDescent="0.25">
      <c r="A65" s="15" t="s">
        <v>28</v>
      </c>
      <c r="B65" s="10"/>
      <c r="C65" s="10">
        <v>34151</v>
      </c>
      <c r="D65" s="13"/>
      <c r="E65" s="12">
        <v>16</v>
      </c>
      <c r="F65" s="11" t="s">
        <v>2</v>
      </c>
      <c r="I65" s="16">
        <f t="shared" si="7"/>
        <v>20</v>
      </c>
      <c r="J65" s="16" t="str">
        <f t="shared" si="3"/>
        <v/>
      </c>
      <c r="Q65" s="1"/>
    </row>
    <row r="66" spans="1:17" x14ac:dyDescent="0.25">
      <c r="A66" s="15" t="s">
        <v>29</v>
      </c>
      <c r="B66" s="10" t="s">
        <v>33</v>
      </c>
      <c r="C66" s="10">
        <v>42492</v>
      </c>
      <c r="D66" s="12">
        <v>13</v>
      </c>
      <c r="E66" s="12"/>
      <c r="F66" s="11"/>
      <c r="I66" s="16" t="str">
        <f t="shared" si="7"/>
        <v/>
      </c>
      <c r="J66" s="16">
        <f t="shared" si="3"/>
        <v>15</v>
      </c>
      <c r="Q66" s="1"/>
    </row>
    <row r="67" spans="1:17" x14ac:dyDescent="0.25">
      <c r="A67" s="15" t="s">
        <v>29</v>
      </c>
      <c r="B67" s="10"/>
      <c r="C67" s="10">
        <v>37763</v>
      </c>
      <c r="D67" s="13"/>
      <c r="E67" s="12">
        <v>5</v>
      </c>
      <c r="F67" s="11" t="s">
        <v>2</v>
      </c>
      <c r="I67" s="16">
        <f t="shared" si="7"/>
        <v>10</v>
      </c>
      <c r="J67" s="16" t="str">
        <f t="shared" si="3"/>
        <v/>
      </c>
      <c r="Q67" s="1"/>
    </row>
    <row r="68" spans="1:17" x14ac:dyDescent="0.25">
      <c r="A68" s="15" t="s">
        <v>29</v>
      </c>
      <c r="B68" s="10"/>
      <c r="C68" s="10">
        <v>35921</v>
      </c>
      <c r="D68" s="13"/>
      <c r="E68" s="12">
        <v>21</v>
      </c>
      <c r="F68" s="11" t="s">
        <v>2</v>
      </c>
      <c r="I68" s="16">
        <f t="shared" si="7"/>
        <v>25</v>
      </c>
      <c r="J68" s="16" t="str">
        <f t="shared" ref="J68:J73" si="8">IF(D68="","",INDEX($R$3:$R$10,MATCH(D68,$R$3:$R$10,TRUE)+1,1))</f>
        <v/>
      </c>
      <c r="Q68" s="1"/>
    </row>
    <row r="69" spans="1:17" x14ac:dyDescent="0.25">
      <c r="A69" s="15" t="s">
        <v>30</v>
      </c>
      <c r="B69" s="10">
        <v>30164</v>
      </c>
      <c r="C69" s="10">
        <v>37518</v>
      </c>
      <c r="D69" s="13"/>
      <c r="E69" s="12">
        <v>4</v>
      </c>
      <c r="F69" s="11" t="s">
        <v>2</v>
      </c>
      <c r="I69" s="16">
        <f t="shared" si="7"/>
        <v>5</v>
      </c>
      <c r="J69" s="16" t="str">
        <f t="shared" si="8"/>
        <v/>
      </c>
      <c r="Q69" s="1"/>
    </row>
    <row r="70" spans="1:17" x14ac:dyDescent="0.25">
      <c r="A70" s="15" t="s">
        <v>30</v>
      </c>
      <c r="B70" s="10"/>
      <c r="C70" s="10">
        <v>35977</v>
      </c>
      <c r="D70" s="13"/>
      <c r="E70" s="12">
        <v>16</v>
      </c>
      <c r="F70" s="11" t="s">
        <v>2</v>
      </c>
      <c r="I70" s="16">
        <f t="shared" si="7"/>
        <v>20</v>
      </c>
      <c r="J70" s="16" t="str">
        <f t="shared" si="8"/>
        <v/>
      </c>
      <c r="Q70" s="1"/>
    </row>
    <row r="71" spans="1:17" x14ac:dyDescent="0.25">
      <c r="A71" s="15" t="s">
        <v>31</v>
      </c>
      <c r="B71" s="10">
        <v>32143</v>
      </c>
      <c r="C71" s="10">
        <v>42125</v>
      </c>
      <c r="D71" s="12">
        <v>17</v>
      </c>
      <c r="E71" s="12"/>
      <c r="F71" s="11"/>
      <c r="I71" s="16" t="str">
        <f t="shared" si="7"/>
        <v/>
      </c>
      <c r="J71" s="16">
        <f t="shared" si="8"/>
        <v>20</v>
      </c>
      <c r="Q71" s="1"/>
    </row>
    <row r="72" spans="1:17" x14ac:dyDescent="0.25">
      <c r="A72" s="15" t="s">
        <v>31</v>
      </c>
      <c r="B72" s="10"/>
      <c r="C72" s="10">
        <v>35997</v>
      </c>
      <c r="D72" s="11"/>
      <c r="E72" s="12">
        <v>6</v>
      </c>
      <c r="F72" s="11" t="s">
        <v>2</v>
      </c>
      <c r="I72" s="16">
        <f t="shared" si="7"/>
        <v>10</v>
      </c>
      <c r="J72" s="16" t="str">
        <f t="shared" si="8"/>
        <v/>
      </c>
      <c r="Q72" s="1"/>
    </row>
    <row r="73" spans="1:17" x14ac:dyDescent="0.25">
      <c r="A73" s="15" t="s">
        <v>31</v>
      </c>
      <c r="B73" s="10"/>
      <c r="C73" s="10">
        <v>33725</v>
      </c>
      <c r="D73" s="11"/>
      <c r="E73" s="12">
        <v>4</v>
      </c>
      <c r="F73" s="11" t="s">
        <v>32</v>
      </c>
      <c r="I73" s="16">
        <f t="shared" si="7"/>
        <v>5</v>
      </c>
      <c r="J73" s="16" t="str">
        <f t="shared" si="8"/>
        <v/>
      </c>
      <c r="Q73" s="1"/>
    </row>
    <row r="74" spans="1:17" x14ac:dyDescent="0.25">
      <c r="C74" s="1" t="s">
        <v>35</v>
      </c>
      <c r="D74" s="16">
        <f>AVERAGE(D3:E73)</f>
        <v>10.507042253521126</v>
      </c>
      <c r="E74" s="16"/>
      <c r="Q74" s="1"/>
    </row>
    <row r="75" spans="1:17" x14ac:dyDescent="0.25">
      <c r="C75" s="1" t="s">
        <v>34</v>
      </c>
      <c r="D75" s="16">
        <f>COUNT(D3:D73)</f>
        <v>26</v>
      </c>
      <c r="E75" s="16">
        <f>COUNT(E3:E73)</f>
        <v>45</v>
      </c>
      <c r="F75" s="16" t="s">
        <v>37</v>
      </c>
      <c r="Q75" s="1"/>
    </row>
    <row r="76" spans="1:17" x14ac:dyDescent="0.25">
      <c r="F76" s="16" t="s">
        <v>36</v>
      </c>
      <c r="Q76" s="1"/>
    </row>
    <row r="77" spans="1:17" x14ac:dyDescent="0.25">
      <c r="Q77" s="1"/>
    </row>
  </sheetData>
  <autoFilter ref="A2:F77"/>
  <sortState ref="A3:F73">
    <sortCondition ref="A3:A73"/>
    <sortCondition descending="1" ref="C3:C73"/>
  </sortState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AK132"/>
  <sheetViews>
    <sheetView showGridLines="0" tabSelected="1" topLeftCell="A2" zoomScale="130" zoomScaleNormal="130" workbookViewId="0">
      <pane ySplit="2" topLeftCell="A4" activePane="bottomLeft" state="frozen"/>
      <selection activeCell="B2" sqref="B2"/>
      <selection pane="bottomLeft" activeCell="G67" sqref="G67"/>
    </sheetView>
    <sheetView showGridLines="0" workbookViewId="1"/>
  </sheetViews>
  <sheetFormatPr defaultColWidth="9.7109375" defaultRowHeight="30" customHeight="1" x14ac:dyDescent="0.25"/>
  <cols>
    <col min="1" max="1" width="9.7109375" style="24"/>
    <col min="2" max="2" width="9.7109375" style="23"/>
    <col min="3" max="3" width="12.7109375" style="23" customWidth="1"/>
    <col min="4" max="4" width="14.7109375" style="23" customWidth="1"/>
    <col min="5" max="5" width="23.7109375" style="30" customWidth="1"/>
    <col min="6" max="6" width="20.42578125" style="24" customWidth="1"/>
    <col min="7" max="7" width="16.85546875" style="28" customWidth="1"/>
    <col min="8" max="8" width="16.5703125" style="28" customWidth="1"/>
    <col min="9" max="9" width="19.85546875" style="28" customWidth="1"/>
    <col min="10" max="10" width="13.140625" style="28" customWidth="1"/>
    <col min="11" max="11" width="14.42578125" style="61" customWidth="1"/>
    <col min="12" max="12" width="19.42578125" style="24" bestFit="1" customWidth="1"/>
    <col min="13" max="13" width="23.7109375" style="30" customWidth="1"/>
    <col min="14" max="14" width="19.42578125" style="24" customWidth="1"/>
    <col min="15" max="15" width="18.140625" style="24" customWidth="1"/>
    <col min="16" max="17" width="23.7109375" style="30" customWidth="1"/>
    <col min="18" max="19" width="9" style="24" customWidth="1"/>
    <col min="20" max="20" width="19.7109375" style="23" bestFit="1" customWidth="1"/>
    <col min="21" max="21" width="18" style="23" customWidth="1"/>
    <col min="22" max="22" width="12" style="24" customWidth="1"/>
    <col min="23" max="23" width="18" style="23" customWidth="1"/>
    <col min="24" max="24" width="16.42578125" style="23" customWidth="1"/>
    <col min="25" max="25" width="12" style="24" customWidth="1"/>
    <col min="26" max="26" width="9.7109375" style="24"/>
    <col min="27" max="27" width="16.42578125" style="24" customWidth="1"/>
    <col min="28" max="28" width="19.7109375" style="23" customWidth="1"/>
    <col min="29" max="30" width="15.7109375" style="23" customWidth="1"/>
    <col min="31" max="31" width="15.7109375" style="31" customWidth="1"/>
    <col min="32" max="32" width="15.7109375" style="24" customWidth="1"/>
    <col min="33" max="33" width="9.7109375" style="24"/>
    <col min="34" max="34" width="11" style="24" customWidth="1"/>
    <col min="35" max="35" width="12" style="24" bestFit="1" customWidth="1"/>
    <col min="36" max="16384" width="9.7109375" style="24"/>
  </cols>
  <sheetData>
    <row r="2" spans="2:37" ht="74.25" customHeight="1" x14ac:dyDescent="0.25">
      <c r="D2" s="32" t="s">
        <v>16</v>
      </c>
      <c r="E2" s="22"/>
      <c r="F2" s="21"/>
      <c r="G2" s="52"/>
      <c r="H2" s="52"/>
      <c r="I2" s="52"/>
      <c r="AE2" s="24"/>
    </row>
    <row r="3" spans="2:37" s="48" customFormat="1" ht="37.5" customHeight="1" x14ac:dyDescent="0.25">
      <c r="B3" s="57" t="s">
        <v>75</v>
      </c>
      <c r="C3" s="57" t="s">
        <v>76</v>
      </c>
      <c r="D3" s="57" t="s">
        <v>57</v>
      </c>
      <c r="E3" s="58" t="s">
        <v>54</v>
      </c>
      <c r="F3" s="57" t="s">
        <v>45</v>
      </c>
      <c r="G3" s="59" t="s">
        <v>47</v>
      </c>
      <c r="H3" s="59" t="s">
        <v>53</v>
      </c>
      <c r="I3" s="59" t="s">
        <v>48</v>
      </c>
      <c r="J3" s="66"/>
      <c r="K3" s="64"/>
      <c r="L3" s="45" t="s">
        <v>20</v>
      </c>
      <c r="M3" s="46" t="s">
        <v>19</v>
      </c>
      <c r="N3" s="45" t="s">
        <v>17</v>
      </c>
      <c r="O3" s="45" t="s">
        <v>18</v>
      </c>
      <c r="P3" s="46" t="s">
        <v>42</v>
      </c>
      <c r="Q3" s="46" t="s">
        <v>43</v>
      </c>
      <c r="R3" s="45"/>
      <c r="S3" s="45"/>
      <c r="T3" s="45"/>
      <c r="U3" s="47"/>
      <c r="W3" s="47" t="s">
        <v>40</v>
      </c>
      <c r="X3" s="47" t="s">
        <v>41</v>
      </c>
      <c r="AB3" s="49" t="s">
        <v>39</v>
      </c>
      <c r="AC3" s="49"/>
      <c r="AD3" s="50" t="s">
        <v>38</v>
      </c>
      <c r="AG3" s="51" t="s">
        <v>39</v>
      </c>
      <c r="AH3" s="51" t="s">
        <v>38</v>
      </c>
    </row>
    <row r="4" spans="2:37" ht="30" hidden="1" customHeight="1" x14ac:dyDescent="0.25">
      <c r="B4" s="86" t="str">
        <f>RIGHT(D4,1)</f>
        <v>A</v>
      </c>
      <c r="C4" s="86" t="str">
        <f>MID(D4,6,3)</f>
        <v>103</v>
      </c>
      <c r="D4" s="33" t="s">
        <v>0</v>
      </c>
      <c r="E4" s="34">
        <v>28126</v>
      </c>
      <c r="F4" s="35" t="s">
        <v>46</v>
      </c>
      <c r="G4" s="84" t="str">
        <f t="array" ref="G4">IF($F4="Repair",($E4-MAX(IF($D$4:$D$200=$D4,IF($E$4:$E$200&lt;$E4,IF($F$4:$F$200&lt;&gt;"Repair",$E$4:$E$200)))))/365,"")</f>
        <v/>
      </c>
      <c r="H4" s="84" t="str">
        <f t="array" ref="H4">IF($F4="Replace",($E4-MAX(IF($D$4:$D$200=$D4,IF($E$4:$E$200&lt;$E4,IF($F$4:$F$200&lt;&gt;"Repair",$E$4:$E$200)))))/365,"")</f>
        <v/>
      </c>
      <c r="I4" s="53" t="s">
        <v>44</v>
      </c>
      <c r="L4" s="36">
        <v>28126</v>
      </c>
      <c r="M4" s="34">
        <v>38168</v>
      </c>
      <c r="N4" s="37">
        <v>11</v>
      </c>
      <c r="O4" s="33"/>
      <c r="P4" s="34" t="s">
        <v>44</v>
      </c>
      <c r="Q4" s="34">
        <v>38168</v>
      </c>
      <c r="R4" s="33"/>
      <c r="S4" s="33"/>
      <c r="T4" s="33"/>
      <c r="U4" s="28"/>
      <c r="W4" s="23" t="str">
        <f t="shared" ref="W4:W35" si="0">IF(O4="","",INDEX($AF$4:$AF$11,MATCH(O4,$AF$4:$AF$11,TRUE)+1,1))</f>
        <v/>
      </c>
      <c r="X4" s="23">
        <f t="shared" ref="X4:X35" si="1">IF(N4="","",INDEX($AF$4:$AF$11,MATCH(N4,$AF$4:$AF$11,TRUE)+1,1))</f>
        <v>15</v>
      </c>
      <c r="AA4" s="24">
        <v>1</v>
      </c>
      <c r="AB4" s="23">
        <f t="shared" ref="AB4:AB38" si="2">COUNTIF(O:O,$AA4)</f>
        <v>0</v>
      </c>
      <c r="AD4" s="23">
        <f>COUNTIF(N:N,$AA4)</f>
        <v>0</v>
      </c>
      <c r="AE4" s="24"/>
      <c r="AF4" s="24">
        <v>0</v>
      </c>
      <c r="AG4" s="24">
        <f>COUNTIF(W:W,$AF4)</f>
        <v>0</v>
      </c>
      <c r="AH4" s="24">
        <f>COUNTIF(X:X,$AF4)</f>
        <v>0</v>
      </c>
      <c r="AI4" s="29"/>
      <c r="AK4" s="29"/>
    </row>
    <row r="5" spans="2:37" ht="30" hidden="1" customHeight="1" x14ac:dyDescent="0.25">
      <c r="B5" s="33" t="str">
        <f t="shared" ref="B5:B68" si="3">RIGHT(D5,1)</f>
        <v>A</v>
      </c>
      <c r="C5" s="33" t="str">
        <f t="shared" ref="C5:C68" si="4">MID(D5,6,3)</f>
        <v>103</v>
      </c>
      <c r="D5" s="33" t="s">
        <v>0</v>
      </c>
      <c r="E5" s="34">
        <v>34240</v>
      </c>
      <c r="F5" s="35" t="s">
        <v>39</v>
      </c>
      <c r="G5" s="84">
        <f t="array" ref="G5">IF($F5="Repair",($E5-MAX(IF($D$4:$D$200=$D5,IF($E$4:$E$200&lt;$E5,IF($F$4:$F$200&lt;&gt;"Repair",$E$4:$E$200)))))/365,"")</f>
        <v>16.75068493150685</v>
      </c>
      <c r="H5" s="84" t="str">
        <f t="array" ref="H5">IF($F5="Replace",($E5-MAX(IF($D$4:$D$200=$D5,IF($E$4:$E$200&lt;$E5,IF($F$4:$F$200&lt;&gt;"Repair",$E$4:$E$200)))))/365,"")</f>
        <v/>
      </c>
      <c r="I5" s="53">
        <v>16.75068493150685</v>
      </c>
      <c r="L5" s="36"/>
      <c r="M5" s="34">
        <v>34240</v>
      </c>
      <c r="N5" s="33"/>
      <c r="O5" s="37">
        <v>16</v>
      </c>
      <c r="P5" s="34">
        <v>34240</v>
      </c>
      <c r="Q5" s="34" t="s">
        <v>44</v>
      </c>
      <c r="R5" s="37"/>
      <c r="S5" s="37"/>
      <c r="T5" s="33"/>
      <c r="W5" s="23">
        <f t="shared" si="0"/>
        <v>20</v>
      </c>
      <c r="X5" s="23" t="str">
        <f t="shared" si="1"/>
        <v/>
      </c>
      <c r="AA5" s="24">
        <f>AA4+1</f>
        <v>2</v>
      </c>
      <c r="AB5" s="23">
        <f t="shared" si="2"/>
        <v>2</v>
      </c>
      <c r="AD5" s="23">
        <f t="shared" ref="AD5:AD38" si="5">COUNTIF(N:N,AA5)</f>
        <v>1</v>
      </c>
      <c r="AE5" s="24"/>
      <c r="AF5" s="24">
        <v>5</v>
      </c>
      <c r="AG5" s="24">
        <f t="shared" ref="AG5:AG11" si="6">COUNTIF(W:W,AF5)</f>
        <v>11</v>
      </c>
      <c r="AH5" s="24">
        <f t="shared" ref="AH5:AH11" si="7">COUNTIF(X:X,$AF5)</f>
        <v>4</v>
      </c>
      <c r="AI5" s="29"/>
      <c r="AK5" s="29"/>
    </row>
    <row r="6" spans="2:37" ht="30" hidden="1" customHeight="1" x14ac:dyDescent="0.25">
      <c r="B6" s="33" t="str">
        <f t="shared" si="3"/>
        <v>A</v>
      </c>
      <c r="C6" s="33" t="str">
        <f t="shared" si="4"/>
        <v>103</v>
      </c>
      <c r="D6" s="37" t="s">
        <v>0</v>
      </c>
      <c r="E6" s="34">
        <v>38168</v>
      </c>
      <c r="F6" s="35" t="s">
        <v>38</v>
      </c>
      <c r="G6" s="84" t="str">
        <f t="array" ref="G6">IF($F6="Repair",($E6-MAX(IF($D$4:$D$200=$D6,IF($E$4:$E$200&lt;$E6,IF($F$4:$F$200&lt;&gt;"Repair",$E$4:$E$200)))))/365,"")</f>
        <v/>
      </c>
      <c r="H6" s="84">
        <f t="array" ref="H6">IF($F6="Replace",($E6-MAX(IF($D$4:$D$200=$D6,IF($E$4:$E$200&lt;$E6,IF($F$4:$F$200&lt;&gt;"Repair",$E$4:$E$200)))))/365,"")</f>
        <v>27.512328767123286</v>
      </c>
      <c r="I6" s="53">
        <v>27.512328767123286</v>
      </c>
      <c r="L6" s="36">
        <v>28126</v>
      </c>
      <c r="M6" s="34">
        <v>41791</v>
      </c>
      <c r="N6" s="37">
        <v>17</v>
      </c>
      <c r="O6" s="37"/>
      <c r="P6" s="34" t="s">
        <v>44</v>
      </c>
      <c r="Q6" s="34">
        <v>41791</v>
      </c>
      <c r="R6" s="37"/>
      <c r="S6" s="37"/>
      <c r="T6" s="33"/>
      <c r="W6" s="23" t="str">
        <f t="shared" si="0"/>
        <v/>
      </c>
      <c r="X6" s="23">
        <f t="shared" si="1"/>
        <v>20</v>
      </c>
      <c r="AA6" s="24">
        <f t="shared" ref="AA6:AA38" si="8">AA5+1</f>
        <v>3</v>
      </c>
      <c r="AB6" s="23">
        <f t="shared" si="2"/>
        <v>5</v>
      </c>
      <c r="AD6" s="23">
        <f t="shared" si="5"/>
        <v>1</v>
      </c>
      <c r="AE6" s="24"/>
      <c r="AF6" s="24">
        <v>10</v>
      </c>
      <c r="AG6" s="24">
        <f t="shared" si="6"/>
        <v>15</v>
      </c>
      <c r="AH6" s="24">
        <f t="shared" si="7"/>
        <v>6</v>
      </c>
      <c r="AI6" s="29"/>
      <c r="AK6" s="29"/>
    </row>
    <row r="7" spans="2:37" ht="30" hidden="1" customHeight="1" x14ac:dyDescent="0.25">
      <c r="B7" s="33" t="str">
        <f t="shared" si="3"/>
        <v>B</v>
      </c>
      <c r="C7" s="33" t="str">
        <f t="shared" si="4"/>
        <v>103</v>
      </c>
      <c r="D7" s="33" t="s">
        <v>1</v>
      </c>
      <c r="E7" s="34">
        <v>28126</v>
      </c>
      <c r="F7" s="35" t="s">
        <v>46</v>
      </c>
      <c r="G7" s="84" t="str">
        <f t="array" ref="G7">IF($F7="Repair",($E7-MAX(IF($D$4:$D$200=$D7,IF($E$4:$E$200&lt;$E7,IF($F$4:$F$200&lt;&gt;"Repair",$E$4:$E$200)))))/365,"")</f>
        <v/>
      </c>
      <c r="H7" s="84" t="str">
        <f t="array" ref="H7">IF($F7="Replace",($E7-MAX(IF($D$4:$D$200=$D7,IF($E$4:$E$200&lt;$E7,IF($F$4:$F$200&lt;&gt;"Repair",$E$4:$E$200)))))/365,"")</f>
        <v/>
      </c>
      <c r="I7" s="53" t="s">
        <v>44</v>
      </c>
      <c r="L7" s="36"/>
      <c r="M7" s="34">
        <v>35587</v>
      </c>
      <c r="N7" s="37">
        <v>7</v>
      </c>
      <c r="O7" s="37"/>
      <c r="P7" s="34" t="s">
        <v>44</v>
      </c>
      <c r="Q7" s="34">
        <v>35587</v>
      </c>
      <c r="R7" s="37"/>
      <c r="S7" s="37"/>
      <c r="T7" s="33"/>
      <c r="W7" s="23" t="str">
        <f t="shared" si="0"/>
        <v/>
      </c>
      <c r="X7" s="23">
        <f t="shared" si="1"/>
        <v>10</v>
      </c>
      <c r="AA7" s="24">
        <f t="shared" si="8"/>
        <v>4</v>
      </c>
      <c r="AB7" s="23">
        <f t="shared" si="2"/>
        <v>4</v>
      </c>
      <c r="AD7" s="23">
        <f t="shared" si="5"/>
        <v>2</v>
      </c>
      <c r="AE7" s="24"/>
      <c r="AF7" s="24">
        <v>15</v>
      </c>
      <c r="AG7" s="24">
        <f t="shared" si="6"/>
        <v>7</v>
      </c>
      <c r="AH7" s="24">
        <f t="shared" si="7"/>
        <v>7</v>
      </c>
      <c r="AI7" s="29"/>
      <c r="AK7" s="29"/>
    </row>
    <row r="8" spans="2:37" ht="30" hidden="1" customHeight="1" x14ac:dyDescent="0.25">
      <c r="B8" s="33" t="str">
        <f t="shared" si="3"/>
        <v>B</v>
      </c>
      <c r="C8" s="33" t="str">
        <f t="shared" si="4"/>
        <v>103</v>
      </c>
      <c r="D8" s="33" t="s">
        <v>1</v>
      </c>
      <c r="E8" s="34">
        <v>32933</v>
      </c>
      <c r="F8" s="35" t="s">
        <v>39</v>
      </c>
      <c r="G8" s="84">
        <f t="array" ref="G8">IF($F8="Repair",($E8-MAX(IF($D$4:$D$200=$D8,IF($E$4:$E$200&lt;$E8,IF($F$4:$F$200&lt;&gt;"Repair",$E$4:$E$200)))))/365,"")</f>
        <v>13.169863013698631</v>
      </c>
      <c r="H8" s="84" t="str">
        <f t="array" ref="H8">IF($F8="Replace",($E8-MAX(IF($D$4:$D$200=$D8,IF($E$4:$E$200&lt;$E8,IF($F$4:$F$200&lt;&gt;"Repair",$E$4:$E$200)))))/365,"")</f>
        <v/>
      </c>
      <c r="I8" s="53">
        <v>13.169863013698631</v>
      </c>
      <c r="L8" s="36"/>
      <c r="M8" s="34">
        <v>32933</v>
      </c>
      <c r="N8" s="33"/>
      <c r="O8" s="37">
        <v>13</v>
      </c>
      <c r="P8" s="34">
        <v>32933</v>
      </c>
      <c r="Q8" s="34" t="s">
        <v>44</v>
      </c>
      <c r="R8" s="37"/>
      <c r="S8" s="37"/>
      <c r="T8" s="33" t="s">
        <v>2</v>
      </c>
      <c r="W8" s="23">
        <f t="shared" si="0"/>
        <v>15</v>
      </c>
      <c r="X8" s="23" t="str">
        <f t="shared" si="1"/>
        <v/>
      </c>
      <c r="AA8" s="24">
        <f t="shared" si="8"/>
        <v>5</v>
      </c>
      <c r="AB8" s="23">
        <f t="shared" si="2"/>
        <v>4</v>
      </c>
      <c r="AD8" s="23">
        <f t="shared" si="5"/>
        <v>0</v>
      </c>
      <c r="AE8" s="24"/>
      <c r="AF8" s="24">
        <v>20</v>
      </c>
      <c r="AG8" s="24">
        <f t="shared" si="6"/>
        <v>11</v>
      </c>
      <c r="AH8" s="24">
        <f t="shared" si="7"/>
        <v>6</v>
      </c>
      <c r="AI8" s="29"/>
      <c r="AK8" s="29"/>
    </row>
    <row r="9" spans="2:37" ht="30" hidden="1" customHeight="1" x14ac:dyDescent="0.25">
      <c r="B9" s="33" t="str">
        <f t="shared" si="3"/>
        <v>B</v>
      </c>
      <c r="C9" s="33" t="str">
        <f t="shared" si="4"/>
        <v>103</v>
      </c>
      <c r="D9" s="33" t="s">
        <v>1</v>
      </c>
      <c r="E9" s="34">
        <v>35587</v>
      </c>
      <c r="F9" s="35" t="s">
        <v>38</v>
      </c>
      <c r="G9" s="84" t="str">
        <f t="array" ref="G9">IF($F9="Repair",($E9-MAX(IF($D$4:$D$200=$D9,IF($E$4:$E$200&lt;$E9,IF($F$4:$F$200&lt;&gt;"Repair",$E$4:$E$200)))))/365,"")</f>
        <v/>
      </c>
      <c r="H9" s="84">
        <f t="array" ref="H9">IF($F9="Replace",($E9-MAX(IF($D$4:$D$200=$D9,IF($E$4:$E$200&lt;$E9,IF($F$4:$F$200&lt;&gt;"Repair",$E$4:$E$200)))))/365,"")</f>
        <v>20.44109589041096</v>
      </c>
      <c r="I9" s="53">
        <v>20.44109589041096</v>
      </c>
      <c r="L9" s="36">
        <v>28126</v>
      </c>
      <c r="M9" s="34">
        <v>40438</v>
      </c>
      <c r="N9" s="37">
        <v>33</v>
      </c>
      <c r="O9" s="37"/>
      <c r="P9" s="34" t="s">
        <v>44</v>
      </c>
      <c r="Q9" s="34">
        <v>40438</v>
      </c>
      <c r="R9" s="37"/>
      <c r="S9" s="37"/>
      <c r="T9" s="33"/>
      <c r="W9" s="23" t="str">
        <f t="shared" si="0"/>
        <v/>
      </c>
      <c r="X9" s="23">
        <f t="shared" si="1"/>
        <v>35</v>
      </c>
      <c r="AA9" s="24">
        <f t="shared" si="8"/>
        <v>6</v>
      </c>
      <c r="AB9" s="23">
        <f t="shared" si="2"/>
        <v>4</v>
      </c>
      <c r="AD9" s="23">
        <f t="shared" si="5"/>
        <v>0</v>
      </c>
      <c r="AE9" s="24"/>
      <c r="AF9" s="24">
        <v>25</v>
      </c>
      <c r="AG9" s="24">
        <f t="shared" si="6"/>
        <v>1</v>
      </c>
      <c r="AH9" s="24">
        <f t="shared" si="7"/>
        <v>1</v>
      </c>
      <c r="AI9" s="29"/>
      <c r="AK9" s="29"/>
    </row>
    <row r="10" spans="2:37" ht="30" hidden="1" customHeight="1" x14ac:dyDescent="0.25">
      <c r="B10" s="33" t="str">
        <f t="shared" si="3"/>
        <v>B</v>
      </c>
      <c r="C10" s="33" t="str">
        <f t="shared" si="4"/>
        <v>103</v>
      </c>
      <c r="D10" s="37" t="s">
        <v>1</v>
      </c>
      <c r="E10" s="34">
        <v>41791</v>
      </c>
      <c r="F10" s="35" t="s">
        <v>38</v>
      </c>
      <c r="G10" s="84" t="str">
        <f t="array" ref="G10">IF($F10="Repair",($E10-MAX(IF($D$4:$D$200=$D10,IF($E$4:$E$200&lt;$E10,IF($F$4:$F$200&lt;&gt;"Repair",$E$4:$E$200)))))/365,"")</f>
        <v/>
      </c>
      <c r="H10" s="84">
        <f t="array" ref="H10">IF($F10="Replace",($E10-MAX(IF($D$4:$D$200=$D10,IF($E$4:$E$200&lt;$E10,IF($F$4:$F$200&lt;&gt;"Repair",$E$4:$E$200)))))/365,"")</f>
        <v>16.997260273972604</v>
      </c>
      <c r="I10" s="53">
        <v>37.438356164383563</v>
      </c>
      <c r="L10" s="36">
        <v>28126</v>
      </c>
      <c r="M10" s="34">
        <v>40800</v>
      </c>
      <c r="N10" s="37">
        <v>10</v>
      </c>
      <c r="O10" s="37"/>
      <c r="P10" s="34" t="s">
        <v>44</v>
      </c>
      <c r="Q10" s="34">
        <v>40800</v>
      </c>
      <c r="R10" s="37"/>
      <c r="S10" s="37"/>
      <c r="T10" s="33"/>
      <c r="W10" s="23" t="str">
        <f t="shared" si="0"/>
        <v/>
      </c>
      <c r="X10" s="23">
        <f t="shared" si="1"/>
        <v>15</v>
      </c>
      <c r="AA10" s="24">
        <f t="shared" si="8"/>
        <v>7</v>
      </c>
      <c r="AB10" s="23">
        <f t="shared" si="2"/>
        <v>6</v>
      </c>
      <c r="AD10" s="23">
        <f t="shared" si="5"/>
        <v>1</v>
      </c>
      <c r="AE10" s="24"/>
      <c r="AF10" s="24">
        <v>30</v>
      </c>
      <c r="AG10" s="24">
        <f t="shared" si="6"/>
        <v>0</v>
      </c>
      <c r="AH10" s="24">
        <f t="shared" si="7"/>
        <v>0</v>
      </c>
      <c r="AI10" s="29"/>
    </row>
    <row r="11" spans="2:37" ht="30" hidden="1" customHeight="1" x14ac:dyDescent="0.25">
      <c r="B11" s="33" t="str">
        <f t="shared" si="3"/>
        <v>C</v>
      </c>
      <c r="C11" s="33" t="str">
        <f t="shared" si="4"/>
        <v>103</v>
      </c>
      <c r="D11" s="33" t="s">
        <v>3</v>
      </c>
      <c r="E11" s="34">
        <v>28126</v>
      </c>
      <c r="F11" s="35" t="s">
        <v>46</v>
      </c>
      <c r="G11" s="84" t="str">
        <f t="array" ref="G11">IF($F11="Repair",($E11-MAX(IF($D$4:$D$200=$D11,IF($E$4:$E$200&lt;$E11,IF($F$4:$F$200&lt;&gt;"Repair",$E$4:$E$200)))))/365,"")</f>
        <v/>
      </c>
      <c r="H11" s="84" t="str">
        <f t="array" ref="H11">IF($F11="Replace",($E11-MAX(IF($D$4:$D$200=$D11,IF($E$4:$E$200&lt;$E11,IF($F$4:$F$200&lt;&gt;"Repair",$E$4:$E$200)))))/365,"")</f>
        <v/>
      </c>
      <c r="I11" s="53" t="s">
        <v>44</v>
      </c>
      <c r="L11" s="36"/>
      <c r="M11" s="34">
        <v>37032</v>
      </c>
      <c r="N11" s="33"/>
      <c r="O11" s="37">
        <v>6</v>
      </c>
      <c r="P11" s="34">
        <v>37032</v>
      </c>
      <c r="Q11" s="34" t="s">
        <v>44</v>
      </c>
      <c r="R11" s="37"/>
      <c r="S11" s="37"/>
      <c r="T11" s="33" t="s">
        <v>2</v>
      </c>
      <c r="W11" s="23">
        <f t="shared" si="0"/>
        <v>10</v>
      </c>
      <c r="X11" s="23" t="str">
        <f t="shared" si="1"/>
        <v/>
      </c>
      <c r="AA11" s="24">
        <f t="shared" si="8"/>
        <v>8</v>
      </c>
      <c r="AB11" s="23">
        <f t="shared" si="2"/>
        <v>0</v>
      </c>
      <c r="AD11" s="23">
        <f t="shared" si="5"/>
        <v>4</v>
      </c>
      <c r="AE11" s="24"/>
      <c r="AF11" s="24">
        <v>35</v>
      </c>
      <c r="AG11" s="24">
        <f t="shared" si="6"/>
        <v>0</v>
      </c>
      <c r="AH11" s="24">
        <f t="shared" si="7"/>
        <v>1</v>
      </c>
      <c r="AI11" s="29"/>
    </row>
    <row r="12" spans="2:37" ht="30" hidden="1" customHeight="1" x14ac:dyDescent="0.25">
      <c r="B12" s="33" t="str">
        <f t="shared" si="3"/>
        <v>C</v>
      </c>
      <c r="C12" s="33" t="str">
        <f t="shared" si="4"/>
        <v>103</v>
      </c>
      <c r="D12" s="37" t="s">
        <v>3</v>
      </c>
      <c r="E12" s="34">
        <v>40438</v>
      </c>
      <c r="F12" s="35" t="s">
        <v>38</v>
      </c>
      <c r="G12" s="84" t="str">
        <f t="array" ref="G12">IF($F12="Repair",($E12-MAX(IF($D$4:$D$200=$D12,IF($E$4:$E$200&lt;$E12,IF($F$4:$F$200&lt;&gt;"Repair",$E$4:$E$200)))))/365,"")</f>
        <v/>
      </c>
      <c r="H12" s="84">
        <f t="array" ref="H12">IF($F12="Replace",($E12-MAX(IF($D$4:$D$200=$D12,IF($E$4:$E$200&lt;$E12,IF($F$4:$F$200&lt;&gt;"Repair",$E$4:$E$200)))))/365,"")</f>
        <v>33.731506849315068</v>
      </c>
      <c r="I12" s="53">
        <v>33.731506849315068</v>
      </c>
      <c r="L12" s="36"/>
      <c r="M12" s="34">
        <v>34912</v>
      </c>
      <c r="N12" s="33"/>
      <c r="O12" s="37">
        <v>18</v>
      </c>
      <c r="P12" s="34">
        <v>34912</v>
      </c>
      <c r="Q12" s="34" t="s">
        <v>44</v>
      </c>
      <c r="R12" s="37"/>
      <c r="S12" s="37"/>
      <c r="T12" s="33" t="s">
        <v>2</v>
      </c>
      <c r="W12" s="23">
        <f t="shared" si="0"/>
        <v>20</v>
      </c>
      <c r="X12" s="23" t="str">
        <f t="shared" si="1"/>
        <v/>
      </c>
      <c r="AA12" s="24">
        <f t="shared" si="8"/>
        <v>9</v>
      </c>
      <c r="AB12" s="23">
        <f t="shared" si="2"/>
        <v>1</v>
      </c>
      <c r="AD12" s="23">
        <f t="shared" si="5"/>
        <v>1</v>
      </c>
      <c r="AE12" s="24"/>
      <c r="AH12" s="29"/>
      <c r="AI12" s="29"/>
    </row>
    <row r="13" spans="2:37" ht="30" customHeight="1" x14ac:dyDescent="0.25">
      <c r="B13" s="33" t="str">
        <f t="shared" si="3"/>
        <v>D</v>
      </c>
      <c r="C13" s="33" t="str">
        <f t="shared" si="4"/>
        <v>103</v>
      </c>
      <c r="D13" s="33" t="s">
        <v>4</v>
      </c>
      <c r="E13" s="34">
        <v>28126</v>
      </c>
      <c r="F13" s="35" t="s">
        <v>46</v>
      </c>
      <c r="G13" s="84" t="str">
        <f t="array" ref="G13">IF($F13="Repair",($E13-MAX(IF($D$4:$D$200=$D13,IF($E$4:$E$200&lt;$E13,IF($F$4:$F$200&lt;&gt;"Repair",$E$4:$E$200)))))/365,"")</f>
        <v/>
      </c>
      <c r="H13" s="84" t="str">
        <f t="array" ref="H13">IF($F13="Replace",($E13-MAX(IF($D$4:$D$200=$D13,IF($E$4:$E$200&lt;$E13,IF($F$4:$F$200&lt;&gt;"Repair",$E$4:$E$200)))))/365,"")</f>
        <v/>
      </c>
      <c r="I13" s="53" t="s">
        <v>44</v>
      </c>
      <c r="L13" s="36">
        <v>28126</v>
      </c>
      <c r="M13" s="34">
        <v>41068</v>
      </c>
      <c r="N13" s="37">
        <v>35</v>
      </c>
      <c r="O13" s="37"/>
      <c r="P13" s="34" t="s">
        <v>44</v>
      </c>
      <c r="Q13" s="34">
        <v>41068</v>
      </c>
      <c r="R13" s="37"/>
      <c r="S13" s="37"/>
      <c r="T13" s="33"/>
      <c r="W13" s="23" t="str">
        <f t="shared" si="0"/>
        <v/>
      </c>
      <c r="X13" s="23" t="e">
        <f t="shared" si="1"/>
        <v>#REF!</v>
      </c>
      <c r="AA13" s="24">
        <f t="shared" si="8"/>
        <v>10</v>
      </c>
      <c r="AB13" s="23">
        <f t="shared" si="2"/>
        <v>2</v>
      </c>
      <c r="AD13" s="23">
        <f t="shared" si="5"/>
        <v>3</v>
      </c>
      <c r="AE13" s="24"/>
      <c r="AH13" s="29"/>
      <c r="AI13" s="29"/>
    </row>
    <row r="14" spans="2:37" ht="30" customHeight="1" x14ac:dyDescent="0.25">
      <c r="B14" s="33" t="str">
        <f t="shared" si="3"/>
        <v>D</v>
      </c>
      <c r="C14" s="33" t="str">
        <f t="shared" si="4"/>
        <v>103</v>
      </c>
      <c r="D14" s="33" t="s">
        <v>4</v>
      </c>
      <c r="E14" s="34">
        <v>34912</v>
      </c>
      <c r="F14" s="35" t="s">
        <v>39</v>
      </c>
      <c r="G14" s="84">
        <f t="array" ref="G14">IF($F14="Repair",($E14-MAX(IF($D$4:$D$200=$D14,IF($E$4:$E$200&lt;$E14,IF($F$4:$F$200&lt;&gt;"Repair",$E$4:$E$200)))))/365,"")</f>
        <v>18.591780821917808</v>
      </c>
      <c r="H14" s="84" t="str">
        <f t="array" ref="H14">IF($F14="Replace",($E14-MAX(IF($D$4:$D$200=$D14,IF($E$4:$E$200&lt;$E14,IF($F$4:$F$200&lt;&gt;"Repair",$E$4:$E$200)))))/365,"")</f>
        <v/>
      </c>
      <c r="I14" s="53">
        <v>18.591780821917808</v>
      </c>
      <c r="L14" s="36">
        <v>28126</v>
      </c>
      <c r="M14" s="38">
        <v>35796</v>
      </c>
      <c r="N14" s="37">
        <v>8</v>
      </c>
      <c r="O14" s="37"/>
      <c r="P14" s="38" t="s">
        <v>44</v>
      </c>
      <c r="Q14" s="38">
        <v>35796</v>
      </c>
      <c r="R14" s="37"/>
      <c r="S14" s="37"/>
      <c r="T14" s="33"/>
      <c r="W14" s="23" t="str">
        <f t="shared" si="0"/>
        <v/>
      </c>
      <c r="X14" s="23">
        <f t="shared" si="1"/>
        <v>10</v>
      </c>
      <c r="AA14" s="24">
        <f t="shared" si="8"/>
        <v>11</v>
      </c>
      <c r="AB14" s="23">
        <f t="shared" si="2"/>
        <v>0</v>
      </c>
      <c r="AD14" s="23">
        <f t="shared" si="5"/>
        <v>1</v>
      </c>
      <c r="AE14" s="24"/>
      <c r="AH14" s="29"/>
      <c r="AI14" s="29"/>
    </row>
    <row r="15" spans="2:37" ht="30" customHeight="1" x14ac:dyDescent="0.25">
      <c r="B15" s="33" t="str">
        <f t="shared" si="3"/>
        <v>D</v>
      </c>
      <c r="C15" s="33" t="str">
        <f t="shared" si="4"/>
        <v>103</v>
      </c>
      <c r="D15" s="33" t="s">
        <v>4</v>
      </c>
      <c r="E15" s="34">
        <v>37032</v>
      </c>
      <c r="F15" s="35" t="s">
        <v>39</v>
      </c>
      <c r="G15" s="84">
        <f t="array" ref="G15">IF($F15="Repair",($E15-MAX(IF($D$4:$D$200=$D15,IF($E$4:$E$200&lt;$E15,IF($F$4:$F$200&lt;&gt;"Repair",$E$4:$E$200)))))/365,"")</f>
        <v>24.4</v>
      </c>
      <c r="H15" s="84" t="str">
        <f t="array" ref="H15">IF($F15="Replace",($E15-MAX(IF($D$4:$D$200=$D15,IF($E$4:$E$200&lt;$E15,IF($F$4:$F$200&lt;&gt;"Repair",$E$4:$E$200)))))/365,"")</f>
        <v/>
      </c>
      <c r="I15" s="53">
        <v>24.4</v>
      </c>
      <c r="L15" s="36"/>
      <c r="M15" s="34">
        <v>32994</v>
      </c>
      <c r="N15" s="33"/>
      <c r="O15" s="37">
        <v>13</v>
      </c>
      <c r="P15" s="34">
        <v>32994</v>
      </c>
      <c r="Q15" s="34" t="s">
        <v>44</v>
      </c>
      <c r="R15" s="37"/>
      <c r="S15" s="37"/>
      <c r="T15" s="33"/>
      <c r="W15" s="23">
        <f t="shared" si="0"/>
        <v>15</v>
      </c>
      <c r="X15" s="23" t="str">
        <f t="shared" si="1"/>
        <v/>
      </c>
      <c r="AA15" s="24">
        <f t="shared" si="8"/>
        <v>12</v>
      </c>
      <c r="AB15" s="23">
        <f t="shared" si="2"/>
        <v>1</v>
      </c>
      <c r="AD15" s="23">
        <f t="shared" si="5"/>
        <v>1</v>
      </c>
      <c r="AE15" s="24"/>
      <c r="AH15" s="29"/>
      <c r="AI15" s="29"/>
    </row>
    <row r="16" spans="2:37" ht="30" customHeight="1" x14ac:dyDescent="0.25">
      <c r="B16" s="33" t="str">
        <f t="shared" si="3"/>
        <v>D</v>
      </c>
      <c r="C16" s="33" t="str">
        <f t="shared" si="4"/>
        <v>103</v>
      </c>
      <c r="D16" s="37" t="s">
        <v>4</v>
      </c>
      <c r="E16" s="34">
        <v>40800</v>
      </c>
      <c r="F16" s="35" t="s">
        <v>38</v>
      </c>
      <c r="G16" s="84" t="str">
        <f t="array" ref="G16">IF($F16="Repair",($E16-MAX(IF($D$4:$D$200=$D16,IF($E$4:$E$200&lt;$E16,IF($F$4:$F$200&lt;&gt;"Repair",$E$4:$E$200)))))/365,"")</f>
        <v/>
      </c>
      <c r="H16" s="84">
        <f t="array" ref="H16">IF($F16="Replace",($E16-MAX(IF($D$4:$D$200=$D16,IF($E$4:$E$200&lt;$E16,IF($F$4:$F$200&lt;&gt;"Repair",$E$4:$E$200)))))/365,"")</f>
        <v>34.723287671232875</v>
      </c>
      <c r="I16" s="53">
        <v>34.723287671232875</v>
      </c>
      <c r="L16" s="36">
        <v>28126</v>
      </c>
      <c r="M16" s="34">
        <v>39023</v>
      </c>
      <c r="N16" s="37">
        <v>8</v>
      </c>
      <c r="O16" s="37"/>
      <c r="P16" s="34" t="s">
        <v>44</v>
      </c>
      <c r="Q16" s="34">
        <v>39023</v>
      </c>
      <c r="R16" s="37"/>
      <c r="S16" s="37"/>
      <c r="T16" s="33"/>
      <c r="W16" s="23" t="str">
        <f t="shared" si="0"/>
        <v/>
      </c>
      <c r="X16" s="23">
        <f t="shared" si="1"/>
        <v>10</v>
      </c>
      <c r="AA16" s="24">
        <f t="shared" si="8"/>
        <v>13</v>
      </c>
      <c r="AB16" s="23">
        <f t="shared" si="2"/>
        <v>3</v>
      </c>
      <c r="AD16" s="23">
        <f t="shared" si="5"/>
        <v>2</v>
      </c>
      <c r="AE16" s="24"/>
      <c r="AH16" s="29"/>
      <c r="AI16" s="29"/>
    </row>
    <row r="17" spans="2:35" ht="30" hidden="1" customHeight="1" x14ac:dyDescent="0.25">
      <c r="B17" s="33" t="str">
        <f t="shared" si="3"/>
        <v>E</v>
      </c>
      <c r="C17" s="33" t="str">
        <f t="shared" si="4"/>
        <v>103</v>
      </c>
      <c r="D17" s="33" t="s">
        <v>5</v>
      </c>
      <c r="E17" s="34">
        <v>28126</v>
      </c>
      <c r="F17" s="35" t="s">
        <v>46</v>
      </c>
      <c r="G17" s="84" t="str">
        <f t="array" ref="G17">IF($F17="Repair",($E17-MAX(IF($D$4:$D$200=$D17,IF($E$4:$E$200&lt;$E17,IF($F$4:$F$200&lt;&gt;"Repair",$E$4:$E$200)))))/365,"")</f>
        <v/>
      </c>
      <c r="H17" s="84" t="str">
        <f t="array" ref="H17">IF($F17="Replace",($E17-MAX(IF($D$4:$D$200=$D17,IF($E$4:$E$200&lt;$E17,IF($F$4:$F$200&lt;&gt;"Repair",$E$4:$E$200)))))/365,"")</f>
        <v/>
      </c>
      <c r="I17" s="53" t="s">
        <v>44</v>
      </c>
      <c r="L17" s="36"/>
      <c r="M17" s="34">
        <v>34557</v>
      </c>
      <c r="N17" s="33"/>
      <c r="O17" s="37">
        <v>17</v>
      </c>
      <c r="P17" s="34">
        <v>34557</v>
      </c>
      <c r="Q17" s="34" t="s">
        <v>44</v>
      </c>
      <c r="R17" s="37"/>
      <c r="S17" s="37"/>
      <c r="T17" s="33" t="s">
        <v>2</v>
      </c>
      <c r="W17" s="23">
        <f t="shared" si="0"/>
        <v>20</v>
      </c>
      <c r="X17" s="23" t="str">
        <f t="shared" si="1"/>
        <v/>
      </c>
      <c r="AA17" s="24">
        <f t="shared" si="8"/>
        <v>14</v>
      </c>
      <c r="AB17" s="23">
        <f t="shared" si="2"/>
        <v>1</v>
      </c>
      <c r="AD17" s="23">
        <f t="shared" si="5"/>
        <v>0</v>
      </c>
      <c r="AE17" s="24"/>
      <c r="AH17" s="29"/>
      <c r="AI17" s="29"/>
    </row>
    <row r="18" spans="2:35" ht="30" hidden="1" customHeight="1" x14ac:dyDescent="0.25">
      <c r="B18" s="33" t="str">
        <f t="shared" si="3"/>
        <v>E</v>
      </c>
      <c r="C18" s="33" t="str">
        <f t="shared" si="4"/>
        <v>103</v>
      </c>
      <c r="D18" s="37" t="s">
        <v>5</v>
      </c>
      <c r="E18" s="34">
        <v>41068</v>
      </c>
      <c r="F18" s="35" t="s">
        <v>38</v>
      </c>
      <c r="G18" s="84" t="str">
        <f t="array" ref="G18">IF($F18="Repair",($E18-MAX(IF($D$4:$D$200=$D18,IF($E$4:$E$200&lt;$E18,IF($F$4:$F$200&lt;&gt;"Repair",$E$4:$E$200)))))/365,"")</f>
        <v/>
      </c>
      <c r="H18" s="84">
        <f t="array" ref="H18">IF($F18="Replace",($E18-MAX(IF($D$4:$D$200=$D18,IF($E$4:$E$200&lt;$E18,IF($F$4:$F$200&lt;&gt;"Repair",$E$4:$E$200)))))/365,"")</f>
        <v>35.457534246575342</v>
      </c>
      <c r="I18" s="53">
        <v>35.457534246575342</v>
      </c>
      <c r="L18" s="36">
        <v>28126</v>
      </c>
      <c r="M18" s="34">
        <v>42125</v>
      </c>
      <c r="N18" s="37">
        <v>23</v>
      </c>
      <c r="O18" s="37"/>
      <c r="P18" s="34" t="s">
        <v>44</v>
      </c>
      <c r="Q18" s="34">
        <v>42125</v>
      </c>
      <c r="R18" s="37"/>
      <c r="S18" s="37"/>
      <c r="T18" s="33"/>
      <c r="W18" s="23" t="str">
        <f t="shared" si="0"/>
        <v/>
      </c>
      <c r="X18" s="23">
        <f t="shared" si="1"/>
        <v>25</v>
      </c>
      <c r="AA18" s="24">
        <f t="shared" si="8"/>
        <v>15</v>
      </c>
      <c r="AB18" s="23">
        <f t="shared" si="2"/>
        <v>4</v>
      </c>
      <c r="AD18" s="23">
        <f t="shared" si="5"/>
        <v>1</v>
      </c>
      <c r="AE18" s="24"/>
      <c r="AH18" s="29"/>
      <c r="AI18" s="29"/>
    </row>
    <row r="19" spans="2:35" ht="30" hidden="1" customHeight="1" x14ac:dyDescent="0.25">
      <c r="B19" s="33" t="str">
        <f t="shared" si="3"/>
        <v>F</v>
      </c>
      <c r="C19" s="33" t="str">
        <f t="shared" si="4"/>
        <v>103</v>
      </c>
      <c r="D19" s="33" t="s">
        <v>6</v>
      </c>
      <c r="E19" s="34">
        <v>28126</v>
      </c>
      <c r="F19" s="35" t="s">
        <v>46</v>
      </c>
      <c r="G19" s="84" t="str">
        <f t="array" ref="G19">IF($F19="Repair",($E19-MAX(IF($D$4:$D$200=$D19,IF($E$4:$E$200&lt;$E19,IF($F$4:$F$200&lt;&gt;"Repair",$E$4:$E$200)))))/365,"")</f>
        <v/>
      </c>
      <c r="H19" s="84" t="str">
        <f t="array" ref="H19">IF($F19="Replace",($E19-MAX(IF($D$4:$D$200=$D19,IF($E$4:$E$200&lt;$E19,IF($F$4:$F$200&lt;&gt;"Repair",$E$4:$E$200)))))/365,"")</f>
        <v/>
      </c>
      <c r="I19" s="53" t="s">
        <v>44</v>
      </c>
      <c r="L19" s="36"/>
      <c r="M19" s="34">
        <v>33725</v>
      </c>
      <c r="N19" s="33"/>
      <c r="O19" s="37">
        <v>15</v>
      </c>
      <c r="P19" s="34">
        <v>33725</v>
      </c>
      <c r="Q19" s="34" t="s">
        <v>44</v>
      </c>
      <c r="R19" s="37"/>
      <c r="S19" s="37"/>
      <c r="T19" s="33"/>
      <c r="W19" s="23">
        <f t="shared" si="0"/>
        <v>20</v>
      </c>
      <c r="X19" s="23" t="str">
        <f t="shared" si="1"/>
        <v/>
      </c>
      <c r="AA19" s="24">
        <f t="shared" si="8"/>
        <v>16</v>
      </c>
      <c r="AB19" s="23">
        <f t="shared" si="2"/>
        <v>3</v>
      </c>
      <c r="AD19" s="23">
        <f t="shared" si="5"/>
        <v>2</v>
      </c>
      <c r="AE19" s="24"/>
      <c r="AH19" s="29"/>
      <c r="AI19" s="29"/>
    </row>
    <row r="20" spans="2:35" ht="30" hidden="1" customHeight="1" x14ac:dyDescent="0.25">
      <c r="B20" s="33" t="str">
        <f t="shared" si="3"/>
        <v>F</v>
      </c>
      <c r="C20" s="33" t="str">
        <f t="shared" si="4"/>
        <v>103</v>
      </c>
      <c r="D20" s="33" t="s">
        <v>6</v>
      </c>
      <c r="E20" s="34">
        <v>32994</v>
      </c>
      <c r="F20" s="35" t="s">
        <v>39</v>
      </c>
      <c r="G20" s="84">
        <f t="array" ref="G20">IF($F20="Repair",($E20-MAX(IF($D$4:$D$200=$D20,IF($E$4:$E$200&lt;$E20,IF($F$4:$F$200&lt;&gt;"Repair",$E$4:$E$200)))))/365,"")</f>
        <v>13.336986301369864</v>
      </c>
      <c r="H20" s="84" t="str">
        <f t="array" ref="H20">IF($F20="Replace",($E20-MAX(IF($D$4:$D$200=$D20,IF($E$4:$E$200&lt;$E20,IF($F$4:$F$200&lt;&gt;"Repair",$E$4:$E$200)))))/365,"")</f>
        <v/>
      </c>
      <c r="I20" s="53">
        <v>13.336986301369864</v>
      </c>
      <c r="L20" s="36">
        <v>28126</v>
      </c>
      <c r="M20" s="34">
        <v>38168</v>
      </c>
      <c r="N20" s="33"/>
      <c r="O20" s="37">
        <v>12</v>
      </c>
      <c r="P20" s="34">
        <v>38168</v>
      </c>
      <c r="Q20" s="34" t="s">
        <v>44</v>
      </c>
      <c r="R20" s="37"/>
      <c r="S20" s="37"/>
      <c r="T20" s="33" t="s">
        <v>2</v>
      </c>
      <c r="W20" s="23">
        <f t="shared" si="0"/>
        <v>15</v>
      </c>
      <c r="X20" s="23" t="str">
        <f t="shared" si="1"/>
        <v/>
      </c>
      <c r="AA20" s="24">
        <f t="shared" si="8"/>
        <v>17</v>
      </c>
      <c r="AB20" s="23">
        <f t="shared" si="2"/>
        <v>2</v>
      </c>
      <c r="AD20" s="23">
        <f t="shared" si="5"/>
        <v>2</v>
      </c>
      <c r="AE20" s="24"/>
      <c r="AH20" s="29"/>
      <c r="AI20" s="29"/>
    </row>
    <row r="21" spans="2:35" ht="30" hidden="1" customHeight="1" x14ac:dyDescent="0.25">
      <c r="B21" s="33" t="str">
        <f t="shared" si="3"/>
        <v>F</v>
      </c>
      <c r="C21" s="33" t="str">
        <f t="shared" si="4"/>
        <v>103</v>
      </c>
      <c r="D21" s="37" t="s">
        <v>6</v>
      </c>
      <c r="E21" s="34">
        <v>32994</v>
      </c>
      <c r="F21" s="35" t="s">
        <v>38</v>
      </c>
      <c r="G21" s="84" t="str">
        <f t="array" ref="G21">IF($F21="Repair",($E21-MAX(IF($D$4:$D$200=$D21,IF($E$4:$E$200&lt;$E21,IF($F$4:$F$200&lt;&gt;"Repair",$E$4:$E$200)))))/365,"")</f>
        <v/>
      </c>
      <c r="H21" s="84">
        <f t="array" ref="H21">IF($F21="Replace",($E21-MAX(IF($D$4:$D$200=$D21,IF($E$4:$E$200&lt;$E21,IF($F$4:$F$200&lt;&gt;"Repair",$E$4:$E$200)))))/365,"")</f>
        <v>13.336986301369864</v>
      </c>
      <c r="I21" s="53">
        <v>13.336986301369864</v>
      </c>
      <c r="L21" s="36"/>
      <c r="M21" s="34">
        <v>33905</v>
      </c>
      <c r="N21" s="33"/>
      <c r="O21" s="37">
        <v>15</v>
      </c>
      <c r="P21" s="34">
        <v>33905</v>
      </c>
      <c r="Q21" s="34" t="s">
        <v>44</v>
      </c>
      <c r="R21" s="37"/>
      <c r="S21" s="37"/>
      <c r="T21" s="33" t="s">
        <v>2</v>
      </c>
      <c r="W21" s="23">
        <f t="shared" si="0"/>
        <v>20</v>
      </c>
      <c r="X21" s="23" t="str">
        <f t="shared" si="1"/>
        <v/>
      </c>
      <c r="AA21" s="24">
        <f t="shared" si="8"/>
        <v>18</v>
      </c>
      <c r="AB21" s="23">
        <f t="shared" si="2"/>
        <v>1</v>
      </c>
      <c r="AD21" s="23">
        <f t="shared" si="5"/>
        <v>0</v>
      </c>
      <c r="AE21" s="24"/>
      <c r="AH21" s="29"/>
      <c r="AI21" s="29"/>
    </row>
    <row r="22" spans="2:35" ht="30" hidden="1" customHeight="1" x14ac:dyDescent="0.25">
      <c r="B22" s="33" t="str">
        <f t="shared" si="3"/>
        <v>G</v>
      </c>
      <c r="C22" s="33" t="str">
        <f t="shared" si="4"/>
        <v>103</v>
      </c>
      <c r="D22" s="33" t="s">
        <v>7</v>
      </c>
      <c r="E22" s="34">
        <v>28126</v>
      </c>
      <c r="F22" s="35" t="s">
        <v>46</v>
      </c>
      <c r="G22" s="84" t="str">
        <f t="array" ref="G22">IF($F22="Repair",($E22-MAX(IF($D$4:$D$200=$D22,IF($E$4:$E$200&lt;$E22,IF($F$4:$F$200&lt;&gt;"Repair",$E$4:$E$200)))))/365,"")</f>
        <v/>
      </c>
      <c r="H22" s="84" t="str">
        <f t="array" ref="H22">IF($F22="Replace",($E22-MAX(IF($D$4:$D$200=$D22,IF($E$4:$E$200&lt;$E22,IF($F$4:$F$200&lt;&gt;"Repair",$E$4:$E$200)))))/365,"")</f>
        <v/>
      </c>
      <c r="I22" s="53" t="s">
        <v>44</v>
      </c>
      <c r="L22" s="36">
        <v>28126</v>
      </c>
      <c r="M22" s="34">
        <v>42134</v>
      </c>
      <c r="N22" s="37">
        <v>8</v>
      </c>
      <c r="O22" s="37"/>
      <c r="P22" s="34" t="s">
        <v>44</v>
      </c>
      <c r="Q22" s="34">
        <v>42134</v>
      </c>
      <c r="R22" s="37"/>
      <c r="S22" s="37"/>
      <c r="T22" s="33"/>
      <c r="W22" s="23" t="str">
        <f t="shared" si="0"/>
        <v/>
      </c>
      <c r="X22" s="23">
        <f t="shared" si="1"/>
        <v>10</v>
      </c>
      <c r="AA22" s="24">
        <f t="shared" si="8"/>
        <v>19</v>
      </c>
      <c r="AB22" s="23">
        <f t="shared" si="2"/>
        <v>1</v>
      </c>
      <c r="AD22" s="23">
        <f t="shared" si="5"/>
        <v>1</v>
      </c>
      <c r="AE22" s="24"/>
      <c r="AH22" s="29"/>
      <c r="AI22" s="29"/>
    </row>
    <row r="23" spans="2:35" ht="30" hidden="1" customHeight="1" x14ac:dyDescent="0.25">
      <c r="B23" s="33" t="str">
        <f t="shared" si="3"/>
        <v>G</v>
      </c>
      <c r="C23" s="33" t="str">
        <f t="shared" si="4"/>
        <v>103</v>
      </c>
      <c r="D23" s="33" t="s">
        <v>7</v>
      </c>
      <c r="E23" s="34">
        <v>34557</v>
      </c>
      <c r="F23" s="35" t="s">
        <v>39</v>
      </c>
      <c r="G23" s="84">
        <f t="array" ref="G23">IF($F23="Repair",($E23-MAX(IF($D$4:$D$200=$D23,IF($E$4:$E$200&lt;$E23,IF($F$4:$F$200&lt;&gt;"Repair",$E$4:$E$200)))))/365,"")</f>
        <v>17.61917808219178</v>
      </c>
      <c r="H23" s="84" t="str">
        <f t="array" ref="H23">IF($F23="Replace",($E23-MAX(IF($D$4:$D$200=$D23,IF($E$4:$E$200&lt;$E23,IF($F$4:$F$200&lt;&gt;"Repair",$E$4:$E$200)))))/365,"")</f>
        <v/>
      </c>
      <c r="I23" s="53">
        <v>17.61917808219178</v>
      </c>
      <c r="L23" s="36"/>
      <c r="M23" s="34">
        <v>35587</v>
      </c>
      <c r="N23" s="37">
        <v>4</v>
      </c>
      <c r="O23" s="37"/>
      <c r="P23" s="34" t="s">
        <v>44</v>
      </c>
      <c r="Q23" s="34">
        <v>35587</v>
      </c>
      <c r="R23" s="37"/>
      <c r="S23" s="37"/>
      <c r="T23" s="33"/>
      <c r="W23" s="23" t="str">
        <f t="shared" si="0"/>
        <v/>
      </c>
      <c r="X23" s="23">
        <f t="shared" si="1"/>
        <v>5</v>
      </c>
      <c r="AA23" s="24">
        <f t="shared" si="8"/>
        <v>20</v>
      </c>
      <c r="AB23" s="23">
        <f t="shared" si="2"/>
        <v>0</v>
      </c>
      <c r="AD23" s="23">
        <f t="shared" si="5"/>
        <v>0</v>
      </c>
      <c r="AE23" s="24"/>
      <c r="AH23" s="29"/>
      <c r="AI23" s="29"/>
    </row>
    <row r="24" spans="2:35" ht="30" hidden="1" customHeight="1" x14ac:dyDescent="0.25">
      <c r="B24" s="33" t="str">
        <f t="shared" si="3"/>
        <v>G</v>
      </c>
      <c r="C24" s="33" t="str">
        <f t="shared" si="4"/>
        <v>103</v>
      </c>
      <c r="D24" s="37" t="s">
        <v>7</v>
      </c>
      <c r="E24" s="34">
        <v>39023</v>
      </c>
      <c r="F24" s="35" t="s">
        <v>38</v>
      </c>
      <c r="G24" s="84" t="str">
        <f t="array" ref="G24">IF($F24="Repair",($E24-MAX(IF($D$4:$D$200=$D24,IF($E$4:$E$200&lt;$E24,IF($F$4:$F$200&lt;&gt;"Repair",$E$4:$E$200)))))/365,"")</f>
        <v/>
      </c>
      <c r="H24" s="84">
        <f t="array" ref="H24">IF($F24="Replace",($E24-MAX(IF($D$4:$D$200=$D24,IF($E$4:$E$200&lt;$E24,IF($F$4:$F$200&lt;&gt;"Repair",$E$4:$E$200)))))/365,"")</f>
        <v>29.854794520547944</v>
      </c>
      <c r="I24" s="53">
        <v>29.854794520547944</v>
      </c>
      <c r="L24" s="36"/>
      <c r="M24" s="34">
        <v>34090</v>
      </c>
      <c r="N24" s="33"/>
      <c r="O24" s="37">
        <v>6</v>
      </c>
      <c r="P24" s="34">
        <v>34090</v>
      </c>
      <c r="Q24" s="34" t="s">
        <v>44</v>
      </c>
      <c r="R24" s="37"/>
      <c r="S24" s="37"/>
      <c r="T24" s="33" t="s">
        <v>2</v>
      </c>
      <c r="W24" s="23">
        <f t="shared" si="0"/>
        <v>10</v>
      </c>
      <c r="X24" s="23" t="str">
        <f t="shared" si="1"/>
        <v/>
      </c>
      <c r="AA24" s="24">
        <f t="shared" si="8"/>
        <v>21</v>
      </c>
      <c r="AB24" s="23">
        <f t="shared" si="2"/>
        <v>1</v>
      </c>
      <c r="AD24" s="23">
        <f t="shared" si="5"/>
        <v>0</v>
      </c>
      <c r="AE24" s="24"/>
      <c r="AH24" s="29"/>
      <c r="AI24" s="29"/>
    </row>
    <row r="25" spans="2:35" ht="30" hidden="1" customHeight="1" x14ac:dyDescent="0.25">
      <c r="B25" s="33" t="str">
        <f t="shared" si="3"/>
        <v>H</v>
      </c>
      <c r="C25" s="33" t="str">
        <f t="shared" si="4"/>
        <v>103</v>
      </c>
      <c r="D25" s="33" t="s">
        <v>8</v>
      </c>
      <c r="E25" s="34">
        <v>28126</v>
      </c>
      <c r="F25" s="35" t="s">
        <v>46</v>
      </c>
      <c r="G25" s="84" t="str">
        <f t="array" ref="G25">IF($F25="Repair",($E25-MAX(IF($D$4:$D$200=$D25,IF($E$4:$E$200&lt;$E25,IF($F$4:$F$200&lt;&gt;"Repair",$E$4:$E$200)))))/365,"")</f>
        <v/>
      </c>
      <c r="H25" s="84" t="str">
        <f t="array" ref="H25">IF($F25="Replace",($E25-MAX(IF($D$4:$D$200=$D25,IF($E$4:$E$200&lt;$E25,IF($F$4:$F$200&lt;&gt;"Repair",$E$4:$E$200)))))/365,"")</f>
        <v/>
      </c>
      <c r="I25" s="53" t="s">
        <v>44</v>
      </c>
      <c r="L25" s="36"/>
      <c r="M25" s="34">
        <v>31837</v>
      </c>
      <c r="N25" s="35"/>
      <c r="O25" s="37">
        <v>10</v>
      </c>
      <c r="P25" s="34">
        <v>31837</v>
      </c>
      <c r="Q25" s="34" t="s">
        <v>44</v>
      </c>
      <c r="R25" s="37"/>
      <c r="S25" s="37"/>
      <c r="T25" s="33" t="s">
        <v>2</v>
      </c>
      <c r="W25" s="23">
        <f t="shared" si="0"/>
        <v>15</v>
      </c>
      <c r="X25" s="23" t="str">
        <f t="shared" si="1"/>
        <v/>
      </c>
      <c r="AA25" s="24">
        <f t="shared" si="8"/>
        <v>22</v>
      </c>
      <c r="AB25" s="23">
        <f t="shared" si="2"/>
        <v>0</v>
      </c>
      <c r="AD25" s="23">
        <f t="shared" si="5"/>
        <v>0</v>
      </c>
      <c r="AE25" s="24"/>
      <c r="AH25" s="29"/>
      <c r="AI25" s="29"/>
    </row>
    <row r="26" spans="2:35" ht="30" hidden="1" customHeight="1" x14ac:dyDescent="0.25">
      <c r="B26" s="33" t="str">
        <f t="shared" si="3"/>
        <v>H</v>
      </c>
      <c r="C26" s="33" t="str">
        <f t="shared" si="4"/>
        <v>103</v>
      </c>
      <c r="D26" s="33" t="s">
        <v>8</v>
      </c>
      <c r="E26" s="34">
        <v>33725</v>
      </c>
      <c r="F26" s="35" t="s">
        <v>39</v>
      </c>
      <c r="G26" s="84">
        <f t="array" ref="G26">IF($F26="Repair",($E26-MAX(IF($D$4:$D$200=$D26,IF($E$4:$E$200&lt;$E26,IF($F$4:$F$200&lt;&gt;"Repair",$E$4:$E$200)))))/365,"")</f>
        <v>15.33972602739726</v>
      </c>
      <c r="H26" s="84" t="str">
        <f t="array" ref="H26">IF($F26="Replace",($E26-MAX(IF($D$4:$D$200=$D26,IF($E$4:$E$200&lt;$E26,IF($F$4:$F$200&lt;&gt;"Repair",$E$4:$E$200)))))/365,"")</f>
        <v/>
      </c>
      <c r="I26" s="53">
        <v>15.33972602739726</v>
      </c>
      <c r="L26" s="36">
        <v>28126</v>
      </c>
      <c r="M26" s="34">
        <v>42264</v>
      </c>
      <c r="N26" s="37">
        <v>19</v>
      </c>
      <c r="O26" s="39"/>
      <c r="P26" s="34" t="s">
        <v>44</v>
      </c>
      <c r="Q26" s="34">
        <v>42264</v>
      </c>
      <c r="R26" s="39"/>
      <c r="S26" s="39"/>
      <c r="T26" s="33"/>
      <c r="W26" s="23" t="str">
        <f t="shared" si="0"/>
        <v/>
      </c>
      <c r="X26" s="23">
        <f t="shared" si="1"/>
        <v>20</v>
      </c>
      <c r="AA26" s="24">
        <f t="shared" si="8"/>
        <v>23</v>
      </c>
      <c r="AB26" s="23">
        <f t="shared" si="2"/>
        <v>0</v>
      </c>
      <c r="AD26" s="23">
        <f t="shared" si="5"/>
        <v>1</v>
      </c>
      <c r="AE26" s="24"/>
      <c r="AH26" s="29"/>
      <c r="AI26" s="29"/>
    </row>
    <row r="27" spans="2:35" ht="30" hidden="1" customHeight="1" x14ac:dyDescent="0.25">
      <c r="B27" s="33" t="str">
        <f t="shared" si="3"/>
        <v>H</v>
      </c>
      <c r="C27" s="33" t="str">
        <f t="shared" si="4"/>
        <v>103</v>
      </c>
      <c r="D27" s="37" t="s">
        <v>8</v>
      </c>
      <c r="E27" s="34">
        <v>42125</v>
      </c>
      <c r="F27" s="35" t="s">
        <v>38</v>
      </c>
      <c r="G27" s="84" t="str">
        <f t="array" ref="G27">IF($F27="Repair",($E27-MAX(IF($D$4:$D$200=$D27,IF($E$4:$E$200&lt;$E27,IF($F$4:$F$200&lt;&gt;"Repair",$E$4:$E$200)))))/365,"")</f>
        <v/>
      </c>
      <c r="H27" s="84">
        <f t="array" ref="H27">IF($F27="Replace",($E27-MAX(IF($D$4:$D$200=$D27,IF($E$4:$E$200&lt;$E27,IF($F$4:$F$200&lt;&gt;"Repair",$E$4:$E$200)))))/365,"")</f>
        <v>38.353424657534248</v>
      </c>
      <c r="I27" s="53">
        <v>38.353424657534248</v>
      </c>
      <c r="L27" s="36"/>
      <c r="M27" s="34">
        <v>35204</v>
      </c>
      <c r="N27" s="33"/>
      <c r="O27" s="37">
        <v>4</v>
      </c>
      <c r="P27" s="34">
        <v>35204</v>
      </c>
      <c r="Q27" s="34" t="s">
        <v>44</v>
      </c>
      <c r="R27" s="37"/>
      <c r="S27" s="37"/>
      <c r="T27" s="33" t="s">
        <v>2</v>
      </c>
      <c r="W27" s="23">
        <f t="shared" si="0"/>
        <v>5</v>
      </c>
      <c r="X27" s="23" t="str">
        <f t="shared" si="1"/>
        <v/>
      </c>
      <c r="AA27" s="24">
        <f t="shared" si="8"/>
        <v>24</v>
      </c>
      <c r="AB27" s="23">
        <f t="shared" si="2"/>
        <v>0</v>
      </c>
      <c r="AD27" s="23">
        <f t="shared" si="5"/>
        <v>0</v>
      </c>
      <c r="AE27" s="24"/>
      <c r="AH27" s="29"/>
      <c r="AI27" s="29"/>
    </row>
    <row r="28" spans="2:35" ht="30" hidden="1" customHeight="1" x14ac:dyDescent="0.25">
      <c r="B28" s="33" t="str">
        <f t="shared" si="3"/>
        <v>A</v>
      </c>
      <c r="C28" s="33" t="str">
        <f t="shared" si="4"/>
        <v>104</v>
      </c>
      <c r="D28" s="37" t="s">
        <v>59</v>
      </c>
      <c r="E28" s="34">
        <v>28126</v>
      </c>
      <c r="F28" s="35" t="s">
        <v>46</v>
      </c>
      <c r="G28" s="84" t="str">
        <f t="array" ref="G28">IF($F28="Repair",($E28-MAX(IF($D$4:$D$200=$D28,IF($E$4:$E$200&lt;$E28,IF($F$4:$F$200&lt;&gt;"Repair",$E$4:$E$200)))))/365,"")</f>
        <v/>
      </c>
      <c r="H28" s="84" t="str">
        <f t="array" ref="H28">IF($F28="Replace",($E28-MAX(IF($D$4:$D$200=$D28,IF($E$4:$E$200&lt;$E28,IF($F$4:$F$200&lt;&gt;"Repair",$E$4:$E$200)))))/365,"")</f>
        <v/>
      </c>
      <c r="I28" s="53"/>
      <c r="L28" s="36"/>
      <c r="M28" s="34">
        <v>33933</v>
      </c>
      <c r="N28" s="37">
        <v>8</v>
      </c>
      <c r="O28" s="37"/>
      <c r="P28" s="34" t="s">
        <v>44</v>
      </c>
      <c r="Q28" s="34">
        <v>33933</v>
      </c>
      <c r="R28" s="37"/>
      <c r="S28" s="37"/>
      <c r="T28" s="33"/>
      <c r="W28" s="23" t="str">
        <f t="shared" si="0"/>
        <v/>
      </c>
      <c r="X28" s="23">
        <f t="shared" si="1"/>
        <v>10</v>
      </c>
      <c r="AA28" s="24">
        <f t="shared" si="8"/>
        <v>25</v>
      </c>
      <c r="AB28" s="23">
        <f t="shared" si="2"/>
        <v>0</v>
      </c>
      <c r="AD28" s="23">
        <f t="shared" si="5"/>
        <v>0</v>
      </c>
      <c r="AE28" s="24"/>
      <c r="AH28" s="29"/>
      <c r="AI28" s="29"/>
    </row>
    <row r="29" spans="2:35" ht="30" hidden="1" customHeight="1" x14ac:dyDescent="0.25">
      <c r="B29" s="33" t="str">
        <f t="shared" si="3"/>
        <v>A</v>
      </c>
      <c r="C29" s="33" t="str">
        <f t="shared" si="4"/>
        <v>104</v>
      </c>
      <c r="D29" s="37" t="s">
        <v>59</v>
      </c>
      <c r="E29" s="34">
        <v>34876</v>
      </c>
      <c r="F29" s="35" t="s">
        <v>38</v>
      </c>
      <c r="G29" s="84" t="str">
        <f t="array" ref="G29">IF($F29="Repair",($E29-MAX(IF($D$4:$D$200=$D29,IF($E$4:$E$200&lt;$E29,IF($F$4:$F$200&lt;&gt;"Repair",$E$4:$E$200)))))/365,"")</f>
        <v/>
      </c>
      <c r="H29" s="84">
        <f t="array" ref="H29">IF($F29="Replace",($E29-MAX(IF($D$4:$D$200=$D29,IF($E$4:$E$200&lt;$E29,IF($F$4:$F$200&lt;&gt;"Repair",$E$4:$E$200)))))/365,"")</f>
        <v>18.493150684931507</v>
      </c>
      <c r="I29" s="53"/>
      <c r="L29" s="36"/>
      <c r="M29" s="34">
        <v>30987</v>
      </c>
      <c r="N29" s="33"/>
      <c r="O29" s="37">
        <v>7</v>
      </c>
      <c r="P29" s="34">
        <v>30987</v>
      </c>
      <c r="Q29" s="34" t="s">
        <v>44</v>
      </c>
      <c r="R29" s="37"/>
      <c r="S29" s="37"/>
      <c r="T29" s="33" t="s">
        <v>2</v>
      </c>
      <c r="W29" s="23">
        <f t="shared" si="0"/>
        <v>10</v>
      </c>
      <c r="X29" s="23" t="str">
        <f t="shared" si="1"/>
        <v/>
      </c>
      <c r="AA29" s="24">
        <f t="shared" si="8"/>
        <v>26</v>
      </c>
      <c r="AB29" s="23">
        <f t="shared" si="2"/>
        <v>0</v>
      </c>
      <c r="AD29" s="23">
        <f t="shared" si="5"/>
        <v>1</v>
      </c>
      <c r="AE29" s="24"/>
      <c r="AH29" s="29"/>
      <c r="AI29" s="29"/>
    </row>
    <row r="30" spans="2:35" ht="30" hidden="1" customHeight="1" x14ac:dyDescent="0.25">
      <c r="B30" s="33" t="str">
        <f t="shared" si="3"/>
        <v>A</v>
      </c>
      <c r="C30" s="33" t="str">
        <f t="shared" si="4"/>
        <v>104</v>
      </c>
      <c r="D30" s="37" t="s">
        <v>59</v>
      </c>
      <c r="E30" s="34">
        <v>38168</v>
      </c>
      <c r="F30" s="35" t="s">
        <v>39</v>
      </c>
      <c r="G30" s="84">
        <f t="array" ref="G30">IF($F30="Repair",($E30-MAX(IF($D$4:$D$200=$D30,IF($E$4:$E$200&lt;$E30,IF($F$4:$F$200&lt;&gt;"Repair",$E$4:$E$200)))))/365,"")</f>
        <v>9.0191780821917806</v>
      </c>
      <c r="H30" s="84" t="str">
        <f t="array" ref="H30">IF($F30="Replace",($E30-MAX(IF($D$4:$D$200=$D30,IF($E$4:$E$200&lt;$E30,IF($F$4:$F$200&lt;&gt;"Repair",$E$4:$E$200)))))/365,"")</f>
        <v/>
      </c>
      <c r="I30" s="53"/>
      <c r="L30" s="36">
        <v>28126</v>
      </c>
      <c r="M30" s="38">
        <v>40851</v>
      </c>
      <c r="N30" s="37">
        <v>10</v>
      </c>
      <c r="O30" s="37"/>
      <c r="P30" s="38" t="s">
        <v>44</v>
      </c>
      <c r="Q30" s="38">
        <v>40851</v>
      </c>
      <c r="R30" s="37"/>
      <c r="S30" s="37"/>
      <c r="T30" s="33"/>
      <c r="W30" s="23" t="str">
        <f t="shared" si="0"/>
        <v/>
      </c>
      <c r="X30" s="23">
        <f t="shared" si="1"/>
        <v>15</v>
      </c>
      <c r="AA30" s="24">
        <f t="shared" si="8"/>
        <v>27</v>
      </c>
      <c r="AB30" s="23">
        <f t="shared" si="2"/>
        <v>0</v>
      </c>
      <c r="AD30" s="23">
        <f t="shared" si="5"/>
        <v>0</v>
      </c>
      <c r="AE30" s="24"/>
      <c r="AH30" s="29"/>
      <c r="AI30" s="29"/>
    </row>
    <row r="31" spans="2:35" ht="30" hidden="1" customHeight="1" x14ac:dyDescent="0.25">
      <c r="B31" s="33" t="str">
        <f t="shared" si="3"/>
        <v>A</v>
      </c>
      <c r="C31" s="33" t="str">
        <f t="shared" si="4"/>
        <v>104</v>
      </c>
      <c r="D31" s="37" t="s">
        <v>59</v>
      </c>
      <c r="E31" s="34">
        <v>39772</v>
      </c>
      <c r="F31" s="35" t="s">
        <v>39</v>
      </c>
      <c r="G31" s="84">
        <f t="array" ref="G31">IF($F31="Repair",($E31-MAX(IF($D$4:$D$200=$D31,IF($E$4:$E$200&lt;$E31,IF($F$4:$F$200&lt;&gt;"Repair",$E$4:$E$200)))))/365,"")</f>
        <v>13.413698630136986</v>
      </c>
      <c r="H31" s="84" t="str">
        <f t="array" ref="H31">IF($F31="Replace",($E31-MAX(IF($D$4:$D$200=$D31,IF($E$4:$E$200&lt;$E31,IF($F$4:$F$200&lt;&gt;"Repair",$E$4:$E$200)))))/365,"")</f>
        <v/>
      </c>
      <c r="I31" s="53"/>
      <c r="L31" s="36"/>
      <c r="M31" s="38">
        <v>37032</v>
      </c>
      <c r="N31" s="37"/>
      <c r="O31" s="37">
        <v>7</v>
      </c>
      <c r="P31" s="38">
        <v>37032</v>
      </c>
      <c r="Q31" s="38" t="s">
        <v>44</v>
      </c>
      <c r="R31" s="37"/>
      <c r="S31" s="37"/>
      <c r="T31" s="33" t="s">
        <v>2</v>
      </c>
      <c r="W31" s="23">
        <f t="shared" si="0"/>
        <v>10</v>
      </c>
      <c r="X31" s="23" t="str">
        <f t="shared" si="1"/>
        <v/>
      </c>
      <c r="AA31" s="24">
        <f t="shared" si="8"/>
        <v>28</v>
      </c>
      <c r="AB31" s="23">
        <f t="shared" si="2"/>
        <v>0</v>
      </c>
      <c r="AD31" s="23">
        <f t="shared" si="5"/>
        <v>0</v>
      </c>
      <c r="AE31" s="24"/>
      <c r="AH31" s="29"/>
      <c r="AI31" s="29"/>
    </row>
    <row r="32" spans="2:35" ht="30" hidden="1" customHeight="1" x14ac:dyDescent="0.25">
      <c r="B32" s="33" t="str">
        <f t="shared" si="3"/>
        <v>A</v>
      </c>
      <c r="C32" s="33" t="str">
        <f t="shared" si="4"/>
        <v>104</v>
      </c>
      <c r="D32" s="37" t="s">
        <v>59</v>
      </c>
      <c r="E32" s="34">
        <v>40674</v>
      </c>
      <c r="F32" s="35" t="s">
        <v>39</v>
      </c>
      <c r="G32" s="84">
        <f t="array" ref="G32">IF($F32="Repair",($E32-MAX(IF($D$4:$D$200=$D32,IF($E$4:$E$200&lt;$E32,IF($F$4:$F$200&lt;&gt;"Repair",$E$4:$E$200)))))/365,"")</f>
        <v>15.884931506849314</v>
      </c>
      <c r="H32" s="84" t="str">
        <f t="array" ref="H32">IF($F32="Replace",($E32-MAX(IF($D$4:$D$200=$D32,IF($E$4:$E$200&lt;$E32,IF($F$4:$F$200&lt;&gt;"Repair",$E$4:$E$200)))))/365,"")</f>
        <v/>
      </c>
      <c r="I32" s="53"/>
      <c r="L32" s="36"/>
      <c r="M32" s="38">
        <v>34572</v>
      </c>
      <c r="N32" s="37"/>
      <c r="O32" s="37">
        <v>10</v>
      </c>
      <c r="P32" s="38">
        <v>34572</v>
      </c>
      <c r="Q32" s="38" t="s">
        <v>44</v>
      </c>
      <c r="R32" s="37"/>
      <c r="S32" s="37"/>
      <c r="T32" s="33" t="s">
        <v>2</v>
      </c>
      <c r="W32" s="23">
        <f t="shared" si="0"/>
        <v>15</v>
      </c>
      <c r="X32" s="23" t="str">
        <f t="shared" si="1"/>
        <v/>
      </c>
      <c r="AA32" s="24">
        <f t="shared" si="8"/>
        <v>29</v>
      </c>
      <c r="AB32" s="23">
        <f t="shared" si="2"/>
        <v>0</v>
      </c>
      <c r="AD32" s="23">
        <f t="shared" si="5"/>
        <v>0</v>
      </c>
      <c r="AE32" s="24"/>
      <c r="AH32" s="29"/>
      <c r="AI32" s="29"/>
    </row>
    <row r="33" spans="2:35" ht="30" hidden="1" customHeight="1" x14ac:dyDescent="0.25">
      <c r="B33" s="33" t="str">
        <f t="shared" si="3"/>
        <v>B</v>
      </c>
      <c r="C33" s="33" t="str">
        <f t="shared" si="4"/>
        <v>104</v>
      </c>
      <c r="D33" s="37" t="s">
        <v>60</v>
      </c>
      <c r="E33" s="34">
        <v>28126</v>
      </c>
      <c r="F33" s="35" t="s">
        <v>46</v>
      </c>
      <c r="G33" s="84" t="str">
        <f t="array" ref="G33">IF($F33="Repair",($E33-MAX(IF($D$4:$D$200=$D33,IF($E$4:$E$200&lt;$E33,IF($F$4:$F$200&lt;&gt;"Repair",$E$4:$E$200)))))/365,"")</f>
        <v/>
      </c>
      <c r="H33" s="84" t="str">
        <f t="array" ref="H33">IF($F33="Replace",($E33-MAX(IF($D$4:$D$200=$D33,IF($E$4:$E$200&lt;$E33,IF($F$4:$F$200&lt;&gt;"Repair",$E$4:$E$200)))))/365,"")</f>
        <v/>
      </c>
      <c r="I33" s="53"/>
      <c r="L33" s="36"/>
      <c r="M33" s="38">
        <v>30987</v>
      </c>
      <c r="N33" s="37"/>
      <c r="O33" s="37">
        <v>7</v>
      </c>
      <c r="P33" s="38">
        <v>30987</v>
      </c>
      <c r="Q33" s="38" t="s">
        <v>44</v>
      </c>
      <c r="R33" s="37"/>
      <c r="S33" s="37"/>
      <c r="T33" s="33" t="s">
        <v>2</v>
      </c>
      <c r="W33" s="23">
        <f t="shared" si="0"/>
        <v>10</v>
      </c>
      <c r="X33" s="23" t="str">
        <f t="shared" si="1"/>
        <v/>
      </c>
      <c r="AA33" s="24">
        <f t="shared" si="8"/>
        <v>30</v>
      </c>
      <c r="AB33" s="23">
        <f t="shared" si="2"/>
        <v>0</v>
      </c>
      <c r="AD33" s="23">
        <f t="shared" si="5"/>
        <v>0</v>
      </c>
      <c r="AE33" s="24"/>
      <c r="AH33" s="29"/>
      <c r="AI33" s="29"/>
    </row>
    <row r="34" spans="2:35" ht="30" hidden="1" customHeight="1" x14ac:dyDescent="0.25">
      <c r="B34" s="33" t="str">
        <f t="shared" si="3"/>
        <v>B</v>
      </c>
      <c r="C34" s="33" t="str">
        <f t="shared" si="4"/>
        <v>104</v>
      </c>
      <c r="D34" s="37" t="s">
        <v>60</v>
      </c>
      <c r="E34" s="34">
        <v>35587</v>
      </c>
      <c r="F34" s="35" t="s">
        <v>38</v>
      </c>
      <c r="G34" s="84" t="str">
        <f t="array" ref="G34">IF($F34="Repair",($E34-MAX(IF($D$4:$D$200=$D34,IF($E$4:$E$200&lt;$E34,IF($F$4:$F$200&lt;&gt;"Repair",$E$4:$E$200)))))/365,"")</f>
        <v/>
      </c>
      <c r="H34" s="84">
        <f t="array" ref="H34">IF($F34="Replace",($E34-MAX(IF($D$4:$D$200=$D34,IF($E$4:$E$200&lt;$E34,IF($F$4:$F$200&lt;&gt;"Repair",$E$4:$E$200)))))/365,"")</f>
        <v>20.44109589041096</v>
      </c>
      <c r="I34" s="53"/>
      <c r="L34" s="36">
        <v>28126</v>
      </c>
      <c r="M34" s="38">
        <v>41090</v>
      </c>
      <c r="N34" s="37">
        <v>16</v>
      </c>
      <c r="O34" s="37"/>
      <c r="P34" s="38" t="s">
        <v>44</v>
      </c>
      <c r="Q34" s="38">
        <v>41090</v>
      </c>
      <c r="R34" s="37"/>
      <c r="S34" s="37"/>
      <c r="T34" s="33"/>
      <c r="W34" s="23" t="str">
        <f t="shared" si="0"/>
        <v/>
      </c>
      <c r="X34" s="23">
        <f t="shared" si="1"/>
        <v>20</v>
      </c>
      <c r="AA34" s="24">
        <f t="shared" si="8"/>
        <v>31</v>
      </c>
      <c r="AB34" s="23">
        <f t="shared" si="2"/>
        <v>0</v>
      </c>
      <c r="AD34" s="23">
        <f t="shared" si="5"/>
        <v>0</v>
      </c>
      <c r="AE34" s="24"/>
      <c r="AH34" s="29"/>
      <c r="AI34" s="29"/>
    </row>
    <row r="35" spans="2:35" ht="30" hidden="1" customHeight="1" x14ac:dyDescent="0.25">
      <c r="B35" s="33" t="str">
        <f t="shared" si="3"/>
        <v>B</v>
      </c>
      <c r="C35" s="33" t="str">
        <f t="shared" si="4"/>
        <v>104</v>
      </c>
      <c r="D35" s="37" t="s">
        <v>60</v>
      </c>
      <c r="E35" s="34">
        <v>41782</v>
      </c>
      <c r="F35" s="35" t="s">
        <v>38</v>
      </c>
      <c r="G35" s="84" t="str">
        <f t="array" ref="G35">IF($F35="Repair",($E35-MAX(IF($D$4:$D$200=$D35,IF($E$4:$E$200&lt;$E35,IF($F$4:$F$200&lt;&gt;"Repair",$E$4:$E$200)))))/365,"")</f>
        <v/>
      </c>
      <c r="H35" s="84">
        <f t="array" ref="H35">IF($F35="Replace",($E35-MAX(IF($D$4:$D$200=$D35,IF($E$4:$E$200&lt;$E35,IF($F$4:$F$200&lt;&gt;"Repair",$E$4:$E$200)))))/365,"")</f>
        <v>16.972602739726028</v>
      </c>
      <c r="I35" s="53"/>
      <c r="L35" s="36"/>
      <c r="M35" s="38">
        <v>35323</v>
      </c>
      <c r="N35" s="37">
        <v>2</v>
      </c>
      <c r="O35" s="39"/>
      <c r="P35" s="38" t="s">
        <v>44</v>
      </c>
      <c r="Q35" s="38">
        <v>35323</v>
      </c>
      <c r="R35" s="39"/>
      <c r="S35" s="39"/>
      <c r="T35" s="33" t="s">
        <v>14</v>
      </c>
      <c r="W35" s="23" t="str">
        <f t="shared" si="0"/>
        <v/>
      </c>
      <c r="X35" s="23">
        <f t="shared" si="1"/>
        <v>5</v>
      </c>
      <c r="AA35" s="24">
        <f t="shared" si="8"/>
        <v>32</v>
      </c>
      <c r="AB35" s="23">
        <f t="shared" si="2"/>
        <v>0</v>
      </c>
      <c r="AD35" s="23">
        <f t="shared" si="5"/>
        <v>0</v>
      </c>
      <c r="AE35" s="24"/>
      <c r="AH35" s="29"/>
      <c r="AI35" s="29"/>
    </row>
    <row r="36" spans="2:35" ht="30" hidden="1" customHeight="1" x14ac:dyDescent="0.25">
      <c r="B36" s="33" t="str">
        <f t="shared" si="3"/>
        <v>C</v>
      </c>
      <c r="C36" s="33" t="str">
        <f t="shared" si="4"/>
        <v>104</v>
      </c>
      <c r="D36" s="37" t="s">
        <v>61</v>
      </c>
      <c r="E36" s="34">
        <v>28126</v>
      </c>
      <c r="F36" s="35" t="s">
        <v>46</v>
      </c>
      <c r="G36" s="84" t="str">
        <f t="array" ref="G36">IF($F36="Repair",($E36-MAX(IF($D$4:$D$200=$D36,IF($E$4:$E$200&lt;$E36,IF($F$4:$F$200&lt;&gt;"Repair",$E$4:$E$200)))))/365,"")</f>
        <v/>
      </c>
      <c r="H36" s="84" t="str">
        <f t="array" ref="H36">IF($F36="Replace",($E36-MAX(IF($D$4:$D$200=$D36,IF($E$4:$E$200&lt;$E36,IF($F$4:$F$200&lt;&gt;"Repair",$E$4:$E$200)))))/365,"")</f>
        <v/>
      </c>
      <c r="I36" s="53"/>
      <c r="L36" s="36"/>
      <c r="M36" s="38">
        <v>34516</v>
      </c>
      <c r="N36" s="37"/>
      <c r="O36" s="37">
        <v>3</v>
      </c>
      <c r="P36" s="38">
        <v>34516</v>
      </c>
      <c r="Q36" s="38" t="s">
        <v>44</v>
      </c>
      <c r="R36" s="37"/>
      <c r="S36" s="37"/>
      <c r="T36" s="33" t="s">
        <v>2</v>
      </c>
      <c r="W36" s="23">
        <f t="shared" ref="W36:W67" si="9">IF(O36="","",INDEX($AF$4:$AF$11,MATCH(O36,$AF$4:$AF$11,TRUE)+1,1))</f>
        <v>5</v>
      </c>
      <c r="X36" s="23" t="str">
        <f t="shared" ref="X36:X67" si="10">IF(N36="","",INDEX($AF$4:$AF$11,MATCH(N36,$AF$4:$AF$11,TRUE)+1,1))</f>
        <v/>
      </c>
      <c r="AA36" s="24">
        <f t="shared" si="8"/>
        <v>33</v>
      </c>
      <c r="AB36" s="23">
        <f t="shared" si="2"/>
        <v>0</v>
      </c>
      <c r="AD36" s="23">
        <f t="shared" si="5"/>
        <v>1</v>
      </c>
      <c r="AE36" s="24"/>
      <c r="AH36" s="29"/>
      <c r="AI36" s="29"/>
    </row>
    <row r="37" spans="2:35" ht="30" hidden="1" customHeight="1" x14ac:dyDescent="0.25">
      <c r="B37" s="33" t="str">
        <f t="shared" si="3"/>
        <v>C</v>
      </c>
      <c r="C37" s="33" t="str">
        <f t="shared" si="4"/>
        <v>104</v>
      </c>
      <c r="D37" s="37" t="s">
        <v>61</v>
      </c>
      <c r="E37" s="34">
        <v>35200</v>
      </c>
      <c r="F37" s="35" t="s">
        <v>38</v>
      </c>
      <c r="G37" s="84" t="str">
        <f t="array" ref="G37">IF($F37="Repair",($E37-MAX(IF($D$4:$D$200=$D37,IF($E$4:$E$200&lt;$E37,IF($F$4:$F$200&lt;&gt;"Repair",$E$4:$E$200)))))/365,"")</f>
        <v/>
      </c>
      <c r="H37" s="84">
        <f t="array" ref="H37">IF($F37="Replace",($E37-MAX(IF($D$4:$D$200=$D37,IF($E$4:$E$200&lt;$E37,IF($F$4:$F$200&lt;&gt;"Repair",$E$4:$E$200)))))/365,"")</f>
        <v>19.38082191780822</v>
      </c>
      <c r="I37" s="53"/>
      <c r="L37" s="36"/>
      <c r="M37" s="38">
        <v>33482</v>
      </c>
      <c r="N37" s="37"/>
      <c r="O37" s="37">
        <v>14</v>
      </c>
      <c r="P37" s="38">
        <v>33482</v>
      </c>
      <c r="Q37" s="38" t="s">
        <v>44</v>
      </c>
      <c r="R37" s="37"/>
      <c r="S37" s="37"/>
      <c r="T37" s="33" t="s">
        <v>2</v>
      </c>
      <c r="W37" s="23">
        <f t="shared" si="9"/>
        <v>15</v>
      </c>
      <c r="X37" s="23" t="str">
        <f t="shared" si="10"/>
        <v/>
      </c>
      <c r="AA37" s="24">
        <f t="shared" si="8"/>
        <v>34</v>
      </c>
      <c r="AB37" s="23">
        <f t="shared" si="2"/>
        <v>0</v>
      </c>
      <c r="AD37" s="23">
        <f t="shared" si="5"/>
        <v>0</v>
      </c>
      <c r="AE37" s="24"/>
      <c r="AH37" s="29"/>
      <c r="AI37" s="29"/>
    </row>
    <row r="38" spans="2:35" ht="30" hidden="1" customHeight="1" x14ac:dyDescent="0.25">
      <c r="B38" s="33" t="str">
        <f t="shared" si="3"/>
        <v>C</v>
      </c>
      <c r="C38" s="33" t="str">
        <f t="shared" si="4"/>
        <v>104</v>
      </c>
      <c r="D38" s="37" t="s">
        <v>61</v>
      </c>
      <c r="E38" s="34">
        <v>36934</v>
      </c>
      <c r="F38" s="35" t="s">
        <v>39</v>
      </c>
      <c r="G38" s="84">
        <f t="array" ref="G38">IF($F38="Repair",($E38-MAX(IF($D$4:$D$200=$D38,IF($E$4:$E$200&lt;$E38,IF($F$4:$F$200&lt;&gt;"Repair",$E$4:$E$200)))))/365,"")</f>
        <v>4.7506849315068491</v>
      </c>
      <c r="H38" s="84" t="str">
        <f t="array" ref="H38">IF($F38="Replace",($E38-MAX(IF($D$4:$D$200=$D38,IF($E$4:$E$200&lt;$E38,IF($F$4:$F$200&lt;&gt;"Repair",$E$4:$E$200)))))/365,"")</f>
        <v/>
      </c>
      <c r="I38" s="53"/>
      <c r="L38" s="36">
        <v>28126</v>
      </c>
      <c r="M38" s="38">
        <v>42476</v>
      </c>
      <c r="N38" s="37">
        <v>13</v>
      </c>
      <c r="O38" s="37"/>
      <c r="P38" s="38" t="s">
        <v>44</v>
      </c>
      <c r="Q38" s="38">
        <v>42476</v>
      </c>
      <c r="R38" s="37"/>
      <c r="S38" s="37"/>
      <c r="T38" s="33"/>
      <c r="W38" s="23" t="str">
        <f t="shared" si="9"/>
        <v/>
      </c>
      <c r="X38" s="23">
        <f t="shared" si="10"/>
        <v>15</v>
      </c>
      <c r="AA38" s="24">
        <f t="shared" si="8"/>
        <v>35</v>
      </c>
      <c r="AB38" s="23">
        <f t="shared" si="2"/>
        <v>0</v>
      </c>
      <c r="AD38" s="23">
        <f t="shared" si="5"/>
        <v>1</v>
      </c>
      <c r="AE38" s="24"/>
      <c r="AH38" s="29"/>
      <c r="AI38" s="29"/>
    </row>
    <row r="39" spans="2:35" ht="30" customHeight="1" x14ac:dyDescent="0.25">
      <c r="B39" s="33" t="str">
        <f t="shared" si="3"/>
        <v>D</v>
      </c>
      <c r="C39" s="33" t="str">
        <f t="shared" si="4"/>
        <v>104</v>
      </c>
      <c r="D39" s="37" t="s">
        <v>62</v>
      </c>
      <c r="E39" s="34">
        <v>28126</v>
      </c>
      <c r="F39" s="35" t="s">
        <v>46</v>
      </c>
      <c r="G39" s="84" t="str">
        <f t="array" ref="G39">IF($F39="Repair",($E39-MAX(IF($D$4:$D$200=$D39,IF($E$4:$E$200&lt;$E39,IF($F$4:$F$200&lt;&gt;"Repair",$E$4:$E$200)))))/365,"")</f>
        <v/>
      </c>
      <c r="H39" s="84" t="str">
        <f t="array" ref="H39">IF($F39="Replace",($E39-MAX(IF($D$4:$D$200=$D39,IF($E$4:$E$200&lt;$E39,IF($F$4:$F$200&lt;&gt;"Repair",$E$4:$E$200)))))/365,"")</f>
        <v/>
      </c>
      <c r="I39" s="53"/>
      <c r="L39" s="36"/>
      <c r="M39" s="38">
        <v>37763</v>
      </c>
      <c r="N39" s="37"/>
      <c r="O39" s="37">
        <v>5</v>
      </c>
      <c r="P39" s="38">
        <v>37763</v>
      </c>
      <c r="Q39" s="38" t="s">
        <v>44</v>
      </c>
      <c r="R39" s="37"/>
      <c r="S39" s="37"/>
      <c r="T39" s="33" t="s">
        <v>2</v>
      </c>
      <c r="W39" s="23">
        <f t="shared" si="9"/>
        <v>10</v>
      </c>
      <c r="X39" s="23" t="str">
        <f t="shared" si="10"/>
        <v/>
      </c>
      <c r="AB39" s="23">
        <f>SUM(AB4:AB38)</f>
        <v>45</v>
      </c>
      <c r="AD39" s="23">
        <f>SUM(AD4:AD38)</f>
        <v>27</v>
      </c>
      <c r="AE39" s="24"/>
    </row>
    <row r="40" spans="2:35" ht="30" customHeight="1" x14ac:dyDescent="0.25">
      <c r="B40" s="33" t="str">
        <f t="shared" si="3"/>
        <v>D</v>
      </c>
      <c r="C40" s="33" t="str">
        <f t="shared" si="4"/>
        <v>104</v>
      </c>
      <c r="D40" s="37" t="s">
        <v>62</v>
      </c>
      <c r="E40" s="34">
        <v>34274</v>
      </c>
      <c r="F40" s="35" t="s">
        <v>38</v>
      </c>
      <c r="G40" s="84" t="str">
        <f t="array" ref="G40">IF($F40="Repair",($E40-MAX(IF($D$4:$D$200=$D40,IF($E$4:$E$200&lt;$E40,IF($F$4:$F$200&lt;&gt;"Repair",$E$4:$E$200)))))/365,"")</f>
        <v/>
      </c>
      <c r="H40" s="84">
        <f t="array" ref="H40">IF($F40="Replace",($E40-MAX(IF($D$4:$D$200=$D40,IF($E$4:$E$200&lt;$E40,IF($F$4:$F$200&lt;&gt;"Repair",$E$4:$E$200)))))/365,"")</f>
        <v>16.843835616438355</v>
      </c>
      <c r="I40" s="53"/>
      <c r="L40" s="36"/>
      <c r="M40" s="38">
        <v>35923</v>
      </c>
      <c r="N40" s="37">
        <v>4</v>
      </c>
      <c r="O40" s="37"/>
      <c r="P40" s="38" t="s">
        <v>44</v>
      </c>
      <c r="Q40" s="38">
        <v>35923</v>
      </c>
      <c r="R40" s="37"/>
      <c r="S40" s="37"/>
      <c r="T40" s="33"/>
      <c r="W40" s="23" t="str">
        <f t="shared" si="9"/>
        <v/>
      </c>
      <c r="X40" s="23">
        <f t="shared" si="10"/>
        <v>5</v>
      </c>
      <c r="AE40" s="24"/>
    </row>
    <row r="41" spans="2:35" ht="30" customHeight="1" x14ac:dyDescent="0.25">
      <c r="B41" s="33" t="str">
        <f t="shared" si="3"/>
        <v>D</v>
      </c>
      <c r="C41" s="33" t="str">
        <f t="shared" si="4"/>
        <v>104</v>
      </c>
      <c r="D41" s="37" t="s">
        <v>62</v>
      </c>
      <c r="E41" s="34">
        <v>34920</v>
      </c>
      <c r="F41" s="35" t="s">
        <v>39</v>
      </c>
      <c r="G41" s="84">
        <f t="array" ref="G41">IF($F41="Repair",($E41-MAX(IF($D$4:$D$200=$D41,IF($E$4:$E$200&lt;$E41,IF($F$4:$F$200&lt;&gt;"Repair",$E$4:$E$200)))))/365,"")</f>
        <v>1.7698630136986302</v>
      </c>
      <c r="H41" s="84" t="str">
        <f t="array" ref="H41">IF($F41="Replace",($E41-MAX(IF($D$4:$D$200=$D41,IF($E$4:$E$200&lt;$E41,IF($F$4:$F$200&lt;&gt;"Repair",$E$4:$E$200)))))/365,"")</f>
        <v/>
      </c>
      <c r="I41" s="53"/>
      <c r="L41" s="36"/>
      <c r="M41" s="38">
        <v>34429</v>
      </c>
      <c r="N41" s="37"/>
      <c r="O41" s="37">
        <v>4</v>
      </c>
      <c r="P41" s="38">
        <v>34429</v>
      </c>
      <c r="Q41" s="38" t="s">
        <v>44</v>
      </c>
      <c r="R41" s="37"/>
      <c r="S41" s="37"/>
      <c r="T41" s="33" t="s">
        <v>2</v>
      </c>
      <c r="W41" s="23">
        <f t="shared" si="9"/>
        <v>5</v>
      </c>
      <c r="X41" s="23" t="str">
        <f t="shared" si="10"/>
        <v/>
      </c>
      <c r="AE41" s="24"/>
    </row>
    <row r="42" spans="2:35" ht="30" customHeight="1" x14ac:dyDescent="0.25">
      <c r="B42" s="33" t="str">
        <f t="shared" si="3"/>
        <v>D</v>
      </c>
      <c r="C42" s="33" t="str">
        <f t="shared" si="4"/>
        <v>104</v>
      </c>
      <c r="D42" s="37" t="s">
        <v>62</v>
      </c>
      <c r="E42" s="34">
        <v>37033</v>
      </c>
      <c r="F42" s="35" t="s">
        <v>39</v>
      </c>
      <c r="G42" s="84">
        <f t="array" ref="G42">IF($F42="Repair",($E42-MAX(IF($D$4:$D$200=$D42,IF($E$4:$E$200&lt;$E42,IF($F$4:$F$200&lt;&gt;"Repair",$E$4:$E$200)))))/365,"")</f>
        <v>7.558904109589041</v>
      </c>
      <c r="H42" s="84" t="str">
        <f t="array" ref="H42">IF($F42="Replace",($E42-MAX(IF($D$4:$D$200=$D42,IF($E$4:$E$200&lt;$E42,IF($F$4:$F$200&lt;&gt;"Repair",$E$4:$E$200)))))/365,"")</f>
        <v/>
      </c>
      <c r="I42" s="53"/>
      <c r="L42" s="36"/>
      <c r="M42" s="38">
        <v>32994</v>
      </c>
      <c r="N42" s="39"/>
      <c r="O42" s="37">
        <v>13</v>
      </c>
      <c r="P42" s="38">
        <v>32994</v>
      </c>
      <c r="Q42" s="38" t="s">
        <v>44</v>
      </c>
      <c r="R42" s="37"/>
      <c r="S42" s="37"/>
      <c r="T42" s="33" t="s">
        <v>2</v>
      </c>
      <c r="W42" s="23">
        <f t="shared" si="9"/>
        <v>15</v>
      </c>
      <c r="X42" s="23" t="str">
        <f t="shared" si="10"/>
        <v/>
      </c>
      <c r="AE42" s="24"/>
    </row>
    <row r="43" spans="2:35" ht="30" customHeight="1" x14ac:dyDescent="0.25">
      <c r="B43" s="33" t="str">
        <f t="shared" si="3"/>
        <v>D</v>
      </c>
      <c r="C43" s="33" t="str">
        <f t="shared" si="4"/>
        <v>104</v>
      </c>
      <c r="D43" s="37" t="s">
        <v>62</v>
      </c>
      <c r="E43" s="34">
        <v>40800</v>
      </c>
      <c r="F43" s="35" t="s">
        <v>38</v>
      </c>
      <c r="G43" s="84" t="str">
        <f t="array" ref="G43">IF($F43="Repair",($E43-MAX(IF($D$4:$D$200=$D43,IF($E$4:$E$200&lt;$E43,IF($F$4:$F$200&lt;&gt;"Repair",$E$4:$E$200)))))/365,"")</f>
        <v/>
      </c>
      <c r="H43" s="84">
        <f t="array" ref="H43">IF($F43="Replace",($E43-MAX(IF($D$4:$D$200=$D43,IF($E$4:$E$200&lt;$E43,IF($F$4:$F$200&lt;&gt;"Repair",$E$4:$E$200)))))/365,"")</f>
        <v>17.87945205479452</v>
      </c>
      <c r="I43" s="53"/>
      <c r="L43" s="36">
        <v>29952</v>
      </c>
      <c r="M43" s="38">
        <v>39022</v>
      </c>
      <c r="N43" s="39"/>
      <c r="O43" s="37">
        <v>7</v>
      </c>
      <c r="P43" s="38">
        <v>39022</v>
      </c>
      <c r="Q43" s="38" t="s">
        <v>44</v>
      </c>
      <c r="R43" s="37"/>
      <c r="S43" s="37"/>
      <c r="T43" s="33"/>
      <c r="W43" s="23">
        <f t="shared" si="9"/>
        <v>10</v>
      </c>
      <c r="X43" s="23" t="str">
        <f t="shared" si="10"/>
        <v/>
      </c>
      <c r="AE43" s="24"/>
    </row>
    <row r="44" spans="2:35" ht="30" hidden="1" customHeight="1" x14ac:dyDescent="0.25">
      <c r="B44" s="33" t="str">
        <f t="shared" si="3"/>
        <v>E</v>
      </c>
      <c r="C44" s="33" t="str">
        <f t="shared" si="4"/>
        <v>104</v>
      </c>
      <c r="D44" s="37" t="s">
        <v>63</v>
      </c>
      <c r="E44" s="34">
        <v>28126</v>
      </c>
      <c r="F44" s="35" t="s">
        <v>46</v>
      </c>
      <c r="G44" s="84" t="str">
        <f t="array" ref="G44">IF($F44="Repair",($E44-MAX(IF($D$4:$D$200=$D44,IF($E$4:$E$200&lt;$E44,IF($F$4:$F$200&lt;&gt;"Repair",$E$4:$E$200)))))/365,"")</f>
        <v/>
      </c>
      <c r="H44" s="84" t="str">
        <f t="array" ref="H44">IF($F44="Replace",($E44-MAX(IF($D$4:$D$200=$D44,IF($E$4:$E$200&lt;$E44,IF($F$4:$F$200&lt;&gt;"Repair",$E$4:$E$200)))))/365,"")</f>
        <v/>
      </c>
      <c r="I44" s="53"/>
      <c r="L44" s="36"/>
      <c r="M44" s="38">
        <v>36358</v>
      </c>
      <c r="N44" s="39"/>
      <c r="O44" s="37">
        <v>5</v>
      </c>
      <c r="P44" s="38">
        <v>36358</v>
      </c>
      <c r="Q44" s="38" t="s">
        <v>44</v>
      </c>
      <c r="R44" s="37"/>
      <c r="S44" s="37"/>
      <c r="T44" s="33" t="s">
        <v>2</v>
      </c>
      <c r="W44" s="23">
        <f t="shared" si="9"/>
        <v>10</v>
      </c>
      <c r="X44" s="23" t="str">
        <f t="shared" si="10"/>
        <v/>
      </c>
      <c r="AE44" s="24"/>
    </row>
    <row r="45" spans="2:35" ht="30" hidden="1" customHeight="1" x14ac:dyDescent="0.25">
      <c r="B45" s="33" t="str">
        <f t="shared" si="3"/>
        <v>E</v>
      </c>
      <c r="C45" s="33" t="str">
        <f t="shared" si="4"/>
        <v>104</v>
      </c>
      <c r="D45" s="37" t="s">
        <v>63</v>
      </c>
      <c r="E45" s="34">
        <v>35323</v>
      </c>
      <c r="F45" s="35" t="s">
        <v>38</v>
      </c>
      <c r="G45" s="84" t="str">
        <f t="array" ref="G45">IF($F45="Repair",($E45-MAX(IF($D$4:$D$200=$D45,IF($E$4:$E$200&lt;$E45,IF($F$4:$F$200&lt;&gt;"Repair",$E$4:$E$200)))))/365,"")</f>
        <v/>
      </c>
      <c r="H45" s="84">
        <f t="array" ref="H45">IF($F45="Replace",($E45-MAX(IF($D$4:$D$200=$D45,IF($E$4:$E$200&lt;$E45,IF($F$4:$F$200&lt;&gt;"Repair",$E$4:$E$200)))))/365,"")</f>
        <v>19.717808219178082</v>
      </c>
      <c r="I45" s="53"/>
      <c r="L45" s="36"/>
      <c r="M45" s="38">
        <v>34564</v>
      </c>
      <c r="N45" s="37">
        <v>3</v>
      </c>
      <c r="O45" s="37"/>
      <c r="P45" s="38" t="s">
        <v>44</v>
      </c>
      <c r="Q45" s="38">
        <v>34564</v>
      </c>
      <c r="R45" s="37"/>
      <c r="S45" s="37"/>
      <c r="T45" s="33" t="s">
        <v>14</v>
      </c>
      <c r="W45" s="23" t="str">
        <f t="shared" si="9"/>
        <v/>
      </c>
      <c r="X45" s="23">
        <f t="shared" si="10"/>
        <v>5</v>
      </c>
      <c r="AE45" s="24"/>
    </row>
    <row r="46" spans="2:35" ht="30" hidden="1" customHeight="1" x14ac:dyDescent="0.25">
      <c r="B46" s="33" t="str">
        <f t="shared" si="3"/>
        <v>E</v>
      </c>
      <c r="C46" s="33" t="str">
        <f t="shared" si="4"/>
        <v>104</v>
      </c>
      <c r="D46" s="37" t="s">
        <v>63</v>
      </c>
      <c r="E46" s="34">
        <v>41157</v>
      </c>
      <c r="F46" s="35" t="s">
        <v>39</v>
      </c>
      <c r="G46" s="84">
        <f t="array" ref="G46">IF($F46="Repair",($E46-MAX(IF($D$4:$D$200=$D46,IF($E$4:$E$200&lt;$E46,IF($F$4:$F$200&lt;&gt;"Repair",$E$4:$E$200)))))/365,"")</f>
        <v>15.983561643835616</v>
      </c>
      <c r="H46" s="84" t="str">
        <f t="array" ref="H46">IF($F46="Replace",($E46-MAX(IF($D$4:$D$200=$D46,IF($E$4:$E$200&lt;$E46,IF($F$4:$F$200&lt;&gt;"Repair",$E$4:$E$200)))))/365,"")</f>
        <v/>
      </c>
      <c r="I46" s="53"/>
      <c r="L46" s="36"/>
      <c r="M46" s="38">
        <v>33482</v>
      </c>
      <c r="N46" s="37"/>
      <c r="O46" s="37">
        <v>9</v>
      </c>
      <c r="P46" s="38">
        <v>33482</v>
      </c>
      <c r="Q46" s="38" t="s">
        <v>44</v>
      </c>
      <c r="R46" s="37"/>
      <c r="S46" s="37"/>
      <c r="T46" s="33" t="s">
        <v>2</v>
      </c>
      <c r="W46" s="23">
        <f t="shared" si="9"/>
        <v>10</v>
      </c>
      <c r="X46" s="23" t="str">
        <f t="shared" si="10"/>
        <v/>
      </c>
      <c r="AE46" s="24"/>
    </row>
    <row r="47" spans="2:35" ht="30" hidden="1" customHeight="1" x14ac:dyDescent="0.25">
      <c r="B47" s="33" t="str">
        <f t="shared" si="3"/>
        <v>F</v>
      </c>
      <c r="C47" s="33" t="str">
        <f t="shared" si="4"/>
        <v>104</v>
      </c>
      <c r="D47" s="37" t="s">
        <v>64</v>
      </c>
      <c r="E47" s="34">
        <v>28126</v>
      </c>
      <c r="F47" s="35" t="s">
        <v>46</v>
      </c>
      <c r="G47" s="84" t="str">
        <f t="array" ref="G47">IF($F47="Repair",($E47-MAX(IF($D$4:$D$200=$D47,IF($E$4:$E$200&lt;$E47,IF($F$4:$F$200&lt;&gt;"Repair",$E$4:$E$200)))))/365,"")</f>
        <v/>
      </c>
      <c r="H47" s="84" t="str">
        <f t="array" ref="H47">IF($F47="Replace",($E47-MAX(IF($D$4:$D$200=$D47,IF($E$4:$E$200&lt;$E47,IF($F$4:$F$200&lt;&gt;"Repair",$E$4:$E$200)))))/365,"")</f>
        <v/>
      </c>
      <c r="I47" s="53"/>
      <c r="L47" s="36">
        <v>31413</v>
      </c>
      <c r="M47" s="38">
        <v>42131</v>
      </c>
      <c r="N47" s="37">
        <v>15</v>
      </c>
      <c r="O47" s="37"/>
      <c r="P47" s="38" t="s">
        <v>44</v>
      </c>
      <c r="Q47" s="38">
        <v>42131</v>
      </c>
      <c r="R47" s="37"/>
      <c r="S47" s="37"/>
      <c r="T47" s="33"/>
      <c r="W47" s="23" t="str">
        <f t="shared" si="9"/>
        <v/>
      </c>
      <c r="X47" s="23">
        <f t="shared" si="10"/>
        <v>20</v>
      </c>
      <c r="AE47" s="24"/>
    </row>
    <row r="48" spans="2:35" ht="30" hidden="1" customHeight="1" x14ac:dyDescent="0.25">
      <c r="B48" s="33" t="str">
        <f t="shared" si="3"/>
        <v>F</v>
      </c>
      <c r="C48" s="33" t="str">
        <f t="shared" si="4"/>
        <v>104</v>
      </c>
      <c r="D48" s="37" t="s">
        <v>64</v>
      </c>
      <c r="E48" s="34">
        <v>30987</v>
      </c>
      <c r="F48" s="35" t="s">
        <v>39</v>
      </c>
      <c r="G48" s="84">
        <f t="array" ref="G48">IF($F48="Repair",($E48-MAX(IF($D$4:$D$200=$D48,IF($E$4:$E$200&lt;$E48,IF($F$4:$F$200&lt;&gt;"Repair",$E$4:$E$200)))))/365,"")</f>
        <v>7.838356164383562</v>
      </c>
      <c r="H48" s="84" t="str">
        <f t="array" ref="H48">IF($F48="Replace",($E48-MAX(IF($D$4:$D$200=$D48,IF($E$4:$E$200&lt;$E48,IF($F$4:$F$200&lt;&gt;"Repair",$E$4:$E$200)))))/365,"")</f>
        <v/>
      </c>
      <c r="I48" s="53"/>
      <c r="L48" s="36"/>
      <c r="M48" s="38">
        <v>36759</v>
      </c>
      <c r="N48" s="37"/>
      <c r="O48" s="37">
        <v>2</v>
      </c>
      <c r="P48" s="38">
        <v>36759</v>
      </c>
      <c r="Q48" s="38" t="s">
        <v>44</v>
      </c>
      <c r="R48" s="37"/>
      <c r="S48" s="37"/>
      <c r="T48" s="33" t="s">
        <v>2</v>
      </c>
      <c r="W48" s="23">
        <f t="shared" si="9"/>
        <v>5</v>
      </c>
      <c r="X48" s="23" t="str">
        <f t="shared" si="10"/>
        <v/>
      </c>
      <c r="AE48" s="24"/>
    </row>
    <row r="49" spans="2:31" ht="30" hidden="1" customHeight="1" x14ac:dyDescent="0.25">
      <c r="B49" s="33" t="str">
        <f t="shared" si="3"/>
        <v>F</v>
      </c>
      <c r="C49" s="33" t="str">
        <f t="shared" si="4"/>
        <v>104</v>
      </c>
      <c r="D49" s="37" t="s">
        <v>64</v>
      </c>
      <c r="E49" s="34">
        <v>32994</v>
      </c>
      <c r="F49" s="35" t="s">
        <v>39</v>
      </c>
      <c r="G49" s="84">
        <f t="array" ref="G49">IF($F49="Repair",($E49-MAX(IF($D$4:$D$200=$D49,IF($E$4:$E$200&lt;$E49,IF($F$4:$F$200&lt;&gt;"Repair",$E$4:$E$200)))))/365,"")</f>
        <v>13.336986301369864</v>
      </c>
      <c r="H49" s="84" t="str">
        <f t="array" ref="H49">IF($F49="Replace",($E49-MAX(IF($D$4:$D$200=$D49,IF($E$4:$E$200&lt;$E49,IF($F$4:$F$200&lt;&gt;"Repair",$E$4:$E$200)))))/365,"")</f>
        <v/>
      </c>
      <c r="I49" s="53"/>
      <c r="L49" s="36"/>
      <c r="M49" s="38">
        <v>35997</v>
      </c>
      <c r="N49" s="37"/>
      <c r="O49" s="37">
        <v>6</v>
      </c>
      <c r="P49" s="38">
        <v>35997</v>
      </c>
      <c r="Q49" s="38" t="s">
        <v>44</v>
      </c>
      <c r="R49" s="37"/>
      <c r="S49" s="37"/>
      <c r="T49" s="33" t="s">
        <v>2</v>
      </c>
      <c r="W49" s="23">
        <f t="shared" si="9"/>
        <v>10</v>
      </c>
      <c r="X49" s="23" t="str">
        <f t="shared" si="10"/>
        <v/>
      </c>
      <c r="AE49" s="24"/>
    </row>
    <row r="50" spans="2:31" ht="30" hidden="1" customHeight="1" x14ac:dyDescent="0.25">
      <c r="B50" s="33" t="str">
        <f t="shared" si="3"/>
        <v>F</v>
      </c>
      <c r="C50" s="33" t="str">
        <f t="shared" si="4"/>
        <v>104</v>
      </c>
      <c r="D50" s="37" t="s">
        <v>64</v>
      </c>
      <c r="E50" s="34">
        <v>35796</v>
      </c>
      <c r="F50" s="35" t="s">
        <v>38</v>
      </c>
      <c r="G50" s="84" t="str">
        <f t="array" ref="G50">IF($F50="Repair",($E50-MAX(IF($D$4:$D$200=$D50,IF($E$4:$E$200&lt;$E50,IF($F$4:$F$200&lt;&gt;"Repair",$E$4:$E$200)))))/365,"")</f>
        <v/>
      </c>
      <c r="H50" s="84">
        <f t="array" ref="H50">IF($F50="Replace",($E50-MAX(IF($D$4:$D$200=$D50,IF($E$4:$E$200&lt;$E50,IF($F$4:$F$200&lt;&gt;"Repair",$E$4:$E$200)))))/365,"")</f>
        <v>21.013698630136986</v>
      </c>
      <c r="I50" s="53"/>
      <c r="L50" s="36"/>
      <c r="M50" s="38">
        <v>33725</v>
      </c>
      <c r="N50" s="37"/>
      <c r="O50" s="37">
        <v>3</v>
      </c>
      <c r="P50" s="38">
        <v>33725</v>
      </c>
      <c r="Q50" s="38" t="s">
        <v>44</v>
      </c>
      <c r="R50" s="37"/>
      <c r="S50" s="37"/>
      <c r="T50" s="33" t="s">
        <v>2</v>
      </c>
      <c r="W50" s="23">
        <f t="shared" si="9"/>
        <v>5</v>
      </c>
      <c r="X50" s="23" t="str">
        <f t="shared" si="10"/>
        <v/>
      </c>
      <c r="AE50" s="24"/>
    </row>
    <row r="51" spans="2:31" ht="30" hidden="1" customHeight="1" x14ac:dyDescent="0.25">
      <c r="B51" s="33" t="str">
        <f t="shared" si="3"/>
        <v>F</v>
      </c>
      <c r="C51" s="33" t="str">
        <f t="shared" si="4"/>
        <v>104</v>
      </c>
      <c r="D51" s="37" t="s">
        <v>64</v>
      </c>
      <c r="E51" s="34">
        <v>37468</v>
      </c>
      <c r="F51" s="35" t="s">
        <v>39</v>
      </c>
      <c r="G51" s="84">
        <f t="array" ref="G51">IF($F51="Repair",($E51-MAX(IF($D$4:$D$200=$D51,IF($E$4:$E$200&lt;$E51,IF($F$4:$F$200&lt;&gt;"Repair",$E$4:$E$200)))))/365,"")</f>
        <v>4.580821917808219</v>
      </c>
      <c r="H51" s="84" t="str">
        <f t="array" ref="H51">IF($F51="Replace",($E51-MAX(IF($D$4:$D$200=$D51,IF($E$4:$E$200&lt;$E51,IF($F$4:$F$200&lt;&gt;"Repair",$E$4:$E$200)))))/365,"")</f>
        <v/>
      </c>
      <c r="I51" s="53"/>
      <c r="L51" s="36"/>
      <c r="M51" s="38">
        <v>32607</v>
      </c>
      <c r="N51" s="37"/>
      <c r="O51" s="37">
        <v>3</v>
      </c>
      <c r="P51" s="38">
        <v>32607</v>
      </c>
      <c r="Q51" s="38" t="s">
        <v>44</v>
      </c>
      <c r="R51" s="37"/>
      <c r="S51" s="37"/>
      <c r="T51" s="33" t="s">
        <v>2</v>
      </c>
      <c r="W51" s="23">
        <f t="shared" si="9"/>
        <v>5</v>
      </c>
      <c r="X51" s="23" t="str">
        <f t="shared" si="10"/>
        <v/>
      </c>
      <c r="AE51" s="24"/>
    </row>
    <row r="52" spans="2:31" ht="30" hidden="1" customHeight="1" x14ac:dyDescent="0.25">
      <c r="B52" s="33" t="str">
        <f t="shared" si="3"/>
        <v>F</v>
      </c>
      <c r="C52" s="33" t="str">
        <f t="shared" si="4"/>
        <v>104</v>
      </c>
      <c r="D52" s="37" t="s">
        <v>64</v>
      </c>
      <c r="E52" s="34">
        <v>37763</v>
      </c>
      <c r="F52" s="35" t="s">
        <v>39</v>
      </c>
      <c r="G52" s="84">
        <f t="array" ref="G52">IF($F52="Repair",($E52-MAX(IF($D$4:$D$200=$D52,IF($E$4:$E$200&lt;$E52,IF($F$4:$F$200&lt;&gt;"Repair",$E$4:$E$200)))))/365,"")</f>
        <v>5.3890410958904109</v>
      </c>
      <c r="H52" s="84" t="str">
        <f t="array" ref="H52">IF($F52="Replace",($E52-MAX(IF($D$4:$D$200=$D52,IF($E$4:$E$200&lt;$E52,IF($F$4:$F$200&lt;&gt;"Repair",$E$4:$E$200)))))/365,"")</f>
        <v/>
      </c>
      <c r="I52" s="53"/>
      <c r="L52" s="36">
        <v>28126</v>
      </c>
      <c r="M52" s="34">
        <v>38168</v>
      </c>
      <c r="N52" s="33"/>
      <c r="O52" s="37">
        <v>5</v>
      </c>
      <c r="P52" s="34">
        <v>38168</v>
      </c>
      <c r="Q52" s="34" t="s">
        <v>44</v>
      </c>
      <c r="R52" s="37"/>
      <c r="S52" s="37"/>
      <c r="T52" s="33" t="s">
        <v>2</v>
      </c>
      <c r="W52" s="23">
        <f t="shared" si="9"/>
        <v>10</v>
      </c>
      <c r="X52" s="23" t="str">
        <f t="shared" si="10"/>
        <v/>
      </c>
      <c r="AE52" s="24"/>
    </row>
    <row r="53" spans="2:31" ht="30" hidden="1" customHeight="1" x14ac:dyDescent="0.25">
      <c r="B53" s="33" t="str">
        <f t="shared" si="3"/>
        <v>G</v>
      </c>
      <c r="C53" s="33" t="str">
        <f t="shared" si="4"/>
        <v>104</v>
      </c>
      <c r="D53" s="37" t="s">
        <v>65</v>
      </c>
      <c r="E53" s="34">
        <v>32143</v>
      </c>
      <c r="F53" s="35" t="s">
        <v>46</v>
      </c>
      <c r="G53" s="84" t="str">
        <f t="array" ref="G53">IF($F53="Repair",($E53-MAX(IF($D$4:$D$200=$D53,IF($E$4:$E$200&lt;$E53,IF($F$4:$F$200&lt;&gt;"Repair",$E$4:$E$200)))))/365,"")</f>
        <v/>
      </c>
      <c r="H53" s="84" t="str">
        <f t="array" ref="H53">IF($F53="Replace",($E53-MAX(IF($D$4:$D$200=$D53,IF($E$4:$E$200&lt;$E53,IF($F$4:$F$200&lt;&gt;"Repair",$E$4:$E$200)))))/365,"")</f>
        <v/>
      </c>
      <c r="I53" s="53"/>
      <c r="L53" s="36"/>
      <c r="M53" s="34">
        <v>36431</v>
      </c>
      <c r="N53" s="33"/>
      <c r="O53" s="37">
        <v>3</v>
      </c>
      <c r="P53" s="34">
        <v>36431</v>
      </c>
      <c r="Q53" s="34" t="s">
        <v>44</v>
      </c>
      <c r="R53" s="37"/>
      <c r="S53" s="37"/>
      <c r="T53" s="33" t="s">
        <v>2</v>
      </c>
      <c r="W53" s="23">
        <f t="shared" si="9"/>
        <v>5</v>
      </c>
      <c r="X53" s="23" t="str">
        <f t="shared" si="10"/>
        <v/>
      </c>
      <c r="AE53" s="24"/>
    </row>
    <row r="54" spans="2:31" ht="30" hidden="1" customHeight="1" x14ac:dyDescent="0.25">
      <c r="B54" s="33" t="str">
        <f t="shared" si="3"/>
        <v>G</v>
      </c>
      <c r="C54" s="33" t="str">
        <f t="shared" si="4"/>
        <v>104</v>
      </c>
      <c r="D54" s="37" t="s">
        <v>65</v>
      </c>
      <c r="E54" s="34">
        <v>32568</v>
      </c>
      <c r="F54" s="35" t="s">
        <v>39</v>
      </c>
      <c r="G54" s="84">
        <f t="array" ref="G54">IF($F54="Repair",($E54-MAX(IF($D$4:$D$200=$D54,IF($E$4:$E$200&lt;$E54,IF($F$4:$F$200&lt;&gt;"Repair",$E$4:$E$200)))))/365,"")</f>
        <v>1.1643835616438356</v>
      </c>
      <c r="H54" s="84" t="str">
        <f t="array" ref="H54">IF($F54="Replace",($E54-MAX(IF($D$4:$D$200=$D54,IF($E$4:$E$200&lt;$E54,IF($F$4:$F$200&lt;&gt;"Repair",$E$4:$E$200)))))/365,"")</f>
        <v/>
      </c>
      <c r="I54" s="53"/>
      <c r="L54" s="36"/>
      <c r="M54" s="34">
        <v>35217</v>
      </c>
      <c r="N54" s="33"/>
      <c r="O54" s="37">
        <v>19</v>
      </c>
      <c r="P54" s="34">
        <v>35217</v>
      </c>
      <c r="Q54" s="34" t="s">
        <v>44</v>
      </c>
      <c r="R54" s="37"/>
      <c r="S54" s="37"/>
      <c r="T54" s="33" t="s">
        <v>2</v>
      </c>
      <c r="W54" s="23">
        <f t="shared" si="9"/>
        <v>20</v>
      </c>
      <c r="X54" s="23" t="str">
        <f t="shared" si="10"/>
        <v/>
      </c>
      <c r="AE54" s="24"/>
    </row>
    <row r="55" spans="2:31" ht="30" hidden="1" customHeight="1" x14ac:dyDescent="0.25">
      <c r="B55" s="33" t="str">
        <f t="shared" si="3"/>
        <v>G</v>
      </c>
      <c r="C55" s="33" t="str">
        <f t="shared" si="4"/>
        <v>104</v>
      </c>
      <c r="D55" s="37" t="s">
        <v>65</v>
      </c>
      <c r="E55" s="34">
        <v>35963</v>
      </c>
      <c r="F55" s="35" t="s">
        <v>38</v>
      </c>
      <c r="G55" s="84" t="str">
        <f t="array" ref="G55">IF($F55="Repair",($E55-MAX(IF($D$4:$D$200=$D55,IF($E$4:$E$200&lt;$E55,IF($F$4:$F$200&lt;&gt;"Repair",$E$4:$E$200)))))/365,"")</f>
        <v/>
      </c>
      <c r="H55" s="84">
        <f t="array" ref="H55">IF($F55="Replace",($E55-MAX(IF($D$4:$D$200=$D55,IF($E$4:$E$200&lt;$E55,IF($F$4:$F$200&lt;&gt;"Repair",$E$4:$E$200)))))/365,"")</f>
        <v>10.465753424657533</v>
      </c>
      <c r="I55" s="53"/>
      <c r="L55" s="36">
        <v>28126</v>
      </c>
      <c r="M55" s="34">
        <v>41782</v>
      </c>
      <c r="N55" s="37">
        <v>12</v>
      </c>
      <c r="O55" s="37"/>
      <c r="P55" s="34" t="s">
        <v>44</v>
      </c>
      <c r="Q55" s="34">
        <v>41782</v>
      </c>
      <c r="R55" s="37"/>
      <c r="S55" s="37"/>
      <c r="T55" s="33"/>
      <c r="W55" s="23" t="str">
        <f t="shared" si="9"/>
        <v/>
      </c>
      <c r="X55" s="23">
        <f t="shared" si="10"/>
        <v>15</v>
      </c>
      <c r="AE55" s="24"/>
    </row>
    <row r="56" spans="2:31" ht="30" hidden="1" customHeight="1" x14ac:dyDescent="0.25">
      <c r="B56" s="33" t="str">
        <f t="shared" si="3"/>
        <v>G</v>
      </c>
      <c r="C56" s="33" t="str">
        <f t="shared" si="4"/>
        <v>104</v>
      </c>
      <c r="D56" s="37" t="s">
        <v>65</v>
      </c>
      <c r="E56" s="34">
        <v>37189</v>
      </c>
      <c r="F56" s="35" t="s">
        <v>39</v>
      </c>
      <c r="G56" s="84">
        <f t="array" ref="G56">IF($F56="Repair",($E56-MAX(IF($D$4:$D$200=$D56,IF($E$4:$E$200&lt;$E56,IF($F$4:$F$200&lt;&gt;"Repair",$E$4:$E$200)))))/365,"")</f>
        <v>3.3589041095890413</v>
      </c>
      <c r="H56" s="84" t="str">
        <f t="array" ref="H56">IF($F56="Replace",($E56-MAX(IF($D$4:$D$200=$D56,IF($E$4:$E$200&lt;$E56,IF($F$4:$F$200&lt;&gt;"Repair",$E$4:$E$200)))))/365,"")</f>
        <v/>
      </c>
      <c r="I56" s="53"/>
      <c r="L56" s="36"/>
      <c r="M56" s="34">
        <v>33774</v>
      </c>
      <c r="N56" s="35"/>
      <c r="O56" s="37">
        <v>15</v>
      </c>
      <c r="P56" s="34">
        <v>33774</v>
      </c>
      <c r="Q56" s="34" t="s">
        <v>44</v>
      </c>
      <c r="R56" s="37"/>
      <c r="S56" s="37"/>
      <c r="T56" s="33" t="s">
        <v>2</v>
      </c>
      <c r="W56" s="23">
        <f t="shared" si="9"/>
        <v>20</v>
      </c>
      <c r="X56" s="23" t="str">
        <f t="shared" si="10"/>
        <v/>
      </c>
      <c r="AE56" s="24"/>
    </row>
    <row r="57" spans="2:31" ht="30" hidden="1" customHeight="1" x14ac:dyDescent="0.25">
      <c r="B57" s="33" t="str">
        <f t="shared" si="3"/>
        <v>G</v>
      </c>
      <c r="C57" s="33" t="str">
        <f t="shared" si="4"/>
        <v>104</v>
      </c>
      <c r="D57" s="37" t="s">
        <v>65</v>
      </c>
      <c r="E57" s="34">
        <v>39023</v>
      </c>
      <c r="F57" s="35" t="s">
        <v>39</v>
      </c>
      <c r="G57" s="84">
        <f t="array" ref="G57">IF($F57="Repair",($E57-MAX(IF($D$4:$D$200=$D57,IF($E$4:$E$200&lt;$E57,IF($F$4:$F$200&lt;&gt;"Repair",$E$4:$E$200)))))/365,"")</f>
        <v>8.3835616438356162</v>
      </c>
      <c r="H57" s="84" t="str">
        <f t="array" ref="H57">IF($F57="Replace",($E57-MAX(IF($D$4:$D$200=$D57,IF($E$4:$E$200&lt;$E57,IF($F$4:$F$200&lt;&gt;"Repair",$E$4:$E$200)))))/365,"")</f>
        <v/>
      </c>
      <c r="I57" s="53"/>
      <c r="L57" s="36">
        <v>28126</v>
      </c>
      <c r="M57" s="34">
        <v>40438</v>
      </c>
      <c r="N57" s="37">
        <v>9</v>
      </c>
      <c r="O57" s="37"/>
      <c r="P57" s="34" t="s">
        <v>44</v>
      </c>
      <c r="Q57" s="34">
        <v>40438</v>
      </c>
      <c r="R57" s="37"/>
      <c r="S57" s="37"/>
      <c r="T57" s="33"/>
      <c r="W57" s="23" t="str">
        <f t="shared" si="9"/>
        <v/>
      </c>
      <c r="X57" s="23">
        <f t="shared" si="10"/>
        <v>10</v>
      </c>
      <c r="AE57" s="24"/>
    </row>
    <row r="58" spans="2:31" ht="30" hidden="1" customHeight="1" x14ac:dyDescent="0.25">
      <c r="B58" s="33" t="str">
        <f t="shared" si="3"/>
        <v>H</v>
      </c>
      <c r="C58" s="33" t="str">
        <f t="shared" si="4"/>
        <v>104</v>
      </c>
      <c r="D58" s="37" t="s">
        <v>66</v>
      </c>
      <c r="E58" s="34">
        <v>32143</v>
      </c>
      <c r="F58" s="35" t="s">
        <v>46</v>
      </c>
      <c r="G58" s="84" t="str">
        <f t="array" ref="G58">IF($F58="Repair",($E58-MAX(IF($D$4:$D$200=$D58,IF($E$4:$E$200&lt;$E58,IF($F$4:$F$200&lt;&gt;"Repair",$E$4:$E$200)))))/365,"")</f>
        <v/>
      </c>
      <c r="H58" s="84" t="str">
        <f t="array" ref="H58">IF($F58="Replace",($E58-MAX(IF($D$4:$D$200=$D58,IF($E$4:$E$200&lt;$E58,IF($F$4:$F$200&lt;&gt;"Repair",$E$4:$E$200)))))/365,"")</f>
        <v/>
      </c>
      <c r="I58" s="53"/>
      <c r="L58" s="36"/>
      <c r="M58" s="34">
        <v>37083</v>
      </c>
      <c r="N58" s="33"/>
      <c r="O58" s="37">
        <v>7</v>
      </c>
      <c r="P58" s="34">
        <v>37083</v>
      </c>
      <c r="Q58" s="34" t="s">
        <v>44</v>
      </c>
      <c r="R58" s="37"/>
      <c r="S58" s="37"/>
      <c r="T58" s="33" t="s">
        <v>2</v>
      </c>
      <c r="W58" s="23">
        <f t="shared" si="9"/>
        <v>10</v>
      </c>
      <c r="X58" s="23" t="str">
        <f t="shared" si="10"/>
        <v/>
      </c>
      <c r="AE58" s="24"/>
    </row>
    <row r="59" spans="2:31" ht="30" hidden="1" customHeight="1" x14ac:dyDescent="0.25">
      <c r="B59" s="33" t="str">
        <f t="shared" si="3"/>
        <v>H</v>
      </c>
      <c r="C59" s="33" t="str">
        <f t="shared" si="4"/>
        <v>104</v>
      </c>
      <c r="D59" s="37" t="s">
        <v>66</v>
      </c>
      <c r="E59" s="34">
        <v>33738</v>
      </c>
      <c r="F59" s="35" t="s">
        <v>38</v>
      </c>
      <c r="G59" s="84" t="str">
        <f t="array" ref="G59">IF($F59="Repair",($E59-MAX(IF($D$4:$D$200=$D59,IF($E$4:$E$200&lt;$E59,IF($F$4:$F$200&lt;&gt;"Repair",$E$4:$E$200)))))/365,"")</f>
        <v/>
      </c>
      <c r="H59" s="84">
        <f t="array" ref="H59">IF($F59="Replace",($E59-MAX(IF($D$4:$D$200=$D59,IF($E$4:$E$200&lt;$E59,IF($F$4:$F$200&lt;&gt;"Repair",$E$4:$E$200)))))/365,"")</f>
        <v>4.3698630136986303</v>
      </c>
      <c r="I59" s="53"/>
      <c r="L59" s="36"/>
      <c r="M59" s="34">
        <v>34639</v>
      </c>
      <c r="N59" s="33"/>
      <c r="O59" s="37">
        <v>17</v>
      </c>
      <c r="P59" s="34">
        <v>34639</v>
      </c>
      <c r="Q59" s="34" t="s">
        <v>44</v>
      </c>
      <c r="R59" s="37"/>
      <c r="S59" s="37"/>
      <c r="T59" s="33"/>
      <c r="W59" s="23">
        <f t="shared" si="9"/>
        <v>20</v>
      </c>
      <c r="X59" s="23" t="str">
        <f t="shared" si="10"/>
        <v/>
      </c>
      <c r="AE59" s="24"/>
    </row>
    <row r="60" spans="2:31" ht="30" hidden="1" customHeight="1" x14ac:dyDescent="0.25">
      <c r="B60" s="33" t="str">
        <f t="shared" si="3"/>
        <v>H</v>
      </c>
      <c r="C60" s="33" t="str">
        <f t="shared" si="4"/>
        <v>104</v>
      </c>
      <c r="D60" s="37" t="s">
        <v>66</v>
      </c>
      <c r="E60" s="34">
        <v>36761</v>
      </c>
      <c r="F60" s="35" t="s">
        <v>39</v>
      </c>
      <c r="G60" s="84">
        <f t="array" ref="G60">IF($F60="Repair",($E60-MAX(IF($D$4:$D$200=$D60,IF($E$4:$E$200&lt;$E60,IF($F$4:$F$200&lt;&gt;"Repair",$E$4:$E$200)))))/365,"")</f>
        <v>8.2821917808219183</v>
      </c>
      <c r="H60" s="84" t="str">
        <f t="array" ref="H60">IF($F60="Replace",($E60-MAX(IF($D$4:$D$200=$D60,IF($E$4:$E$200&lt;$E60,IF($F$4:$F$200&lt;&gt;"Repair",$E$4:$E$200)))))/365,"")</f>
        <v/>
      </c>
      <c r="I60" s="53"/>
      <c r="L60" s="36">
        <v>28126</v>
      </c>
      <c r="M60" s="34">
        <v>40800</v>
      </c>
      <c r="N60" s="37">
        <v>10</v>
      </c>
      <c r="O60" s="37"/>
      <c r="P60" s="34" t="s">
        <v>44</v>
      </c>
      <c r="Q60" s="34">
        <v>40800</v>
      </c>
      <c r="R60" s="37"/>
      <c r="S60" s="37"/>
      <c r="T60" s="33"/>
      <c r="W60" s="23" t="str">
        <f t="shared" si="9"/>
        <v/>
      </c>
      <c r="X60" s="23">
        <f t="shared" si="10"/>
        <v>15</v>
      </c>
      <c r="AE60" s="24"/>
    </row>
    <row r="61" spans="2:31" ht="30" hidden="1" customHeight="1" x14ac:dyDescent="0.25">
      <c r="B61" s="33" t="str">
        <f t="shared" si="3"/>
        <v>H</v>
      </c>
      <c r="C61" s="33" t="str">
        <f t="shared" si="4"/>
        <v>104</v>
      </c>
      <c r="D61" s="37" t="s">
        <v>66</v>
      </c>
      <c r="E61" s="34">
        <v>42190</v>
      </c>
      <c r="F61" s="35" t="s">
        <v>38</v>
      </c>
      <c r="G61" s="84" t="str">
        <f t="array" ref="G61">IF($F61="Repair",($E61-MAX(IF($D$4:$D$200=$D61,IF($E$4:$E$200&lt;$E61,IF($F$4:$F$200&lt;&gt;"Repair",$E$4:$E$200)))))/365,"")</f>
        <v/>
      </c>
      <c r="H61" s="84">
        <f t="array" ref="H61">IF($F61="Replace",($E61-MAX(IF($D$4:$D$200=$D61,IF($E$4:$E$200&lt;$E61,IF($F$4:$F$200&lt;&gt;"Repair",$E$4:$E$200)))))/365,"")</f>
        <v>23.156164383561645</v>
      </c>
      <c r="I61" s="53"/>
      <c r="L61" s="36"/>
      <c r="M61" s="34">
        <v>37032</v>
      </c>
      <c r="N61" s="33"/>
      <c r="O61" s="37">
        <v>7</v>
      </c>
      <c r="P61" s="34">
        <v>37032</v>
      </c>
      <c r="Q61" s="34" t="s">
        <v>44</v>
      </c>
      <c r="R61" s="37"/>
      <c r="S61" s="37"/>
      <c r="T61" s="33" t="s">
        <v>2</v>
      </c>
      <c r="W61" s="23">
        <f t="shared" si="9"/>
        <v>10</v>
      </c>
      <c r="X61" s="23" t="str">
        <f t="shared" si="10"/>
        <v/>
      </c>
      <c r="AE61" s="24"/>
    </row>
    <row r="62" spans="2:31" ht="30" hidden="1" customHeight="1" x14ac:dyDescent="0.25">
      <c r="B62" s="33" t="str">
        <f t="shared" si="3"/>
        <v>A</v>
      </c>
      <c r="C62" s="33" t="str">
        <f t="shared" si="4"/>
        <v>105</v>
      </c>
      <c r="D62" s="33" t="s">
        <v>9</v>
      </c>
      <c r="E62" s="34">
        <v>28126</v>
      </c>
      <c r="F62" s="35" t="s">
        <v>46</v>
      </c>
      <c r="G62" s="84" t="str">
        <f t="array" ref="G62">IF($F62="Repair",($E62-MAX(IF($D$4:$D$200=$D62,IF($E$4:$E$200&lt;$E62,IF($F$4:$F$200&lt;&gt;"Repair",$E$4:$E$200)))))/365,"")</f>
        <v/>
      </c>
      <c r="H62" s="84" t="str">
        <f t="array" ref="H62">IF($F62="Replace",($E62-MAX(IF($D$4:$D$200=$D62,IF($E$4:$E$200&lt;$E62,IF($F$4:$F$200&lt;&gt;"Repair",$E$4:$E$200)))))/365,"")</f>
        <v/>
      </c>
      <c r="I62" s="53" t="s">
        <v>44</v>
      </c>
      <c r="L62" s="36"/>
      <c r="M62" s="34">
        <v>34575</v>
      </c>
      <c r="N62" s="33"/>
      <c r="O62" s="37">
        <v>2</v>
      </c>
      <c r="P62" s="34">
        <v>34575</v>
      </c>
      <c r="Q62" s="34" t="s">
        <v>44</v>
      </c>
      <c r="R62" s="37"/>
      <c r="S62" s="37"/>
      <c r="T62" s="33" t="s">
        <v>2</v>
      </c>
      <c r="W62" s="23">
        <f t="shared" si="9"/>
        <v>5</v>
      </c>
      <c r="X62" s="23" t="str">
        <f t="shared" si="10"/>
        <v/>
      </c>
      <c r="AE62" s="24"/>
    </row>
    <row r="63" spans="2:31" ht="30" hidden="1" customHeight="1" x14ac:dyDescent="0.25">
      <c r="B63" s="33" t="str">
        <f t="shared" si="3"/>
        <v>A</v>
      </c>
      <c r="C63" s="33" t="str">
        <f t="shared" si="4"/>
        <v>105</v>
      </c>
      <c r="D63" s="33" t="s">
        <v>9</v>
      </c>
      <c r="E63" s="34">
        <v>33905</v>
      </c>
      <c r="F63" s="35" t="s">
        <v>39</v>
      </c>
      <c r="G63" s="84">
        <f t="array" ref="G63">IF($F63="Repair",($E63-MAX(IF($D$4:$D$200=$D63,IF($E$4:$E$200&lt;$E63,IF($F$4:$F$200&lt;&gt;"Repair",$E$4:$E$200)))))/365,"")</f>
        <v>15.832876712328767</v>
      </c>
      <c r="H63" s="84" t="str">
        <f t="array" ref="H63">IF($F63="Replace",($E63-MAX(IF($D$4:$D$200=$D63,IF($E$4:$E$200&lt;$E63,IF($F$4:$F$200&lt;&gt;"Repair",$E$4:$E$200)))))/365,"")</f>
        <v/>
      </c>
      <c r="I63" s="53">
        <v>15.832876712328767</v>
      </c>
      <c r="L63" s="36"/>
      <c r="M63" s="34">
        <v>33695</v>
      </c>
      <c r="N63" s="33"/>
      <c r="O63" s="37">
        <v>15</v>
      </c>
      <c r="P63" s="34">
        <v>33695</v>
      </c>
      <c r="Q63" s="34" t="s">
        <v>44</v>
      </c>
      <c r="R63" s="37"/>
      <c r="S63" s="37"/>
      <c r="T63" s="33" t="s">
        <v>2</v>
      </c>
      <c r="W63" s="23">
        <f t="shared" si="9"/>
        <v>20</v>
      </c>
      <c r="X63" s="23" t="str">
        <f t="shared" si="10"/>
        <v/>
      </c>
      <c r="AE63" s="24"/>
    </row>
    <row r="64" spans="2:31" ht="30" hidden="1" customHeight="1" x14ac:dyDescent="0.25">
      <c r="B64" s="33" t="str">
        <f t="shared" si="3"/>
        <v>A</v>
      </c>
      <c r="C64" s="33" t="str">
        <f t="shared" si="4"/>
        <v>105</v>
      </c>
      <c r="D64" s="37" t="s">
        <v>9</v>
      </c>
      <c r="E64" s="34">
        <v>38168</v>
      </c>
      <c r="F64" s="35" t="s">
        <v>39</v>
      </c>
      <c r="G64" s="84">
        <f t="array" ref="G64">IF($F64="Repair",($E64-MAX(IF($D$4:$D$200=$D64,IF($E$4:$E$200&lt;$E64,IF($F$4:$F$200&lt;&gt;"Repair",$E$4:$E$200)))))/365,"")</f>
        <v>27.512328767123286</v>
      </c>
      <c r="H64" s="84" t="str">
        <f t="array" ref="H64">IF($F64="Replace",($E64-MAX(IF($D$4:$D$200=$D64,IF($E$4:$E$200&lt;$E64,IF($F$4:$F$200&lt;&gt;"Repair",$E$4:$E$200)))))/365,"")</f>
        <v/>
      </c>
      <c r="I64" s="53">
        <v>27.512328767123286</v>
      </c>
      <c r="L64" s="36" t="s">
        <v>33</v>
      </c>
      <c r="M64" s="34">
        <v>41039</v>
      </c>
      <c r="N64" s="37">
        <v>16</v>
      </c>
      <c r="O64" s="37"/>
      <c r="P64" s="34" t="s">
        <v>44</v>
      </c>
      <c r="Q64" s="34">
        <v>41039</v>
      </c>
      <c r="R64" s="37"/>
      <c r="S64" s="37"/>
      <c r="T64" s="33"/>
      <c r="W64" s="23" t="str">
        <f t="shared" si="9"/>
        <v/>
      </c>
      <c r="X64" s="23">
        <f t="shared" si="10"/>
        <v>20</v>
      </c>
      <c r="AE64" s="24"/>
    </row>
    <row r="65" spans="2:31" ht="30" hidden="1" customHeight="1" x14ac:dyDescent="0.25">
      <c r="B65" s="33" t="str">
        <f t="shared" si="3"/>
        <v>B</v>
      </c>
      <c r="C65" s="33" t="str">
        <f t="shared" si="4"/>
        <v>105</v>
      </c>
      <c r="D65" s="33" t="s">
        <v>10</v>
      </c>
      <c r="E65" s="34">
        <v>28126</v>
      </c>
      <c r="F65" s="35" t="s">
        <v>46</v>
      </c>
      <c r="G65" s="84" t="str">
        <f t="array" ref="G65">IF($F65="Repair",($E65-MAX(IF($D$4:$D$200=$D65,IF($E$4:$E$200&lt;$E65,IF($F$4:$F$200&lt;&gt;"Repair",$E$4:$E$200)))))/365,"")</f>
        <v/>
      </c>
      <c r="H65" s="84" t="str">
        <f t="array" ref="H65">IF($F65="Replace",($E65-MAX(IF($D$4:$D$200=$D65,IF($E$4:$E$200&lt;$E65,IF($F$4:$F$200&lt;&gt;"Repair",$E$4:$E$200)))))/365,"")</f>
        <v/>
      </c>
      <c r="I65" s="53" t="s">
        <v>44</v>
      </c>
      <c r="L65" s="36"/>
      <c r="M65" s="34">
        <v>35298</v>
      </c>
      <c r="N65" s="35"/>
      <c r="O65" s="37">
        <v>3</v>
      </c>
      <c r="P65" s="34">
        <v>35298</v>
      </c>
      <c r="Q65" s="34" t="s">
        <v>44</v>
      </c>
      <c r="R65" s="37"/>
      <c r="S65" s="37"/>
      <c r="T65" s="33" t="s">
        <v>2</v>
      </c>
      <c r="W65" s="23">
        <f t="shared" si="9"/>
        <v>5</v>
      </c>
      <c r="X65" s="23" t="str">
        <f t="shared" si="10"/>
        <v/>
      </c>
      <c r="AE65" s="24"/>
    </row>
    <row r="66" spans="2:31" ht="30" hidden="1" customHeight="1" x14ac:dyDescent="0.25">
      <c r="B66" s="33" t="str">
        <f t="shared" si="3"/>
        <v>B</v>
      </c>
      <c r="C66" s="33" t="str">
        <f t="shared" si="4"/>
        <v>105</v>
      </c>
      <c r="D66" s="33" t="s">
        <v>10</v>
      </c>
      <c r="E66" s="34">
        <v>31837</v>
      </c>
      <c r="F66" s="35" t="s">
        <v>39</v>
      </c>
      <c r="G66" s="84">
        <f t="array" ref="G66">IF($F66="Repair",($E66-MAX(IF($D$4:$D$200=$D66,IF($E$4:$E$200&lt;$E66,IF($F$4:$F$200&lt;&gt;"Repair",$E$4:$E$200)))))/365,"")</f>
        <v>10.167123287671233</v>
      </c>
      <c r="H66" s="84" t="str">
        <f t="array" ref="H66">IF($F66="Replace",($E66-MAX(IF($D$4:$D$200=$D66,IF($E$4:$E$200&lt;$E66,IF($F$4:$F$200&lt;&gt;"Repair",$E$4:$E$200)))))/365,"")</f>
        <v/>
      </c>
      <c r="I66" s="53">
        <v>10.167123287671233</v>
      </c>
      <c r="L66" s="36"/>
      <c r="M66" s="34">
        <v>34151</v>
      </c>
      <c r="N66" s="35"/>
      <c r="O66" s="37">
        <v>16</v>
      </c>
      <c r="P66" s="34">
        <v>34151</v>
      </c>
      <c r="Q66" s="34" t="s">
        <v>44</v>
      </c>
      <c r="R66" s="37"/>
      <c r="S66" s="37"/>
      <c r="T66" s="33" t="s">
        <v>2</v>
      </c>
      <c r="W66" s="23">
        <f t="shared" si="9"/>
        <v>20</v>
      </c>
      <c r="X66" s="23" t="str">
        <f t="shared" si="10"/>
        <v/>
      </c>
      <c r="AE66" s="24"/>
    </row>
    <row r="67" spans="2:31" ht="30" hidden="1" customHeight="1" x14ac:dyDescent="0.25">
      <c r="B67" s="33" t="str">
        <f t="shared" si="3"/>
        <v>B</v>
      </c>
      <c r="C67" s="33" t="str">
        <f t="shared" si="4"/>
        <v>105</v>
      </c>
      <c r="D67" s="33" t="s">
        <v>10</v>
      </c>
      <c r="E67" s="34">
        <v>34090</v>
      </c>
      <c r="F67" s="35" t="s">
        <v>39</v>
      </c>
      <c r="G67" s="84">
        <f t="array" ref="G67">IF($F67="Repair",($E67-MAX(IF($D$4:$D$200=$D67,IF($E$4:$E$200&lt;$E67,IF($F$4:$F$200&lt;&gt;"Repair",$E$4:$E$200)))))/365,"")</f>
        <v>16.339726027397262</v>
      </c>
      <c r="H67" s="84" t="str">
        <f t="array" ref="H67">IF($F67="Replace",($E67-MAX(IF($D$4:$D$200=$D67,IF($E$4:$E$200&lt;$E67,IF($F$4:$F$200&lt;&gt;"Repair",$E$4:$E$200)))))/365,"")</f>
        <v/>
      </c>
      <c r="I67" s="53">
        <v>16.339726027397262</v>
      </c>
      <c r="L67" s="36" t="s">
        <v>33</v>
      </c>
      <c r="M67" s="34">
        <v>42492</v>
      </c>
      <c r="N67" s="37">
        <v>13</v>
      </c>
      <c r="O67" s="37"/>
      <c r="P67" s="34" t="s">
        <v>44</v>
      </c>
      <c r="Q67" s="34">
        <v>42492</v>
      </c>
      <c r="R67" s="37"/>
      <c r="S67" s="37"/>
      <c r="T67" s="33"/>
      <c r="W67" s="23" t="str">
        <f t="shared" si="9"/>
        <v/>
      </c>
      <c r="X67" s="23">
        <f t="shared" si="10"/>
        <v>15</v>
      </c>
      <c r="AE67" s="24"/>
    </row>
    <row r="68" spans="2:31" ht="30" hidden="1" customHeight="1" x14ac:dyDescent="0.25">
      <c r="B68" s="33" t="str">
        <f t="shared" si="3"/>
        <v>B</v>
      </c>
      <c r="C68" s="33" t="str">
        <f t="shared" si="4"/>
        <v>105</v>
      </c>
      <c r="D68" s="33" t="s">
        <v>10</v>
      </c>
      <c r="E68" s="34">
        <v>35587</v>
      </c>
      <c r="F68" s="35" t="s">
        <v>38</v>
      </c>
      <c r="G68" s="84" t="str">
        <f t="array" ref="G68">IF($F68="Repair",($E68-MAX(IF($D$4:$D$200=$D68,IF($E$4:$E$200&lt;$E68,IF($F$4:$F$200&lt;&gt;"Repair",$E$4:$E$200)))))/365,"")</f>
        <v/>
      </c>
      <c r="H68" s="84">
        <f t="array" ref="H68">IF($F68="Replace",($E68-MAX(IF($D$4:$D$200=$D68,IF($E$4:$E$200&lt;$E68,IF($F$4:$F$200&lt;&gt;"Repair",$E$4:$E$200)))))/365,"")</f>
        <v>20.44109589041096</v>
      </c>
      <c r="I68" s="53">
        <v>20.44109589041096</v>
      </c>
      <c r="L68" s="36"/>
      <c r="M68" s="34">
        <v>37763</v>
      </c>
      <c r="N68" s="35"/>
      <c r="O68" s="37">
        <v>5</v>
      </c>
      <c r="P68" s="34">
        <v>37763</v>
      </c>
      <c r="Q68" s="34" t="s">
        <v>44</v>
      </c>
      <c r="R68" s="37"/>
      <c r="S68" s="37"/>
      <c r="T68" s="33" t="s">
        <v>2</v>
      </c>
      <c r="W68" s="23">
        <f t="shared" ref="W68:W74" si="11">IF(O68="","",INDEX($AF$4:$AF$11,MATCH(O68,$AF$4:$AF$11,TRUE)+1,1))</f>
        <v>10</v>
      </c>
      <c r="X68" s="23" t="str">
        <f t="shared" ref="X68:X74" si="12">IF(N68="","",INDEX($AF$4:$AF$11,MATCH(N68,$AF$4:$AF$11,TRUE)+1,1))</f>
        <v/>
      </c>
      <c r="AE68" s="24"/>
    </row>
    <row r="69" spans="2:31" ht="30" hidden="1" customHeight="1" x14ac:dyDescent="0.25">
      <c r="B69" s="33" t="str">
        <f t="shared" ref="B69:B131" si="13">RIGHT(D69,1)</f>
        <v>B</v>
      </c>
      <c r="C69" s="33" t="str">
        <f t="shared" ref="C69:C131" si="14">MID(D69,6,3)</f>
        <v>105</v>
      </c>
      <c r="D69" s="37" t="s">
        <v>10</v>
      </c>
      <c r="E69" s="34">
        <v>42134</v>
      </c>
      <c r="F69" s="35" t="s">
        <v>38</v>
      </c>
      <c r="G69" s="84" t="str">
        <f t="array" ref="G69">IF($F69="Repair",($E69-MAX(IF($D$4:$D$200=$D69,IF($E$4:$E$200&lt;$E69,IF($F$4:$F$200&lt;&gt;"Repair",$E$4:$E$200)))))/365,"")</f>
        <v/>
      </c>
      <c r="H69" s="84">
        <f t="array" ref="H69">IF($F69="Replace",($E69-MAX(IF($D$4:$D$200=$D69,IF($E$4:$E$200&lt;$E69,IF($F$4:$F$200&lt;&gt;"Repair",$E$4:$E$200)))))/365,"")</f>
        <v>17.936986301369863</v>
      </c>
      <c r="I69" s="53">
        <v>38.37808219178082</v>
      </c>
      <c r="L69" s="36"/>
      <c r="M69" s="34">
        <v>35921</v>
      </c>
      <c r="N69" s="35"/>
      <c r="O69" s="37">
        <v>21</v>
      </c>
      <c r="P69" s="34">
        <v>35921</v>
      </c>
      <c r="Q69" s="34" t="s">
        <v>44</v>
      </c>
      <c r="R69" s="37"/>
      <c r="S69" s="37"/>
      <c r="T69" s="33" t="s">
        <v>2</v>
      </c>
      <c r="W69" s="23">
        <f t="shared" si="11"/>
        <v>25</v>
      </c>
      <c r="X69" s="23" t="str">
        <f t="shared" si="12"/>
        <v/>
      </c>
      <c r="AE69" s="24"/>
    </row>
    <row r="70" spans="2:31" ht="30" hidden="1" customHeight="1" x14ac:dyDescent="0.25">
      <c r="B70" s="33" t="str">
        <f t="shared" si="13"/>
        <v>C</v>
      </c>
      <c r="C70" s="33" t="str">
        <f t="shared" si="14"/>
        <v>105</v>
      </c>
      <c r="D70" s="33" t="s">
        <v>11</v>
      </c>
      <c r="E70" s="34">
        <v>28126</v>
      </c>
      <c r="F70" s="35" t="s">
        <v>46</v>
      </c>
      <c r="G70" s="84" t="str">
        <f t="array" ref="G70">IF($F70="Repair",($E70-MAX(IF($D$4:$D$200=$D70,IF($E$4:$E$200&lt;$E70,IF($F$4:$F$200&lt;&gt;"Repair",$E$4:$E$200)))))/365,"")</f>
        <v/>
      </c>
      <c r="H70" s="84" t="str">
        <f t="array" ref="H70">IF($F70="Replace",($E70-MAX(IF($D$4:$D$200=$D70,IF($E$4:$E$200&lt;$E70,IF($F$4:$F$200&lt;&gt;"Repair",$E$4:$E$200)))))/365,"")</f>
        <v/>
      </c>
      <c r="I70" s="53" t="s">
        <v>44</v>
      </c>
      <c r="L70" s="36">
        <v>30164</v>
      </c>
      <c r="M70" s="34">
        <v>37518</v>
      </c>
      <c r="N70" s="35"/>
      <c r="O70" s="37">
        <v>4</v>
      </c>
      <c r="P70" s="34">
        <v>37518</v>
      </c>
      <c r="Q70" s="34" t="s">
        <v>44</v>
      </c>
      <c r="R70" s="37"/>
      <c r="S70" s="37"/>
      <c r="T70" s="33" t="s">
        <v>2</v>
      </c>
      <c r="W70" s="23">
        <f t="shared" si="11"/>
        <v>5</v>
      </c>
      <c r="X70" s="23" t="str">
        <f t="shared" si="12"/>
        <v/>
      </c>
      <c r="AE70" s="24"/>
    </row>
    <row r="71" spans="2:31" ht="30" hidden="1" customHeight="1" x14ac:dyDescent="0.25">
      <c r="B71" s="33" t="str">
        <f t="shared" si="13"/>
        <v>C</v>
      </c>
      <c r="C71" s="33" t="str">
        <f t="shared" si="14"/>
        <v>105</v>
      </c>
      <c r="D71" s="33" t="s">
        <v>11</v>
      </c>
      <c r="E71" s="34">
        <v>30987</v>
      </c>
      <c r="F71" s="35" t="s">
        <v>39</v>
      </c>
      <c r="G71" s="84">
        <f t="array" ref="G71">IF($F71="Repair",($E71-MAX(IF($D$4:$D$200=$D71,IF($E$4:$E$200&lt;$E71,IF($F$4:$F$200&lt;&gt;"Repair",$E$4:$E$200)))))/365,"")</f>
        <v>7.838356164383562</v>
      </c>
      <c r="H71" s="84" t="str">
        <f t="array" ref="H71">IF($F71="Replace",($E71-MAX(IF($D$4:$D$200=$D71,IF($E$4:$E$200&lt;$E71,IF($F$4:$F$200&lt;&gt;"Repair",$E$4:$E$200)))))/365,"")</f>
        <v/>
      </c>
      <c r="I71" s="53">
        <v>7.838356164383562</v>
      </c>
      <c r="L71" s="36"/>
      <c r="M71" s="34">
        <v>35977</v>
      </c>
      <c r="N71" s="35"/>
      <c r="O71" s="37">
        <v>16</v>
      </c>
      <c r="P71" s="34">
        <v>35977</v>
      </c>
      <c r="Q71" s="34" t="s">
        <v>44</v>
      </c>
      <c r="R71" s="37"/>
      <c r="S71" s="37"/>
      <c r="T71" s="33" t="s">
        <v>2</v>
      </c>
      <c r="W71" s="23">
        <f t="shared" si="11"/>
        <v>20</v>
      </c>
      <c r="X71" s="23" t="str">
        <f t="shared" si="12"/>
        <v/>
      </c>
      <c r="AE71" s="24"/>
    </row>
    <row r="72" spans="2:31" ht="30" hidden="1" customHeight="1" x14ac:dyDescent="0.25">
      <c r="B72" s="33" t="str">
        <f t="shared" si="13"/>
        <v>C</v>
      </c>
      <c r="C72" s="33" t="str">
        <f t="shared" si="14"/>
        <v>105</v>
      </c>
      <c r="D72" s="33" t="s">
        <v>11</v>
      </c>
      <c r="E72" s="34">
        <v>33933</v>
      </c>
      <c r="F72" s="35" t="s">
        <v>38</v>
      </c>
      <c r="G72" s="84" t="str">
        <f t="array" ref="G72">IF($F72="Repair",($E72-MAX(IF($D$4:$D$200=$D72,IF($E$4:$E$200&lt;$E72,IF($F$4:$F$200&lt;&gt;"Repair",$E$4:$E$200)))))/365,"")</f>
        <v/>
      </c>
      <c r="H72" s="84">
        <f t="array" ref="H72">IF($F72="Replace",($E72-MAX(IF($D$4:$D$200=$D72,IF($E$4:$E$200&lt;$E72,IF($F$4:$F$200&lt;&gt;"Repair",$E$4:$E$200)))))/365,"")</f>
        <v>15.90958904109589</v>
      </c>
      <c r="I72" s="53">
        <v>15.90958904109589</v>
      </c>
      <c r="L72" s="36">
        <v>32143</v>
      </c>
      <c r="M72" s="34">
        <v>42125</v>
      </c>
      <c r="N72" s="37">
        <v>17</v>
      </c>
      <c r="O72" s="37"/>
      <c r="P72" s="34" t="s">
        <v>44</v>
      </c>
      <c r="Q72" s="34">
        <v>42125</v>
      </c>
      <c r="R72" s="37"/>
      <c r="S72" s="37"/>
      <c r="T72" s="33"/>
      <c r="W72" s="23" t="str">
        <f t="shared" si="11"/>
        <v/>
      </c>
      <c r="X72" s="23">
        <f t="shared" si="12"/>
        <v>20</v>
      </c>
      <c r="AE72" s="24"/>
    </row>
    <row r="73" spans="2:31" ht="30" hidden="1" customHeight="1" x14ac:dyDescent="0.25">
      <c r="B73" s="33" t="str">
        <f t="shared" si="13"/>
        <v>C</v>
      </c>
      <c r="C73" s="33" t="str">
        <f t="shared" si="14"/>
        <v>105</v>
      </c>
      <c r="D73" s="33" t="s">
        <v>11</v>
      </c>
      <c r="E73" s="34">
        <v>35204</v>
      </c>
      <c r="F73" s="35" t="s">
        <v>39</v>
      </c>
      <c r="G73" s="84">
        <f t="array" ref="G73">IF($F73="Repair",($E73-MAX(IF($D$4:$D$200=$D73,IF($E$4:$E$200&lt;$E73,IF($F$4:$F$200&lt;&gt;"Repair",$E$4:$E$200)))))/365,"")</f>
        <v>3.4821917808219176</v>
      </c>
      <c r="H73" s="84" t="str">
        <f t="array" ref="H73">IF($F73="Replace",($E73-MAX(IF($D$4:$D$200=$D73,IF($E$4:$E$200&lt;$E73,IF($F$4:$F$200&lt;&gt;"Repair",$E$4:$E$200)))))/365,"")</f>
        <v/>
      </c>
      <c r="I73" s="53">
        <v>19.391780821917809</v>
      </c>
      <c r="L73" s="36"/>
      <c r="M73" s="34">
        <v>35997</v>
      </c>
      <c r="N73" s="33"/>
      <c r="O73" s="37">
        <v>6</v>
      </c>
      <c r="P73" s="34">
        <v>35997</v>
      </c>
      <c r="Q73" s="34" t="s">
        <v>44</v>
      </c>
      <c r="R73" s="37"/>
      <c r="S73" s="37"/>
      <c r="T73" s="33" t="s">
        <v>2</v>
      </c>
      <c r="W73" s="23">
        <f t="shared" si="11"/>
        <v>10</v>
      </c>
      <c r="X73" s="23" t="str">
        <f t="shared" si="12"/>
        <v/>
      </c>
      <c r="AE73" s="24"/>
    </row>
    <row r="74" spans="2:31" ht="30" hidden="1" customHeight="1" x14ac:dyDescent="0.25">
      <c r="B74" s="33" t="str">
        <f t="shared" si="13"/>
        <v>C</v>
      </c>
      <c r="C74" s="33" t="str">
        <f t="shared" si="14"/>
        <v>105</v>
      </c>
      <c r="D74" s="37" t="s">
        <v>11</v>
      </c>
      <c r="E74" s="34">
        <v>42264</v>
      </c>
      <c r="F74" s="35" t="s">
        <v>38</v>
      </c>
      <c r="G74" s="84" t="str">
        <f t="array" ref="G74">IF($F74="Repair",($E74-MAX(IF($D$4:$D$200=$D74,IF($E$4:$E$200&lt;$E74,IF($F$4:$F$200&lt;&gt;"Repair",$E$4:$E$200)))))/365,"")</f>
        <v/>
      </c>
      <c r="H74" s="84">
        <f t="array" ref="H74">IF($F74="Replace",($E74-MAX(IF($D$4:$D$200=$D74,IF($E$4:$E$200&lt;$E74,IF($F$4:$F$200&lt;&gt;"Repair",$E$4:$E$200)))))/365,"")</f>
        <v>22.824657534246576</v>
      </c>
      <c r="I74" s="53">
        <v>38.734246575342468</v>
      </c>
      <c r="L74" s="36"/>
      <c r="M74" s="34">
        <v>33725</v>
      </c>
      <c r="N74" s="33"/>
      <c r="O74" s="37">
        <v>4</v>
      </c>
      <c r="P74" s="34">
        <v>33725</v>
      </c>
      <c r="Q74" s="34" t="s">
        <v>44</v>
      </c>
      <c r="R74" s="37"/>
      <c r="S74" s="37"/>
      <c r="T74" s="33" t="s">
        <v>32</v>
      </c>
      <c r="W74" s="23">
        <f t="shared" si="11"/>
        <v>5</v>
      </c>
      <c r="X74" s="23" t="str">
        <f t="shared" si="12"/>
        <v/>
      </c>
      <c r="AE74" s="24"/>
    </row>
    <row r="75" spans="2:31" ht="30" customHeight="1" x14ac:dyDescent="0.25">
      <c r="B75" s="33" t="str">
        <f t="shared" si="13"/>
        <v>D</v>
      </c>
      <c r="C75" s="33" t="str">
        <f t="shared" si="14"/>
        <v>105</v>
      </c>
      <c r="D75" s="33" t="s">
        <v>12</v>
      </c>
      <c r="E75" s="34">
        <v>28126</v>
      </c>
      <c r="F75" s="35" t="s">
        <v>46</v>
      </c>
      <c r="G75" s="84" t="str">
        <f t="array" ref="G75">IF($F75="Repair",($E75-MAX(IF($D$4:$D$200=$D75,IF($E$4:$E$200&lt;$E75,IF($F$4:$F$200&lt;&gt;"Repair",$E$4:$E$200)))))/365,"")</f>
        <v/>
      </c>
      <c r="H75" s="84" t="str">
        <f t="array" ref="H75">IF($F75="Replace",($E75-MAX(IF($D$4:$D$200=$D75,IF($E$4:$E$200&lt;$E75,IF($F$4:$F$200&lt;&gt;"Repair",$E$4:$E$200)))))/365,"")</f>
        <v/>
      </c>
      <c r="I75" s="53" t="s">
        <v>44</v>
      </c>
      <c r="L75" s="36"/>
      <c r="M75" s="34"/>
      <c r="N75" s="33"/>
      <c r="O75" s="37"/>
      <c r="P75" s="34"/>
      <c r="Q75" s="34"/>
      <c r="R75" s="37"/>
      <c r="S75" s="37"/>
      <c r="T75" s="33"/>
      <c r="AE75" s="24"/>
    </row>
    <row r="76" spans="2:31" ht="30" customHeight="1" x14ac:dyDescent="0.25">
      <c r="B76" s="33" t="str">
        <f t="shared" si="13"/>
        <v>D</v>
      </c>
      <c r="C76" s="33" t="str">
        <f t="shared" si="14"/>
        <v>105</v>
      </c>
      <c r="D76" s="44" t="s">
        <v>12</v>
      </c>
      <c r="E76" s="41">
        <v>30987</v>
      </c>
      <c r="F76" s="42" t="s">
        <v>39</v>
      </c>
      <c r="G76" s="85">
        <f t="array" ref="G76">IF($F76="Repair",($E76-MAX(IF($D$4:$D$200=$D76,IF($E$4:$E$200&lt;$E76,IF($F$4:$F$200&lt;&gt;"Repair",$E$4:$E$200)))))/365,"")</f>
        <v>7.838356164383562</v>
      </c>
      <c r="H76" s="85" t="str">
        <f t="array" ref="H76">IF($F76="Replace",($E76-MAX(IF($D$4:$D$200=$D76,IF($E$4:$E$200&lt;$E76,IF($F$4:$F$200&lt;&gt;"Repair",$E$4:$E$200)))))/365,"")</f>
        <v/>
      </c>
      <c r="I76" s="53">
        <v>7.838356164383562</v>
      </c>
      <c r="L76" s="36"/>
      <c r="M76" s="34"/>
      <c r="N76" s="33"/>
      <c r="O76" s="37"/>
      <c r="P76" s="34"/>
      <c r="Q76" s="34"/>
      <c r="R76" s="37"/>
      <c r="S76" s="37"/>
      <c r="T76" s="33"/>
      <c r="AE76" s="24"/>
    </row>
    <row r="77" spans="2:31" ht="30" customHeight="1" x14ac:dyDescent="0.25">
      <c r="B77" s="33" t="str">
        <f t="shared" si="13"/>
        <v>D</v>
      </c>
      <c r="C77" s="33" t="str">
        <f t="shared" si="14"/>
        <v>105</v>
      </c>
      <c r="D77" s="44" t="s">
        <v>12</v>
      </c>
      <c r="E77" s="41">
        <v>34572</v>
      </c>
      <c r="F77" s="42" t="s">
        <v>39</v>
      </c>
      <c r="G77" s="85">
        <f t="array" ref="G77">IF($F77="Repair",($E77-MAX(IF($D$4:$D$200=$D77,IF($E$4:$E$200&lt;$E77,IF($F$4:$F$200&lt;&gt;"Repair",$E$4:$E$200)))))/365,"")</f>
        <v>17.660273972602738</v>
      </c>
      <c r="H77" s="85" t="str">
        <f t="array" ref="H77">IF($F77="Replace",($E77-MAX(IF($D$4:$D$200=$D77,IF($E$4:$E$200&lt;$E77,IF($F$4:$F$200&lt;&gt;"Repair",$E$4:$E$200)))))/365,"")</f>
        <v/>
      </c>
      <c r="I77" s="53">
        <v>17.660273972602738</v>
      </c>
      <c r="L77" s="43"/>
      <c r="M77" s="41"/>
      <c r="N77" s="44"/>
      <c r="O77" s="40"/>
      <c r="P77" s="41"/>
      <c r="Q77" s="41"/>
      <c r="R77" s="40"/>
      <c r="S77" s="40"/>
      <c r="T77" s="44"/>
      <c r="AE77" s="24"/>
    </row>
    <row r="78" spans="2:31" ht="30" customHeight="1" x14ac:dyDescent="0.25">
      <c r="B78" s="33" t="str">
        <f t="shared" si="13"/>
        <v>D</v>
      </c>
      <c r="C78" s="33" t="str">
        <f t="shared" si="14"/>
        <v>105</v>
      </c>
      <c r="D78" s="44" t="s">
        <v>12</v>
      </c>
      <c r="E78" s="41">
        <v>37032</v>
      </c>
      <c r="F78" s="42" t="s">
        <v>39</v>
      </c>
      <c r="G78" s="85">
        <f t="array" ref="G78">IF($F78="Repair",($E78-MAX(IF($D$4:$D$200=$D78,IF($E$4:$E$200&lt;$E78,IF($F$4:$F$200&lt;&gt;"Repair",$E$4:$E$200)))))/365,"")</f>
        <v>24.4</v>
      </c>
      <c r="H78" s="85" t="str">
        <f t="array" ref="H78">IF($F78="Replace",($E78-MAX(IF($D$4:$D$200=$D78,IF($E$4:$E$200&lt;$E78,IF($F$4:$F$200&lt;&gt;"Repair",$E$4:$E$200)))))/365,"")</f>
        <v/>
      </c>
      <c r="I78" s="53">
        <v>24.4</v>
      </c>
      <c r="L78" s="43"/>
      <c r="M78" s="41"/>
      <c r="N78" s="44"/>
      <c r="O78" s="40"/>
      <c r="P78" s="41"/>
      <c r="Q78" s="41"/>
      <c r="R78" s="40"/>
      <c r="S78" s="40"/>
      <c r="T78" s="44"/>
      <c r="AE78" s="24"/>
    </row>
    <row r="79" spans="2:31" ht="30" customHeight="1" x14ac:dyDescent="0.25">
      <c r="B79" s="33" t="str">
        <f t="shared" si="13"/>
        <v>D</v>
      </c>
      <c r="C79" s="33" t="str">
        <f t="shared" si="14"/>
        <v>105</v>
      </c>
      <c r="D79" s="40" t="s">
        <v>12</v>
      </c>
      <c r="E79" s="41">
        <v>40851</v>
      </c>
      <c r="F79" s="42" t="s">
        <v>38</v>
      </c>
      <c r="G79" s="85" t="str">
        <f t="array" ref="G79">IF($F79="Repair",($E79-MAX(IF($D$4:$D$200=$D79,IF($E$4:$E$200&lt;$E79,IF($F$4:$F$200&lt;&gt;"Repair",$E$4:$E$200)))))/365,"")</f>
        <v/>
      </c>
      <c r="H79" s="85">
        <f t="array" ref="H79">IF($F79="Replace",($E79-MAX(IF($D$4:$D$200=$D79,IF($E$4:$E$200&lt;$E79,IF($F$4:$F$200&lt;&gt;"Repair",$E$4:$E$200)))))/365,"")</f>
        <v>34.863013698630134</v>
      </c>
      <c r="I79" s="53">
        <v>34.863013698630134</v>
      </c>
      <c r="L79" s="43"/>
      <c r="M79" s="41"/>
      <c r="N79" s="44"/>
      <c r="O79" s="40"/>
      <c r="P79" s="41"/>
      <c r="Q79" s="41"/>
      <c r="R79" s="40"/>
      <c r="S79" s="40"/>
      <c r="T79" s="44"/>
      <c r="AE79" s="24"/>
    </row>
    <row r="80" spans="2:31" ht="30" hidden="1" customHeight="1" x14ac:dyDescent="0.25">
      <c r="B80" s="33" t="str">
        <f t="shared" si="13"/>
        <v>E</v>
      </c>
      <c r="C80" s="33" t="str">
        <f t="shared" si="14"/>
        <v>105</v>
      </c>
      <c r="D80" s="44" t="s">
        <v>13</v>
      </c>
      <c r="E80" s="41">
        <v>28126</v>
      </c>
      <c r="F80" s="42" t="s">
        <v>46</v>
      </c>
      <c r="G80" s="85" t="str">
        <f t="array" ref="G80">IF($F80="Repair",($E80-MAX(IF($D$4:$D$200=$D80,IF($E$4:$E$200&lt;$E80,IF($F$4:$F$200&lt;&gt;"Repair",$E$4:$E$200)))))/365,"")</f>
        <v/>
      </c>
      <c r="H80" s="85" t="str">
        <f t="array" ref="H80">IF($F80="Replace",($E80-MAX(IF($D$4:$D$200=$D80,IF($E$4:$E$200&lt;$E80,IF($F$4:$F$200&lt;&gt;"Repair",$E$4:$E$200)))))/365,"")</f>
        <v/>
      </c>
      <c r="I80" s="53" t="s">
        <v>44</v>
      </c>
      <c r="L80" s="43"/>
      <c r="M80" s="41"/>
      <c r="N80" s="44"/>
      <c r="O80" s="40"/>
      <c r="P80" s="41"/>
      <c r="Q80" s="41"/>
      <c r="R80" s="40"/>
      <c r="S80" s="40"/>
      <c r="T80" s="44"/>
      <c r="AE80" s="24"/>
    </row>
    <row r="81" spans="2:31" ht="30" hidden="1" customHeight="1" x14ac:dyDescent="0.25">
      <c r="B81" s="33" t="str">
        <f t="shared" si="13"/>
        <v>E</v>
      </c>
      <c r="C81" s="33" t="str">
        <f t="shared" si="14"/>
        <v>105</v>
      </c>
      <c r="D81" s="44" t="s">
        <v>13</v>
      </c>
      <c r="E81" s="41">
        <v>33482</v>
      </c>
      <c r="F81" s="42" t="s">
        <v>39</v>
      </c>
      <c r="G81" s="85">
        <f t="array" ref="G81">IF($F81="Repair",($E81-MAX(IF($D$4:$D$200=$D81,IF($E$4:$E$200&lt;$E81,IF($F$4:$F$200&lt;&gt;"Repair",$E$4:$E$200)))))/365,"")</f>
        <v>14.673972602739726</v>
      </c>
      <c r="H81" s="85" t="str">
        <f t="array" ref="H81">IF($F81="Replace",($E81-MAX(IF($D$4:$D$200=$D81,IF($E$4:$E$200&lt;$E81,IF($F$4:$F$200&lt;&gt;"Repair",$E$4:$E$200)))))/365,"")</f>
        <v/>
      </c>
      <c r="I81" s="53">
        <v>14.673972602739726</v>
      </c>
      <c r="L81" s="43"/>
      <c r="M81" s="41"/>
      <c r="N81" s="44"/>
      <c r="O81" s="40"/>
      <c r="P81" s="41"/>
      <c r="Q81" s="41"/>
      <c r="R81" s="40"/>
      <c r="S81" s="40"/>
      <c r="T81" s="44"/>
      <c r="AE81" s="24"/>
    </row>
    <row r="82" spans="2:31" ht="30" hidden="1" customHeight="1" x14ac:dyDescent="0.25">
      <c r="B82" s="33" t="str">
        <f t="shared" si="13"/>
        <v>E</v>
      </c>
      <c r="C82" s="33" t="str">
        <f t="shared" si="14"/>
        <v>105</v>
      </c>
      <c r="D82" s="44" t="s">
        <v>13</v>
      </c>
      <c r="E82" s="41">
        <v>34516</v>
      </c>
      <c r="F82" s="42" t="s">
        <v>39</v>
      </c>
      <c r="G82" s="85">
        <f t="array" ref="G82">IF($F82="Repair",($E82-MAX(IF($D$4:$D$200=$D82,IF($E$4:$E$200&lt;$E82,IF($F$4:$F$200&lt;&gt;"Repair",$E$4:$E$200)))))/365,"")</f>
        <v>17.506849315068493</v>
      </c>
      <c r="H82" s="85" t="str">
        <f t="array" ref="H82">IF($F82="Replace",($E82-MAX(IF($D$4:$D$200=$D82,IF($E$4:$E$200&lt;$E82,IF($F$4:$F$200&lt;&gt;"Repair",$E$4:$E$200)))))/365,"")</f>
        <v/>
      </c>
      <c r="I82" s="53">
        <v>17.506849315068493</v>
      </c>
      <c r="L82" s="43"/>
      <c r="M82" s="41"/>
      <c r="N82" s="44"/>
      <c r="O82" s="40"/>
      <c r="P82" s="41"/>
      <c r="Q82" s="41"/>
      <c r="R82" s="40"/>
      <c r="S82" s="40"/>
      <c r="T82" s="44"/>
      <c r="AE82" s="24"/>
    </row>
    <row r="83" spans="2:31" ht="30" hidden="1" customHeight="1" x14ac:dyDescent="0.25">
      <c r="B83" s="33" t="str">
        <f t="shared" si="13"/>
        <v>E</v>
      </c>
      <c r="C83" s="33" t="str">
        <f t="shared" si="14"/>
        <v>105</v>
      </c>
      <c r="D83" s="44" t="s">
        <v>13</v>
      </c>
      <c r="E83" s="41">
        <v>35323</v>
      </c>
      <c r="F83" s="42" t="s">
        <v>38</v>
      </c>
      <c r="G83" s="85" t="str">
        <f t="array" ref="G83">IF($F83="Repair",($E83-MAX(IF($D$4:$D$200=$D83,IF($E$4:$E$200&lt;$E83,IF($F$4:$F$200&lt;&gt;"Repair",$E$4:$E$200)))))/365,"")</f>
        <v/>
      </c>
      <c r="H83" s="85">
        <f t="array" ref="H83">IF($F83="Replace",($E83-MAX(IF($D$4:$D$200=$D83,IF($E$4:$E$200&lt;$E83,IF($F$4:$F$200&lt;&gt;"Repair",$E$4:$E$200)))))/365,"")</f>
        <v>19.717808219178082</v>
      </c>
      <c r="I83" s="53">
        <v>19.717808219178082</v>
      </c>
      <c r="L83" s="43"/>
      <c r="M83" s="41"/>
      <c r="N83" s="44"/>
      <c r="O83" s="40"/>
      <c r="P83" s="41"/>
      <c r="Q83" s="41"/>
      <c r="R83" s="40"/>
      <c r="S83" s="40"/>
      <c r="T83" s="44"/>
      <c r="AE83" s="24"/>
    </row>
    <row r="84" spans="2:31" ht="30" hidden="1" customHeight="1" x14ac:dyDescent="0.25">
      <c r="B84" s="33" t="str">
        <f t="shared" si="13"/>
        <v>F</v>
      </c>
      <c r="C84" s="33" t="str">
        <f t="shared" si="14"/>
        <v>105</v>
      </c>
      <c r="D84" s="44" t="s">
        <v>15</v>
      </c>
      <c r="E84" s="41">
        <v>28126</v>
      </c>
      <c r="F84" s="42" t="s">
        <v>46</v>
      </c>
      <c r="G84" s="85" t="str">
        <f t="array" ref="G84">IF($F84="Repair",($E84-MAX(IF($D$4:$D$200=$D84,IF($E$4:$E$200&lt;$E84,IF($F$4:$F$200&lt;&gt;"Repair",$E$4:$E$200)))))/365,"")</f>
        <v/>
      </c>
      <c r="H84" s="85" t="str">
        <f t="array" ref="H84">IF($F84="Replace",($E84-MAX(IF($D$4:$D$200=$D84,IF($E$4:$E$200&lt;$E84,IF($F$4:$F$200&lt;&gt;"Repair",$E$4:$E$200)))))/365,"")</f>
        <v/>
      </c>
      <c r="I84" s="53" t="s">
        <v>44</v>
      </c>
      <c r="L84" s="43"/>
      <c r="M84" s="41"/>
      <c r="N84" s="44"/>
      <c r="O84" s="40"/>
      <c r="P84" s="41"/>
      <c r="Q84" s="41"/>
      <c r="R84" s="40"/>
      <c r="S84" s="40"/>
      <c r="T84" s="44"/>
      <c r="AE84" s="24"/>
    </row>
    <row r="85" spans="2:31" ht="30" hidden="1" customHeight="1" x14ac:dyDescent="0.25">
      <c r="B85" s="33" t="str">
        <f t="shared" si="13"/>
        <v>F</v>
      </c>
      <c r="C85" s="33" t="str">
        <f t="shared" si="14"/>
        <v>105</v>
      </c>
      <c r="D85" s="44" t="s">
        <v>15</v>
      </c>
      <c r="E85" s="41">
        <v>32994</v>
      </c>
      <c r="F85" s="42" t="s">
        <v>39</v>
      </c>
      <c r="G85" s="85">
        <f t="array" ref="G85">IF($F85="Repair",($E85-MAX(IF($D$4:$D$200=$D85,IF($E$4:$E$200&lt;$E85,IF($F$4:$F$200&lt;&gt;"Repair",$E$4:$E$200)))))/365,"")</f>
        <v>13.336986301369864</v>
      </c>
      <c r="H85" s="85" t="str">
        <f t="array" ref="H85">IF($F85="Replace",($E85-MAX(IF($D$4:$D$200=$D85,IF($E$4:$E$200&lt;$E85,IF($F$4:$F$200&lt;&gt;"Repair",$E$4:$E$200)))))/365,"")</f>
        <v/>
      </c>
      <c r="I85" s="53">
        <v>13.336986301369864</v>
      </c>
      <c r="L85" s="43"/>
      <c r="M85" s="41"/>
      <c r="N85" s="44"/>
      <c r="O85" s="40"/>
      <c r="P85" s="41"/>
      <c r="Q85" s="41"/>
      <c r="R85" s="40"/>
      <c r="S85" s="40"/>
      <c r="T85" s="44"/>
      <c r="AE85" s="24"/>
    </row>
    <row r="86" spans="2:31" ht="30" hidden="1" customHeight="1" x14ac:dyDescent="0.25">
      <c r="B86" s="33" t="str">
        <f t="shared" si="13"/>
        <v>F</v>
      </c>
      <c r="C86" s="33" t="str">
        <f t="shared" si="14"/>
        <v>105</v>
      </c>
      <c r="D86" s="44" t="s">
        <v>15</v>
      </c>
      <c r="E86" s="41">
        <v>34429</v>
      </c>
      <c r="F86" s="42" t="s">
        <v>39</v>
      </c>
      <c r="G86" s="85">
        <f t="array" ref="G86">IF($F86="Repair",($E86-MAX(IF($D$4:$D$200=$D86,IF($E$4:$E$200&lt;$E86,IF($F$4:$F$200&lt;&gt;"Repair",$E$4:$E$200)))))/365,"")</f>
        <v>17.268493150684932</v>
      </c>
      <c r="H86" s="85" t="str">
        <f t="array" ref="H86">IF($F86="Replace",($E86-MAX(IF($D$4:$D$200=$D86,IF($E$4:$E$200&lt;$E86,IF($F$4:$F$200&lt;&gt;"Repair",$E$4:$E$200)))))/365,"")</f>
        <v/>
      </c>
      <c r="I86" s="53">
        <v>17.268493150684932</v>
      </c>
      <c r="L86" s="43"/>
      <c r="M86" s="41"/>
      <c r="N86" s="44"/>
      <c r="O86" s="40"/>
      <c r="P86" s="41"/>
      <c r="Q86" s="41"/>
      <c r="R86" s="40"/>
      <c r="S86" s="40"/>
      <c r="T86" s="44"/>
      <c r="AE86" s="24"/>
    </row>
    <row r="87" spans="2:31" ht="30" hidden="1" customHeight="1" x14ac:dyDescent="0.25">
      <c r="B87" s="33" t="str">
        <f t="shared" si="13"/>
        <v>F</v>
      </c>
      <c r="C87" s="33" t="str">
        <f t="shared" si="14"/>
        <v>105</v>
      </c>
      <c r="D87" s="44" t="s">
        <v>15</v>
      </c>
      <c r="E87" s="41">
        <v>35923</v>
      </c>
      <c r="F87" s="42" t="s">
        <v>38</v>
      </c>
      <c r="G87" s="85" t="str">
        <f t="array" ref="G87">IF($F87="Repair",($E87-MAX(IF($D$4:$D$200=$D87,IF($E$4:$E$200&lt;$E87,IF($F$4:$F$200&lt;&gt;"Repair",$E$4:$E$200)))))/365,"")</f>
        <v/>
      </c>
      <c r="H87" s="85">
        <f t="array" ref="H87">IF($F87="Replace",($E87-MAX(IF($D$4:$D$200=$D87,IF($E$4:$E$200&lt;$E87,IF($F$4:$F$200&lt;&gt;"Repair",$E$4:$E$200)))))/365,"")</f>
        <v>21.361643835616437</v>
      </c>
      <c r="I87" s="53">
        <v>21.361643835616437</v>
      </c>
      <c r="L87" s="43"/>
      <c r="M87" s="41"/>
      <c r="N87" s="44"/>
      <c r="O87" s="40"/>
      <c r="P87" s="41"/>
      <c r="Q87" s="41"/>
      <c r="R87" s="40"/>
      <c r="S87" s="40"/>
      <c r="T87" s="44"/>
      <c r="AE87" s="24"/>
    </row>
    <row r="88" spans="2:31" ht="30" hidden="1" customHeight="1" x14ac:dyDescent="0.25">
      <c r="B88" s="33" t="str">
        <f t="shared" si="13"/>
        <v>F</v>
      </c>
      <c r="C88" s="33" t="str">
        <f t="shared" si="14"/>
        <v>105</v>
      </c>
      <c r="D88" s="44" t="s">
        <v>15</v>
      </c>
      <c r="E88" s="41">
        <v>37763</v>
      </c>
      <c r="F88" s="42" t="s">
        <v>39</v>
      </c>
      <c r="G88" s="85">
        <f t="array" ref="G88">IF($F88="Repair",($E88-MAX(IF($D$4:$D$200=$D88,IF($E$4:$E$200&lt;$E88,IF($F$4:$F$200&lt;&gt;"Repair",$E$4:$E$200)))))/365,"")</f>
        <v>5.0410958904109586</v>
      </c>
      <c r="H88" s="85" t="str">
        <f t="array" ref="H88">IF($F88="Replace",($E88-MAX(IF($D$4:$D$200=$D88,IF($E$4:$E$200&lt;$E88,IF($F$4:$F$200&lt;&gt;"Repair",$E$4:$E$200)))))/365,"")</f>
        <v/>
      </c>
      <c r="I88" s="53">
        <v>26.402739726027399</v>
      </c>
      <c r="L88" s="43"/>
      <c r="M88" s="41"/>
      <c r="N88" s="44"/>
      <c r="O88" s="40"/>
      <c r="P88" s="41"/>
      <c r="Q88" s="41"/>
      <c r="R88" s="40"/>
      <c r="S88" s="40"/>
      <c r="T88" s="44"/>
      <c r="AE88" s="24"/>
    </row>
    <row r="89" spans="2:31" ht="30" hidden="1" customHeight="1" x14ac:dyDescent="0.25">
      <c r="B89" s="33" t="str">
        <f t="shared" si="13"/>
        <v>F</v>
      </c>
      <c r="C89" s="33" t="str">
        <f t="shared" si="14"/>
        <v>105</v>
      </c>
      <c r="D89" s="40" t="s">
        <v>15</v>
      </c>
      <c r="E89" s="41">
        <v>42476</v>
      </c>
      <c r="F89" s="42" t="s">
        <v>38</v>
      </c>
      <c r="G89" s="85" t="str">
        <f t="array" ref="G89">IF($F89="Repair",($E89-MAX(IF($D$4:$D$200=$D89,IF($E$4:$E$200&lt;$E89,IF($F$4:$F$200&lt;&gt;"Repair",$E$4:$E$200)))))/365,"")</f>
        <v/>
      </c>
      <c r="H89" s="85">
        <f t="array" ref="H89">IF($F89="Replace",($E89-MAX(IF($D$4:$D$200=$D89,IF($E$4:$E$200&lt;$E89,IF($F$4:$F$200&lt;&gt;"Repair",$E$4:$E$200)))))/365,"")</f>
        <v>17.953424657534246</v>
      </c>
      <c r="I89" s="53">
        <v>39.315068493150683</v>
      </c>
      <c r="L89" s="43"/>
      <c r="M89" s="41"/>
      <c r="N89" s="44"/>
      <c r="O89" s="40"/>
      <c r="P89" s="41"/>
      <c r="Q89" s="41"/>
      <c r="R89" s="40"/>
      <c r="S89" s="40"/>
      <c r="T89" s="44"/>
      <c r="AE89" s="24"/>
    </row>
    <row r="90" spans="2:31" ht="30" hidden="1" customHeight="1" x14ac:dyDescent="0.25">
      <c r="B90" s="33" t="str">
        <f t="shared" si="13"/>
        <v>G</v>
      </c>
      <c r="C90" s="33" t="str">
        <f t="shared" si="14"/>
        <v>105</v>
      </c>
      <c r="D90" s="44" t="s">
        <v>22</v>
      </c>
      <c r="E90" s="41">
        <v>29952</v>
      </c>
      <c r="F90" s="42" t="s">
        <v>46</v>
      </c>
      <c r="G90" s="85" t="str">
        <f t="array" ref="G90">IF($F90="Repair",($E90-MAX(IF($D$4:$D$200=$D90,IF($E$4:$E$200&lt;$E90,IF($F$4:$F$200&lt;&gt;"Repair",$E$4:$E$200)))))/365,"")</f>
        <v/>
      </c>
      <c r="H90" s="85" t="str">
        <f t="array" ref="H90">IF($F90="Replace",($E90-MAX(IF($D$4:$D$200=$D90,IF($E$4:$E$200&lt;$E90,IF($F$4:$F$200&lt;&gt;"Repair",$E$4:$E$200)))))/365,"")</f>
        <v/>
      </c>
      <c r="I90" s="53" t="s">
        <v>44</v>
      </c>
      <c r="L90" s="43"/>
      <c r="M90" s="41"/>
      <c r="N90" s="44"/>
      <c r="O90" s="40"/>
      <c r="P90" s="41"/>
      <c r="Q90" s="41"/>
      <c r="R90" s="40"/>
      <c r="S90" s="40"/>
      <c r="T90" s="44"/>
      <c r="AE90" s="24"/>
    </row>
    <row r="91" spans="2:31" ht="30" hidden="1" customHeight="1" x14ac:dyDescent="0.25">
      <c r="B91" s="33" t="str">
        <f t="shared" si="13"/>
        <v>G</v>
      </c>
      <c r="C91" s="33" t="str">
        <f t="shared" si="14"/>
        <v>105</v>
      </c>
      <c r="D91" s="44" t="s">
        <v>22</v>
      </c>
      <c r="E91" s="41">
        <v>33482</v>
      </c>
      <c r="F91" s="42" t="s">
        <v>39</v>
      </c>
      <c r="G91" s="85">
        <f t="array" ref="G91">IF($F91="Repair",($E91-MAX(IF($D$4:$D$200=$D91,IF($E$4:$E$200&lt;$E91,IF($F$4:$F$200&lt;&gt;"Repair",$E$4:$E$200)))))/365,"")</f>
        <v>9.6712328767123292</v>
      </c>
      <c r="H91" s="85" t="str">
        <f t="array" ref="H91">IF($F91="Replace",($E91-MAX(IF($D$4:$D$200=$D91,IF($E$4:$E$200&lt;$E91,IF($F$4:$F$200&lt;&gt;"Repair",$E$4:$E$200)))))/365,"")</f>
        <v/>
      </c>
      <c r="I91" s="53">
        <v>9.6712328767123292</v>
      </c>
      <c r="L91" s="43"/>
      <c r="M91" s="41"/>
      <c r="N91" s="44"/>
      <c r="O91" s="40"/>
      <c r="P91" s="41"/>
      <c r="Q91" s="41"/>
      <c r="R91" s="40"/>
      <c r="S91" s="40"/>
      <c r="T91" s="44"/>
      <c r="AE91" s="24"/>
    </row>
    <row r="92" spans="2:31" ht="30" hidden="1" customHeight="1" x14ac:dyDescent="0.25">
      <c r="B92" s="33" t="str">
        <f t="shared" si="13"/>
        <v>G</v>
      </c>
      <c r="C92" s="33" t="str">
        <f t="shared" si="14"/>
        <v>105</v>
      </c>
      <c r="D92" s="44" t="s">
        <v>22</v>
      </c>
      <c r="E92" s="41">
        <v>34564</v>
      </c>
      <c r="F92" s="42" t="s">
        <v>38</v>
      </c>
      <c r="G92" s="85" t="str">
        <f t="array" ref="G92">IF($F92="Repair",($E92-MAX(IF($D$4:$D$200=$D92,IF($E$4:$E$200&lt;$E92,IF($F$4:$F$200&lt;&gt;"Repair",$E$4:$E$200)))))/365,"")</f>
        <v/>
      </c>
      <c r="H92" s="85">
        <f t="array" ref="H92">IF($F92="Replace",($E92-MAX(IF($D$4:$D$200=$D92,IF($E$4:$E$200&lt;$E92,IF($F$4:$F$200&lt;&gt;"Repair",$E$4:$E$200)))))/365,"")</f>
        <v>12.635616438356164</v>
      </c>
      <c r="I92" s="53">
        <v>12.635616438356164</v>
      </c>
      <c r="L92" s="43"/>
      <c r="M92" s="41"/>
      <c r="N92" s="44"/>
      <c r="O92" s="40"/>
      <c r="P92" s="41"/>
      <c r="Q92" s="41"/>
      <c r="R92" s="40"/>
      <c r="S92" s="40"/>
      <c r="T92" s="44"/>
      <c r="AE92" s="24"/>
    </row>
    <row r="93" spans="2:31" ht="30" hidden="1" customHeight="1" x14ac:dyDescent="0.25">
      <c r="B93" s="33" t="str">
        <f t="shared" si="13"/>
        <v>G</v>
      </c>
      <c r="C93" s="33" t="str">
        <f t="shared" si="14"/>
        <v>105</v>
      </c>
      <c r="D93" s="44" t="s">
        <v>22</v>
      </c>
      <c r="E93" s="41">
        <v>36358</v>
      </c>
      <c r="F93" s="42" t="s">
        <v>39</v>
      </c>
      <c r="G93" s="85">
        <f t="array" ref="G93">IF($F93="Repair",($E93-MAX(IF($D$4:$D$200=$D93,IF($E$4:$E$200&lt;$E93,IF($F$4:$F$200&lt;&gt;"Repair",$E$4:$E$200)))))/365,"")</f>
        <v>4.9150684931506845</v>
      </c>
      <c r="H93" s="85" t="str">
        <f t="array" ref="H93">IF($F93="Replace",($E93-MAX(IF($D$4:$D$200=$D93,IF($E$4:$E$200&lt;$E93,IF($F$4:$F$200&lt;&gt;"Repair",$E$4:$E$200)))))/365,"")</f>
        <v/>
      </c>
      <c r="I93" s="53">
        <v>17.550684931506851</v>
      </c>
      <c r="L93" s="43"/>
      <c r="M93" s="41"/>
      <c r="N93" s="44"/>
      <c r="O93" s="40"/>
      <c r="P93" s="41"/>
      <c r="Q93" s="41"/>
      <c r="R93" s="40"/>
      <c r="S93" s="40"/>
      <c r="T93" s="44"/>
      <c r="AE93" s="24"/>
    </row>
    <row r="94" spans="2:31" ht="30" hidden="1" customHeight="1" x14ac:dyDescent="0.25">
      <c r="B94" s="33" t="str">
        <f t="shared" si="13"/>
        <v>G</v>
      </c>
      <c r="C94" s="33" t="str">
        <f t="shared" si="14"/>
        <v>105</v>
      </c>
      <c r="D94" s="40" t="s">
        <v>22</v>
      </c>
      <c r="E94" s="41">
        <v>39022</v>
      </c>
      <c r="F94" s="42" t="s">
        <v>39</v>
      </c>
      <c r="G94" s="85">
        <f t="array" ref="G94">IF($F94="Repair",($E94-MAX(IF($D$4:$D$200=$D94,IF($E$4:$E$200&lt;$E94,IF($F$4:$F$200&lt;&gt;"Repair",$E$4:$E$200)))))/365,"")</f>
        <v>12.213698630136987</v>
      </c>
      <c r="H94" s="85" t="str">
        <f t="array" ref="H94">IF($F94="Replace",($E94-MAX(IF($D$4:$D$200=$D94,IF($E$4:$E$200&lt;$E94,IF($F$4:$F$200&lt;&gt;"Repair",$E$4:$E$200)))))/365,"")</f>
        <v/>
      </c>
      <c r="I94" s="53">
        <v>24.849315068493151</v>
      </c>
      <c r="L94" s="43"/>
      <c r="M94" s="41"/>
      <c r="N94" s="44"/>
      <c r="O94" s="40"/>
      <c r="P94" s="41"/>
      <c r="Q94" s="41"/>
      <c r="R94" s="40"/>
      <c r="S94" s="40"/>
      <c r="T94" s="44"/>
      <c r="AE94" s="24"/>
    </row>
    <row r="95" spans="2:31" ht="30" hidden="1" customHeight="1" x14ac:dyDescent="0.25">
      <c r="B95" s="33" t="str">
        <f t="shared" si="13"/>
        <v>H</v>
      </c>
      <c r="C95" s="33" t="str">
        <f t="shared" si="14"/>
        <v>105</v>
      </c>
      <c r="D95" s="40" t="s">
        <v>23</v>
      </c>
      <c r="E95" s="41">
        <v>31413</v>
      </c>
      <c r="F95" s="42" t="s">
        <v>46</v>
      </c>
      <c r="G95" s="85" t="str">
        <f t="array" ref="G95">IF($F95="Repair",($E95-MAX(IF($D$4:$D$200=$D95,IF($E$4:$E$200&lt;$E95,IF($F$4:$F$200&lt;&gt;"Repair",$E$4:$E$200)))))/365,"")</f>
        <v/>
      </c>
      <c r="H95" s="85" t="str">
        <f t="array" ref="H95">IF($F95="Replace",($E95-MAX(IF($D$4:$D$200=$D95,IF($E$4:$E$200&lt;$E95,IF($F$4:$F$200&lt;&gt;"Repair",$E$4:$E$200)))))/365,"")</f>
        <v/>
      </c>
      <c r="I95" s="53" t="s">
        <v>44</v>
      </c>
      <c r="L95" s="43"/>
      <c r="M95" s="41"/>
      <c r="N95" s="44"/>
      <c r="O95" s="40"/>
      <c r="P95" s="41"/>
      <c r="Q95" s="41"/>
      <c r="R95" s="40"/>
      <c r="S95" s="40"/>
      <c r="T95" s="44"/>
      <c r="AE95" s="24"/>
    </row>
    <row r="96" spans="2:31" ht="30" hidden="1" customHeight="1" x14ac:dyDescent="0.25">
      <c r="B96" s="33" t="str">
        <f t="shared" si="13"/>
        <v>H</v>
      </c>
      <c r="C96" s="33" t="str">
        <f t="shared" si="14"/>
        <v>105</v>
      </c>
      <c r="D96" s="40" t="s">
        <v>23</v>
      </c>
      <c r="E96" s="41">
        <v>32607</v>
      </c>
      <c r="F96" s="42" t="s">
        <v>39</v>
      </c>
      <c r="G96" s="85">
        <f t="array" ref="G96">IF($F96="Repair",($E96-MAX(IF($D$4:$D$200=$D96,IF($E$4:$E$200&lt;$E96,IF($F$4:$F$200&lt;&gt;"Repair",$E$4:$E$200)))))/365,"")</f>
        <v>3.2712328767123289</v>
      </c>
      <c r="H96" s="85" t="str">
        <f t="array" ref="H96">IF($F96="Replace",($E96-MAX(IF($D$4:$D$200=$D96,IF($E$4:$E$200&lt;$E96,IF($F$4:$F$200&lt;&gt;"Repair",$E$4:$E$200)))))/365,"")</f>
        <v/>
      </c>
      <c r="I96" s="53">
        <v>3.2712328767123289</v>
      </c>
      <c r="L96" s="43"/>
      <c r="M96" s="41"/>
      <c r="N96" s="44"/>
      <c r="O96" s="40"/>
      <c r="P96" s="41"/>
      <c r="Q96" s="41"/>
      <c r="R96" s="40"/>
      <c r="S96" s="40"/>
      <c r="T96" s="44"/>
      <c r="AE96" s="24"/>
    </row>
    <row r="97" spans="2:31" ht="30" hidden="1" customHeight="1" x14ac:dyDescent="0.25">
      <c r="B97" s="33" t="str">
        <f t="shared" si="13"/>
        <v>H</v>
      </c>
      <c r="C97" s="33" t="str">
        <f t="shared" si="14"/>
        <v>105</v>
      </c>
      <c r="D97" s="40" t="s">
        <v>23</v>
      </c>
      <c r="E97" s="41">
        <v>33725</v>
      </c>
      <c r="F97" s="42" t="s">
        <v>39</v>
      </c>
      <c r="G97" s="85">
        <f t="array" ref="G97">IF($F97="Repair",($E97-MAX(IF($D$4:$D$200=$D97,IF($E$4:$E$200&lt;$E97,IF($F$4:$F$200&lt;&gt;"Repair",$E$4:$E$200)))))/365,"")</f>
        <v>6.3342465753424655</v>
      </c>
      <c r="H97" s="85" t="str">
        <f t="array" ref="H97">IF($F97="Replace",($E97-MAX(IF($D$4:$D$200=$D97,IF($E$4:$E$200&lt;$E97,IF($F$4:$F$200&lt;&gt;"Repair",$E$4:$E$200)))))/365,"")</f>
        <v/>
      </c>
      <c r="I97" s="53">
        <v>6.3342465753424655</v>
      </c>
      <c r="L97" s="43"/>
      <c r="M97" s="41"/>
      <c r="N97" s="44"/>
      <c r="O97" s="40"/>
      <c r="P97" s="41"/>
      <c r="Q97" s="41"/>
      <c r="R97" s="40"/>
      <c r="S97" s="40"/>
      <c r="T97" s="44"/>
      <c r="AE97" s="24"/>
    </row>
    <row r="98" spans="2:31" ht="30" hidden="1" customHeight="1" x14ac:dyDescent="0.25">
      <c r="B98" s="33" t="str">
        <f t="shared" si="13"/>
        <v>H</v>
      </c>
      <c r="C98" s="33" t="str">
        <f t="shared" si="14"/>
        <v>105</v>
      </c>
      <c r="D98" s="40" t="s">
        <v>23</v>
      </c>
      <c r="E98" s="41">
        <v>35997</v>
      </c>
      <c r="F98" s="42" t="s">
        <v>39</v>
      </c>
      <c r="G98" s="85">
        <f t="array" ref="G98">IF($F98="Repair",($E98-MAX(IF($D$4:$D$200=$D98,IF($E$4:$E$200&lt;$E98,IF($F$4:$F$200&lt;&gt;"Repair",$E$4:$E$200)))))/365,"")</f>
        <v>12.558904109589042</v>
      </c>
      <c r="H98" s="85" t="str">
        <f t="array" ref="H98">IF($F98="Replace",($E98-MAX(IF($D$4:$D$200=$D98,IF($E$4:$E$200&lt;$E98,IF($F$4:$F$200&lt;&gt;"Repair",$E$4:$E$200)))))/365,"")</f>
        <v/>
      </c>
      <c r="I98" s="53">
        <v>12.558904109589042</v>
      </c>
      <c r="K98" s="65"/>
      <c r="L98" s="43"/>
      <c r="M98" s="41"/>
      <c r="N98" s="44"/>
      <c r="O98" s="40"/>
      <c r="P98" s="41"/>
      <c r="Q98" s="41"/>
      <c r="R98" s="40"/>
      <c r="S98" s="40"/>
      <c r="T98" s="44"/>
      <c r="AE98" s="24"/>
    </row>
    <row r="99" spans="2:31" ht="30" hidden="1" customHeight="1" x14ac:dyDescent="0.25">
      <c r="B99" s="33" t="str">
        <f t="shared" si="13"/>
        <v>H</v>
      </c>
      <c r="C99" s="33" t="str">
        <f t="shared" si="14"/>
        <v>105</v>
      </c>
      <c r="D99" s="40" t="s">
        <v>23</v>
      </c>
      <c r="E99" s="41">
        <v>36759</v>
      </c>
      <c r="F99" s="42" t="s">
        <v>39</v>
      </c>
      <c r="G99" s="85">
        <f t="array" ref="G99">IF($F99="Repair",($E99-MAX(IF($D$4:$D$200=$D99,IF($E$4:$E$200&lt;$E99,IF($F$4:$F$200&lt;&gt;"Repair",$E$4:$E$200)))))/365,"")</f>
        <v>14.646575342465754</v>
      </c>
      <c r="H99" s="85" t="str">
        <f t="array" ref="H99">IF($F99="Replace",($E99-MAX(IF($D$4:$D$200=$D99,IF($E$4:$E$200&lt;$E99,IF($F$4:$F$200&lt;&gt;"Repair",$E$4:$E$200)))))/365,"")</f>
        <v/>
      </c>
      <c r="I99" s="53">
        <v>14.646575342465754</v>
      </c>
      <c r="K99" s="65"/>
      <c r="L99" s="25"/>
      <c r="M99" s="26"/>
      <c r="N99" s="23"/>
      <c r="O99" s="27"/>
      <c r="P99" s="26"/>
      <c r="Q99" s="26"/>
      <c r="R99" s="27"/>
      <c r="S99" s="27"/>
      <c r="AE99" s="24"/>
    </row>
    <row r="100" spans="2:31" ht="30" hidden="1" customHeight="1" x14ac:dyDescent="0.25">
      <c r="B100" s="33" t="str">
        <f t="shared" si="13"/>
        <v>H</v>
      </c>
      <c r="C100" s="33" t="str">
        <f t="shared" si="14"/>
        <v>105</v>
      </c>
      <c r="D100" s="40" t="s">
        <v>23</v>
      </c>
      <c r="E100" s="41">
        <v>42131</v>
      </c>
      <c r="F100" s="42" t="s">
        <v>38</v>
      </c>
      <c r="G100" s="85" t="str">
        <f t="array" ref="G100">IF($F100="Repair",($E100-MAX(IF($D$4:$D$200=$D100,IF($E$4:$E$200&lt;$E100,IF($F$4:$F$200&lt;&gt;"Repair",$E$4:$E$200)))))/365,"")</f>
        <v/>
      </c>
      <c r="H100" s="85">
        <f t="array" ref="H100">IF($F100="Replace",($E100-MAX(IF($D$4:$D$200=$D100,IF($E$4:$E$200&lt;$E100,IF($F$4:$F$200&lt;&gt;"Repair",$E$4:$E$200)))))/365,"")</f>
        <v>29.364383561643837</v>
      </c>
      <c r="I100" s="53">
        <v>29.364383561643837</v>
      </c>
      <c r="J100" s="24"/>
      <c r="K100" s="65"/>
      <c r="L100" s="25"/>
      <c r="M100" s="26"/>
      <c r="N100" s="23"/>
      <c r="O100" s="27"/>
      <c r="P100" s="26"/>
      <c r="Q100" s="26"/>
      <c r="R100" s="27"/>
      <c r="S100" s="27"/>
      <c r="AE100" s="24"/>
    </row>
    <row r="101" spans="2:31" ht="30" hidden="1" customHeight="1" x14ac:dyDescent="0.25">
      <c r="B101" s="33" t="str">
        <f t="shared" si="13"/>
        <v>A</v>
      </c>
      <c r="C101" s="33" t="str">
        <f t="shared" si="14"/>
        <v>129</v>
      </c>
      <c r="D101" s="40" t="s">
        <v>24</v>
      </c>
      <c r="E101" s="41">
        <v>28126</v>
      </c>
      <c r="F101" s="42" t="s">
        <v>46</v>
      </c>
      <c r="G101" s="85" t="str">
        <f t="array" ref="G101">IF($F101="Repair",($E101-MAX(IF($D$4:$D$200=$D101,IF($E$4:$E$200&lt;$E101,IF($F$4:$F$200&lt;&gt;"Repair",$E$4:$E$200)))))/365,"")</f>
        <v/>
      </c>
      <c r="H101" s="85" t="str">
        <f t="array" ref="H101">IF($F101="Replace",($E101-MAX(IF($D$4:$D$200=$D101,IF($E$4:$E$200&lt;$E101,IF($F$4:$F$200&lt;&gt;"Repair",$E$4:$E$200)))))/365,"")</f>
        <v/>
      </c>
      <c r="I101" s="53" t="s">
        <v>44</v>
      </c>
      <c r="J101" s="24"/>
      <c r="K101" s="65"/>
      <c r="M101" s="30" t="s">
        <v>35</v>
      </c>
      <c r="N101" s="23">
        <f>AVERAGE(N4:O74)</f>
        <v>10.507042253521126</v>
      </c>
      <c r="O101" s="23"/>
      <c r="R101" s="23"/>
      <c r="S101" s="23"/>
      <c r="AE101" s="24"/>
    </row>
    <row r="102" spans="2:31" ht="30" hidden="1" customHeight="1" x14ac:dyDescent="0.25">
      <c r="B102" s="33" t="str">
        <f t="shared" si="13"/>
        <v>A</v>
      </c>
      <c r="C102" s="33" t="str">
        <f t="shared" si="14"/>
        <v>129</v>
      </c>
      <c r="D102" s="40" t="s">
        <v>24</v>
      </c>
      <c r="E102" s="41">
        <v>35217</v>
      </c>
      <c r="F102" s="42" t="s">
        <v>39</v>
      </c>
      <c r="G102" s="85">
        <f t="array" ref="G102">IF($F102="Repair",($E102-MAX(IF($D$4:$D$200=$D102,IF($E$4:$E$200&lt;$E102,IF($F$4:$F$200&lt;&gt;"Repair",$E$4:$E$200)))))/365,"")</f>
        <v>19.427397260273974</v>
      </c>
      <c r="H102" s="85" t="str">
        <f t="array" ref="H102">IF($F102="Replace",($E102-MAX(IF($D$4:$D$200=$D102,IF($E$4:$E$200&lt;$E102,IF($F$4:$F$200&lt;&gt;"Repair",$E$4:$E$200)))))/365,"")</f>
        <v/>
      </c>
      <c r="I102" s="53">
        <v>19.427397260273974</v>
      </c>
      <c r="J102" s="24"/>
      <c r="K102" s="65"/>
      <c r="M102" s="30" t="s">
        <v>34</v>
      </c>
      <c r="N102" s="23">
        <f>COUNT(N4:N74)</f>
        <v>26</v>
      </c>
      <c r="O102" s="23">
        <f>COUNT(O4:O74)</f>
        <v>45</v>
      </c>
      <c r="R102" s="23"/>
      <c r="S102" s="23"/>
      <c r="T102" s="23" t="s">
        <v>37</v>
      </c>
      <c r="AE102" s="24"/>
    </row>
    <row r="103" spans="2:31" ht="30" hidden="1" customHeight="1" x14ac:dyDescent="0.25">
      <c r="B103" s="33" t="str">
        <f t="shared" si="13"/>
        <v>A</v>
      </c>
      <c r="C103" s="33" t="str">
        <f t="shared" si="14"/>
        <v>129</v>
      </c>
      <c r="D103" s="40" t="s">
        <v>24</v>
      </c>
      <c r="E103" s="41">
        <v>36431</v>
      </c>
      <c r="F103" s="42" t="s">
        <v>39</v>
      </c>
      <c r="G103" s="85">
        <f t="array" ref="G103">IF($F103="Repair",($E103-MAX(IF($D$4:$D$200=$D103,IF($E$4:$E$200&lt;$E103,IF($F$4:$F$200&lt;&gt;"Repair",$E$4:$E$200)))))/365,"")</f>
        <v>22.753424657534246</v>
      </c>
      <c r="H103" s="85" t="str">
        <f t="array" ref="H103">IF($F103="Replace",($E103-MAX(IF($D$4:$D$200=$D103,IF($E$4:$E$200&lt;$E103,IF($F$4:$F$200&lt;&gt;"Repair",$E$4:$E$200)))))/365,"")</f>
        <v/>
      </c>
      <c r="I103" s="53">
        <v>22.753424657534246</v>
      </c>
      <c r="J103" s="24"/>
      <c r="K103" s="65"/>
      <c r="T103" s="23" t="s">
        <v>36</v>
      </c>
      <c r="AE103" s="24"/>
    </row>
    <row r="104" spans="2:31" ht="30" hidden="1" customHeight="1" x14ac:dyDescent="0.25">
      <c r="B104" s="33" t="str">
        <f t="shared" si="13"/>
        <v>A</v>
      </c>
      <c r="C104" s="33" t="str">
        <f t="shared" si="14"/>
        <v>129</v>
      </c>
      <c r="D104" s="40" t="s">
        <v>24</v>
      </c>
      <c r="E104" s="41">
        <v>38168</v>
      </c>
      <c r="F104" s="42" t="s">
        <v>39</v>
      </c>
      <c r="G104" s="85">
        <f t="array" ref="G104">IF($F104="Repair",($E104-MAX(IF($D$4:$D$200=$D104,IF($E$4:$E$200&lt;$E104,IF($F$4:$F$200&lt;&gt;"Repair",$E$4:$E$200)))))/365,"")</f>
        <v>27.512328767123286</v>
      </c>
      <c r="H104" s="85" t="str">
        <f t="array" ref="H104">IF($F104="Replace",($E104-MAX(IF($D$4:$D$200=$D104,IF($E$4:$E$200&lt;$E104,IF($F$4:$F$200&lt;&gt;"Repair",$E$4:$E$200)))))/365,"")</f>
        <v/>
      </c>
      <c r="I104" s="53">
        <v>27.512328767123286</v>
      </c>
      <c r="J104" s="24"/>
      <c r="K104" s="65"/>
      <c r="AE104" s="24"/>
    </row>
    <row r="105" spans="2:31" ht="30" hidden="1" customHeight="1" x14ac:dyDescent="0.25">
      <c r="B105" s="33" t="str">
        <f t="shared" si="13"/>
        <v>B</v>
      </c>
      <c r="C105" s="33" t="str">
        <f t="shared" si="14"/>
        <v>129</v>
      </c>
      <c r="D105" s="40" t="s">
        <v>25</v>
      </c>
      <c r="E105" s="41">
        <v>28126</v>
      </c>
      <c r="F105" s="42" t="s">
        <v>46</v>
      </c>
      <c r="G105" s="85" t="str">
        <f t="array" ref="G105">IF($F105="Repair",($E105-MAX(IF($D$4:$D$200=$D105,IF($E$4:$E$200&lt;$E105,IF($F$4:$F$200&lt;&gt;"Repair",$E$4:$E$200)))))/365,"")</f>
        <v/>
      </c>
      <c r="H105" s="85" t="str">
        <f t="array" ref="H105">IF($F105="Replace",($E105-MAX(IF($D$4:$D$200=$D105,IF($E$4:$E$200&lt;$E105,IF($F$4:$F$200&lt;&gt;"Repair",$E$4:$E$200)))))/365,"")</f>
        <v/>
      </c>
      <c r="I105" s="53" t="s">
        <v>44</v>
      </c>
      <c r="J105" s="24"/>
      <c r="K105" s="65"/>
      <c r="AE105" s="24"/>
    </row>
    <row r="106" spans="2:31" ht="30" hidden="1" customHeight="1" x14ac:dyDescent="0.25">
      <c r="B106" s="33" t="str">
        <f t="shared" si="13"/>
        <v>B</v>
      </c>
      <c r="C106" s="33" t="str">
        <f t="shared" si="14"/>
        <v>129</v>
      </c>
      <c r="D106" s="40" t="s">
        <v>25</v>
      </c>
      <c r="E106" s="41">
        <v>33774</v>
      </c>
      <c r="F106" s="42" t="s">
        <v>39</v>
      </c>
      <c r="G106" s="85">
        <f t="array" ref="G106">IF($F106="Repair",($E106-MAX(IF($D$4:$D$200=$D106,IF($E$4:$E$200&lt;$E106,IF($F$4:$F$200&lt;&gt;"Repair",$E$4:$E$200)))))/365,"")</f>
        <v>15.473972602739726</v>
      </c>
      <c r="H106" s="85" t="str">
        <f t="array" ref="H106">IF($F106="Replace",($E106-MAX(IF($D$4:$D$200=$D106,IF($E$4:$E$200&lt;$E106,IF($F$4:$F$200&lt;&gt;"Repair",$E$4:$E$200)))))/365,"")</f>
        <v/>
      </c>
      <c r="I106" s="53">
        <v>15.473972602739726</v>
      </c>
    </row>
    <row r="107" spans="2:31" ht="30" hidden="1" customHeight="1" x14ac:dyDescent="0.25">
      <c r="B107" s="33" t="str">
        <f t="shared" si="13"/>
        <v>B</v>
      </c>
      <c r="C107" s="33" t="str">
        <f t="shared" si="14"/>
        <v>129</v>
      </c>
      <c r="D107" s="40" t="s">
        <v>25</v>
      </c>
      <c r="E107" s="41">
        <v>41782</v>
      </c>
      <c r="F107" s="42" t="s">
        <v>38</v>
      </c>
      <c r="G107" s="85" t="str">
        <f t="array" ref="G107">IF($F107="Repair",($E107-MAX(IF($D$4:$D$200=$D107,IF($E$4:$E$200&lt;$E107,IF($F$4:$F$200&lt;&gt;"Repair",$E$4:$E$200)))))/365,"")</f>
        <v/>
      </c>
      <c r="H107" s="85">
        <f t="array" ref="H107">IF($F107="Replace",($E107-MAX(IF($D$4:$D$200=$D107,IF($E$4:$E$200&lt;$E107,IF($F$4:$F$200&lt;&gt;"Repair",$E$4:$E$200)))))/365,"")</f>
        <v>37.413698630136984</v>
      </c>
      <c r="I107" s="53">
        <v>37.413698630136984</v>
      </c>
    </row>
    <row r="108" spans="2:31" ht="30" hidden="1" customHeight="1" x14ac:dyDescent="0.25">
      <c r="B108" s="33" t="str">
        <f t="shared" si="13"/>
        <v>C</v>
      </c>
      <c r="C108" s="33" t="str">
        <f t="shared" si="14"/>
        <v>129</v>
      </c>
      <c r="D108" s="40" t="s">
        <v>26</v>
      </c>
      <c r="E108" s="41">
        <v>28126</v>
      </c>
      <c r="F108" s="42" t="s">
        <v>46</v>
      </c>
      <c r="G108" s="85" t="str">
        <f t="array" ref="G108">IF($F108="Repair",($E108-MAX(IF($D$4:$D$200=$D108,IF($E$4:$E$200&lt;$E108,IF($F$4:$F$200&lt;&gt;"Repair",$E$4:$E$200)))))/365,"")</f>
        <v/>
      </c>
      <c r="H108" s="85" t="str">
        <f t="array" ref="H108">IF($F108="Replace",($E108-MAX(IF($D$4:$D$200=$D108,IF($E$4:$E$200&lt;$E108,IF($F$4:$F$200&lt;&gt;"Repair",$E$4:$E$200)))))/365,"")</f>
        <v/>
      </c>
      <c r="I108" s="53" t="s">
        <v>44</v>
      </c>
    </row>
    <row r="109" spans="2:31" ht="30" hidden="1" customHeight="1" x14ac:dyDescent="0.25">
      <c r="B109" s="33" t="str">
        <f t="shared" si="13"/>
        <v>C</v>
      </c>
      <c r="C109" s="33" t="str">
        <f t="shared" si="14"/>
        <v>129</v>
      </c>
      <c r="D109" s="40" t="s">
        <v>26</v>
      </c>
      <c r="E109" s="41">
        <v>34639</v>
      </c>
      <c r="F109" s="42" t="s">
        <v>39</v>
      </c>
      <c r="G109" s="85">
        <f t="array" ref="G109">IF($F109="Repair",($E109-MAX(IF($D$4:$D$200=$D109,IF($E$4:$E$200&lt;$E109,IF($F$4:$F$200&lt;&gt;"Repair",$E$4:$E$200)))))/365,"")</f>
        <v>17.843835616438355</v>
      </c>
      <c r="H109" s="85" t="str">
        <f t="array" ref="H109">IF($F109="Replace",($E109-MAX(IF($D$4:$D$200=$D109,IF($E$4:$E$200&lt;$E109,IF($F$4:$F$200&lt;&gt;"Repair",$E$4:$E$200)))))/365,"")</f>
        <v/>
      </c>
      <c r="I109" s="53">
        <v>17.843835616438355</v>
      </c>
    </row>
    <row r="110" spans="2:31" ht="30" hidden="1" customHeight="1" x14ac:dyDescent="0.25">
      <c r="B110" s="33" t="str">
        <f t="shared" si="13"/>
        <v>C</v>
      </c>
      <c r="C110" s="33" t="str">
        <f t="shared" si="14"/>
        <v>129</v>
      </c>
      <c r="D110" s="40" t="s">
        <v>26</v>
      </c>
      <c r="E110" s="41">
        <v>37083</v>
      </c>
      <c r="F110" s="42" t="s">
        <v>39</v>
      </c>
      <c r="G110" s="85">
        <f t="array" ref="G110">IF($F110="Repair",($E110-MAX(IF($D$4:$D$200=$D110,IF($E$4:$E$200&lt;$E110,IF($F$4:$F$200&lt;&gt;"Repair",$E$4:$E$200)))))/365,"")</f>
        <v>24.539726027397261</v>
      </c>
      <c r="H110" s="85" t="str">
        <f t="array" ref="H110">IF($F110="Replace",($E110-MAX(IF($D$4:$D$200=$D110,IF($E$4:$E$200&lt;$E110,IF($F$4:$F$200&lt;&gt;"Repair",$E$4:$E$200)))))/365,"")</f>
        <v/>
      </c>
      <c r="I110" s="53">
        <v>24.539726027397261</v>
      </c>
    </row>
    <row r="111" spans="2:31" ht="30" hidden="1" customHeight="1" x14ac:dyDescent="0.25">
      <c r="B111" s="33" t="str">
        <f t="shared" si="13"/>
        <v>C</v>
      </c>
      <c r="C111" s="33" t="str">
        <f t="shared" si="14"/>
        <v>129</v>
      </c>
      <c r="D111" s="40" t="s">
        <v>26</v>
      </c>
      <c r="E111" s="41">
        <v>40438</v>
      </c>
      <c r="F111" s="42" t="s">
        <v>38</v>
      </c>
      <c r="G111" s="85" t="str">
        <f t="array" ref="G111">IF($F111="Repair",($E111-MAX(IF($D$4:$D$200=$D111,IF($E$4:$E$200&lt;$E111,IF($F$4:$F$200&lt;&gt;"Repair",$E$4:$E$200)))))/365,"")</f>
        <v/>
      </c>
      <c r="H111" s="85">
        <f t="array" ref="H111">IF($F111="Replace",($E111-MAX(IF($D$4:$D$200=$D111,IF($E$4:$E$200&lt;$E111,IF($F$4:$F$200&lt;&gt;"Repair",$E$4:$E$200)))))/365,"")</f>
        <v>33.731506849315068</v>
      </c>
      <c r="I111" s="53">
        <v>33.731506849315068</v>
      </c>
    </row>
    <row r="112" spans="2:31" ht="30" customHeight="1" x14ac:dyDescent="0.25">
      <c r="B112" s="33" t="str">
        <f t="shared" si="13"/>
        <v>D</v>
      </c>
      <c r="C112" s="33" t="str">
        <f t="shared" si="14"/>
        <v>129</v>
      </c>
      <c r="D112" s="40" t="s">
        <v>27</v>
      </c>
      <c r="E112" s="41">
        <v>28126</v>
      </c>
      <c r="F112" s="42" t="s">
        <v>46</v>
      </c>
      <c r="G112" s="85" t="str">
        <f t="array" ref="G112">IF($F112="Repair",($E112-MAX(IF($D$4:$D$200=$D112,IF($E$4:$E$200&lt;$E112,IF($F$4:$F$200&lt;&gt;"Repair",$E$4:$E$200)))))/365,"")</f>
        <v/>
      </c>
      <c r="H112" s="85" t="str">
        <f t="array" ref="H112">IF($F112="Replace",($E112-MAX(IF($D$4:$D$200=$D112,IF($E$4:$E$200&lt;$E112,IF($F$4:$F$200&lt;&gt;"Repair",$E$4:$E$200)))))/365,"")</f>
        <v/>
      </c>
      <c r="I112" s="53" t="s">
        <v>44</v>
      </c>
    </row>
    <row r="113" spans="2:9" ht="30" customHeight="1" x14ac:dyDescent="0.25">
      <c r="B113" s="33" t="str">
        <f t="shared" si="13"/>
        <v>D</v>
      </c>
      <c r="C113" s="33" t="str">
        <f t="shared" si="14"/>
        <v>129</v>
      </c>
      <c r="D113" s="40" t="s">
        <v>27</v>
      </c>
      <c r="E113" s="41">
        <v>33695</v>
      </c>
      <c r="F113" s="42" t="s">
        <v>39</v>
      </c>
      <c r="G113" s="85">
        <f t="array" ref="G113">IF($F113="Repair",($E113-MAX(IF($D$4:$D$200=$D113,IF($E$4:$E$200&lt;$E113,IF($F$4:$F$200&lt;&gt;"Repair",$E$4:$E$200)))))/365,"")</f>
        <v>15.257534246575343</v>
      </c>
      <c r="H113" s="85" t="str">
        <f t="array" ref="H113">IF($F113="Replace",($E113-MAX(IF($D$4:$D$200=$D113,IF($E$4:$E$200&lt;$E113,IF($F$4:$F$200&lt;&gt;"Repair",$E$4:$E$200)))))/365,"")</f>
        <v/>
      </c>
      <c r="I113" s="53">
        <v>15.257534246575343</v>
      </c>
    </row>
    <row r="114" spans="2:9" ht="30" customHeight="1" x14ac:dyDescent="0.25">
      <c r="B114" s="33" t="str">
        <f t="shared" si="13"/>
        <v>D</v>
      </c>
      <c r="C114" s="33" t="str">
        <f t="shared" si="14"/>
        <v>129</v>
      </c>
      <c r="D114" s="40" t="s">
        <v>27</v>
      </c>
      <c r="E114" s="41">
        <v>34575</v>
      </c>
      <c r="F114" s="42" t="s">
        <v>39</v>
      </c>
      <c r="G114" s="85">
        <f t="array" ref="G114">IF($F114="Repair",($E114-MAX(IF($D$4:$D$200=$D114,IF($E$4:$E$200&lt;$E114,IF($F$4:$F$200&lt;&gt;"Repair",$E$4:$E$200)))))/365,"")</f>
        <v>17.668493150684931</v>
      </c>
      <c r="H114" s="85" t="str">
        <f t="array" ref="H114">IF($F114="Replace",($E114-MAX(IF($D$4:$D$200=$D114,IF($E$4:$E$200&lt;$E114,IF($F$4:$F$200&lt;&gt;"Repair",$E$4:$E$200)))))/365,"")</f>
        <v/>
      </c>
      <c r="I114" s="53">
        <v>17.668493150684931</v>
      </c>
    </row>
    <row r="115" spans="2:9" ht="30" customHeight="1" x14ac:dyDescent="0.25">
      <c r="B115" s="33" t="str">
        <f t="shared" si="13"/>
        <v>D</v>
      </c>
      <c r="C115" s="33" t="str">
        <f t="shared" si="14"/>
        <v>129</v>
      </c>
      <c r="D115" s="40" t="s">
        <v>27</v>
      </c>
      <c r="E115" s="41">
        <v>37032</v>
      </c>
      <c r="F115" s="42" t="s">
        <v>39</v>
      </c>
      <c r="G115" s="85">
        <f t="array" ref="G115">IF($F115="Repair",($E115-MAX(IF($D$4:$D$200=$D115,IF($E$4:$E$200&lt;$E115,IF($F$4:$F$200&lt;&gt;"Repair",$E$4:$E$200)))))/365,"")</f>
        <v>24.4</v>
      </c>
      <c r="H115" s="85" t="str">
        <f t="array" ref="H115">IF($F115="Replace",($E115-MAX(IF($D$4:$D$200=$D115,IF($E$4:$E$200&lt;$E115,IF($F$4:$F$200&lt;&gt;"Repair",$E$4:$E$200)))))/365,"")</f>
        <v/>
      </c>
      <c r="I115" s="53">
        <v>24.4</v>
      </c>
    </row>
    <row r="116" spans="2:9" ht="30" customHeight="1" x14ac:dyDescent="0.25">
      <c r="B116" s="33" t="str">
        <f t="shared" si="13"/>
        <v>D</v>
      </c>
      <c r="C116" s="33" t="str">
        <f t="shared" si="14"/>
        <v>129</v>
      </c>
      <c r="D116" s="40" t="s">
        <v>27</v>
      </c>
      <c r="E116" s="41">
        <v>40800</v>
      </c>
      <c r="F116" s="42" t="s">
        <v>38</v>
      </c>
      <c r="G116" s="85" t="str">
        <f t="array" ref="G116">IF($F116="Repair",($E116-MAX(IF($D$4:$D$200=$D116,IF($E$4:$E$200&lt;$E116,IF($F$4:$F$200&lt;&gt;"Repair",$E$4:$E$200)))))/365,"")</f>
        <v/>
      </c>
      <c r="H116" s="85">
        <f t="array" ref="H116">IF($F116="Replace",($E116-MAX(IF($D$4:$D$200=$D116,IF($E$4:$E$200&lt;$E116,IF($F$4:$F$200&lt;&gt;"Repair",$E$4:$E$200)))))/365,"")</f>
        <v>34.723287671232875</v>
      </c>
      <c r="I116" s="53">
        <v>34.723287671232875</v>
      </c>
    </row>
    <row r="117" spans="2:9" ht="30" hidden="1" customHeight="1" x14ac:dyDescent="0.25">
      <c r="B117" s="33" t="str">
        <f t="shared" si="13"/>
        <v>E</v>
      </c>
      <c r="C117" s="33" t="str">
        <f t="shared" si="14"/>
        <v>129</v>
      </c>
      <c r="D117" s="40" t="s">
        <v>28</v>
      </c>
      <c r="E117" s="41">
        <v>28126</v>
      </c>
      <c r="F117" s="42" t="s">
        <v>46</v>
      </c>
      <c r="G117" s="85" t="str">
        <f t="array" ref="G117">IF($F117="Repair",($E117-MAX(IF($D$4:$D$200=$D117,IF($E$4:$E$200&lt;$E117,IF($F$4:$F$200&lt;&gt;"Repair",$E$4:$E$200)))))/365,"")</f>
        <v/>
      </c>
      <c r="H117" s="85" t="str">
        <f t="array" ref="H117">IF($F117="Replace",($E117-MAX(IF($D$4:$D$200=$D117,IF($E$4:$E$200&lt;$E117,IF($F$4:$F$200&lt;&gt;"Repair",$E$4:$E$200)))))/365,"")</f>
        <v/>
      </c>
      <c r="I117" s="53" t="s">
        <v>44</v>
      </c>
    </row>
    <row r="118" spans="2:9" ht="30" hidden="1" customHeight="1" x14ac:dyDescent="0.25">
      <c r="B118" s="33" t="str">
        <f t="shared" si="13"/>
        <v>E</v>
      </c>
      <c r="C118" s="33" t="str">
        <f t="shared" si="14"/>
        <v>129</v>
      </c>
      <c r="D118" s="40" t="s">
        <v>28</v>
      </c>
      <c r="E118" s="41">
        <v>34151</v>
      </c>
      <c r="F118" s="42" t="s">
        <v>39</v>
      </c>
      <c r="G118" s="85">
        <f t="array" ref="G118">IF($F118="Repair",($E118-MAX(IF($D$4:$D$200=$D118,IF($E$4:$E$200&lt;$E118,IF($F$4:$F$200&lt;&gt;"Repair",$E$4:$E$200)))))/365,"")</f>
        <v>16.506849315068493</v>
      </c>
      <c r="H118" s="85" t="str">
        <f t="array" ref="H118">IF($F118="Replace",($E118-MAX(IF($D$4:$D$200=$D118,IF($E$4:$E$200&lt;$E118,IF($F$4:$F$200&lt;&gt;"Repair",$E$4:$E$200)))))/365,"")</f>
        <v/>
      </c>
      <c r="I118" s="53">
        <v>16.506849315068493</v>
      </c>
    </row>
    <row r="119" spans="2:9" ht="30" hidden="1" customHeight="1" x14ac:dyDescent="0.25">
      <c r="B119" s="33" t="str">
        <f t="shared" si="13"/>
        <v>E</v>
      </c>
      <c r="C119" s="33" t="str">
        <f t="shared" si="14"/>
        <v>129</v>
      </c>
      <c r="D119" s="40" t="s">
        <v>28</v>
      </c>
      <c r="E119" s="41">
        <v>35298</v>
      </c>
      <c r="F119" s="42" t="s">
        <v>39</v>
      </c>
      <c r="G119" s="85">
        <f t="array" ref="G119">IF($F119="Repair",($E119-MAX(IF($D$4:$D$200=$D119,IF($E$4:$E$200&lt;$E119,IF($F$4:$F$200&lt;&gt;"Repair",$E$4:$E$200)))))/365,"")</f>
        <v>19.649315068493152</v>
      </c>
      <c r="H119" s="85" t="str">
        <f t="array" ref="H119">IF($F119="Replace",($E119-MAX(IF($D$4:$D$200=$D119,IF($E$4:$E$200&lt;$E119,IF($F$4:$F$200&lt;&gt;"Repair",$E$4:$E$200)))))/365,"")</f>
        <v/>
      </c>
      <c r="I119" s="53">
        <v>19.649315068493152</v>
      </c>
    </row>
    <row r="120" spans="2:9" ht="30" hidden="1" customHeight="1" x14ac:dyDescent="0.25">
      <c r="B120" s="33" t="str">
        <f t="shared" si="13"/>
        <v>E</v>
      </c>
      <c r="C120" s="33" t="str">
        <f t="shared" si="14"/>
        <v>129</v>
      </c>
      <c r="D120" s="40" t="s">
        <v>28</v>
      </c>
      <c r="E120" s="41">
        <v>41039</v>
      </c>
      <c r="F120" s="42" t="s">
        <v>38</v>
      </c>
      <c r="G120" s="85" t="str">
        <f t="array" ref="G120">IF($F120="Repair",($E120-MAX(IF($D$4:$D$200=$D120,IF($E$4:$E$200&lt;$E120,IF($F$4:$F$200&lt;&gt;"Repair",$E$4:$E$200)))))/365,"")</f>
        <v/>
      </c>
      <c r="H120" s="85">
        <f t="array" ref="H120">IF($F120="Replace",($E120-MAX(IF($D$4:$D$200=$D120,IF($E$4:$E$200&lt;$E120,IF($F$4:$F$200&lt;&gt;"Repair",$E$4:$E$200)))))/365,"")</f>
        <v>35.37808219178082</v>
      </c>
      <c r="I120" s="53">
        <v>35.37808219178082</v>
      </c>
    </row>
    <row r="121" spans="2:9" ht="30" hidden="1" customHeight="1" x14ac:dyDescent="0.25">
      <c r="B121" s="33" t="str">
        <f t="shared" si="13"/>
        <v>F</v>
      </c>
      <c r="C121" s="33" t="str">
        <f t="shared" si="14"/>
        <v>129</v>
      </c>
      <c r="D121" s="40" t="s">
        <v>29</v>
      </c>
      <c r="E121" s="41">
        <v>28126</v>
      </c>
      <c r="F121" s="42" t="s">
        <v>46</v>
      </c>
      <c r="G121" s="85" t="str">
        <f t="array" ref="G121">IF($F121="Repair",($E121-MAX(IF($D$4:$D$200=$D121,IF($E$4:$E$200&lt;$E121,IF($F$4:$F$200&lt;&gt;"Repair",$E$4:$E$200)))))/365,"")</f>
        <v/>
      </c>
      <c r="H121" s="85" t="str">
        <f t="array" ref="H121">IF($F121="Replace",($E121-MAX(IF($D$4:$D$200=$D121,IF($E$4:$E$200&lt;$E121,IF($F$4:$F$200&lt;&gt;"Repair",$E$4:$E$200)))))/365,"")</f>
        <v/>
      </c>
      <c r="I121" s="53" t="s">
        <v>44</v>
      </c>
    </row>
    <row r="122" spans="2:9" ht="30" hidden="1" customHeight="1" x14ac:dyDescent="0.25">
      <c r="B122" s="33" t="str">
        <f t="shared" si="13"/>
        <v>F</v>
      </c>
      <c r="C122" s="33" t="str">
        <f t="shared" si="14"/>
        <v>129</v>
      </c>
      <c r="D122" s="40" t="s">
        <v>29</v>
      </c>
      <c r="E122" s="41">
        <v>35921</v>
      </c>
      <c r="F122" s="42" t="s">
        <v>39</v>
      </c>
      <c r="G122" s="85">
        <f t="array" ref="G122">IF($F122="Repair",($E122-MAX(IF($D$4:$D$200=$D122,IF($E$4:$E$200&lt;$E122,IF($F$4:$F$200&lt;&gt;"Repair",$E$4:$E$200)))))/365,"")</f>
        <v>21.356164383561644</v>
      </c>
      <c r="H122" s="85" t="str">
        <f t="array" ref="H122">IF($F122="Replace",($E122-MAX(IF($D$4:$D$200=$D122,IF($E$4:$E$200&lt;$E122,IF($F$4:$F$200&lt;&gt;"Repair",$E$4:$E$200)))))/365,"")</f>
        <v/>
      </c>
      <c r="I122" s="53">
        <v>21.356164383561644</v>
      </c>
    </row>
    <row r="123" spans="2:9" ht="30" hidden="1" customHeight="1" x14ac:dyDescent="0.25">
      <c r="B123" s="33" t="str">
        <f t="shared" si="13"/>
        <v>F</v>
      </c>
      <c r="C123" s="33" t="str">
        <f t="shared" si="14"/>
        <v>129</v>
      </c>
      <c r="D123" s="40" t="s">
        <v>29</v>
      </c>
      <c r="E123" s="41">
        <v>37763</v>
      </c>
      <c r="F123" s="42" t="s">
        <v>39</v>
      </c>
      <c r="G123" s="85">
        <f t="array" ref="G123">IF($F123="Repair",($E123-MAX(IF($D$4:$D$200=$D123,IF($E$4:$E$200&lt;$E123,IF($F$4:$F$200&lt;&gt;"Repair",$E$4:$E$200)))))/365,"")</f>
        <v>26.402739726027399</v>
      </c>
      <c r="H123" s="85" t="str">
        <f t="array" ref="H123">IF($F123="Replace",($E123-MAX(IF($D$4:$D$200=$D123,IF($E$4:$E$200&lt;$E123,IF($F$4:$F$200&lt;&gt;"Repair",$E$4:$E$200)))))/365,"")</f>
        <v/>
      </c>
      <c r="I123" s="53">
        <v>26.402739726027399</v>
      </c>
    </row>
    <row r="124" spans="2:9" ht="30" hidden="1" customHeight="1" x14ac:dyDescent="0.25">
      <c r="B124" s="33" t="str">
        <f t="shared" si="13"/>
        <v>F</v>
      </c>
      <c r="C124" s="33" t="str">
        <f t="shared" si="14"/>
        <v>129</v>
      </c>
      <c r="D124" s="40" t="s">
        <v>29</v>
      </c>
      <c r="E124" s="41">
        <v>42492</v>
      </c>
      <c r="F124" s="42" t="s">
        <v>38</v>
      </c>
      <c r="G124" s="85" t="str">
        <f t="array" ref="G124">IF($F124="Repair",($E124-MAX(IF($D$4:$D$200=$D124,IF($E$4:$E$200&lt;$E124,IF($F$4:$F$200&lt;&gt;"Repair",$E$4:$E$200)))))/365,"")</f>
        <v/>
      </c>
      <c r="H124" s="85">
        <f t="array" ref="H124">IF($F124="Replace",($E124-MAX(IF($D$4:$D$200=$D124,IF($E$4:$E$200&lt;$E124,IF($F$4:$F$200&lt;&gt;"Repair",$E$4:$E$200)))))/365,"")</f>
        <v>39.358904109589041</v>
      </c>
      <c r="I124" s="53">
        <v>39.358904109589041</v>
      </c>
    </row>
    <row r="125" spans="2:9" ht="30" hidden="1" customHeight="1" x14ac:dyDescent="0.25">
      <c r="B125" s="33" t="str">
        <f t="shared" si="13"/>
        <v>G</v>
      </c>
      <c r="C125" s="33" t="str">
        <f t="shared" si="14"/>
        <v>129</v>
      </c>
      <c r="D125" s="40" t="s">
        <v>30</v>
      </c>
      <c r="E125" s="41">
        <v>30164</v>
      </c>
      <c r="F125" s="42" t="s">
        <v>46</v>
      </c>
      <c r="G125" s="85" t="str">
        <f t="array" ref="G125">IF($F125="Repair",($E125-MAX(IF($D$4:$D$200=$D125,IF($E$4:$E$200&lt;$E125,IF($F$4:$F$200&lt;&gt;"Repair",$E$4:$E$200)))))/365,"")</f>
        <v/>
      </c>
      <c r="H125" s="85" t="str">
        <f t="array" ref="H125">IF($F125="Replace",($E125-MAX(IF($D$4:$D$200=$D125,IF($E$4:$E$200&lt;$E125,IF($F$4:$F$200&lt;&gt;"Repair",$E$4:$E$200)))))/365,"")</f>
        <v/>
      </c>
      <c r="I125" s="53" t="s">
        <v>44</v>
      </c>
    </row>
    <row r="126" spans="2:9" ht="30" hidden="1" customHeight="1" x14ac:dyDescent="0.25">
      <c r="B126" s="33" t="str">
        <f t="shared" si="13"/>
        <v>G</v>
      </c>
      <c r="C126" s="33" t="str">
        <f t="shared" si="14"/>
        <v>129</v>
      </c>
      <c r="D126" s="40" t="s">
        <v>30</v>
      </c>
      <c r="E126" s="41">
        <v>35977</v>
      </c>
      <c r="F126" s="42" t="s">
        <v>39</v>
      </c>
      <c r="G126" s="85">
        <f t="array" ref="G126">IF($F126="Repair",($E126-MAX(IF($D$4:$D$200=$D126,IF($E$4:$E$200&lt;$E126,IF($F$4:$F$200&lt;&gt;"Repair",$E$4:$E$200)))))/365,"")</f>
        <v>15.926027397260274</v>
      </c>
      <c r="H126" s="85" t="str">
        <f t="array" ref="H126">IF($F126="Replace",($E126-MAX(IF($D$4:$D$200=$D126,IF($E$4:$E$200&lt;$E126,IF($F$4:$F$200&lt;&gt;"Repair",$E$4:$E$200)))))/365,"")</f>
        <v/>
      </c>
      <c r="I126" s="53">
        <v>15.926027397260274</v>
      </c>
    </row>
    <row r="127" spans="2:9" ht="30" hidden="1" customHeight="1" x14ac:dyDescent="0.25">
      <c r="B127" s="33" t="str">
        <f t="shared" si="13"/>
        <v>G</v>
      </c>
      <c r="C127" s="33" t="str">
        <f t="shared" si="14"/>
        <v>129</v>
      </c>
      <c r="D127" s="40" t="s">
        <v>30</v>
      </c>
      <c r="E127" s="41">
        <v>37518</v>
      </c>
      <c r="F127" s="42" t="s">
        <v>38</v>
      </c>
      <c r="G127" s="85" t="str">
        <f t="array" ref="G127">IF($F127="Repair",($E127-MAX(IF($D$4:$D$200=$D127,IF($E$4:$E$200&lt;$E127,IF($F$4:$F$200&lt;&gt;"Repair",$E$4:$E$200)))))/365,"")</f>
        <v/>
      </c>
      <c r="H127" s="85">
        <f t="array" ref="H127">IF($F127="Replace",($E127-MAX(IF($D$4:$D$200=$D127,IF($E$4:$E$200&lt;$E127,IF($F$4:$F$200&lt;&gt;"Repair",$E$4:$E$200)))))/365,"")</f>
        <v>20.147945205479452</v>
      </c>
      <c r="I127" s="53">
        <v>20.147945205479452</v>
      </c>
    </row>
    <row r="128" spans="2:9" ht="30" hidden="1" customHeight="1" x14ac:dyDescent="0.25">
      <c r="B128" s="33" t="str">
        <f t="shared" si="13"/>
        <v>H</v>
      </c>
      <c r="C128" s="33" t="str">
        <f t="shared" si="14"/>
        <v>129</v>
      </c>
      <c r="D128" s="40" t="s">
        <v>31</v>
      </c>
      <c r="E128" s="41">
        <v>32143</v>
      </c>
      <c r="F128" s="42" t="s">
        <v>46</v>
      </c>
      <c r="G128" s="85" t="str">
        <f t="array" ref="G128">IF($F128="Repair",($E128-MAX(IF($D$4:$D$200=$D128,IF($E$4:$E$200&lt;$E128,IF($F$4:$F$200&lt;&gt;"Repair",$E$4:$E$200)))))/365,"")</f>
        <v/>
      </c>
      <c r="H128" s="85" t="str">
        <f t="array" ref="H128">IF($F128="Replace",($E128-MAX(IF($D$4:$D$200=$D128,IF($E$4:$E$200&lt;$E128,IF($F$4:$F$200&lt;&gt;"Repair",$E$4:$E$200)))))/365,"")</f>
        <v/>
      </c>
      <c r="I128" s="53" t="s">
        <v>44</v>
      </c>
    </row>
    <row r="129" spans="2:9" ht="30" hidden="1" customHeight="1" x14ac:dyDescent="0.25">
      <c r="B129" s="33" t="str">
        <f t="shared" si="13"/>
        <v>H</v>
      </c>
      <c r="C129" s="33" t="str">
        <f t="shared" si="14"/>
        <v>129</v>
      </c>
      <c r="D129" s="40" t="s">
        <v>31</v>
      </c>
      <c r="E129" s="41">
        <v>33725</v>
      </c>
      <c r="F129" s="42" t="s">
        <v>39</v>
      </c>
      <c r="G129" s="85">
        <f t="array" ref="G129">IF($F129="Repair",($E129-MAX(IF($D$4:$D$200=$D129,IF($E$4:$E$200&lt;$E129,IF($F$4:$F$200&lt;&gt;"Repair",$E$4:$E$200)))))/365,"")</f>
        <v>4.3342465753424655</v>
      </c>
      <c r="H129" s="85" t="str">
        <f t="array" ref="H129">IF($F129="Replace",($E129-MAX(IF($D$4:$D$200=$D129,IF($E$4:$E$200&lt;$E129,IF($F$4:$F$200&lt;&gt;"Repair",$E$4:$E$200)))))/365,"")</f>
        <v/>
      </c>
      <c r="I129" s="53">
        <v>4.3342465753424655</v>
      </c>
    </row>
    <row r="130" spans="2:9" ht="30" hidden="1" customHeight="1" x14ac:dyDescent="0.25">
      <c r="B130" s="33" t="str">
        <f t="shared" si="13"/>
        <v>H</v>
      </c>
      <c r="C130" s="33" t="str">
        <f t="shared" si="14"/>
        <v>129</v>
      </c>
      <c r="D130" s="40" t="s">
        <v>31</v>
      </c>
      <c r="E130" s="41">
        <v>35997</v>
      </c>
      <c r="F130" s="42" t="s">
        <v>39</v>
      </c>
      <c r="G130" s="85">
        <f t="array" ref="G130">IF($F130="Repair",($E130-MAX(IF($D$4:$D$200=$D130,IF($E$4:$E$200&lt;$E130,IF($F$4:$F$200&lt;&gt;"Repair",$E$4:$E$200)))))/365,"")</f>
        <v>10.558904109589042</v>
      </c>
      <c r="H130" s="85" t="str">
        <f t="array" ref="H130">IF($F130="Replace",($E130-MAX(IF($D$4:$D$200=$D130,IF($E$4:$E$200&lt;$E130,IF($F$4:$F$200&lt;&gt;"Repair",$E$4:$E$200)))))/365,"")</f>
        <v/>
      </c>
      <c r="I130" s="53">
        <v>10.558904109589042</v>
      </c>
    </row>
    <row r="131" spans="2:9" ht="30" hidden="1" customHeight="1" x14ac:dyDescent="0.25">
      <c r="B131" s="44" t="str">
        <f t="shared" si="13"/>
        <v>H</v>
      </c>
      <c r="C131" s="44" t="str">
        <f t="shared" si="14"/>
        <v>129</v>
      </c>
      <c r="D131" s="40" t="s">
        <v>31</v>
      </c>
      <c r="E131" s="41">
        <v>42125</v>
      </c>
      <c r="F131" s="42" t="s">
        <v>38</v>
      </c>
      <c r="G131" s="85" t="str">
        <f t="array" ref="G131">IF($F131="Repair",($E131-MAX(IF($D$4:$D$200=$D131,IF($E$4:$E$200&lt;$E131,IF($F$4:$F$200&lt;&gt;"Repair",$E$4:$E$200)))))/365,"")</f>
        <v/>
      </c>
      <c r="H131" s="85">
        <f t="array" ref="H131">IF($F131="Replace",($E131-MAX(IF($D$4:$D$200=$D131,IF($E$4:$E$200&lt;$E131,IF($F$4:$F$200&lt;&gt;"Repair",$E$4:$E$200)))))/365,"")</f>
        <v>27.347945205479451</v>
      </c>
      <c r="I131" s="53">
        <v>27.347945205479451</v>
      </c>
    </row>
    <row r="132" spans="2:9" ht="30" customHeight="1" x14ac:dyDescent="0.25">
      <c r="D132" s="40"/>
      <c r="E132" s="41"/>
      <c r="F132" s="42"/>
      <c r="G132" s="60"/>
      <c r="H132" s="60"/>
      <c r="I132" s="60"/>
    </row>
  </sheetData>
  <autoFilter ref="B3:I131">
    <filterColumn colId="0">
      <filters>
        <filter val="D"/>
      </filters>
    </filterColumn>
  </autoFilter>
  <conditionalFormatting sqref="B133:I160 B4:I129">
    <cfRule type="expression" dxfId="1" priority="2">
      <formula>INDEX($D:$D,ROW(),1)&lt;&gt;INDEX($D:$BC,ROW()-1,1)</formula>
    </cfRule>
  </conditionalFormatting>
  <conditionalFormatting sqref="D130:I132">
    <cfRule type="expression" dxfId="0" priority="1">
      <formula>INDEX($D:$D,ROW(),1)&lt;&gt;INDEX($D:$BC,ROW()-1,1)</formula>
    </cfRule>
  </conditionalFormatting>
  <dataValidations count="1">
    <dataValidation type="list" allowBlank="1" showInputMessage="1" sqref="K98:K100 G97:H99 I4:I99 F4:F99">
      <formula1>"Commissioning,Repair,Replace"</formula1>
    </dataValidation>
  </dataValidations>
  <pageMargins left="0.7" right="0.7" top="0.75" bottom="0.75" header="0.3" footer="0.3"/>
  <pageSetup paperSize="17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showGridLines="0" view="pageBreakPreview" zoomScaleNormal="70" zoomScaleSheetLayoutView="100" workbookViewId="0">
      <selection activeCell="G8" sqref="G8"/>
    </sheetView>
    <sheetView showGridLines="0" tabSelected="1" zoomScale="50" zoomScaleNormal="50" workbookViewId="1">
      <selection activeCell="AB57" sqref="AB57"/>
    </sheetView>
  </sheetViews>
  <sheetFormatPr defaultRowHeight="15" x14ac:dyDescent="0.25"/>
  <cols>
    <col min="1" max="1" width="20.85546875" customWidth="1"/>
    <col min="2" max="2" width="10.28515625" customWidth="1"/>
    <col min="6" max="6" width="3.7109375" customWidth="1"/>
    <col min="8" max="11" width="16.7109375" customWidth="1"/>
    <col min="13" max="13" width="15.85546875" customWidth="1"/>
  </cols>
  <sheetData>
    <row r="1" spans="1:18" ht="60" x14ac:dyDescent="0.25">
      <c r="G1" s="67" t="s">
        <v>58</v>
      </c>
      <c r="H1" s="61"/>
      <c r="I1" s="24"/>
      <c r="J1" s="30"/>
      <c r="K1" s="24"/>
      <c r="L1" s="24"/>
      <c r="M1" s="30"/>
      <c r="N1" s="30"/>
      <c r="O1" s="24"/>
      <c r="P1" s="24"/>
      <c r="Q1" s="23"/>
      <c r="R1" s="23"/>
    </row>
    <row r="2" spans="1:18" ht="60" x14ac:dyDescent="0.25">
      <c r="A2" s="24"/>
      <c r="B2" s="79" t="s">
        <v>71</v>
      </c>
      <c r="C2" s="79" t="s">
        <v>72</v>
      </c>
      <c r="D2" s="80" t="s">
        <v>73</v>
      </c>
      <c r="E2" s="81" t="s">
        <v>74</v>
      </c>
      <c r="G2" s="24"/>
      <c r="H2" s="67" t="s">
        <v>67</v>
      </c>
      <c r="I2" s="82" t="s">
        <v>68</v>
      </c>
      <c r="J2" s="69" t="s">
        <v>69</v>
      </c>
      <c r="K2" s="69" t="s">
        <v>70</v>
      </c>
      <c r="L2" s="24"/>
      <c r="R2" s="23"/>
    </row>
    <row r="3" spans="1:18" x14ac:dyDescent="0.25">
      <c r="A3" s="30" t="s">
        <v>46</v>
      </c>
      <c r="B3" s="28">
        <f>COUNTIF('List by Event'!F:F,A3)</f>
        <v>32</v>
      </c>
      <c r="C3" s="28"/>
      <c r="D3" s="28"/>
      <c r="E3" s="28"/>
      <c r="G3" s="28">
        <v>0</v>
      </c>
      <c r="H3" s="71">
        <f>COUNTIF('List by Event'!G:G,"&gt;"&amp;G3)</f>
        <v>59</v>
      </c>
      <c r="I3" s="72">
        <f>H3/COUNTIF('List by Event'!F:F,"Repair")</f>
        <v>1</v>
      </c>
      <c r="J3" s="76">
        <f>COUNTIF('List by Event'!G:G,"&lt;"&amp;G3)</f>
        <v>0</v>
      </c>
      <c r="K3" s="72">
        <f>J3/COUNTIF('List by Event'!F:F,"Repair")</f>
        <v>0</v>
      </c>
      <c r="L3" s="24"/>
      <c r="R3" s="23"/>
    </row>
    <row r="4" spans="1:18" x14ac:dyDescent="0.25">
      <c r="A4" s="30" t="s">
        <v>39</v>
      </c>
      <c r="B4" s="28">
        <f>COUNTIF('List by Event'!F:F,A4)</f>
        <v>59</v>
      </c>
      <c r="C4" s="28">
        <f t="array" ref="C4">MIN(IF('List by Event'!$F$4:$F$200=$A4,'List by Event'!$G$4:$G$200))</f>
        <v>1.1643835616438356</v>
      </c>
      <c r="D4" s="52">
        <f>IFERROR(AVERAGEIF('List by Event'!F:F,A4,'List by Event'!G:G),"")</f>
        <v>13.593963315532861</v>
      </c>
      <c r="E4" s="28">
        <f t="array" ref="E4">MAX(IF('List by Event'!$F$4:$F$149=$A4,'List by Event'!$G$4:$G$149))</f>
        <v>27.512328767123286</v>
      </c>
      <c r="G4" s="70">
        <v>1</v>
      </c>
      <c r="H4" s="53">
        <f>COUNTIF('List by Event'!G:G,"&gt;"&amp;G4)</f>
        <v>59</v>
      </c>
      <c r="I4" s="73">
        <f>H4/COUNTIF('List by Event'!F:F,"Repair")</f>
        <v>1</v>
      </c>
      <c r="J4" s="77">
        <f>COUNTIF('List by Event'!G:G,"&lt;"&amp;G4)</f>
        <v>0</v>
      </c>
      <c r="K4" s="73">
        <f>J4/COUNTIF('List by Event'!F:F,"Repair")</f>
        <v>0</v>
      </c>
      <c r="L4" s="24"/>
      <c r="R4" s="23"/>
    </row>
    <row r="5" spans="1:18" x14ac:dyDescent="0.25">
      <c r="A5" s="30" t="s">
        <v>38</v>
      </c>
      <c r="B5" s="28">
        <f>COUNTIF('List by Event'!F:F,A5)</f>
        <v>37</v>
      </c>
      <c r="C5" s="28">
        <f t="array" ref="C5">MIN(IF('List by Event'!$F$4:$F$200=$A5,'List by Event'!$H$4:$H$200))</f>
        <v>4.3698630136986303</v>
      </c>
      <c r="D5" s="28">
        <f>IFERROR(AVERAGEIF('List by Event'!F:F,A5,'List by Event'!H:H),"")</f>
        <v>23.790596075527585</v>
      </c>
      <c r="E5" s="28">
        <f t="array" ref="E5">MAX(IF('List by Event'!$F$4:$F$149=$A5,'List by Event'!$H$4:$H$149))</f>
        <v>39.358904109589041</v>
      </c>
      <c r="G5" s="28">
        <f>ROWS(G$4:G5)*G$4</f>
        <v>2</v>
      </c>
      <c r="H5" s="53">
        <f>COUNTIF('List by Event'!G:G,"&gt;"&amp;G5)</f>
        <v>57</v>
      </c>
      <c r="I5" s="73">
        <f>H5/COUNTIF('List by Event'!F:F,"Repair")</f>
        <v>0.96610169491525422</v>
      </c>
      <c r="J5" s="77">
        <f>COUNTIF('List by Event'!G:G,"&lt;"&amp;G5)</f>
        <v>2</v>
      </c>
      <c r="K5" s="73">
        <f>J5/COUNTIF('List by Event'!F:F,"Repair")</f>
        <v>3.3898305084745763E-2</v>
      </c>
      <c r="L5" s="24"/>
      <c r="R5" s="23"/>
    </row>
    <row r="6" spans="1:18" x14ac:dyDescent="0.25">
      <c r="G6" s="28">
        <f>ROWS(G$4:G6)*G$4</f>
        <v>3</v>
      </c>
      <c r="H6" s="53">
        <f>COUNTIF('List by Event'!G:G,"&gt;"&amp;G6)</f>
        <v>57</v>
      </c>
      <c r="I6" s="73">
        <f>H6/COUNTIF('List by Event'!F:F,"Repair")</f>
        <v>0.96610169491525422</v>
      </c>
      <c r="J6" s="77">
        <f>COUNTIF('List by Event'!G:G,"&lt;"&amp;G6)</f>
        <v>2</v>
      </c>
      <c r="K6" s="73">
        <f>J6/COUNTIF('List by Event'!F:F,"Repair")</f>
        <v>3.3898305084745763E-2</v>
      </c>
      <c r="L6" s="24"/>
      <c r="M6" s="30"/>
      <c r="N6" s="28"/>
      <c r="O6" s="28"/>
      <c r="P6" s="28"/>
      <c r="Q6" s="28"/>
      <c r="R6" s="23"/>
    </row>
    <row r="7" spans="1:18" x14ac:dyDescent="0.25">
      <c r="G7" s="28">
        <f>ROWS(G$4:G7)*G$4</f>
        <v>4</v>
      </c>
      <c r="H7" s="53">
        <f>COUNTIF('List by Event'!G:G,"&gt;"&amp;G7)</f>
        <v>54</v>
      </c>
      <c r="I7" s="73">
        <f>H7/COUNTIF('List by Event'!F:F,"Repair")</f>
        <v>0.9152542372881356</v>
      </c>
      <c r="J7" s="77">
        <f>COUNTIF('List by Event'!G:G,"&lt;"&amp;G7)</f>
        <v>5</v>
      </c>
      <c r="K7" s="73">
        <f>J7/COUNTIF('List by Event'!F:F,"Repair")</f>
        <v>8.4745762711864403E-2</v>
      </c>
      <c r="L7" s="24"/>
      <c r="M7" s="30"/>
      <c r="N7" s="28"/>
      <c r="O7" s="28"/>
      <c r="P7" s="28"/>
      <c r="Q7" s="28"/>
      <c r="R7" s="23"/>
    </row>
    <row r="8" spans="1:18" x14ac:dyDescent="0.25">
      <c r="A8" s="90" t="s">
        <v>39</v>
      </c>
      <c r="G8" s="28">
        <f>ROWS(G$4:G8)*G$4</f>
        <v>5</v>
      </c>
      <c r="H8" s="53">
        <f>COUNTIF('List by Event'!G:G,"&gt;"&amp;G8)</f>
        <v>50</v>
      </c>
      <c r="I8" s="73">
        <f>H8/COUNTIF('List by Event'!F:F,"Repair")</f>
        <v>0.84745762711864403</v>
      </c>
      <c r="J8" s="77">
        <f>COUNTIF('List by Event'!G:G,"&lt;"&amp;G8)</f>
        <v>9</v>
      </c>
      <c r="K8" s="73">
        <f>J8/COUNTIF('List by Event'!F:F,"Repair")</f>
        <v>0.15254237288135594</v>
      </c>
      <c r="L8" s="24"/>
      <c r="M8" s="30"/>
      <c r="N8" s="28"/>
      <c r="O8" s="28"/>
      <c r="P8" s="28"/>
      <c r="Q8" s="28"/>
      <c r="R8" s="23"/>
    </row>
    <row r="9" spans="1:18" ht="45" x14ac:dyDescent="0.25">
      <c r="B9" s="79" t="s">
        <v>71</v>
      </c>
      <c r="C9" s="79" t="s">
        <v>72</v>
      </c>
      <c r="D9" s="80" t="s">
        <v>73</v>
      </c>
      <c r="E9" s="81" t="s">
        <v>74</v>
      </c>
      <c r="G9" s="28">
        <f>ROWS(G$4:G9)*G$4</f>
        <v>6</v>
      </c>
      <c r="H9" s="53">
        <f>COUNTIF('List by Event'!G:G,"&gt;"&amp;G9)</f>
        <v>48</v>
      </c>
      <c r="I9" s="73">
        <f>H9/COUNTIF('List by Event'!F:F,"Repair")</f>
        <v>0.81355932203389836</v>
      </c>
      <c r="J9" s="77">
        <f>COUNTIF('List by Event'!G:G,"&lt;"&amp;G9)</f>
        <v>11</v>
      </c>
      <c r="K9" s="73">
        <f>J9/COUNTIF('List by Event'!F:F,"Repair")</f>
        <v>0.1864406779661017</v>
      </c>
      <c r="L9" s="24"/>
      <c r="M9" s="30"/>
      <c r="N9" s="28"/>
      <c r="O9" s="28"/>
      <c r="P9" s="28"/>
      <c r="Q9" s="28"/>
      <c r="R9" s="23"/>
    </row>
    <row r="10" spans="1:18" x14ac:dyDescent="0.25">
      <c r="G10" s="28">
        <f>ROWS(G$4:G10)*G$4</f>
        <v>7</v>
      </c>
      <c r="H10" s="53">
        <f>COUNTIF('List by Event'!G:G,"&gt;"&amp;G10)</f>
        <v>47</v>
      </c>
      <c r="I10" s="83">
        <f>H10/COUNTIF('List by Event'!F:F,"Repair")</f>
        <v>0.79661016949152541</v>
      </c>
      <c r="J10" s="77">
        <f>COUNTIF('List by Event'!G:G,"&lt;"&amp;G10)</f>
        <v>12</v>
      </c>
      <c r="K10" s="83">
        <f>J10/COUNTIF('List by Event'!F:F,"Repair")</f>
        <v>0.20338983050847459</v>
      </c>
      <c r="L10" s="24"/>
      <c r="M10" s="30"/>
      <c r="N10" s="28"/>
      <c r="O10" s="28"/>
      <c r="P10" s="28"/>
      <c r="Q10" s="28"/>
      <c r="R10" s="23"/>
    </row>
    <row r="11" spans="1:18" x14ac:dyDescent="0.25">
      <c r="A11" s="90" t="s">
        <v>77</v>
      </c>
      <c r="B11" s="16">
        <f>SUMPRODUCT(('List by Event'!$B$4:$B$131=A11)*('List by Event'!$F$4:$F$131="Repair"))</f>
        <v>9</v>
      </c>
      <c r="C11" s="28">
        <f t="array" ref="C11">MIN(IF('List by Event'!$B$4:$B$200=$A11,IF('List by Event'!$F$4:$F$131="Repair",'List by Event'!$G$4:$G$200)))</f>
        <v>9.0191780821917806</v>
      </c>
      <c r="D11" s="28">
        <f>AVERAGEIFS('List by Event'!$G$4:$G$131,'List by Event'!$B$4:$B$131,A11,'List by Event'!$F$4:$F$131,"Repair")</f>
        <v>18.678538812785391</v>
      </c>
      <c r="E11" s="28">
        <f t="array" ref="E11">MAX(IF('List by Event'!$B$4:$B$200=$A11,IF('List by Event'!$F$4:$F$131="Repair",'List by Event'!$G$4:$G$200)))</f>
        <v>27.512328767123286</v>
      </c>
      <c r="G11" s="28">
        <f>ROWS(G$4:G11)*G$4</f>
        <v>8</v>
      </c>
      <c r="H11" s="53">
        <f>COUNTIF('List by Event'!G:G,"&gt;"&amp;G11)</f>
        <v>43</v>
      </c>
      <c r="I11" s="73">
        <f>H11/COUNTIF('List by Event'!F:F,"Repair")</f>
        <v>0.72881355932203384</v>
      </c>
      <c r="J11" s="77">
        <f>COUNTIF('List by Event'!G:G,"&lt;"&amp;G11)</f>
        <v>16</v>
      </c>
      <c r="K11" s="73">
        <f>J11/COUNTIF('List by Event'!F:F,"Repair")</f>
        <v>0.2711864406779661</v>
      </c>
      <c r="L11" s="24"/>
      <c r="M11" s="30"/>
      <c r="N11" s="28"/>
      <c r="O11" s="28"/>
      <c r="P11" s="28"/>
      <c r="Q11" s="28"/>
      <c r="R11" s="23"/>
    </row>
    <row r="12" spans="1:18" x14ac:dyDescent="0.25">
      <c r="A12" s="90" t="s">
        <v>78</v>
      </c>
      <c r="B12" s="16">
        <f>SUMPRODUCT(('List by Event'!$B$4:$B$131=A12)*('List by Event'!$F$4:$F$131="Repair"))</f>
        <v>4</v>
      </c>
      <c r="C12" s="28">
        <f t="array" ref="C12">MIN(IF('List by Event'!$B$4:$B$200=$A12,IF('List by Event'!$F$4:$F$131="Repair",'List by Event'!$G$4:$G$200)))</f>
        <v>10.167123287671233</v>
      </c>
      <c r="D12" s="28">
        <f>AVERAGEIFS('List by Event'!$G$4:$G$131,'List by Event'!$B$4:$B$131,A12,'List by Event'!$F$4:$F$131,"Repair")</f>
        <v>13.787671232876713</v>
      </c>
      <c r="E12" s="28">
        <f t="array" ref="E12">MAX(IF('List by Event'!$B$4:$B$200=$A12,IF('List by Event'!$F$4:$F$131="Repair",'List by Event'!$G$4:$G$200)))</f>
        <v>16.339726027397262</v>
      </c>
      <c r="G12" s="28">
        <f>ROWS(G$4:G12)*G$4</f>
        <v>9</v>
      </c>
      <c r="H12" s="53">
        <f>COUNTIF('List by Event'!G:G,"&gt;"&amp;G12)</f>
        <v>41</v>
      </c>
      <c r="I12" s="73">
        <f>H12/COUNTIF('List by Event'!F:F,"Repair")</f>
        <v>0.69491525423728817</v>
      </c>
      <c r="J12" s="77">
        <f>COUNTIF('List by Event'!G:G,"&lt;"&amp;G12)</f>
        <v>18</v>
      </c>
      <c r="K12" s="73">
        <f>J12/COUNTIF('List by Event'!F:F,"Repair")</f>
        <v>0.30508474576271188</v>
      </c>
      <c r="L12" s="24"/>
      <c r="M12" s="30"/>
      <c r="N12" s="28"/>
      <c r="O12" s="28"/>
      <c r="P12" s="28"/>
      <c r="Q12" s="28"/>
      <c r="R12" s="23"/>
    </row>
    <row r="13" spans="1:18" x14ac:dyDescent="0.25">
      <c r="A13" s="90" t="s">
        <v>79</v>
      </c>
      <c r="B13" s="16">
        <f>SUMPRODUCT(('List by Event'!$B$4:$B$131=A13)*('List by Event'!$F$4:$F$131="Repair"))</f>
        <v>5</v>
      </c>
      <c r="C13" s="28">
        <f t="array" ref="C13">MIN(IF('List by Event'!$B$4:$B$200=$A13,IF('List by Event'!$F$4:$F$131="Repair",'List by Event'!$G$4:$G$200)))</f>
        <v>3.4821917808219176</v>
      </c>
      <c r="D13" s="28">
        <f>AVERAGEIFS('List by Event'!$G$4:$G$131,'List by Event'!$B$4:$B$131,A13,'List by Event'!$F$4:$F$131,"Repair")</f>
        <v>11.690958904109589</v>
      </c>
      <c r="E13" s="28">
        <f t="array" ref="E13">MAX(IF('List by Event'!$B$4:$B$200=$A13,IF('List by Event'!$F$4:$F$131="Repair",'List by Event'!$G$4:$G$200)))</f>
        <v>24.539726027397261</v>
      </c>
      <c r="G13" s="28">
        <f>ROWS(G$4:G13)*G$4</f>
        <v>10</v>
      </c>
      <c r="H13" s="53">
        <f>COUNTIF('List by Event'!G:G,"&gt;"&amp;G13)</f>
        <v>39</v>
      </c>
      <c r="I13" s="83">
        <f>H13/COUNTIF('List by Event'!F:F,"Repair")</f>
        <v>0.66101694915254239</v>
      </c>
      <c r="J13" s="77">
        <f>COUNTIF('List by Event'!G:G,"&lt;"&amp;G13)</f>
        <v>20</v>
      </c>
      <c r="K13" s="83">
        <f>J13/COUNTIF('List by Event'!F:F,"Repair")</f>
        <v>0.33898305084745761</v>
      </c>
      <c r="L13" s="24"/>
      <c r="M13" s="30"/>
      <c r="N13" s="28"/>
      <c r="O13" s="28"/>
      <c r="P13" s="28"/>
      <c r="Q13" s="28"/>
      <c r="R13" s="23"/>
    </row>
    <row r="14" spans="1:18" x14ac:dyDescent="0.25">
      <c r="A14" s="90" t="s">
        <v>80</v>
      </c>
      <c r="B14" s="16">
        <f>SUMPRODUCT(('List by Event'!$B$4:$B$131=A14)*('List by Event'!$F$4:$F$131="Repair"))</f>
        <v>10</v>
      </c>
      <c r="C14" s="28">
        <f t="array" ref="C14">MIN(IF('List by Event'!$B$4:$B$200=$A14,IF('List by Event'!$F$4:$F$131="Repair",'List by Event'!$G$4:$G$200)))</f>
        <v>1.7698630136986302</v>
      </c>
      <c r="D14" s="28">
        <f>AVERAGEIFS('List by Event'!$G$4:$G$131,'List by Event'!$B$4:$B$131,A14,'List by Event'!$F$4:$F$131,"Repair")</f>
        <v>15.954520547945204</v>
      </c>
      <c r="E14" s="28">
        <f t="array" ref="E14">MAX(IF('List by Event'!$B$4:$B$200=$A14,IF('List by Event'!$F$4:$F$131="Repair",'List by Event'!$G$4:$G$200)))</f>
        <v>24.4</v>
      </c>
      <c r="G14" s="28">
        <f>ROWS(G$4:G14)*G$4</f>
        <v>11</v>
      </c>
      <c r="H14" s="53">
        <f>COUNTIF('List by Event'!G:G,"&gt;"&amp;G14)</f>
        <v>37</v>
      </c>
      <c r="I14" s="73">
        <f>H14/COUNTIF('List by Event'!F:F,"Repair")</f>
        <v>0.6271186440677966</v>
      </c>
      <c r="J14" s="77">
        <f>COUNTIF('List by Event'!G:G,"&lt;"&amp;G14)</f>
        <v>22</v>
      </c>
      <c r="K14" s="73">
        <f>J14/COUNTIF('List by Event'!F:F,"Repair")</f>
        <v>0.3728813559322034</v>
      </c>
      <c r="L14" s="24"/>
      <c r="M14" s="30"/>
      <c r="N14" s="28"/>
      <c r="O14" s="28"/>
      <c r="P14" s="28"/>
      <c r="Q14" s="28"/>
      <c r="R14" s="23"/>
    </row>
    <row r="15" spans="1:18" x14ac:dyDescent="0.25">
      <c r="A15" s="90" t="s">
        <v>81</v>
      </c>
      <c r="B15" s="16">
        <f>SUMPRODUCT(('List by Event'!$B$4:$B$131=A15)*('List by Event'!$F$4:$F$131="Repair"))</f>
        <v>5</v>
      </c>
      <c r="C15" s="28">
        <f t="array" ref="C15">MIN(IF('List by Event'!$B$4:$B$200=$A15,IF('List by Event'!$F$4:$F$131="Repair",'List by Event'!$G$4:$G$200)))</f>
        <v>14.673972602739726</v>
      </c>
      <c r="D15" s="28">
        <f>AVERAGEIFS('List by Event'!$G$4:$G$131,'List by Event'!$B$4:$B$131,A15,'List by Event'!$F$4:$F$131,"Repair")</f>
        <v>16.864109589041096</v>
      </c>
      <c r="E15" s="28">
        <f t="array" ref="E15">MAX(IF('List by Event'!$B$4:$B$200=$A15,IF('List by Event'!$F$4:$F$131="Repair",'List by Event'!$G$4:$G$200)))</f>
        <v>19.649315068493152</v>
      </c>
      <c r="G15" s="28">
        <f>ROWS(G$4:G15)*G$4</f>
        <v>12</v>
      </c>
      <c r="H15" s="53">
        <f>COUNTIF('List by Event'!G:G,"&gt;"&amp;G15)</f>
        <v>37</v>
      </c>
      <c r="I15" s="73">
        <f>H15/COUNTIF('List by Event'!F:F,"Repair")</f>
        <v>0.6271186440677966</v>
      </c>
      <c r="J15" s="77">
        <f>COUNTIF('List by Event'!G:G,"&lt;"&amp;G15)</f>
        <v>22</v>
      </c>
      <c r="K15" s="73">
        <f>J15/COUNTIF('List by Event'!F:F,"Repair")</f>
        <v>0.3728813559322034</v>
      </c>
      <c r="L15" s="24"/>
      <c r="M15" s="30"/>
      <c r="N15" s="28"/>
      <c r="O15" s="28"/>
      <c r="P15" s="28"/>
      <c r="Q15" s="28"/>
      <c r="R15" s="23"/>
    </row>
    <row r="16" spans="1:18" x14ac:dyDescent="0.25">
      <c r="A16" s="90" t="s">
        <v>82</v>
      </c>
      <c r="B16" s="16">
        <f>SUMPRODUCT(('List by Event'!$B$4:$B$131=A16)*('List by Event'!$F$4:$F$131="Repair"))</f>
        <v>10</v>
      </c>
      <c r="C16" s="28">
        <f t="array" ref="C16">MIN(IF('List by Event'!$B$4:$B$200=$A16,IF('List by Event'!$F$4:$F$131="Repair",'List by Event'!$G$4:$G$200)))</f>
        <v>4.580821917808219</v>
      </c>
      <c r="D16" s="28">
        <f>AVERAGEIFS('List by Event'!$G$4:$G$131,'List by Event'!$B$4:$B$131,A16,'List by Event'!$F$4:$F$131,"Repair")</f>
        <v>12.788767123287673</v>
      </c>
      <c r="E16" s="28">
        <f t="array" ref="E16">MAX(IF('List by Event'!$B$4:$B$200=$A16,IF('List by Event'!$F$4:$F$131="Repair",'List by Event'!$G$4:$G$200)))</f>
        <v>26.402739726027399</v>
      </c>
      <c r="G16" s="28">
        <f>ROWS(G$4:G16)*G$4</f>
        <v>13</v>
      </c>
      <c r="H16" s="53">
        <f>COUNTIF('List by Event'!G:G,"&gt;"&amp;G16)</f>
        <v>35</v>
      </c>
      <c r="I16" s="73">
        <f>H16/COUNTIF('List by Event'!F:F,"Repair")</f>
        <v>0.59322033898305082</v>
      </c>
      <c r="J16" s="77">
        <f>COUNTIF('List by Event'!G:G,"&lt;"&amp;G16)</f>
        <v>24</v>
      </c>
      <c r="K16" s="73">
        <f>J16/COUNTIF('List by Event'!F:F,"Repair")</f>
        <v>0.40677966101694918</v>
      </c>
      <c r="L16" s="24"/>
      <c r="M16" s="30"/>
      <c r="N16" s="28"/>
      <c r="O16" s="28"/>
      <c r="P16" s="28"/>
      <c r="Q16" s="28"/>
      <c r="R16" s="23"/>
    </row>
    <row r="17" spans="1:18" x14ac:dyDescent="0.25">
      <c r="A17" s="90" t="s">
        <v>83</v>
      </c>
      <c r="B17" s="16">
        <f>SUMPRODUCT(('List by Event'!$B$4:$B$131=A17)*('List by Event'!$F$4:$F$131="Repair"))</f>
        <v>8</v>
      </c>
      <c r="C17" s="28">
        <f t="array" ref="C17">MIN(IF('List by Event'!$B$4:$B$200=$A17,IF('List by Event'!$F$4:$F$131="Repair",'List by Event'!$G$4:$G$200)))</f>
        <v>1.1643835616438356</v>
      </c>
      <c r="D17" s="28">
        <f>AVERAGEIFS('List by Event'!$G$4:$G$131,'List by Event'!$B$4:$B$131,A17,'List by Event'!$F$4:$F$131,"Repair")</f>
        <v>9.1565068493150683</v>
      </c>
      <c r="E17" s="28">
        <f t="array" ref="E17">MAX(IF('List by Event'!$B$4:$B$200=$A17,IF('List by Event'!$F$4:$F$131="Repair",'List by Event'!$G$4:$G$200)))</f>
        <v>17.61917808219178</v>
      </c>
      <c r="G17" s="28">
        <f>ROWS(G$4:G17)*G$4</f>
        <v>14</v>
      </c>
      <c r="H17" s="53">
        <f>COUNTIF('List by Event'!G:G,"&gt;"&amp;G17)</f>
        <v>30</v>
      </c>
      <c r="I17" s="73">
        <f>H17/COUNTIF('List by Event'!F:F,"Repair")</f>
        <v>0.50847457627118642</v>
      </c>
      <c r="J17" s="77">
        <f>COUNTIF('List by Event'!G:G,"&lt;"&amp;G17)</f>
        <v>29</v>
      </c>
      <c r="K17" s="73">
        <f>J17/COUNTIF('List by Event'!F:F,"Repair")</f>
        <v>0.49152542372881358</v>
      </c>
      <c r="L17" s="24"/>
      <c r="M17" s="30"/>
      <c r="N17" s="28"/>
      <c r="O17" s="28"/>
      <c r="P17" s="28"/>
      <c r="Q17" s="28"/>
      <c r="R17" s="23"/>
    </row>
    <row r="18" spans="1:18" x14ac:dyDescent="0.25">
      <c r="A18" s="90" t="s">
        <v>84</v>
      </c>
      <c r="B18" s="16">
        <f>SUMPRODUCT(('List by Event'!$B$4:$B$131=A18)*('List by Event'!$F$4:$F$131="Repair"))</f>
        <v>8</v>
      </c>
      <c r="C18" s="28">
        <f t="array" ref="C18">MIN(IF('List by Event'!$B$4:$B$200=$A18,IF('List by Event'!$F$4:$F$131="Repair",'List by Event'!$G$4:$G$200)))</f>
        <v>3.2712328767123289</v>
      </c>
      <c r="D18" s="28">
        <f>AVERAGEIFS('List by Event'!$G$4:$G$131,'List by Event'!$B$4:$B$131,A18,'List by Event'!$F$4:$F$131,"Repair")</f>
        <v>9.4157534246575345</v>
      </c>
      <c r="E18" s="28">
        <f t="array" ref="E18">MAX(IF('List by Event'!$B$4:$B$200=$A18,IF('List by Event'!$F$4:$F$131="Repair",'List by Event'!$G$4:$G$200)))</f>
        <v>15.33972602739726</v>
      </c>
      <c r="G18" s="28">
        <f>ROWS(G$4:G18)*G$4</f>
        <v>15</v>
      </c>
      <c r="H18" s="53">
        <f>COUNTIF('List by Event'!G:G,"&gt;"&amp;G18)</f>
        <v>28</v>
      </c>
      <c r="I18" s="73">
        <f>H18/COUNTIF('List by Event'!F:F,"Repair")</f>
        <v>0.47457627118644069</v>
      </c>
      <c r="J18" s="77">
        <f>COUNTIF('List by Event'!G:G,"&lt;"&amp;G18)</f>
        <v>31</v>
      </c>
      <c r="K18" s="73">
        <f>J18/COUNTIF('List by Event'!F:F,"Repair")</f>
        <v>0.52542372881355937</v>
      </c>
      <c r="L18" s="24"/>
      <c r="M18" s="30"/>
      <c r="N18" s="28"/>
      <c r="O18" s="28"/>
      <c r="P18" s="28"/>
      <c r="Q18" s="28"/>
      <c r="R18" s="23"/>
    </row>
    <row r="19" spans="1:18" x14ac:dyDescent="0.25">
      <c r="A19" s="90"/>
      <c r="B19" s="16"/>
      <c r="C19" s="28"/>
      <c r="D19" s="28"/>
      <c r="E19" s="28"/>
      <c r="G19" s="28">
        <f>ROWS(G$4:G19)*G$4</f>
        <v>16</v>
      </c>
      <c r="H19" s="53">
        <f>COUNTIF('List by Event'!G:G,"&gt;"&amp;G19)</f>
        <v>21</v>
      </c>
      <c r="I19" s="73">
        <f>H19/COUNTIF('List by Event'!F:F,"Repair")</f>
        <v>0.3559322033898305</v>
      </c>
      <c r="J19" s="77">
        <f>COUNTIF('List by Event'!G:G,"&lt;"&amp;G19)</f>
        <v>38</v>
      </c>
      <c r="K19" s="73">
        <f>J19/COUNTIF('List by Event'!F:F,"Repair")</f>
        <v>0.64406779661016944</v>
      </c>
      <c r="L19" s="24"/>
      <c r="M19" s="30"/>
      <c r="N19" s="28"/>
      <c r="O19" s="28"/>
      <c r="P19" s="28"/>
      <c r="Q19" s="28"/>
      <c r="R19" s="23"/>
    </row>
    <row r="20" spans="1:18" x14ac:dyDescent="0.25">
      <c r="A20" s="90"/>
      <c r="B20" s="16"/>
      <c r="C20" s="28"/>
      <c r="D20" s="28"/>
      <c r="E20" s="28"/>
      <c r="G20" s="28">
        <f>ROWS(G$4:G20)*G$4</f>
        <v>17</v>
      </c>
      <c r="H20" s="53">
        <f>COUNTIF('List by Event'!G:G,"&gt;"&amp;G20)</f>
        <v>18</v>
      </c>
      <c r="I20" s="73">
        <f>H20/COUNTIF('List by Event'!F:F,"Repair")</f>
        <v>0.30508474576271188</v>
      </c>
      <c r="J20" s="77">
        <f>COUNTIF('List by Event'!G:G,"&lt;"&amp;G20)</f>
        <v>41</v>
      </c>
      <c r="K20" s="73">
        <f>J20/COUNTIF('List by Event'!F:F,"Repair")</f>
        <v>0.69491525423728817</v>
      </c>
      <c r="L20" s="24"/>
      <c r="M20" s="30"/>
      <c r="N20" s="28"/>
      <c r="O20" s="28"/>
      <c r="P20" s="28"/>
      <c r="Q20" s="28"/>
      <c r="R20" s="23"/>
    </row>
    <row r="21" spans="1:18" x14ac:dyDescent="0.25">
      <c r="G21" s="28">
        <f>ROWS(G$4:G21)*G$4</f>
        <v>18</v>
      </c>
      <c r="H21" s="53">
        <f>COUNTIF('List by Event'!G:G,"&gt;"&amp;G21)</f>
        <v>12</v>
      </c>
      <c r="I21" s="73">
        <f>H21/COUNTIF('List by Event'!F:F,"Repair")</f>
        <v>0.20338983050847459</v>
      </c>
      <c r="J21" s="77">
        <f>COUNTIF('List by Event'!G:G,"&lt;"&amp;G21)</f>
        <v>47</v>
      </c>
      <c r="K21" s="73">
        <f>J21/COUNTIF('List by Event'!F:F,"Repair")</f>
        <v>0.79661016949152541</v>
      </c>
      <c r="L21" s="24"/>
      <c r="M21" s="30"/>
      <c r="N21" s="28"/>
      <c r="O21" s="28"/>
      <c r="P21" s="28"/>
      <c r="Q21" s="28"/>
      <c r="R21" s="23"/>
    </row>
    <row r="22" spans="1:18" x14ac:dyDescent="0.25">
      <c r="A22" s="90" t="s">
        <v>38</v>
      </c>
      <c r="G22" s="28">
        <f>ROWS(G$4:G22)*G$4</f>
        <v>19</v>
      </c>
      <c r="H22" s="53">
        <f>COUNTIF('List by Event'!G:G,"&gt;"&amp;G22)</f>
        <v>11</v>
      </c>
      <c r="I22" s="73">
        <f>H22/COUNTIF('List by Event'!F:F,"Repair")</f>
        <v>0.1864406779661017</v>
      </c>
      <c r="J22" s="77">
        <f>COUNTIF('List by Event'!G:G,"&lt;"&amp;G22)</f>
        <v>48</v>
      </c>
      <c r="K22" s="73">
        <f>J22/COUNTIF('List by Event'!F:F,"Repair")</f>
        <v>0.81355932203389836</v>
      </c>
      <c r="L22" s="24"/>
      <c r="M22" s="30"/>
      <c r="N22" s="28"/>
      <c r="O22" s="28"/>
      <c r="P22" s="28"/>
      <c r="Q22" s="28"/>
      <c r="R22" s="23"/>
    </row>
    <row r="23" spans="1:18" ht="45" x14ac:dyDescent="0.25">
      <c r="A23" s="90"/>
      <c r="B23" s="79" t="s">
        <v>71</v>
      </c>
      <c r="C23" s="79" t="s">
        <v>72</v>
      </c>
      <c r="D23" s="80" t="s">
        <v>73</v>
      </c>
      <c r="E23" s="81" t="s">
        <v>74</v>
      </c>
      <c r="G23" s="28">
        <f>ROWS(G$4:G23)*G$4</f>
        <v>20</v>
      </c>
      <c r="H23" s="53">
        <f>COUNTIF('List by Event'!G:G,"&gt;"&amp;G23)</f>
        <v>9</v>
      </c>
      <c r="I23" s="73">
        <f>H23/COUNTIF('List by Event'!F:F,"Repair")</f>
        <v>0.15254237288135594</v>
      </c>
      <c r="J23" s="77">
        <f>COUNTIF('List by Event'!G:G,"&lt;"&amp;G23)</f>
        <v>50</v>
      </c>
      <c r="K23" s="73">
        <f>J23/COUNTIF('List by Event'!F:F,"Repair")</f>
        <v>0.84745762711864403</v>
      </c>
      <c r="L23" s="24"/>
      <c r="M23" s="30"/>
      <c r="N23" s="28"/>
      <c r="O23" s="28"/>
      <c r="P23" s="28"/>
      <c r="Q23" s="28"/>
      <c r="R23" s="23"/>
    </row>
    <row r="24" spans="1:18" x14ac:dyDescent="0.25">
      <c r="G24" s="28">
        <f>ROWS(G$4:G24)*G$4</f>
        <v>21</v>
      </c>
      <c r="H24" s="53">
        <f>COUNTIF('List by Event'!G:G,"&gt;"&amp;G24)</f>
        <v>9</v>
      </c>
      <c r="I24" s="73">
        <f>H24/COUNTIF('List by Event'!F:F,"Repair")</f>
        <v>0.15254237288135594</v>
      </c>
      <c r="J24" s="77">
        <f>COUNTIF('List by Event'!G:G,"&lt;"&amp;G24)</f>
        <v>50</v>
      </c>
      <c r="K24" s="73">
        <f>J24/COUNTIF('List by Event'!F:F,"Repair")</f>
        <v>0.84745762711864403</v>
      </c>
      <c r="L24" s="24"/>
      <c r="M24" s="30"/>
      <c r="N24" s="28"/>
      <c r="O24" s="28"/>
      <c r="P24" s="28"/>
      <c r="Q24" s="28"/>
      <c r="R24" s="23"/>
    </row>
    <row r="25" spans="1:18" x14ac:dyDescent="0.25">
      <c r="A25" s="90" t="s">
        <v>77</v>
      </c>
      <c r="B25" s="16">
        <f>SUMPRODUCT(('List by Event'!$B$4:$B$131=$A25)*('List by Event'!$F$4:$F$131=$A$22))</f>
        <v>2</v>
      </c>
      <c r="C25" s="28">
        <f t="array" ref="C25">MIN(IF('List by Event'!$B$4:$B$200=$A25,IF('List by Event'!$F$4:$F$131=$A$22,'List by Event'!$H$4:$H$200)))</f>
        <v>18.493150684931507</v>
      </c>
      <c r="D25" s="28">
        <f>AVERAGEIFS('List by Event'!$H$4:$H$131,'List by Event'!$B$4:$B$131,A25,'List by Event'!$F$4:$F$131,$A$22)</f>
        <v>23.002739726027396</v>
      </c>
      <c r="E25" s="28">
        <f t="array" ref="E25">MAX(IF('List by Event'!$B$4:$B$200=$A25,IF('List by Event'!$F$4:$F$131=$A$22,'List by Event'!$H$4:$H$200)))</f>
        <v>27.512328767123286</v>
      </c>
      <c r="G25" s="28">
        <f>ROWS(G$4:G25)*G$4</f>
        <v>22</v>
      </c>
      <c r="H25" s="53">
        <f>COUNTIF('List by Event'!G:G,"&gt;"&amp;G25)</f>
        <v>8</v>
      </c>
      <c r="I25" s="73">
        <f>H25/COUNTIF('List by Event'!F:F,"Repair")</f>
        <v>0.13559322033898305</v>
      </c>
      <c r="J25" s="77">
        <f>COUNTIF('List by Event'!G:G,"&lt;"&amp;G25)</f>
        <v>51</v>
      </c>
      <c r="K25" s="73">
        <f>J25/COUNTIF('List by Event'!F:F,"Repair")</f>
        <v>0.86440677966101698</v>
      </c>
      <c r="L25" s="24"/>
      <c r="M25" s="30"/>
      <c r="N25" s="28"/>
      <c r="O25" s="28"/>
      <c r="P25" s="28"/>
      <c r="Q25" s="28"/>
      <c r="R25" s="23"/>
    </row>
    <row r="26" spans="1:18" x14ac:dyDescent="0.25">
      <c r="A26" s="90" t="s">
        <v>78</v>
      </c>
      <c r="B26" s="16">
        <f>SUMPRODUCT(('List by Event'!$B$4:$B$131=$A26)*('List by Event'!$F$4:$F$131=$A$22))</f>
        <v>7</v>
      </c>
      <c r="C26" s="28">
        <f t="array" ref="C26">MIN(IF('List by Event'!$B$4:$B$200=$A26,IF('List by Event'!$F$4:$F$131=$A$22,'List by Event'!$H$4:$H$200)))</f>
        <v>16.972602739726028</v>
      </c>
      <c r="D26" s="28">
        <f>AVERAGEIFS('List by Event'!$H$4:$H$131,'List by Event'!$B$4:$B$131,A26,'List by Event'!$F$4:$F$131,$A$22)</f>
        <v>21.520547945205482</v>
      </c>
      <c r="E26" s="28">
        <f t="array" ref="E26">MAX(IF('List by Event'!$B$4:$B$200=$A26,IF('List by Event'!$F$4:$F$131=$A$22,'List by Event'!$H$4:$H$200)))</f>
        <v>37.413698630136984</v>
      </c>
      <c r="G26" s="28">
        <f>ROWS(G$4:G26)*G$4</f>
        <v>23</v>
      </c>
      <c r="H26" s="53">
        <f>COUNTIF('List by Event'!G:G,"&gt;"&amp;G26)</f>
        <v>7</v>
      </c>
      <c r="I26" s="73">
        <f>H26/COUNTIF('List by Event'!F:F,"Repair")</f>
        <v>0.11864406779661017</v>
      </c>
      <c r="J26" s="77">
        <f>COUNTIF('List by Event'!G:G,"&lt;"&amp;G26)</f>
        <v>52</v>
      </c>
      <c r="K26" s="73">
        <f>J26/COUNTIF('List by Event'!F:F,"Repair")</f>
        <v>0.88135593220338981</v>
      </c>
      <c r="L26" s="24"/>
      <c r="M26" s="30"/>
      <c r="N26" s="28"/>
      <c r="O26" s="28"/>
      <c r="P26" s="28"/>
      <c r="Q26" s="28"/>
      <c r="R26" s="23"/>
    </row>
    <row r="27" spans="1:18" x14ac:dyDescent="0.25">
      <c r="A27" s="90" t="s">
        <v>79</v>
      </c>
      <c r="B27" s="16">
        <f>SUMPRODUCT(('List by Event'!$B$4:$B$131=$A27)*('List by Event'!$F$4:$F$131=$A$22))</f>
        <v>5</v>
      </c>
      <c r="C27" s="28">
        <f t="array" ref="C27">MIN(IF('List by Event'!$B$4:$B$200=$A27,IF('List by Event'!$F$4:$F$131=$A$22,'List by Event'!$H$4:$H$200)))</f>
        <v>15.90958904109589</v>
      </c>
      <c r="D27" s="28">
        <f>AVERAGEIFS('List by Event'!$H$4:$H$131,'List by Event'!$B$4:$B$131,A27,'List by Event'!$F$4:$F$131,$A$22)</f>
        <v>25.115616438356163</v>
      </c>
      <c r="E27" s="28">
        <f t="array" ref="E27">MAX(IF('List by Event'!$B$4:$B$200=$A27,IF('List by Event'!$F$4:$F$131=$A$22,'List by Event'!$H$4:$H$200)))</f>
        <v>33.731506849315068</v>
      </c>
      <c r="G27" s="28">
        <f>ROWS(G$4:G27)*G$4</f>
        <v>24</v>
      </c>
      <c r="H27" s="53">
        <f>COUNTIF('List by Event'!G:G,"&gt;"&amp;G27)</f>
        <v>7</v>
      </c>
      <c r="I27" s="73">
        <f>H27/COUNTIF('List by Event'!F:F,"Repair")</f>
        <v>0.11864406779661017</v>
      </c>
      <c r="J27" s="77">
        <f>COUNTIF('List by Event'!G:G,"&lt;"&amp;G27)</f>
        <v>52</v>
      </c>
      <c r="K27" s="73">
        <f>J27/COUNTIF('List by Event'!F:F,"Repair")</f>
        <v>0.88135593220338981</v>
      </c>
      <c r="L27" s="24"/>
      <c r="M27" s="30"/>
      <c r="N27" s="28"/>
      <c r="O27" s="28"/>
      <c r="P27" s="28"/>
      <c r="Q27" s="28"/>
      <c r="R27" s="23"/>
    </row>
    <row r="28" spans="1:18" x14ac:dyDescent="0.25">
      <c r="A28" s="90" t="s">
        <v>80</v>
      </c>
      <c r="B28" s="16">
        <f>SUMPRODUCT(('List by Event'!$B$4:$B$131=$A28)*('List by Event'!$F$4:$F$131=$A$22))</f>
        <v>5</v>
      </c>
      <c r="C28" s="28">
        <f t="array" ref="C28">MIN(IF('List by Event'!$B$4:$B$200=$A28,IF('List by Event'!$F$4:$F$131=$A$22,'List by Event'!$H$4:$H$200)))</f>
        <v>16.843835616438355</v>
      </c>
      <c r="D28" s="28">
        <f>AVERAGEIFS('List by Event'!$H$4:$H$131,'List by Event'!$B$4:$B$131,A28,'List by Event'!$F$4:$F$131,$A$22)</f>
        <v>27.806575342465749</v>
      </c>
      <c r="E28" s="28">
        <f t="array" ref="E28">MAX(IF('List by Event'!$B$4:$B$200=$A28,IF('List by Event'!$F$4:$F$131=$A$22,'List by Event'!$H$4:$H$200)))</f>
        <v>34.863013698630134</v>
      </c>
      <c r="G28" s="28">
        <f>ROWS(G$4:G28)*G$4</f>
        <v>25</v>
      </c>
      <c r="H28" s="53">
        <f>COUNTIF('List by Event'!G:G,"&gt;"&amp;G28)</f>
        <v>3</v>
      </c>
      <c r="I28" s="73">
        <f>H28/COUNTIF('List by Event'!F:F,"Repair")</f>
        <v>5.0847457627118647E-2</v>
      </c>
      <c r="J28" s="77">
        <f>COUNTIF('List by Event'!G:G,"&lt;"&amp;G28)</f>
        <v>56</v>
      </c>
      <c r="K28" s="73">
        <f>J28/COUNTIF('List by Event'!F:F,"Repair")</f>
        <v>0.94915254237288138</v>
      </c>
      <c r="L28" s="24"/>
      <c r="M28" s="30"/>
      <c r="N28" s="28"/>
      <c r="O28" s="28"/>
      <c r="P28" s="28"/>
      <c r="Q28" s="28"/>
      <c r="R28" s="23"/>
    </row>
    <row r="29" spans="1:18" x14ac:dyDescent="0.25">
      <c r="A29" s="90" t="s">
        <v>81</v>
      </c>
      <c r="B29" s="16">
        <f>SUMPRODUCT(('List by Event'!$B$4:$B$131=$A29)*('List by Event'!$F$4:$F$131=$A$22))</f>
        <v>4</v>
      </c>
      <c r="C29" s="28">
        <f t="array" ref="C29">MIN(IF('List by Event'!$B$4:$B$200=$A29,IF('List by Event'!$F$4:$F$131=$A$22,'List by Event'!$H$4:$H$200)))</f>
        <v>19.717808219178082</v>
      </c>
      <c r="D29" s="28">
        <f>AVERAGEIFS('List by Event'!$H$4:$H$131,'List by Event'!$B$4:$B$131,A29,'List by Event'!$F$4:$F$131,$A$22)</f>
        <v>27.56780821917808</v>
      </c>
      <c r="E29" s="28">
        <f t="array" ref="E29">MAX(IF('List by Event'!$B$4:$B$200=$A29,IF('List by Event'!$F$4:$F$131=$A$22,'List by Event'!$H$4:$H$200)))</f>
        <v>35.457534246575342</v>
      </c>
      <c r="G29" s="28">
        <f>ROWS(G$4:G29)*G$4</f>
        <v>26</v>
      </c>
      <c r="H29" s="53">
        <f>COUNTIF('List by Event'!G:G,"&gt;"&amp;G29)</f>
        <v>3</v>
      </c>
      <c r="I29" s="73">
        <f>H29/COUNTIF('List by Event'!F:F,"Repair")</f>
        <v>5.0847457627118647E-2</v>
      </c>
      <c r="J29" s="77">
        <f>COUNTIF('List by Event'!G:G,"&lt;"&amp;G29)</f>
        <v>56</v>
      </c>
      <c r="K29" s="73">
        <f>J29/COUNTIF('List by Event'!F:F,"Repair")</f>
        <v>0.94915254237288138</v>
      </c>
      <c r="L29" s="24"/>
      <c r="M29" s="30"/>
      <c r="N29" s="28"/>
      <c r="O29" s="28"/>
      <c r="P29" s="28"/>
      <c r="Q29" s="28"/>
      <c r="R29" s="23"/>
    </row>
    <row r="30" spans="1:18" x14ac:dyDescent="0.25">
      <c r="A30" s="90" t="s">
        <v>82</v>
      </c>
      <c r="B30" s="16">
        <f>SUMPRODUCT(('List by Event'!$B$4:$B$131=$A30)*('List by Event'!$F$4:$F$131=$A$22))</f>
        <v>5</v>
      </c>
      <c r="C30" s="28">
        <f t="array" ref="C30">MIN(IF('List by Event'!$B$4:$B$200=$A30,IF('List by Event'!$F$4:$F$131=$A$22,'List by Event'!$H$4:$H$200)))</f>
        <v>13.336986301369864</v>
      </c>
      <c r="D30" s="28">
        <f>AVERAGEIFS('List by Event'!$H$4:$H$131,'List by Event'!$B$4:$B$131,A30,'List by Event'!$F$4:$F$131,$A$22)</f>
        <v>22.604931506849312</v>
      </c>
      <c r="E30" s="28">
        <f t="array" ref="E30">MAX(IF('List by Event'!$B$4:$B$200=$A30,IF('List by Event'!$F$4:$F$131=$A$22,'List by Event'!$H$4:$H$200)))</f>
        <v>39.358904109589041</v>
      </c>
      <c r="G30" s="28">
        <f>ROWS(G$4:G30)*G$4</f>
        <v>27</v>
      </c>
      <c r="H30" s="53">
        <f>COUNTIF('List by Event'!G:G,"&gt;"&amp;G30)</f>
        <v>2</v>
      </c>
      <c r="I30" s="73">
        <f>H30/COUNTIF('List by Event'!F:F,"Repair")</f>
        <v>3.3898305084745763E-2</v>
      </c>
      <c r="J30" s="77">
        <f>COUNTIF('List by Event'!G:G,"&lt;"&amp;G30)</f>
        <v>57</v>
      </c>
      <c r="K30" s="73">
        <f>J30/COUNTIF('List by Event'!F:F,"Repair")</f>
        <v>0.96610169491525422</v>
      </c>
      <c r="L30" s="24"/>
      <c r="M30" s="30"/>
      <c r="N30" s="28"/>
      <c r="O30" s="28"/>
      <c r="P30" s="28"/>
      <c r="Q30" s="28"/>
      <c r="R30" s="23"/>
    </row>
    <row r="31" spans="1:18" x14ac:dyDescent="0.25">
      <c r="A31" s="90" t="s">
        <v>83</v>
      </c>
      <c r="B31" s="16">
        <f>SUMPRODUCT(('List by Event'!$B$4:$B$131=$A31)*('List by Event'!$F$4:$F$131=$A$22))</f>
        <v>4</v>
      </c>
      <c r="C31" s="28">
        <f t="array" ref="C31">MIN(IF('List by Event'!$B$4:$B$200=$A31,IF('List by Event'!$F$4:$F$131=$A$22,'List by Event'!$H$4:$H$200)))</f>
        <v>10.465753424657533</v>
      </c>
      <c r="D31" s="28">
        <f>AVERAGEIFS('List by Event'!$H$4:$H$131,'List by Event'!$B$4:$B$131,A31,'List by Event'!$F$4:$F$131,$A$22)</f>
        <v>18.276027397260272</v>
      </c>
      <c r="E31" s="28">
        <f t="array" ref="E31">MAX(IF('List by Event'!$B$4:$B$200=$A31,IF('List by Event'!$F$4:$F$131=$A$22,'List by Event'!$H$4:$H$200)))</f>
        <v>29.854794520547944</v>
      </c>
      <c r="G31" s="28">
        <f>ROWS(G$4:G31)*G$4</f>
        <v>28</v>
      </c>
      <c r="H31" s="53">
        <f>COUNTIF('List by Event'!G:G,"&gt;"&amp;G31)</f>
        <v>0</v>
      </c>
      <c r="I31" s="73">
        <f>H31/COUNTIF('List by Event'!F:F,"Repair")</f>
        <v>0</v>
      </c>
      <c r="J31" s="77">
        <f>COUNTIF('List by Event'!G:G,"&lt;"&amp;G31)</f>
        <v>59</v>
      </c>
      <c r="K31" s="73">
        <f>J31/COUNTIF('List by Event'!F:F,"Repair")</f>
        <v>1</v>
      </c>
      <c r="L31" s="24"/>
      <c r="M31" s="30"/>
      <c r="N31" s="28"/>
      <c r="O31" s="28"/>
      <c r="P31" s="28"/>
      <c r="Q31" s="28"/>
      <c r="R31" s="23"/>
    </row>
    <row r="32" spans="1:18" x14ac:dyDescent="0.25">
      <c r="A32" s="90" t="s">
        <v>84</v>
      </c>
      <c r="B32" s="16">
        <f>SUMPRODUCT(('List by Event'!$B$4:$B$131=$A32)*('List by Event'!$F$4:$F$131=$A$22))</f>
        <v>5</v>
      </c>
      <c r="C32" s="28">
        <f t="array" ref="C32">MIN(IF('List by Event'!$B$4:$B$200=$A32,IF('List by Event'!$F$4:$F$131=$A$22,'List by Event'!$H$4:$H$200)))</f>
        <v>4.3698630136986303</v>
      </c>
      <c r="D32" s="28">
        <f>AVERAGEIFS('List by Event'!$H$4:$H$131,'List by Event'!$B$4:$B$131,A32,'List by Event'!$F$4:$F$131,$A$22)</f>
        <v>24.518356164383562</v>
      </c>
      <c r="E32" s="28">
        <f t="array" ref="E32">MAX(IF('List by Event'!$B$4:$B$200=$A32,IF('List by Event'!$F$4:$F$131=$A$22,'List by Event'!$H$4:$H$200)))</f>
        <v>38.353424657534248</v>
      </c>
      <c r="G32" s="28">
        <f>ROWS(G$4:G32)*G$4</f>
        <v>29</v>
      </c>
      <c r="H32" s="53">
        <f>COUNTIF('List by Event'!G:G,"&gt;"&amp;G32)</f>
        <v>0</v>
      </c>
      <c r="I32" s="73">
        <f>H32/COUNTIF('List by Event'!F:F,"Repair")</f>
        <v>0</v>
      </c>
      <c r="J32" s="77">
        <f>COUNTIF('List by Event'!G:G,"&lt;"&amp;G32)</f>
        <v>59</v>
      </c>
      <c r="K32" s="73">
        <f>J32/COUNTIF('List by Event'!F:F,"Repair")</f>
        <v>1</v>
      </c>
      <c r="L32" s="24"/>
      <c r="M32" s="30"/>
      <c r="N32" s="28"/>
      <c r="O32" s="28"/>
      <c r="P32" s="28"/>
      <c r="Q32" s="28"/>
      <c r="R32" s="23"/>
    </row>
    <row r="33" spans="7:18" x14ac:dyDescent="0.25">
      <c r="G33" s="28">
        <f>ROWS(G$4:G33)*G$4</f>
        <v>30</v>
      </c>
      <c r="H33" s="53">
        <f>COUNTIF('List by Event'!G:G,"&gt;"&amp;G33)</f>
        <v>0</v>
      </c>
      <c r="I33" s="73">
        <f>H33/COUNTIF('List by Event'!F:F,"Repair")</f>
        <v>0</v>
      </c>
      <c r="J33" s="77">
        <f>COUNTIF('List by Event'!G:G,"&lt;"&amp;G33)</f>
        <v>59</v>
      </c>
      <c r="K33" s="73">
        <f>J33/COUNTIF('List by Event'!F:F,"Repair")</f>
        <v>1</v>
      </c>
      <c r="L33" s="24"/>
      <c r="M33" s="30"/>
      <c r="N33" s="28"/>
      <c r="O33" s="28"/>
      <c r="P33" s="28"/>
      <c r="Q33" s="28"/>
      <c r="R33" s="23"/>
    </row>
    <row r="34" spans="7:18" x14ac:dyDescent="0.25">
      <c r="G34" s="28">
        <f>ROWS(G$4:G34)*G$4</f>
        <v>31</v>
      </c>
      <c r="H34" s="53">
        <f>COUNTIF('List by Event'!G:G,"&gt;"&amp;G34)</f>
        <v>0</v>
      </c>
      <c r="I34" s="73">
        <f>H34/COUNTIF('List by Event'!F:F,"Repair")</f>
        <v>0</v>
      </c>
      <c r="J34" s="77">
        <f>COUNTIF('List by Event'!G:G,"&lt;"&amp;G34)</f>
        <v>59</v>
      </c>
      <c r="K34" s="73">
        <f>J34/COUNTIF('List by Event'!F:F,"Repair")</f>
        <v>1</v>
      </c>
      <c r="L34" s="24"/>
      <c r="R34" s="23"/>
    </row>
    <row r="35" spans="7:18" x14ac:dyDescent="0.25">
      <c r="G35" s="28">
        <f>ROWS(G$4:G35)*G$4</f>
        <v>32</v>
      </c>
      <c r="H35" s="53">
        <f>COUNTIF('List by Event'!G:G,"&gt;"&amp;G35)</f>
        <v>0</v>
      </c>
      <c r="I35" s="73">
        <f>H35/COUNTIF('List by Event'!F:F,"Repair")</f>
        <v>0</v>
      </c>
      <c r="J35" s="77">
        <f>COUNTIF('List by Event'!G:G,"&lt;"&amp;G35)</f>
        <v>59</v>
      </c>
      <c r="K35" s="73">
        <f>J35/COUNTIF('List by Event'!F:F,"Repair")</f>
        <v>1</v>
      </c>
      <c r="L35" s="24"/>
      <c r="M35" s="30"/>
      <c r="N35" s="30"/>
      <c r="O35" s="24"/>
      <c r="P35" s="24"/>
      <c r="Q35" s="23"/>
      <c r="R35" s="23"/>
    </row>
    <row r="36" spans="7:18" x14ac:dyDescent="0.25">
      <c r="G36" s="28">
        <f>ROWS(G$4:G36)*G$4</f>
        <v>33</v>
      </c>
      <c r="H36" s="53">
        <f>COUNTIF('List by Event'!G:G,"&gt;"&amp;G36)</f>
        <v>0</v>
      </c>
      <c r="I36" s="73">
        <f>H36/COUNTIF('List by Event'!F:F,"Repair")</f>
        <v>0</v>
      </c>
      <c r="J36" s="77">
        <f>COUNTIF('List by Event'!G:G,"&lt;"&amp;G36)</f>
        <v>59</v>
      </c>
      <c r="K36" s="73">
        <f>J36/COUNTIF('List by Event'!F:F,"Repair")</f>
        <v>1</v>
      </c>
      <c r="L36" s="24"/>
      <c r="M36" s="30"/>
      <c r="N36" s="30"/>
      <c r="O36" s="24"/>
      <c r="P36" s="24"/>
      <c r="Q36" s="23"/>
      <c r="R36" s="23"/>
    </row>
    <row r="37" spans="7:18" x14ac:dyDescent="0.25">
      <c r="G37" s="28">
        <f>ROWS(G$4:G37)*G$4</f>
        <v>34</v>
      </c>
      <c r="H37" s="53">
        <f>COUNTIF('List by Event'!G:G,"&gt;"&amp;G37)</f>
        <v>0</v>
      </c>
      <c r="I37" s="73">
        <f>H37/COUNTIF('List by Event'!F:F,"Repair")</f>
        <v>0</v>
      </c>
      <c r="J37" s="77">
        <f>COUNTIF('List by Event'!G:G,"&lt;"&amp;G37)</f>
        <v>59</v>
      </c>
      <c r="K37" s="73">
        <f>J37/COUNTIF('List by Event'!F:F,"Repair")</f>
        <v>1</v>
      </c>
      <c r="L37" s="24"/>
      <c r="M37" s="30"/>
      <c r="N37" s="30"/>
      <c r="O37" s="24"/>
      <c r="P37" s="24"/>
      <c r="Q37" s="23"/>
      <c r="R37" s="23"/>
    </row>
    <row r="38" spans="7:18" x14ac:dyDescent="0.25">
      <c r="G38" s="28">
        <f>ROWS(G$4:G38)*G$4</f>
        <v>35</v>
      </c>
      <c r="H38" s="74">
        <f>COUNTIF('List by Event'!G:G,"&gt;"&amp;G38)</f>
        <v>0</v>
      </c>
      <c r="I38" s="75">
        <f>H38/COUNTIF('List by Event'!F:F,"Repair")</f>
        <v>0</v>
      </c>
      <c r="J38" s="78">
        <f>COUNTIF('List by Event'!G:G,"&lt;"&amp;G38)</f>
        <v>59</v>
      </c>
      <c r="K38" s="75">
        <f>J38/COUNTIF('List by Event'!F:F,"Repair")</f>
        <v>1</v>
      </c>
      <c r="L38" s="24"/>
      <c r="M38" s="30"/>
      <c r="N38" s="30"/>
      <c r="O38" s="24"/>
      <c r="P38" s="24"/>
      <c r="Q38" s="23"/>
      <c r="R38" s="23"/>
    </row>
    <row r="39" spans="7:18" x14ac:dyDescent="0.25">
      <c r="G39" s="28"/>
      <c r="H39" s="28"/>
      <c r="I39" s="68"/>
      <c r="J39" s="28"/>
      <c r="K39" s="68"/>
      <c r="L39" s="24"/>
      <c r="M39" s="30"/>
      <c r="N39" s="30"/>
      <c r="O39" s="24"/>
      <c r="P39" s="24"/>
      <c r="Q39" s="23"/>
      <c r="R39" s="23"/>
    </row>
    <row r="40" spans="7:18" x14ac:dyDescent="0.25">
      <c r="G40" s="28"/>
      <c r="H40" s="28"/>
      <c r="I40" s="68"/>
      <c r="J40" s="28"/>
      <c r="K40" s="68"/>
      <c r="L40" s="24"/>
      <c r="M40" s="30"/>
      <c r="N40" s="30"/>
      <c r="O40" s="24"/>
      <c r="P40" s="24"/>
      <c r="Q40" s="23"/>
      <c r="R40" s="23"/>
    </row>
    <row r="41" spans="7:18" x14ac:dyDescent="0.25">
      <c r="G41" s="28"/>
      <c r="H41" s="28"/>
      <c r="I41" s="68"/>
      <c r="J41" s="28"/>
      <c r="K41" s="68"/>
      <c r="L41" s="24"/>
      <c r="M41" s="30"/>
      <c r="N41" s="30"/>
      <c r="O41" s="24"/>
      <c r="P41" s="24"/>
      <c r="Q41" s="23"/>
      <c r="R41" s="23"/>
    </row>
    <row r="42" spans="7:18" x14ac:dyDescent="0.25">
      <c r="G42" s="52"/>
      <c r="H42" s="63"/>
      <c r="I42" s="21"/>
      <c r="J42" s="22"/>
      <c r="K42" s="21"/>
      <c r="L42" s="21"/>
      <c r="M42" s="22"/>
      <c r="N42" s="22"/>
      <c r="O42" s="21"/>
      <c r="P42" s="21"/>
      <c r="Q42" s="21"/>
      <c r="R42" s="23"/>
    </row>
  </sheetData>
  <pageMargins left="0.7" right="0.7" top="0.75" bottom="0.75" header="0.3" footer="0.3"/>
  <pageSetup paperSize="17" scale="8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showGridLines="0" zoomScaleNormal="100" workbookViewId="0">
      <selection activeCell="E11" sqref="E11"/>
    </sheetView>
    <sheetView workbookViewId="1"/>
  </sheetViews>
  <sheetFormatPr defaultColWidth="9.7109375" defaultRowHeight="30" customHeight="1" x14ac:dyDescent="0.25"/>
  <cols>
    <col min="1" max="1" width="14.7109375" style="23" customWidth="1"/>
    <col min="2" max="4" width="18.7109375" style="30" customWidth="1"/>
    <col min="5" max="5" width="23.7109375" style="30" customWidth="1"/>
    <col min="6" max="6" width="12" style="24" customWidth="1"/>
    <col min="7" max="7" width="16.85546875" style="28" customWidth="1"/>
    <col min="8" max="9" width="19.85546875" style="28" customWidth="1"/>
    <col min="10" max="10" width="19.85546875" style="61" customWidth="1"/>
    <col min="11" max="11" width="19.42578125" style="24" bestFit="1" customWidth="1"/>
    <col min="12" max="12" width="23.7109375" style="30" customWidth="1"/>
    <col min="13" max="13" width="19.42578125" style="24" customWidth="1"/>
    <col min="14" max="14" width="18.140625" style="24" customWidth="1"/>
    <col min="15" max="16" width="23.7109375" style="30" customWidth="1"/>
    <col min="17" max="18" width="9" style="24" customWidth="1"/>
    <col min="19" max="19" width="19.7109375" style="23" bestFit="1" customWidth="1"/>
    <col min="20" max="20" width="18" style="23" customWidth="1"/>
    <col min="21" max="21" width="12" style="24" customWidth="1"/>
    <col min="22" max="22" width="18" style="23" customWidth="1"/>
    <col min="23" max="23" width="16.42578125" style="23" customWidth="1"/>
    <col min="24" max="24" width="12" style="24" customWidth="1"/>
    <col min="25" max="25" width="9.7109375" style="24"/>
    <col min="26" max="26" width="5.28515625" style="24" customWidth="1"/>
    <col min="27" max="27" width="6.7109375" style="23" bestFit="1" customWidth="1"/>
    <col min="28" max="28" width="6.7109375" style="23" customWidth="1"/>
    <col min="29" max="29" width="8" style="23" bestFit="1" customWidth="1"/>
    <col min="30" max="30" width="9.7109375" style="31"/>
    <col min="31" max="32" width="9.7109375" style="24"/>
    <col min="33" max="33" width="11" style="24" customWidth="1"/>
    <col min="34" max="34" width="12" style="24" bestFit="1" customWidth="1"/>
    <col min="35" max="16384" width="9.7109375" style="24"/>
  </cols>
  <sheetData>
    <row r="1" spans="1:36" ht="30" customHeight="1" x14ac:dyDescent="0.25">
      <c r="K1" s="54" t="s">
        <v>49</v>
      </c>
      <c r="L1" s="54" t="s">
        <v>50</v>
      </c>
      <c r="M1" s="56" t="s">
        <v>51</v>
      </c>
      <c r="N1" s="55" t="s">
        <v>52</v>
      </c>
      <c r="O1" s="24"/>
      <c r="Q1" s="30"/>
      <c r="S1" s="24"/>
      <c r="U1" s="23"/>
      <c r="V1" s="24"/>
      <c r="X1" s="23"/>
      <c r="AA1" s="24"/>
      <c r="AD1" s="23"/>
      <c r="AE1" s="31"/>
    </row>
    <row r="2" spans="1:36" ht="30" customHeight="1" x14ac:dyDescent="0.25">
      <c r="B2" s="24"/>
      <c r="C2" s="24"/>
      <c r="D2" s="24"/>
      <c r="E2" s="24"/>
      <c r="G2" s="30"/>
      <c r="H2" s="30"/>
      <c r="I2" s="30" t="s">
        <v>46</v>
      </c>
      <c r="J2" s="62"/>
      <c r="K2" s="28">
        <f>COUNTIF(F:F,I2)</f>
        <v>0</v>
      </c>
      <c r="L2" s="28"/>
      <c r="M2" s="28" t="str">
        <f>IFERROR(AVERAGEIF(F:F,I2,I:I),"")</f>
        <v/>
      </c>
      <c r="N2" s="28"/>
      <c r="O2" s="24"/>
      <c r="Q2" s="30"/>
      <c r="S2" s="24"/>
      <c r="U2" s="23"/>
      <c r="V2" s="24"/>
      <c r="X2" s="23"/>
      <c r="AA2" s="24"/>
      <c r="AD2" s="23"/>
      <c r="AE2" s="31"/>
    </row>
    <row r="3" spans="1:36" ht="30" customHeight="1" x14ac:dyDescent="0.25">
      <c r="B3" s="24"/>
      <c r="C3" s="24"/>
      <c r="D3" s="24"/>
      <c r="E3" s="24"/>
      <c r="G3" s="30"/>
      <c r="H3" s="30"/>
      <c r="I3" s="30" t="s">
        <v>39</v>
      </c>
      <c r="J3" s="62"/>
      <c r="K3" s="28">
        <f>COUNTIF(F:F,I3)</f>
        <v>0</v>
      </c>
      <c r="L3" s="28">
        <f t="array" ref="L3">MIN(IF($F$11:$F$134=$I3,$I$11:$I$134))</f>
        <v>0</v>
      </c>
      <c r="M3" s="28" t="str">
        <f>IFERROR(AVERAGEIF(F:F,I3,I:I),"")</f>
        <v/>
      </c>
      <c r="N3" s="28">
        <f t="array" ref="N3">MAX(IF($F$11:$F$134=$I3,$I$11:$I$134))</f>
        <v>0</v>
      </c>
      <c r="O3" s="24"/>
      <c r="Q3" s="30"/>
      <c r="S3" s="24"/>
      <c r="U3" s="23"/>
      <c r="V3" s="24"/>
      <c r="X3" s="23"/>
      <c r="AA3" s="24"/>
      <c r="AD3" s="23"/>
      <c r="AE3" s="31"/>
    </row>
    <row r="4" spans="1:36" ht="30" customHeight="1" x14ac:dyDescent="0.25">
      <c r="B4" s="24"/>
      <c r="C4" s="24"/>
      <c r="D4" s="24"/>
      <c r="E4" s="24"/>
      <c r="G4" s="30"/>
      <c r="H4" s="30"/>
      <c r="I4" s="30" t="s">
        <v>38</v>
      </c>
      <c r="J4" s="62"/>
      <c r="K4" s="28">
        <f>COUNTIF(F:F,I4)</f>
        <v>0</v>
      </c>
      <c r="L4" s="28">
        <f t="array" ref="L4">MIN(IF($F$11:$F$134=$I4,$I$11:$I$134))</f>
        <v>0</v>
      </c>
      <c r="M4" s="28" t="str">
        <f>IFERROR(AVERAGEIF(F:F,I4,I:I),"")</f>
        <v/>
      </c>
      <c r="N4" s="28">
        <f t="array" ref="N4">MAX(IF($F$11:$F$134=$I4,$I$11:$I$134))</f>
        <v>0</v>
      </c>
      <c r="O4" s="24"/>
      <c r="Q4" s="30"/>
      <c r="S4" s="24"/>
      <c r="U4" s="23"/>
      <c r="V4" s="24"/>
      <c r="X4" s="23"/>
      <c r="AA4" s="24"/>
      <c r="AD4" s="23"/>
      <c r="AE4" s="31"/>
    </row>
    <row r="9" spans="1:36" ht="30" customHeight="1" x14ac:dyDescent="0.25">
      <c r="A9" s="32" t="s">
        <v>16</v>
      </c>
      <c r="B9" s="22"/>
      <c r="C9" s="22"/>
      <c r="D9" s="22"/>
      <c r="E9" s="22"/>
      <c r="F9" s="21"/>
      <c r="G9" s="52"/>
      <c r="H9" s="52"/>
      <c r="I9" s="52"/>
      <c r="J9" s="63"/>
      <c r="K9" s="21"/>
      <c r="L9" s="22"/>
      <c r="M9" s="21"/>
      <c r="N9" s="21"/>
      <c r="O9" s="22"/>
      <c r="P9" s="22"/>
      <c r="Q9" s="21"/>
      <c r="R9" s="21"/>
      <c r="S9" s="21"/>
      <c r="AD9" s="24"/>
    </row>
    <row r="10" spans="1:36" s="48" customFormat="1" ht="37.5" customHeight="1" x14ac:dyDescent="0.25">
      <c r="A10" s="57" t="s">
        <v>57</v>
      </c>
      <c r="B10" s="58" t="s">
        <v>56</v>
      </c>
      <c r="C10" s="58" t="s">
        <v>42</v>
      </c>
      <c r="D10" s="58" t="s">
        <v>43</v>
      </c>
      <c r="E10" s="58" t="s">
        <v>54</v>
      </c>
      <c r="F10" s="57"/>
      <c r="G10" s="59"/>
      <c r="H10" s="59"/>
      <c r="I10" s="59"/>
      <c r="J10" s="64"/>
      <c r="K10" s="45" t="s">
        <v>20</v>
      </c>
      <c r="L10" s="46" t="s">
        <v>19</v>
      </c>
      <c r="M10" s="45" t="s">
        <v>17</v>
      </c>
      <c r="N10" s="45" t="s">
        <v>18</v>
      </c>
      <c r="O10" s="46" t="s">
        <v>42</v>
      </c>
      <c r="P10" s="46" t="s">
        <v>43</v>
      </c>
      <c r="Q10" s="45"/>
      <c r="R10" s="45"/>
      <c r="S10" s="45"/>
      <c r="T10" s="47"/>
      <c r="V10" s="47" t="s">
        <v>40</v>
      </c>
      <c r="W10" s="47" t="s">
        <v>41</v>
      </c>
      <c r="AA10" s="49" t="s">
        <v>39</v>
      </c>
      <c r="AB10" s="49"/>
      <c r="AC10" s="50" t="s">
        <v>38</v>
      </c>
      <c r="AF10" s="51" t="s">
        <v>39</v>
      </c>
      <c r="AG10" s="51" t="s">
        <v>38</v>
      </c>
    </row>
    <row r="11" spans="1:36" ht="30" customHeight="1" x14ac:dyDescent="0.25">
      <c r="A11" s="33" t="s">
        <v>0</v>
      </c>
      <c r="B11" s="34">
        <v>28126</v>
      </c>
      <c r="C11" s="34">
        <v>34240</v>
      </c>
      <c r="D11" s="34">
        <v>38168</v>
      </c>
      <c r="E11" s="34">
        <v>28126</v>
      </c>
      <c r="F11" s="35"/>
      <c r="G11" s="53"/>
      <c r="H11" s="53"/>
      <c r="I11" s="53"/>
      <c r="K11" s="36">
        <v>28126</v>
      </c>
      <c r="L11" s="34">
        <v>38168</v>
      </c>
      <c r="M11" s="37">
        <v>11</v>
      </c>
      <c r="N11" s="33"/>
      <c r="O11" s="34" t="s">
        <v>44</v>
      </c>
      <c r="P11" s="34">
        <v>38168</v>
      </c>
      <c r="Q11" s="33"/>
      <c r="R11" s="33"/>
      <c r="S11" s="33"/>
      <c r="T11" s="28"/>
      <c r="V11" s="23" t="str">
        <f t="shared" ref="V11:V42" si="0">IF(N11="","",INDEX($AE$11:$AE$13,MATCH(N11,$AE$11:$AE$13,TRUE)+1,1))</f>
        <v/>
      </c>
      <c r="W11" s="23">
        <f t="shared" ref="W11:W42" si="1">IF(M11="","",INDEX($AE$11:$AE$13,MATCH(M11,$AE$11:$AE$13,TRUE)+1,1))</f>
        <v>15</v>
      </c>
      <c r="Z11" s="24">
        <v>1</v>
      </c>
      <c r="AA11" s="23">
        <f t="shared" ref="AA11:AA29" si="2">COUNTIF(N:N,$Z11)</f>
        <v>0</v>
      </c>
      <c r="AC11" s="23">
        <f>COUNTIF(M:M,$Z11)</f>
        <v>0</v>
      </c>
      <c r="AD11" s="24"/>
      <c r="AE11" s="24">
        <v>0</v>
      </c>
      <c r="AF11" s="24">
        <f>COUNTIF(V:V,$AE11)</f>
        <v>0</v>
      </c>
      <c r="AG11" s="24">
        <f>COUNTIF(W:W,$AE11)</f>
        <v>0</v>
      </c>
      <c r="AH11" s="29"/>
      <c r="AJ11" s="29"/>
    </row>
    <row r="12" spans="1:36" ht="30" customHeight="1" x14ac:dyDescent="0.25">
      <c r="A12" s="33" t="s">
        <v>1</v>
      </c>
      <c r="B12" s="34">
        <v>28126</v>
      </c>
      <c r="C12" s="34">
        <v>32933</v>
      </c>
      <c r="D12" s="34">
        <v>35587</v>
      </c>
      <c r="E12" s="34">
        <v>28126</v>
      </c>
      <c r="F12" s="35"/>
      <c r="G12" s="53"/>
      <c r="H12" s="53"/>
      <c r="I12" s="53"/>
      <c r="K12" s="36"/>
      <c r="L12" s="34">
        <v>35587</v>
      </c>
      <c r="M12" s="37">
        <v>7</v>
      </c>
      <c r="N12" s="37"/>
      <c r="O12" s="34" t="s">
        <v>44</v>
      </c>
      <c r="P12" s="34">
        <v>35587</v>
      </c>
      <c r="Q12" s="37"/>
      <c r="R12" s="37"/>
      <c r="S12" s="33"/>
      <c r="V12" s="23" t="str">
        <f t="shared" si="0"/>
        <v/>
      </c>
      <c r="W12" s="23">
        <f t="shared" si="1"/>
        <v>15</v>
      </c>
      <c r="Z12" s="24" t="e">
        <f>#REF!+1</f>
        <v>#REF!</v>
      </c>
      <c r="AA12" s="23">
        <f t="shared" si="2"/>
        <v>0</v>
      </c>
      <c r="AC12" s="23">
        <f t="shared" ref="AC12:AC29" si="3">COUNTIF(M:M,Z12)</f>
        <v>0</v>
      </c>
      <c r="AD12" s="24"/>
      <c r="AE12" s="24">
        <v>15</v>
      </c>
      <c r="AF12" s="24">
        <f>COUNTIF(V:V,AE12)</f>
        <v>28</v>
      </c>
      <c r="AG12" s="24">
        <f>COUNTIF(W:W,$AE12)</f>
        <v>13</v>
      </c>
      <c r="AH12" s="29"/>
      <c r="AJ12" s="29"/>
    </row>
    <row r="13" spans="1:36" ht="30" customHeight="1" x14ac:dyDescent="0.25">
      <c r="A13" s="33" t="s">
        <v>3</v>
      </c>
      <c r="B13" s="34">
        <v>28126</v>
      </c>
      <c r="C13" s="34"/>
      <c r="D13" s="34">
        <v>40438</v>
      </c>
      <c r="E13" s="34">
        <v>28126</v>
      </c>
      <c r="F13" s="35"/>
      <c r="G13" s="53"/>
      <c r="H13" s="53"/>
      <c r="I13" s="53"/>
      <c r="K13" s="36"/>
      <c r="L13" s="34">
        <v>37032</v>
      </c>
      <c r="M13" s="33"/>
      <c r="N13" s="37">
        <v>6</v>
      </c>
      <c r="O13" s="34">
        <v>37032</v>
      </c>
      <c r="P13" s="34" t="s">
        <v>44</v>
      </c>
      <c r="Q13" s="37"/>
      <c r="R13" s="37"/>
      <c r="S13" s="33" t="s">
        <v>2</v>
      </c>
      <c r="V13" s="23">
        <f t="shared" si="0"/>
        <v>15</v>
      </c>
      <c r="W13" s="23" t="str">
        <f t="shared" si="1"/>
        <v/>
      </c>
      <c r="Z13" s="24" t="e">
        <f>#REF!+1</f>
        <v>#REF!</v>
      </c>
      <c r="AA13" s="23">
        <f t="shared" si="2"/>
        <v>0</v>
      </c>
      <c r="AC13" s="23">
        <f t="shared" si="3"/>
        <v>0</v>
      </c>
      <c r="AD13" s="24"/>
      <c r="AE13" s="24">
        <v>35</v>
      </c>
      <c r="AF13" s="24">
        <f>COUNTIF(V:V,AE13)</f>
        <v>9</v>
      </c>
      <c r="AG13" s="24">
        <f>COUNTIF(W:W,$AE13)</f>
        <v>4</v>
      </c>
      <c r="AH13" s="29"/>
    </row>
    <row r="14" spans="1:36" ht="30" customHeight="1" x14ac:dyDescent="0.25">
      <c r="A14" s="33" t="s">
        <v>4</v>
      </c>
      <c r="B14" s="34">
        <v>34912</v>
      </c>
      <c r="C14" s="34">
        <v>37032</v>
      </c>
      <c r="D14" s="34">
        <v>40800</v>
      </c>
      <c r="E14" s="34">
        <v>28126</v>
      </c>
      <c r="F14" s="35"/>
      <c r="G14" s="53"/>
      <c r="H14" s="53"/>
      <c r="I14" s="53"/>
      <c r="K14" s="36">
        <v>28126</v>
      </c>
      <c r="L14" s="34">
        <v>41068</v>
      </c>
      <c r="M14" s="37">
        <v>35</v>
      </c>
      <c r="N14" s="37"/>
      <c r="O14" s="34" t="s">
        <v>44</v>
      </c>
      <c r="P14" s="34">
        <v>41068</v>
      </c>
      <c r="Q14" s="37"/>
      <c r="R14" s="37"/>
      <c r="S14" s="33"/>
      <c r="V14" s="23" t="str">
        <f t="shared" si="0"/>
        <v/>
      </c>
      <c r="W14" s="23" t="e">
        <f t="shared" si="1"/>
        <v>#REF!</v>
      </c>
      <c r="Z14" s="24" t="e">
        <f>#REF!+1</f>
        <v>#REF!</v>
      </c>
      <c r="AA14" s="23">
        <f t="shared" si="2"/>
        <v>0</v>
      </c>
      <c r="AC14" s="23">
        <f t="shared" si="3"/>
        <v>0</v>
      </c>
      <c r="AD14" s="24"/>
      <c r="AG14" s="29"/>
      <c r="AH14" s="29"/>
    </row>
    <row r="15" spans="1:36" ht="30" customHeight="1" x14ac:dyDescent="0.25">
      <c r="A15" s="33" t="s">
        <v>5</v>
      </c>
      <c r="B15" s="34">
        <v>28126</v>
      </c>
      <c r="C15" s="34"/>
      <c r="D15" s="34">
        <v>41068</v>
      </c>
      <c r="E15" s="34">
        <v>28126</v>
      </c>
      <c r="F15" s="35"/>
      <c r="G15" s="53"/>
      <c r="H15" s="53"/>
      <c r="I15" s="53"/>
      <c r="K15" s="36"/>
      <c r="L15" s="34">
        <v>34557</v>
      </c>
      <c r="M15" s="33"/>
      <c r="N15" s="37">
        <v>17</v>
      </c>
      <c r="O15" s="34">
        <v>34557</v>
      </c>
      <c r="P15" s="34" t="s">
        <v>44</v>
      </c>
      <c r="Q15" s="37"/>
      <c r="R15" s="37"/>
      <c r="S15" s="33" t="s">
        <v>2</v>
      </c>
      <c r="V15" s="23">
        <f t="shared" si="0"/>
        <v>35</v>
      </c>
      <c r="W15" s="23" t="str">
        <f t="shared" si="1"/>
        <v/>
      </c>
      <c r="Z15" s="24" t="e">
        <f>#REF!+1</f>
        <v>#REF!</v>
      </c>
      <c r="AA15" s="23">
        <f t="shared" si="2"/>
        <v>0</v>
      </c>
      <c r="AC15" s="23">
        <f t="shared" si="3"/>
        <v>0</v>
      </c>
      <c r="AD15" s="24"/>
      <c r="AG15" s="29"/>
      <c r="AH15" s="29"/>
    </row>
    <row r="16" spans="1:36" ht="30" customHeight="1" x14ac:dyDescent="0.25">
      <c r="A16" s="33" t="s">
        <v>6</v>
      </c>
      <c r="B16" s="34">
        <v>28126</v>
      </c>
      <c r="C16" s="34">
        <v>32994</v>
      </c>
      <c r="D16" s="34">
        <v>32994</v>
      </c>
      <c r="E16" s="34">
        <v>28126</v>
      </c>
      <c r="F16" s="35"/>
      <c r="G16" s="53"/>
      <c r="H16" s="53"/>
      <c r="I16" s="53"/>
      <c r="K16" s="36"/>
      <c r="L16" s="34">
        <v>33725</v>
      </c>
      <c r="M16" s="33"/>
      <c r="N16" s="37">
        <v>15</v>
      </c>
      <c r="O16" s="34">
        <v>33725</v>
      </c>
      <c r="P16" s="34" t="s">
        <v>44</v>
      </c>
      <c r="Q16" s="37"/>
      <c r="R16" s="37"/>
      <c r="S16" s="33"/>
      <c r="V16" s="23">
        <f t="shared" si="0"/>
        <v>35</v>
      </c>
      <c r="W16" s="23" t="str">
        <f t="shared" si="1"/>
        <v/>
      </c>
      <c r="Z16" s="24" t="e">
        <f>#REF!+1</f>
        <v>#REF!</v>
      </c>
      <c r="AA16" s="23">
        <f t="shared" si="2"/>
        <v>0</v>
      </c>
      <c r="AC16" s="23">
        <f t="shared" si="3"/>
        <v>0</v>
      </c>
      <c r="AD16" s="24"/>
      <c r="AG16" s="29"/>
      <c r="AH16" s="29"/>
    </row>
    <row r="17" spans="1:34" ht="30" customHeight="1" x14ac:dyDescent="0.25">
      <c r="A17" s="33" t="s">
        <v>7</v>
      </c>
      <c r="B17" s="34">
        <v>28126</v>
      </c>
      <c r="C17" s="34">
        <v>34557</v>
      </c>
      <c r="D17" s="34">
        <v>39023</v>
      </c>
      <c r="E17" s="34">
        <v>28126</v>
      </c>
      <c r="F17" s="35"/>
      <c r="G17" s="53"/>
      <c r="H17" s="53"/>
      <c r="I17" s="53"/>
      <c r="K17" s="36">
        <v>28126</v>
      </c>
      <c r="L17" s="34">
        <v>42134</v>
      </c>
      <c r="M17" s="37">
        <v>8</v>
      </c>
      <c r="N17" s="37"/>
      <c r="O17" s="34" t="s">
        <v>44</v>
      </c>
      <c r="P17" s="34">
        <v>42134</v>
      </c>
      <c r="Q17" s="37"/>
      <c r="R17" s="37"/>
      <c r="S17" s="33"/>
      <c r="V17" s="23" t="str">
        <f t="shared" si="0"/>
        <v/>
      </c>
      <c r="W17" s="23">
        <f t="shared" si="1"/>
        <v>15</v>
      </c>
      <c r="Z17" s="24" t="e">
        <f>#REF!+1</f>
        <v>#REF!</v>
      </c>
      <c r="AA17" s="23">
        <f t="shared" si="2"/>
        <v>0</v>
      </c>
      <c r="AC17" s="23">
        <f t="shared" si="3"/>
        <v>0</v>
      </c>
      <c r="AD17" s="24"/>
      <c r="AG17" s="29"/>
      <c r="AH17" s="29"/>
    </row>
    <row r="18" spans="1:34" ht="30" customHeight="1" x14ac:dyDescent="0.25">
      <c r="A18" s="33" t="s">
        <v>8</v>
      </c>
      <c r="B18" s="34">
        <v>28126</v>
      </c>
      <c r="C18" s="34">
        <v>33725</v>
      </c>
      <c r="D18" s="34">
        <v>42125</v>
      </c>
      <c r="E18" s="34">
        <v>28126</v>
      </c>
      <c r="F18" s="35"/>
      <c r="G18" s="53"/>
      <c r="H18" s="53"/>
      <c r="I18" s="53"/>
      <c r="K18" s="36"/>
      <c r="L18" s="34">
        <v>31837</v>
      </c>
      <c r="M18" s="35"/>
      <c r="N18" s="37">
        <v>10</v>
      </c>
      <c r="O18" s="34">
        <v>31837</v>
      </c>
      <c r="P18" s="34" t="s">
        <v>44</v>
      </c>
      <c r="Q18" s="37"/>
      <c r="R18" s="37"/>
      <c r="S18" s="33" t="s">
        <v>2</v>
      </c>
      <c r="V18" s="23">
        <f t="shared" si="0"/>
        <v>15</v>
      </c>
      <c r="W18" s="23" t="str">
        <f t="shared" si="1"/>
        <v/>
      </c>
      <c r="Z18" s="24" t="e">
        <f>#REF!+1</f>
        <v>#REF!</v>
      </c>
      <c r="AA18" s="23">
        <f t="shared" si="2"/>
        <v>0</v>
      </c>
      <c r="AC18" s="23">
        <f t="shared" si="3"/>
        <v>0</v>
      </c>
      <c r="AD18" s="24"/>
      <c r="AG18" s="29"/>
      <c r="AH18" s="29"/>
    </row>
    <row r="19" spans="1:34" ht="30" customHeight="1" x14ac:dyDescent="0.25">
      <c r="A19" s="33" t="s">
        <v>9</v>
      </c>
      <c r="B19" s="34">
        <v>28126</v>
      </c>
      <c r="C19" s="34">
        <v>33905</v>
      </c>
      <c r="D19" s="34">
        <v>38168</v>
      </c>
      <c r="E19" s="34">
        <v>28126</v>
      </c>
      <c r="F19" s="35"/>
      <c r="G19" s="53"/>
      <c r="H19" s="53"/>
      <c r="I19" s="53"/>
      <c r="K19" s="36"/>
      <c r="L19" s="34">
        <v>33933</v>
      </c>
      <c r="M19" s="37">
        <v>8</v>
      </c>
      <c r="N19" s="37"/>
      <c r="O19" s="34" t="s">
        <v>44</v>
      </c>
      <c r="P19" s="34">
        <v>33933</v>
      </c>
      <c r="Q19" s="37"/>
      <c r="R19" s="37"/>
      <c r="S19" s="33"/>
      <c r="V19" s="23" t="str">
        <f t="shared" si="0"/>
        <v/>
      </c>
      <c r="W19" s="23">
        <f t="shared" si="1"/>
        <v>15</v>
      </c>
      <c r="Z19" s="24" t="e">
        <f>#REF!+1</f>
        <v>#REF!</v>
      </c>
      <c r="AA19" s="23">
        <f t="shared" si="2"/>
        <v>0</v>
      </c>
      <c r="AC19" s="23">
        <f t="shared" si="3"/>
        <v>0</v>
      </c>
      <c r="AD19" s="24"/>
      <c r="AG19" s="29"/>
      <c r="AH19" s="29"/>
    </row>
    <row r="20" spans="1:34" ht="30" customHeight="1" x14ac:dyDescent="0.25">
      <c r="A20" s="33" t="s">
        <v>9</v>
      </c>
      <c r="B20" s="34" t="s">
        <v>44</v>
      </c>
      <c r="C20" s="24"/>
      <c r="D20" s="34"/>
      <c r="E20" s="34">
        <v>33905</v>
      </c>
      <c r="F20" s="35"/>
      <c r="G20" s="53"/>
      <c r="H20" s="53"/>
      <c r="I20" s="53"/>
      <c r="K20" s="36"/>
      <c r="L20" s="34">
        <v>30987</v>
      </c>
      <c r="M20" s="33"/>
      <c r="N20" s="37">
        <v>7</v>
      </c>
      <c r="O20" s="34">
        <v>30987</v>
      </c>
      <c r="P20" s="34" t="s">
        <v>44</v>
      </c>
      <c r="Q20" s="37"/>
      <c r="R20" s="37"/>
      <c r="S20" s="33" t="s">
        <v>2</v>
      </c>
      <c r="V20" s="23">
        <f t="shared" si="0"/>
        <v>15</v>
      </c>
      <c r="W20" s="23" t="str">
        <f t="shared" si="1"/>
        <v/>
      </c>
      <c r="Z20" s="24" t="e">
        <f t="shared" ref="Z20:Z29" si="4">Z19+1</f>
        <v>#REF!</v>
      </c>
      <c r="AA20" s="23">
        <f t="shared" si="2"/>
        <v>0</v>
      </c>
      <c r="AC20" s="23">
        <f t="shared" si="3"/>
        <v>0</v>
      </c>
      <c r="AD20" s="24"/>
      <c r="AG20" s="29"/>
      <c r="AH20" s="29"/>
    </row>
    <row r="21" spans="1:34" ht="30" customHeight="1" x14ac:dyDescent="0.25">
      <c r="A21" s="37" t="s">
        <v>9</v>
      </c>
      <c r="B21" s="34" t="s">
        <v>44</v>
      </c>
      <c r="C21" s="24"/>
      <c r="D21" s="34"/>
      <c r="E21" s="34">
        <v>38168</v>
      </c>
      <c r="F21" s="35"/>
      <c r="G21" s="53"/>
      <c r="H21" s="53"/>
      <c r="I21" s="53"/>
      <c r="K21" s="36">
        <v>28126</v>
      </c>
      <c r="L21" s="38">
        <v>40851</v>
      </c>
      <c r="M21" s="37">
        <v>10</v>
      </c>
      <c r="N21" s="37"/>
      <c r="O21" s="38" t="s">
        <v>44</v>
      </c>
      <c r="P21" s="38">
        <v>40851</v>
      </c>
      <c r="Q21" s="37"/>
      <c r="R21" s="37"/>
      <c r="S21" s="33"/>
      <c r="V21" s="23" t="str">
        <f t="shared" si="0"/>
        <v/>
      </c>
      <c r="W21" s="23">
        <f t="shared" si="1"/>
        <v>15</v>
      </c>
      <c r="Z21" s="24" t="e">
        <f t="shared" si="4"/>
        <v>#REF!</v>
      </c>
      <c r="AA21" s="23">
        <f t="shared" si="2"/>
        <v>0</v>
      </c>
      <c r="AC21" s="23">
        <f t="shared" si="3"/>
        <v>0</v>
      </c>
      <c r="AD21" s="24"/>
      <c r="AG21" s="29"/>
      <c r="AH21" s="29"/>
    </row>
    <row r="22" spans="1:34" ht="30" customHeight="1" x14ac:dyDescent="0.25">
      <c r="A22" s="33" t="s">
        <v>10</v>
      </c>
      <c r="B22" s="34">
        <v>28126</v>
      </c>
      <c r="C22" s="34"/>
      <c r="D22" s="34"/>
      <c r="E22" s="34">
        <v>28126</v>
      </c>
      <c r="F22" s="35"/>
      <c r="G22" s="53"/>
      <c r="H22" s="53"/>
      <c r="I22" s="53"/>
      <c r="K22" s="36"/>
      <c r="L22" s="38">
        <v>37032</v>
      </c>
      <c r="M22" s="37"/>
      <c r="N22" s="37">
        <v>7</v>
      </c>
      <c r="O22" s="38">
        <v>37032</v>
      </c>
      <c r="P22" s="38" t="s">
        <v>44</v>
      </c>
      <c r="Q22" s="37"/>
      <c r="R22" s="37"/>
      <c r="S22" s="33" t="s">
        <v>2</v>
      </c>
      <c r="V22" s="23">
        <f t="shared" si="0"/>
        <v>15</v>
      </c>
      <c r="W22" s="23" t="str">
        <f t="shared" si="1"/>
        <v/>
      </c>
      <c r="Z22" s="24" t="e">
        <f t="shared" si="4"/>
        <v>#REF!</v>
      </c>
      <c r="AA22" s="23">
        <f t="shared" si="2"/>
        <v>0</v>
      </c>
      <c r="AC22" s="23">
        <f t="shared" si="3"/>
        <v>0</v>
      </c>
      <c r="AD22" s="24"/>
      <c r="AG22" s="29"/>
      <c r="AH22" s="29"/>
    </row>
    <row r="23" spans="1:34" ht="30" customHeight="1" x14ac:dyDescent="0.25">
      <c r="A23" s="33" t="s">
        <v>10</v>
      </c>
      <c r="B23" s="34" t="s">
        <v>44</v>
      </c>
      <c r="C23" s="34">
        <v>31837</v>
      </c>
      <c r="D23" s="34"/>
      <c r="E23" s="34">
        <v>31837</v>
      </c>
      <c r="F23" s="35"/>
      <c r="G23" s="53"/>
      <c r="H23" s="53"/>
      <c r="I23" s="53"/>
      <c r="K23" s="36"/>
      <c r="L23" s="38">
        <v>34572</v>
      </c>
      <c r="M23" s="37"/>
      <c r="N23" s="37">
        <v>10</v>
      </c>
      <c r="O23" s="38">
        <v>34572</v>
      </c>
      <c r="P23" s="38" t="s">
        <v>44</v>
      </c>
      <c r="Q23" s="37"/>
      <c r="R23" s="37"/>
      <c r="S23" s="33" t="s">
        <v>2</v>
      </c>
      <c r="V23" s="23">
        <f t="shared" si="0"/>
        <v>15</v>
      </c>
      <c r="W23" s="23" t="str">
        <f t="shared" si="1"/>
        <v/>
      </c>
      <c r="Z23" s="24" t="e">
        <f t="shared" si="4"/>
        <v>#REF!</v>
      </c>
      <c r="AA23" s="23">
        <f t="shared" si="2"/>
        <v>0</v>
      </c>
      <c r="AC23" s="23">
        <f t="shared" si="3"/>
        <v>0</v>
      </c>
      <c r="AD23" s="24"/>
      <c r="AG23" s="29"/>
      <c r="AH23" s="29"/>
    </row>
    <row r="24" spans="1:34" ht="30" customHeight="1" x14ac:dyDescent="0.25">
      <c r="A24" s="33" t="s">
        <v>10</v>
      </c>
      <c r="B24" s="34" t="s">
        <v>44</v>
      </c>
      <c r="C24" s="34">
        <v>34090</v>
      </c>
      <c r="D24" s="34"/>
      <c r="E24" s="34">
        <v>34090</v>
      </c>
      <c r="F24" s="35"/>
      <c r="G24" s="53"/>
      <c r="H24" s="53"/>
      <c r="I24" s="53"/>
      <c r="K24" s="36"/>
      <c r="L24" s="38">
        <v>30987</v>
      </c>
      <c r="M24" s="37"/>
      <c r="N24" s="37">
        <v>7</v>
      </c>
      <c r="O24" s="38">
        <v>30987</v>
      </c>
      <c r="P24" s="38" t="s">
        <v>44</v>
      </c>
      <c r="Q24" s="37"/>
      <c r="R24" s="37"/>
      <c r="S24" s="33" t="s">
        <v>2</v>
      </c>
      <c r="V24" s="23">
        <f t="shared" si="0"/>
        <v>15</v>
      </c>
      <c r="W24" s="23" t="str">
        <f t="shared" si="1"/>
        <v/>
      </c>
      <c r="Z24" s="24" t="e">
        <f t="shared" si="4"/>
        <v>#REF!</v>
      </c>
      <c r="AA24" s="23">
        <f t="shared" si="2"/>
        <v>0</v>
      </c>
      <c r="AC24" s="23">
        <f t="shared" si="3"/>
        <v>0</v>
      </c>
      <c r="AD24" s="24"/>
      <c r="AG24" s="29"/>
      <c r="AH24" s="29"/>
    </row>
    <row r="25" spans="1:34" ht="30" customHeight="1" x14ac:dyDescent="0.25">
      <c r="A25" s="33" t="s">
        <v>10</v>
      </c>
      <c r="B25" s="34" t="s">
        <v>44</v>
      </c>
      <c r="C25" s="34"/>
      <c r="D25" s="34">
        <v>35587</v>
      </c>
      <c r="E25" s="34">
        <v>35587</v>
      </c>
      <c r="F25" s="35"/>
      <c r="G25" s="53"/>
      <c r="H25" s="53"/>
      <c r="I25" s="53"/>
      <c r="K25" s="36">
        <v>28126</v>
      </c>
      <c r="L25" s="38">
        <v>41090</v>
      </c>
      <c r="M25" s="37">
        <v>16</v>
      </c>
      <c r="N25" s="37"/>
      <c r="O25" s="38" t="s">
        <v>44</v>
      </c>
      <c r="P25" s="38">
        <v>41090</v>
      </c>
      <c r="Q25" s="37"/>
      <c r="R25" s="37"/>
      <c r="S25" s="33"/>
      <c r="V25" s="23" t="str">
        <f t="shared" si="0"/>
        <v/>
      </c>
      <c r="W25" s="23">
        <f t="shared" si="1"/>
        <v>35</v>
      </c>
      <c r="Z25" s="24" t="e">
        <f t="shared" si="4"/>
        <v>#REF!</v>
      </c>
      <c r="AA25" s="23">
        <f t="shared" si="2"/>
        <v>0</v>
      </c>
      <c r="AC25" s="23">
        <f t="shared" si="3"/>
        <v>0</v>
      </c>
      <c r="AD25" s="24"/>
      <c r="AG25" s="29"/>
      <c r="AH25" s="29"/>
    </row>
    <row r="26" spans="1:34" ht="30" customHeight="1" x14ac:dyDescent="0.25">
      <c r="A26" s="37" t="s">
        <v>10</v>
      </c>
      <c r="B26" s="34" t="s">
        <v>44</v>
      </c>
      <c r="C26" s="34"/>
      <c r="D26" s="34">
        <v>42134</v>
      </c>
      <c r="E26" s="34">
        <v>42134</v>
      </c>
      <c r="F26" s="35"/>
      <c r="G26" s="53"/>
      <c r="H26" s="53"/>
      <c r="I26" s="53"/>
      <c r="K26" s="36"/>
      <c r="L26" s="38">
        <v>35323</v>
      </c>
      <c r="M26" s="37">
        <v>2</v>
      </c>
      <c r="N26" s="39"/>
      <c r="O26" s="38" t="s">
        <v>44</v>
      </c>
      <c r="P26" s="38">
        <v>35323</v>
      </c>
      <c r="Q26" s="39"/>
      <c r="R26" s="39"/>
      <c r="S26" s="33" t="s">
        <v>14</v>
      </c>
      <c r="V26" s="23" t="str">
        <f t="shared" si="0"/>
        <v/>
      </c>
      <c r="W26" s="23">
        <f t="shared" si="1"/>
        <v>15</v>
      </c>
      <c r="Z26" s="24" t="e">
        <f t="shared" si="4"/>
        <v>#REF!</v>
      </c>
      <c r="AA26" s="23">
        <f t="shared" si="2"/>
        <v>0</v>
      </c>
      <c r="AC26" s="23">
        <f t="shared" si="3"/>
        <v>0</v>
      </c>
      <c r="AD26" s="24"/>
      <c r="AG26" s="29"/>
      <c r="AH26" s="29"/>
    </row>
    <row r="27" spans="1:34" ht="30" customHeight="1" x14ac:dyDescent="0.25">
      <c r="A27" s="33" t="s">
        <v>11</v>
      </c>
      <c r="B27" s="34">
        <v>28126</v>
      </c>
      <c r="C27" s="34"/>
      <c r="D27" s="34"/>
      <c r="E27" s="34">
        <v>28126</v>
      </c>
      <c r="F27" s="35"/>
      <c r="G27" s="53"/>
      <c r="H27" s="53"/>
      <c r="I27" s="53"/>
      <c r="K27" s="36"/>
      <c r="L27" s="38">
        <v>34516</v>
      </c>
      <c r="M27" s="37"/>
      <c r="N27" s="37">
        <v>3</v>
      </c>
      <c r="O27" s="38">
        <v>34516</v>
      </c>
      <c r="P27" s="38" t="s">
        <v>44</v>
      </c>
      <c r="Q27" s="37"/>
      <c r="R27" s="37"/>
      <c r="S27" s="33" t="s">
        <v>2</v>
      </c>
      <c r="V27" s="23">
        <f t="shared" si="0"/>
        <v>15</v>
      </c>
      <c r="W27" s="23" t="str">
        <f t="shared" si="1"/>
        <v/>
      </c>
      <c r="Z27" s="24" t="e">
        <f t="shared" si="4"/>
        <v>#REF!</v>
      </c>
      <c r="AA27" s="23">
        <f t="shared" si="2"/>
        <v>0</v>
      </c>
      <c r="AC27" s="23">
        <f t="shared" si="3"/>
        <v>0</v>
      </c>
      <c r="AD27" s="24"/>
      <c r="AG27" s="29"/>
      <c r="AH27" s="29"/>
    </row>
    <row r="28" spans="1:34" ht="30" customHeight="1" x14ac:dyDescent="0.25">
      <c r="A28" s="33" t="s">
        <v>11</v>
      </c>
      <c r="B28" s="34" t="s">
        <v>44</v>
      </c>
      <c r="C28" s="34">
        <v>30987</v>
      </c>
      <c r="D28" s="34"/>
      <c r="E28" s="34">
        <v>30987</v>
      </c>
      <c r="F28" s="35"/>
      <c r="G28" s="53"/>
      <c r="H28" s="53"/>
      <c r="I28" s="53"/>
      <c r="K28" s="36"/>
      <c r="L28" s="38">
        <v>33482</v>
      </c>
      <c r="M28" s="37"/>
      <c r="N28" s="37">
        <v>14</v>
      </c>
      <c r="O28" s="38">
        <v>33482</v>
      </c>
      <c r="P28" s="38" t="s">
        <v>44</v>
      </c>
      <c r="Q28" s="37"/>
      <c r="R28" s="37"/>
      <c r="S28" s="33" t="s">
        <v>2</v>
      </c>
      <c r="V28" s="23">
        <f t="shared" si="0"/>
        <v>15</v>
      </c>
      <c r="W28" s="23" t="str">
        <f t="shared" si="1"/>
        <v/>
      </c>
      <c r="Z28" s="24" t="e">
        <f t="shared" si="4"/>
        <v>#REF!</v>
      </c>
      <c r="AA28" s="23">
        <f t="shared" si="2"/>
        <v>0</v>
      </c>
      <c r="AC28" s="23">
        <f t="shared" si="3"/>
        <v>0</v>
      </c>
      <c r="AD28" s="24"/>
      <c r="AG28" s="29"/>
      <c r="AH28" s="29"/>
    </row>
    <row r="29" spans="1:34" ht="30" customHeight="1" x14ac:dyDescent="0.25">
      <c r="A29" s="33" t="s">
        <v>11</v>
      </c>
      <c r="B29" s="34" t="s">
        <v>44</v>
      </c>
      <c r="C29" s="34"/>
      <c r="D29" s="34">
        <v>33933</v>
      </c>
      <c r="E29" s="34">
        <v>33933</v>
      </c>
      <c r="F29" s="35"/>
      <c r="G29" s="53"/>
      <c r="H29" s="53"/>
      <c r="I29" s="53"/>
      <c r="K29" s="36">
        <v>28126</v>
      </c>
      <c r="L29" s="38">
        <v>42476</v>
      </c>
      <c r="M29" s="37">
        <v>13</v>
      </c>
      <c r="N29" s="37"/>
      <c r="O29" s="38" t="s">
        <v>44</v>
      </c>
      <c r="P29" s="38">
        <v>42476</v>
      </c>
      <c r="Q29" s="37"/>
      <c r="R29" s="37"/>
      <c r="S29" s="33"/>
      <c r="V29" s="23" t="str">
        <f t="shared" si="0"/>
        <v/>
      </c>
      <c r="W29" s="23">
        <f t="shared" si="1"/>
        <v>15</v>
      </c>
      <c r="Z29" s="24" t="e">
        <f t="shared" si="4"/>
        <v>#REF!</v>
      </c>
      <c r="AA29" s="23">
        <f t="shared" si="2"/>
        <v>0</v>
      </c>
      <c r="AC29" s="23">
        <f t="shared" si="3"/>
        <v>0</v>
      </c>
      <c r="AD29" s="24"/>
      <c r="AG29" s="29"/>
      <c r="AH29" s="29"/>
    </row>
    <row r="30" spans="1:34" ht="30" customHeight="1" x14ac:dyDescent="0.25">
      <c r="A30" s="33" t="s">
        <v>11</v>
      </c>
      <c r="B30" s="34" t="s">
        <v>44</v>
      </c>
      <c r="C30" s="34">
        <v>35204</v>
      </c>
      <c r="D30" s="34"/>
      <c r="E30" s="34">
        <v>35204</v>
      </c>
      <c r="F30" s="35"/>
      <c r="G30" s="53"/>
      <c r="H30" s="53"/>
      <c r="I30" s="53"/>
      <c r="K30" s="36"/>
      <c r="L30" s="38">
        <v>37763</v>
      </c>
      <c r="M30" s="37"/>
      <c r="N30" s="37">
        <v>5</v>
      </c>
      <c r="O30" s="38">
        <v>37763</v>
      </c>
      <c r="P30" s="38" t="s">
        <v>44</v>
      </c>
      <c r="Q30" s="37"/>
      <c r="R30" s="37"/>
      <c r="S30" s="33" t="s">
        <v>2</v>
      </c>
      <c r="V30" s="23">
        <f t="shared" si="0"/>
        <v>15</v>
      </c>
      <c r="W30" s="23" t="str">
        <f t="shared" si="1"/>
        <v/>
      </c>
      <c r="AA30" s="23">
        <f>SUM(AA11:AA29)</f>
        <v>0</v>
      </c>
      <c r="AC30" s="23">
        <f>SUM(AC11:AC29)</f>
        <v>0</v>
      </c>
      <c r="AD30" s="24"/>
    </row>
    <row r="31" spans="1:34" ht="30" customHeight="1" x14ac:dyDescent="0.25">
      <c r="A31" s="37" t="s">
        <v>11</v>
      </c>
      <c r="B31" s="34" t="s">
        <v>44</v>
      </c>
      <c r="C31" s="34"/>
      <c r="D31" s="34">
        <v>42264</v>
      </c>
      <c r="E31" s="34">
        <v>42264</v>
      </c>
      <c r="F31" s="35"/>
      <c r="G31" s="53"/>
      <c r="H31" s="53"/>
      <c r="I31" s="53"/>
      <c r="K31" s="36"/>
      <c r="L31" s="38">
        <v>35923</v>
      </c>
      <c r="M31" s="37">
        <v>4</v>
      </c>
      <c r="N31" s="37"/>
      <c r="O31" s="38" t="s">
        <v>44</v>
      </c>
      <c r="P31" s="38">
        <v>35923</v>
      </c>
      <c r="Q31" s="37"/>
      <c r="R31" s="37"/>
      <c r="S31" s="33"/>
      <c r="V31" s="23" t="str">
        <f t="shared" si="0"/>
        <v/>
      </c>
      <c r="W31" s="23">
        <f t="shared" si="1"/>
        <v>15</v>
      </c>
      <c r="AD31" s="24"/>
    </row>
    <row r="32" spans="1:34" ht="30" customHeight="1" x14ac:dyDescent="0.25">
      <c r="A32" s="33" t="s">
        <v>12</v>
      </c>
      <c r="B32" s="34">
        <v>28126</v>
      </c>
      <c r="C32" s="34"/>
      <c r="D32" s="34"/>
      <c r="E32" s="34">
        <v>28126</v>
      </c>
      <c r="F32" s="35"/>
      <c r="G32" s="53"/>
      <c r="H32" s="53"/>
      <c r="I32" s="53"/>
      <c r="K32" s="36"/>
      <c r="L32" s="38">
        <v>34429</v>
      </c>
      <c r="M32" s="37"/>
      <c r="N32" s="37">
        <v>4</v>
      </c>
      <c r="O32" s="38">
        <v>34429</v>
      </c>
      <c r="P32" s="38" t="s">
        <v>44</v>
      </c>
      <c r="Q32" s="37"/>
      <c r="R32" s="37"/>
      <c r="S32" s="33" t="s">
        <v>2</v>
      </c>
      <c r="V32" s="23">
        <f t="shared" si="0"/>
        <v>15</v>
      </c>
      <c r="W32" s="23" t="str">
        <f t="shared" si="1"/>
        <v/>
      </c>
      <c r="AD32" s="24"/>
    </row>
    <row r="33" spans="1:30" ht="30" customHeight="1" x14ac:dyDescent="0.25">
      <c r="A33" s="33" t="s">
        <v>12</v>
      </c>
      <c r="B33" s="34" t="s">
        <v>44</v>
      </c>
      <c r="C33" s="34">
        <v>30987</v>
      </c>
      <c r="D33" s="34"/>
      <c r="E33" s="34">
        <v>30987</v>
      </c>
      <c r="F33" s="35"/>
      <c r="G33" s="53"/>
      <c r="H33" s="53"/>
      <c r="I33" s="53"/>
      <c r="K33" s="36"/>
      <c r="L33" s="38">
        <v>32994</v>
      </c>
      <c r="M33" s="39"/>
      <c r="N33" s="37">
        <v>13</v>
      </c>
      <c r="O33" s="38">
        <v>32994</v>
      </c>
      <c r="P33" s="38" t="s">
        <v>44</v>
      </c>
      <c r="Q33" s="37"/>
      <c r="R33" s="37"/>
      <c r="S33" s="33" t="s">
        <v>2</v>
      </c>
      <c r="V33" s="23">
        <f t="shared" si="0"/>
        <v>15</v>
      </c>
      <c r="W33" s="23" t="str">
        <f t="shared" si="1"/>
        <v/>
      </c>
      <c r="AD33" s="24"/>
    </row>
    <row r="34" spans="1:30" ht="30" customHeight="1" x14ac:dyDescent="0.25">
      <c r="A34" s="33" t="s">
        <v>12</v>
      </c>
      <c r="B34" s="34" t="s">
        <v>44</v>
      </c>
      <c r="C34" s="34">
        <v>34572</v>
      </c>
      <c r="D34" s="34"/>
      <c r="E34" s="34">
        <v>34572</v>
      </c>
      <c r="F34" s="35"/>
      <c r="G34" s="53"/>
      <c r="H34" s="53"/>
      <c r="I34" s="53"/>
      <c r="K34" s="36">
        <v>29952</v>
      </c>
      <c r="L34" s="38">
        <v>39022</v>
      </c>
      <c r="M34" s="39"/>
      <c r="N34" s="37">
        <v>7</v>
      </c>
      <c r="O34" s="38">
        <v>39022</v>
      </c>
      <c r="P34" s="38" t="s">
        <v>44</v>
      </c>
      <c r="Q34" s="37"/>
      <c r="R34" s="37"/>
      <c r="S34" s="33"/>
      <c r="V34" s="23">
        <f t="shared" si="0"/>
        <v>15</v>
      </c>
      <c r="W34" s="23" t="str">
        <f t="shared" si="1"/>
        <v/>
      </c>
      <c r="AD34" s="24"/>
    </row>
    <row r="35" spans="1:30" ht="30" customHeight="1" x14ac:dyDescent="0.25">
      <c r="A35" s="33" t="s">
        <v>12</v>
      </c>
      <c r="B35" s="34" t="s">
        <v>44</v>
      </c>
      <c r="C35" s="34">
        <v>37032</v>
      </c>
      <c r="D35" s="34"/>
      <c r="E35" s="34">
        <v>37032</v>
      </c>
      <c r="F35" s="35"/>
      <c r="G35" s="53"/>
      <c r="H35" s="53"/>
      <c r="I35" s="53"/>
      <c r="K35" s="36"/>
      <c r="L35" s="38">
        <v>36358</v>
      </c>
      <c r="M35" s="39"/>
      <c r="N35" s="37">
        <v>5</v>
      </c>
      <c r="O35" s="38">
        <v>36358</v>
      </c>
      <c r="P35" s="38" t="s">
        <v>44</v>
      </c>
      <c r="Q35" s="37"/>
      <c r="R35" s="37"/>
      <c r="S35" s="33" t="s">
        <v>2</v>
      </c>
      <c r="V35" s="23">
        <f t="shared" si="0"/>
        <v>15</v>
      </c>
      <c r="W35" s="23" t="str">
        <f t="shared" si="1"/>
        <v/>
      </c>
      <c r="AD35" s="24"/>
    </row>
    <row r="36" spans="1:30" ht="30" customHeight="1" x14ac:dyDescent="0.25">
      <c r="A36" s="37" t="s">
        <v>12</v>
      </c>
      <c r="B36" s="34" t="s">
        <v>44</v>
      </c>
      <c r="C36" s="34"/>
      <c r="D36" s="34">
        <v>40851</v>
      </c>
      <c r="E36" s="34">
        <v>40851</v>
      </c>
      <c r="F36" s="35"/>
      <c r="G36" s="53"/>
      <c r="H36" s="53"/>
      <c r="I36" s="53"/>
      <c r="K36" s="36"/>
      <c r="L36" s="38">
        <v>34564</v>
      </c>
      <c r="M36" s="37">
        <v>3</v>
      </c>
      <c r="N36" s="37"/>
      <c r="O36" s="38" t="s">
        <v>44</v>
      </c>
      <c r="P36" s="38">
        <v>34564</v>
      </c>
      <c r="Q36" s="37"/>
      <c r="R36" s="37"/>
      <c r="S36" s="33" t="s">
        <v>14</v>
      </c>
      <c r="V36" s="23" t="str">
        <f t="shared" si="0"/>
        <v/>
      </c>
      <c r="W36" s="23">
        <f t="shared" si="1"/>
        <v>15</v>
      </c>
      <c r="AD36" s="24"/>
    </row>
    <row r="37" spans="1:30" ht="30" customHeight="1" x14ac:dyDescent="0.25">
      <c r="A37" s="33" t="s">
        <v>13</v>
      </c>
      <c r="B37" s="34">
        <v>28126</v>
      </c>
      <c r="C37" s="34"/>
      <c r="D37" s="34"/>
      <c r="E37" s="34">
        <v>28126</v>
      </c>
      <c r="F37" s="35"/>
      <c r="G37" s="53"/>
      <c r="H37" s="53"/>
      <c r="I37" s="53"/>
      <c r="K37" s="36"/>
      <c r="L37" s="38">
        <v>33482</v>
      </c>
      <c r="M37" s="37"/>
      <c r="N37" s="37">
        <v>9</v>
      </c>
      <c r="O37" s="38">
        <v>33482</v>
      </c>
      <c r="P37" s="38" t="s">
        <v>44</v>
      </c>
      <c r="Q37" s="37"/>
      <c r="R37" s="37"/>
      <c r="S37" s="33" t="s">
        <v>2</v>
      </c>
      <c r="V37" s="23">
        <f t="shared" si="0"/>
        <v>15</v>
      </c>
      <c r="W37" s="23" t="str">
        <f t="shared" si="1"/>
        <v/>
      </c>
      <c r="AD37" s="24"/>
    </row>
    <row r="38" spans="1:30" ht="30" customHeight="1" x14ac:dyDescent="0.25">
      <c r="A38" s="33" t="s">
        <v>13</v>
      </c>
      <c r="B38" s="34" t="s">
        <v>44</v>
      </c>
      <c r="C38" s="34">
        <v>33482</v>
      </c>
      <c r="D38" s="34"/>
      <c r="E38" s="34">
        <v>33482</v>
      </c>
      <c r="F38" s="35"/>
      <c r="G38" s="53"/>
      <c r="H38" s="53"/>
      <c r="I38" s="53"/>
      <c r="K38" s="36">
        <v>31413</v>
      </c>
      <c r="L38" s="38">
        <v>42131</v>
      </c>
      <c r="M38" s="37">
        <v>15</v>
      </c>
      <c r="N38" s="37"/>
      <c r="O38" s="38" t="s">
        <v>44</v>
      </c>
      <c r="P38" s="38">
        <v>42131</v>
      </c>
      <c r="Q38" s="37"/>
      <c r="R38" s="37"/>
      <c r="S38" s="33"/>
      <c r="V38" s="23" t="str">
        <f t="shared" si="0"/>
        <v/>
      </c>
      <c r="W38" s="23">
        <f t="shared" si="1"/>
        <v>35</v>
      </c>
      <c r="AD38" s="24"/>
    </row>
    <row r="39" spans="1:30" ht="30" customHeight="1" x14ac:dyDescent="0.25">
      <c r="A39" s="33" t="s">
        <v>13</v>
      </c>
      <c r="B39" s="34" t="s">
        <v>44</v>
      </c>
      <c r="C39" s="34">
        <v>34516</v>
      </c>
      <c r="D39" s="34"/>
      <c r="E39" s="34">
        <v>34516</v>
      </c>
      <c r="F39" s="35"/>
      <c r="G39" s="53"/>
      <c r="H39" s="53"/>
      <c r="I39" s="53"/>
      <c r="K39" s="36"/>
      <c r="L39" s="38">
        <v>36759</v>
      </c>
      <c r="M39" s="37"/>
      <c r="N39" s="37">
        <v>2</v>
      </c>
      <c r="O39" s="38">
        <v>36759</v>
      </c>
      <c r="P39" s="38" t="s">
        <v>44</v>
      </c>
      <c r="Q39" s="37"/>
      <c r="R39" s="37"/>
      <c r="S39" s="33" t="s">
        <v>2</v>
      </c>
      <c r="V39" s="23">
        <f t="shared" si="0"/>
        <v>15</v>
      </c>
      <c r="W39" s="23" t="str">
        <f t="shared" si="1"/>
        <v/>
      </c>
      <c r="AD39" s="24"/>
    </row>
    <row r="40" spans="1:30" ht="30" customHeight="1" x14ac:dyDescent="0.25">
      <c r="A40" s="33" t="s">
        <v>13</v>
      </c>
      <c r="B40" s="34" t="s">
        <v>44</v>
      </c>
      <c r="C40" s="34"/>
      <c r="D40" s="34">
        <v>35323</v>
      </c>
      <c r="E40" s="34">
        <v>35323</v>
      </c>
      <c r="F40" s="35"/>
      <c r="G40" s="53"/>
      <c r="H40" s="53"/>
      <c r="I40" s="53"/>
      <c r="K40" s="36"/>
      <c r="L40" s="38">
        <v>35997</v>
      </c>
      <c r="M40" s="37"/>
      <c r="N40" s="37">
        <v>6</v>
      </c>
      <c r="O40" s="38">
        <v>35997</v>
      </c>
      <c r="P40" s="38" t="s">
        <v>44</v>
      </c>
      <c r="Q40" s="37"/>
      <c r="R40" s="37"/>
      <c r="S40" s="33" t="s">
        <v>2</v>
      </c>
      <c r="V40" s="23">
        <f t="shared" si="0"/>
        <v>15</v>
      </c>
      <c r="W40" s="23" t="str">
        <f t="shared" si="1"/>
        <v/>
      </c>
      <c r="AD40" s="24"/>
    </row>
    <row r="41" spans="1:30" ht="30" customHeight="1" x14ac:dyDescent="0.25">
      <c r="A41" s="33" t="s">
        <v>15</v>
      </c>
      <c r="B41" s="34">
        <v>28126</v>
      </c>
      <c r="C41" s="34"/>
      <c r="D41" s="34"/>
      <c r="E41" s="34">
        <v>28126</v>
      </c>
      <c r="F41" s="35"/>
      <c r="G41" s="53"/>
      <c r="H41" s="53"/>
      <c r="I41" s="53"/>
      <c r="K41" s="36"/>
      <c r="L41" s="38">
        <v>33725</v>
      </c>
      <c r="M41" s="37"/>
      <c r="N41" s="37">
        <v>3</v>
      </c>
      <c r="O41" s="38">
        <v>33725</v>
      </c>
      <c r="P41" s="38" t="s">
        <v>44</v>
      </c>
      <c r="Q41" s="37"/>
      <c r="R41" s="37"/>
      <c r="S41" s="33" t="s">
        <v>2</v>
      </c>
      <c r="V41" s="23">
        <f t="shared" si="0"/>
        <v>15</v>
      </c>
      <c r="W41" s="23" t="str">
        <f t="shared" si="1"/>
        <v/>
      </c>
      <c r="AD41" s="24"/>
    </row>
    <row r="42" spans="1:30" ht="30" customHeight="1" x14ac:dyDescent="0.25">
      <c r="A42" s="33" t="s">
        <v>15</v>
      </c>
      <c r="B42" s="34" t="s">
        <v>44</v>
      </c>
      <c r="C42" s="34">
        <v>32994</v>
      </c>
      <c r="D42" s="34"/>
      <c r="E42" s="34">
        <v>32994</v>
      </c>
      <c r="F42" s="35"/>
      <c r="G42" s="53"/>
      <c r="H42" s="53"/>
      <c r="I42" s="53"/>
      <c r="K42" s="36"/>
      <c r="L42" s="38">
        <v>32607</v>
      </c>
      <c r="M42" s="37"/>
      <c r="N42" s="37">
        <v>3</v>
      </c>
      <c r="O42" s="38">
        <v>32607</v>
      </c>
      <c r="P42" s="38" t="s">
        <v>44</v>
      </c>
      <c r="Q42" s="37"/>
      <c r="R42" s="37"/>
      <c r="S42" s="33" t="s">
        <v>2</v>
      </c>
      <c r="V42" s="23">
        <f t="shared" si="0"/>
        <v>15</v>
      </c>
      <c r="W42" s="23" t="str">
        <f t="shared" si="1"/>
        <v/>
      </c>
      <c r="AD42" s="24"/>
    </row>
    <row r="43" spans="1:30" ht="30" customHeight="1" x14ac:dyDescent="0.25">
      <c r="A43" s="33" t="s">
        <v>15</v>
      </c>
      <c r="B43" s="34" t="s">
        <v>44</v>
      </c>
      <c r="C43" s="34">
        <v>34429</v>
      </c>
      <c r="D43" s="34"/>
      <c r="E43" s="34">
        <v>34429</v>
      </c>
      <c r="F43" s="35"/>
      <c r="G43" s="53"/>
      <c r="H43" s="53"/>
      <c r="I43" s="53"/>
      <c r="K43" s="36">
        <v>28126</v>
      </c>
      <c r="L43" s="34">
        <v>38168</v>
      </c>
      <c r="M43" s="33"/>
      <c r="N43" s="37">
        <v>5</v>
      </c>
      <c r="O43" s="34">
        <v>38168</v>
      </c>
      <c r="P43" s="34" t="s">
        <v>44</v>
      </c>
      <c r="Q43" s="37"/>
      <c r="R43" s="37"/>
      <c r="S43" s="33" t="s">
        <v>2</v>
      </c>
      <c r="V43" s="23">
        <f t="shared" ref="V43:V65" si="5">IF(N43="","",INDEX($AE$11:$AE$13,MATCH(N43,$AE$11:$AE$13,TRUE)+1,1))</f>
        <v>15</v>
      </c>
      <c r="W43" s="23" t="str">
        <f t="shared" ref="W43:W65" si="6">IF(M43="","",INDEX($AE$11:$AE$13,MATCH(M43,$AE$11:$AE$13,TRUE)+1,1))</f>
        <v/>
      </c>
      <c r="AD43" s="24"/>
    </row>
    <row r="44" spans="1:30" ht="30" customHeight="1" x14ac:dyDescent="0.25">
      <c r="A44" s="33" t="s">
        <v>15</v>
      </c>
      <c r="B44" s="34" t="s">
        <v>44</v>
      </c>
      <c r="C44" s="34"/>
      <c r="D44" s="34">
        <v>35923</v>
      </c>
      <c r="E44" s="34">
        <v>35923</v>
      </c>
      <c r="F44" s="35"/>
      <c r="G44" s="53"/>
      <c r="H44" s="53"/>
      <c r="I44" s="53"/>
      <c r="K44" s="36"/>
      <c r="L44" s="34">
        <v>36431</v>
      </c>
      <c r="M44" s="33"/>
      <c r="N44" s="37">
        <v>3</v>
      </c>
      <c r="O44" s="34">
        <v>36431</v>
      </c>
      <c r="P44" s="34" t="s">
        <v>44</v>
      </c>
      <c r="Q44" s="37"/>
      <c r="R44" s="37"/>
      <c r="S44" s="33" t="s">
        <v>2</v>
      </c>
      <c r="V44" s="23">
        <f t="shared" si="5"/>
        <v>15</v>
      </c>
      <c r="W44" s="23" t="str">
        <f t="shared" si="6"/>
        <v/>
      </c>
      <c r="AD44" s="24"/>
    </row>
    <row r="45" spans="1:30" ht="30" customHeight="1" x14ac:dyDescent="0.25">
      <c r="A45" s="33" t="s">
        <v>15</v>
      </c>
      <c r="B45" s="34" t="s">
        <v>44</v>
      </c>
      <c r="C45" s="34">
        <v>37763</v>
      </c>
      <c r="D45" s="34"/>
      <c r="E45" s="34">
        <v>37763</v>
      </c>
      <c r="F45" s="35"/>
      <c r="G45" s="53"/>
      <c r="H45" s="53"/>
      <c r="I45" s="53"/>
      <c r="K45" s="36"/>
      <c r="L45" s="34">
        <v>35217</v>
      </c>
      <c r="M45" s="33"/>
      <c r="N45" s="37">
        <v>19</v>
      </c>
      <c r="O45" s="34">
        <v>35217</v>
      </c>
      <c r="P45" s="34" t="s">
        <v>44</v>
      </c>
      <c r="Q45" s="37"/>
      <c r="R45" s="37"/>
      <c r="S45" s="33" t="s">
        <v>2</v>
      </c>
      <c r="V45" s="23">
        <f t="shared" si="5"/>
        <v>35</v>
      </c>
      <c r="W45" s="23" t="str">
        <f t="shared" si="6"/>
        <v/>
      </c>
      <c r="AD45" s="24"/>
    </row>
    <row r="46" spans="1:30" ht="30" customHeight="1" x14ac:dyDescent="0.25">
      <c r="A46" s="37" t="s">
        <v>15</v>
      </c>
      <c r="B46" s="34" t="s">
        <v>44</v>
      </c>
      <c r="C46" s="34"/>
      <c r="D46" s="34">
        <v>42476</v>
      </c>
      <c r="E46" s="34">
        <v>42476</v>
      </c>
      <c r="F46" s="35"/>
      <c r="G46" s="53"/>
      <c r="H46" s="53"/>
      <c r="I46" s="53"/>
      <c r="K46" s="36">
        <v>28126</v>
      </c>
      <c r="L46" s="34">
        <v>41782</v>
      </c>
      <c r="M46" s="37">
        <v>12</v>
      </c>
      <c r="N46" s="37"/>
      <c r="O46" s="34" t="s">
        <v>44</v>
      </c>
      <c r="P46" s="34">
        <v>41782</v>
      </c>
      <c r="Q46" s="37"/>
      <c r="R46" s="37"/>
      <c r="S46" s="33"/>
      <c r="V46" s="23" t="str">
        <f t="shared" si="5"/>
        <v/>
      </c>
      <c r="W46" s="23">
        <f t="shared" si="6"/>
        <v>15</v>
      </c>
      <c r="AD46" s="24"/>
    </row>
    <row r="47" spans="1:30" ht="30" customHeight="1" x14ac:dyDescent="0.25">
      <c r="A47" s="33" t="s">
        <v>22</v>
      </c>
      <c r="B47" s="34">
        <v>29952</v>
      </c>
      <c r="C47" s="34"/>
      <c r="D47" s="34"/>
      <c r="E47" s="34">
        <v>29952</v>
      </c>
      <c r="F47" s="35"/>
      <c r="G47" s="53"/>
      <c r="H47" s="53"/>
      <c r="I47" s="53"/>
      <c r="K47" s="36"/>
      <c r="L47" s="34">
        <v>33774</v>
      </c>
      <c r="M47" s="35"/>
      <c r="N47" s="37">
        <v>15</v>
      </c>
      <c r="O47" s="34">
        <v>33774</v>
      </c>
      <c r="P47" s="34" t="s">
        <v>44</v>
      </c>
      <c r="Q47" s="37"/>
      <c r="R47" s="37"/>
      <c r="S47" s="33" t="s">
        <v>2</v>
      </c>
      <c r="V47" s="23">
        <f t="shared" si="5"/>
        <v>35</v>
      </c>
      <c r="W47" s="23" t="str">
        <f t="shared" si="6"/>
        <v/>
      </c>
      <c r="AD47" s="24"/>
    </row>
    <row r="48" spans="1:30" ht="30" customHeight="1" x14ac:dyDescent="0.25">
      <c r="A48" s="33" t="s">
        <v>22</v>
      </c>
      <c r="B48" s="34" t="s">
        <v>44</v>
      </c>
      <c r="C48" s="34">
        <v>33482</v>
      </c>
      <c r="D48" s="34"/>
      <c r="E48" s="34">
        <v>33482</v>
      </c>
      <c r="F48" s="35"/>
      <c r="G48" s="53"/>
      <c r="H48" s="53"/>
      <c r="I48" s="53"/>
      <c r="K48" s="36">
        <v>28126</v>
      </c>
      <c r="L48" s="34">
        <v>40438</v>
      </c>
      <c r="M48" s="37">
        <v>9</v>
      </c>
      <c r="N48" s="37"/>
      <c r="O48" s="34" t="s">
        <v>44</v>
      </c>
      <c r="P48" s="34">
        <v>40438</v>
      </c>
      <c r="Q48" s="37"/>
      <c r="R48" s="37"/>
      <c r="S48" s="33"/>
      <c r="V48" s="23" t="str">
        <f t="shared" si="5"/>
        <v/>
      </c>
      <c r="W48" s="23">
        <f t="shared" si="6"/>
        <v>15</v>
      </c>
      <c r="AD48" s="24"/>
    </row>
    <row r="49" spans="1:30" ht="30" customHeight="1" x14ac:dyDescent="0.25">
      <c r="A49" s="33" t="s">
        <v>22</v>
      </c>
      <c r="B49" s="34" t="s">
        <v>44</v>
      </c>
      <c r="C49" s="34"/>
      <c r="D49" s="34">
        <v>34564</v>
      </c>
      <c r="E49" s="34">
        <v>34564</v>
      </c>
      <c r="F49" s="35"/>
      <c r="G49" s="53"/>
      <c r="H49" s="53"/>
      <c r="I49" s="53"/>
      <c r="K49" s="36"/>
      <c r="L49" s="34">
        <v>37083</v>
      </c>
      <c r="M49" s="33"/>
      <c r="N49" s="37">
        <v>7</v>
      </c>
      <c r="O49" s="34">
        <v>37083</v>
      </c>
      <c r="P49" s="34" t="s">
        <v>44</v>
      </c>
      <c r="Q49" s="37"/>
      <c r="R49" s="37"/>
      <c r="S49" s="33" t="s">
        <v>2</v>
      </c>
      <c r="V49" s="23">
        <f t="shared" si="5"/>
        <v>15</v>
      </c>
      <c r="W49" s="23" t="str">
        <f t="shared" si="6"/>
        <v/>
      </c>
      <c r="AD49" s="24"/>
    </row>
    <row r="50" spans="1:30" ht="30" customHeight="1" x14ac:dyDescent="0.25">
      <c r="A50" s="33" t="s">
        <v>22</v>
      </c>
      <c r="B50" s="34" t="s">
        <v>44</v>
      </c>
      <c r="C50" s="34">
        <v>36358</v>
      </c>
      <c r="D50" s="34"/>
      <c r="E50" s="34">
        <v>36358</v>
      </c>
      <c r="F50" s="35"/>
      <c r="G50" s="53"/>
      <c r="H50" s="53"/>
      <c r="I50" s="53"/>
      <c r="K50" s="36"/>
      <c r="L50" s="34">
        <v>34639</v>
      </c>
      <c r="M50" s="33"/>
      <c r="N50" s="37">
        <v>17</v>
      </c>
      <c r="O50" s="34">
        <v>34639</v>
      </c>
      <c r="P50" s="34" t="s">
        <v>44</v>
      </c>
      <c r="Q50" s="37"/>
      <c r="R50" s="37"/>
      <c r="S50" s="33"/>
      <c r="V50" s="23">
        <f t="shared" si="5"/>
        <v>35</v>
      </c>
      <c r="W50" s="23" t="str">
        <f t="shared" si="6"/>
        <v/>
      </c>
      <c r="AD50" s="24"/>
    </row>
    <row r="51" spans="1:30" ht="30" customHeight="1" x14ac:dyDescent="0.25">
      <c r="A51" s="37" t="s">
        <v>22</v>
      </c>
      <c r="B51" s="34" t="s">
        <v>44</v>
      </c>
      <c r="C51" s="34">
        <v>39022</v>
      </c>
      <c r="D51" s="34"/>
      <c r="E51" s="34">
        <v>39022</v>
      </c>
      <c r="F51" s="35"/>
      <c r="G51" s="53"/>
      <c r="H51" s="53"/>
      <c r="I51" s="53"/>
      <c r="K51" s="36">
        <v>28126</v>
      </c>
      <c r="L51" s="34">
        <v>40800</v>
      </c>
      <c r="M51" s="37">
        <v>10</v>
      </c>
      <c r="N51" s="37"/>
      <c r="O51" s="34" t="s">
        <v>44</v>
      </c>
      <c r="P51" s="34">
        <v>40800</v>
      </c>
      <c r="Q51" s="37"/>
      <c r="R51" s="37"/>
      <c r="S51" s="33"/>
      <c r="V51" s="23" t="str">
        <f t="shared" si="5"/>
        <v/>
      </c>
      <c r="W51" s="23">
        <f t="shared" si="6"/>
        <v>15</v>
      </c>
      <c r="AD51" s="24"/>
    </row>
    <row r="52" spans="1:30" ht="30" customHeight="1" x14ac:dyDescent="0.25">
      <c r="A52" s="37" t="s">
        <v>23</v>
      </c>
      <c r="B52" s="34">
        <v>31413</v>
      </c>
      <c r="C52" s="34"/>
      <c r="D52" s="34"/>
      <c r="E52" s="34">
        <v>31413</v>
      </c>
      <c r="F52" s="35"/>
      <c r="G52" s="53"/>
      <c r="H52" s="53"/>
      <c r="I52" s="53"/>
      <c r="K52" s="36"/>
      <c r="L52" s="34">
        <v>37032</v>
      </c>
      <c r="M52" s="33"/>
      <c r="N52" s="37">
        <v>7</v>
      </c>
      <c r="O52" s="34">
        <v>37032</v>
      </c>
      <c r="P52" s="34" t="s">
        <v>44</v>
      </c>
      <c r="Q52" s="37"/>
      <c r="R52" s="37"/>
      <c r="S52" s="33" t="s">
        <v>2</v>
      </c>
      <c r="V52" s="23">
        <f t="shared" si="5"/>
        <v>15</v>
      </c>
      <c r="W52" s="23" t="str">
        <f t="shared" si="6"/>
        <v/>
      </c>
      <c r="AD52" s="24"/>
    </row>
    <row r="53" spans="1:30" ht="30" customHeight="1" x14ac:dyDescent="0.25">
      <c r="A53" s="37" t="s">
        <v>23</v>
      </c>
      <c r="B53" s="34" t="s">
        <v>44</v>
      </c>
      <c r="C53" s="34">
        <v>32607</v>
      </c>
      <c r="D53" s="34"/>
      <c r="E53" s="34">
        <v>32607</v>
      </c>
      <c r="F53" s="35"/>
      <c r="G53" s="53"/>
      <c r="H53" s="53"/>
      <c r="I53" s="53"/>
      <c r="K53" s="36"/>
      <c r="L53" s="34">
        <v>34575</v>
      </c>
      <c r="M53" s="33"/>
      <c r="N53" s="37">
        <v>2</v>
      </c>
      <c r="O53" s="34">
        <v>34575</v>
      </c>
      <c r="P53" s="34" t="s">
        <v>44</v>
      </c>
      <c r="Q53" s="37"/>
      <c r="R53" s="37"/>
      <c r="S53" s="33" t="s">
        <v>2</v>
      </c>
      <c r="V53" s="23">
        <f t="shared" si="5"/>
        <v>15</v>
      </c>
      <c r="W53" s="23" t="str">
        <f t="shared" si="6"/>
        <v/>
      </c>
      <c r="AD53" s="24"/>
    </row>
    <row r="54" spans="1:30" ht="30" customHeight="1" x14ac:dyDescent="0.25">
      <c r="A54" s="37" t="s">
        <v>23</v>
      </c>
      <c r="B54" s="34" t="s">
        <v>44</v>
      </c>
      <c r="C54" s="34">
        <v>33725</v>
      </c>
      <c r="D54" s="34"/>
      <c r="E54" s="34">
        <v>33725</v>
      </c>
      <c r="F54" s="35"/>
      <c r="G54" s="53"/>
      <c r="H54" s="53"/>
      <c r="I54" s="53"/>
      <c r="K54" s="36"/>
      <c r="L54" s="34">
        <v>33695</v>
      </c>
      <c r="M54" s="33"/>
      <c r="N54" s="37">
        <v>15</v>
      </c>
      <c r="O54" s="34">
        <v>33695</v>
      </c>
      <c r="P54" s="34" t="s">
        <v>44</v>
      </c>
      <c r="Q54" s="37"/>
      <c r="R54" s="37"/>
      <c r="S54" s="33" t="s">
        <v>2</v>
      </c>
      <c r="V54" s="23">
        <f t="shared" si="5"/>
        <v>35</v>
      </c>
      <c r="W54" s="23" t="str">
        <f t="shared" si="6"/>
        <v/>
      </c>
      <c r="AD54" s="24"/>
    </row>
    <row r="55" spans="1:30" ht="30" customHeight="1" x14ac:dyDescent="0.25">
      <c r="A55" s="37" t="s">
        <v>23</v>
      </c>
      <c r="B55" s="34" t="s">
        <v>44</v>
      </c>
      <c r="C55" s="34">
        <v>35997</v>
      </c>
      <c r="D55" s="34"/>
      <c r="E55" s="34">
        <v>35997</v>
      </c>
      <c r="F55" s="35"/>
      <c r="G55" s="53"/>
      <c r="H55" s="53"/>
      <c r="I55" s="53"/>
      <c r="K55" s="36" t="s">
        <v>33</v>
      </c>
      <c r="L55" s="34">
        <v>41039</v>
      </c>
      <c r="M55" s="37">
        <v>16</v>
      </c>
      <c r="N55" s="37"/>
      <c r="O55" s="34" t="s">
        <v>44</v>
      </c>
      <c r="P55" s="34">
        <v>41039</v>
      </c>
      <c r="Q55" s="37"/>
      <c r="R55" s="37"/>
      <c r="S55" s="33"/>
      <c r="V55" s="23" t="str">
        <f t="shared" si="5"/>
        <v/>
      </c>
      <c r="W55" s="23">
        <f t="shared" si="6"/>
        <v>35</v>
      </c>
      <c r="AD55" s="24"/>
    </row>
    <row r="56" spans="1:30" ht="30" customHeight="1" x14ac:dyDescent="0.25">
      <c r="A56" s="37" t="s">
        <v>23</v>
      </c>
      <c r="B56" s="34" t="s">
        <v>44</v>
      </c>
      <c r="C56" s="34">
        <v>36759</v>
      </c>
      <c r="D56" s="34"/>
      <c r="E56" s="34">
        <v>36759</v>
      </c>
      <c r="F56" s="35"/>
      <c r="G56" s="53"/>
      <c r="H56" s="53"/>
      <c r="I56" s="53"/>
      <c r="K56" s="36"/>
      <c r="L56" s="34">
        <v>35298</v>
      </c>
      <c r="M56" s="35"/>
      <c r="N56" s="37">
        <v>3</v>
      </c>
      <c r="O56" s="34">
        <v>35298</v>
      </c>
      <c r="P56" s="34" t="s">
        <v>44</v>
      </c>
      <c r="Q56" s="37"/>
      <c r="R56" s="37"/>
      <c r="S56" s="33" t="s">
        <v>2</v>
      </c>
      <c r="V56" s="23">
        <f t="shared" si="5"/>
        <v>15</v>
      </c>
      <c r="W56" s="23" t="str">
        <f t="shared" si="6"/>
        <v/>
      </c>
      <c r="AD56" s="24"/>
    </row>
    <row r="57" spans="1:30" ht="30" customHeight="1" x14ac:dyDescent="0.25">
      <c r="A57" s="37" t="s">
        <v>23</v>
      </c>
      <c r="B57" s="34" t="s">
        <v>44</v>
      </c>
      <c r="C57" s="34"/>
      <c r="D57" s="34">
        <v>42131</v>
      </c>
      <c r="E57" s="34">
        <v>42131</v>
      </c>
      <c r="F57" s="35"/>
      <c r="G57" s="53"/>
      <c r="H57" s="53"/>
      <c r="I57" s="53"/>
      <c r="K57" s="36"/>
      <c r="L57" s="34">
        <v>34151</v>
      </c>
      <c r="M57" s="35"/>
      <c r="N57" s="37">
        <v>16</v>
      </c>
      <c r="O57" s="34">
        <v>34151</v>
      </c>
      <c r="P57" s="34" t="s">
        <v>44</v>
      </c>
      <c r="Q57" s="37"/>
      <c r="R57" s="37"/>
      <c r="S57" s="33" t="s">
        <v>2</v>
      </c>
      <c r="V57" s="23">
        <f t="shared" si="5"/>
        <v>35</v>
      </c>
      <c r="W57" s="23" t="str">
        <f t="shared" si="6"/>
        <v/>
      </c>
      <c r="AD57" s="24"/>
    </row>
    <row r="58" spans="1:30" ht="30" customHeight="1" x14ac:dyDescent="0.25">
      <c r="A58" s="37" t="s">
        <v>24</v>
      </c>
      <c r="B58" s="34">
        <v>28126</v>
      </c>
      <c r="C58" s="34"/>
      <c r="D58" s="34"/>
      <c r="E58" s="34">
        <v>28126</v>
      </c>
      <c r="F58" s="35"/>
      <c r="G58" s="53"/>
      <c r="H58" s="53"/>
      <c r="I58" s="53"/>
      <c r="K58" s="36" t="s">
        <v>33</v>
      </c>
      <c r="L58" s="34">
        <v>42492</v>
      </c>
      <c r="M58" s="37">
        <v>13</v>
      </c>
      <c r="N58" s="37"/>
      <c r="O58" s="34" t="s">
        <v>44</v>
      </c>
      <c r="P58" s="34">
        <v>42492</v>
      </c>
      <c r="Q58" s="37"/>
      <c r="R58" s="37"/>
      <c r="S58" s="33"/>
      <c r="V58" s="23" t="str">
        <f t="shared" si="5"/>
        <v/>
      </c>
      <c r="W58" s="23">
        <f t="shared" si="6"/>
        <v>15</v>
      </c>
      <c r="AD58" s="24"/>
    </row>
    <row r="59" spans="1:30" ht="30" customHeight="1" x14ac:dyDescent="0.25">
      <c r="A59" s="37" t="s">
        <v>24</v>
      </c>
      <c r="B59" s="34" t="s">
        <v>44</v>
      </c>
      <c r="C59" s="34">
        <v>35217</v>
      </c>
      <c r="D59" s="34"/>
      <c r="E59" s="34">
        <v>35217</v>
      </c>
      <c r="F59" s="35"/>
      <c r="G59" s="53"/>
      <c r="H59" s="53"/>
      <c r="I59" s="53"/>
      <c r="K59" s="36"/>
      <c r="L59" s="34">
        <v>37763</v>
      </c>
      <c r="M59" s="35"/>
      <c r="N59" s="37">
        <v>5</v>
      </c>
      <c r="O59" s="34">
        <v>37763</v>
      </c>
      <c r="P59" s="34" t="s">
        <v>44</v>
      </c>
      <c r="Q59" s="37"/>
      <c r="R59" s="37"/>
      <c r="S59" s="33" t="s">
        <v>2</v>
      </c>
      <c r="V59" s="23">
        <f t="shared" si="5"/>
        <v>15</v>
      </c>
      <c r="W59" s="23" t="str">
        <f t="shared" si="6"/>
        <v/>
      </c>
      <c r="AD59" s="24"/>
    </row>
    <row r="60" spans="1:30" ht="30" customHeight="1" x14ac:dyDescent="0.25">
      <c r="A60" s="37" t="s">
        <v>24</v>
      </c>
      <c r="B60" s="34" t="s">
        <v>44</v>
      </c>
      <c r="C60" s="34">
        <v>36431</v>
      </c>
      <c r="D60" s="34"/>
      <c r="E60" s="34">
        <v>36431</v>
      </c>
      <c r="F60" s="35"/>
      <c r="G60" s="53"/>
      <c r="H60" s="53"/>
      <c r="I60" s="53"/>
      <c r="K60" s="36"/>
      <c r="L60" s="34">
        <v>35921</v>
      </c>
      <c r="M60" s="35"/>
      <c r="N60" s="37">
        <v>21</v>
      </c>
      <c r="O60" s="34">
        <v>35921</v>
      </c>
      <c r="P60" s="34" t="s">
        <v>44</v>
      </c>
      <c r="Q60" s="37"/>
      <c r="R60" s="37"/>
      <c r="S60" s="33" t="s">
        <v>2</v>
      </c>
      <c r="V60" s="23">
        <f t="shared" si="5"/>
        <v>35</v>
      </c>
      <c r="W60" s="23" t="str">
        <f t="shared" si="6"/>
        <v/>
      </c>
      <c r="AD60" s="24"/>
    </row>
    <row r="61" spans="1:30" ht="30" customHeight="1" x14ac:dyDescent="0.25">
      <c r="A61" s="37" t="s">
        <v>24</v>
      </c>
      <c r="B61" s="34" t="s">
        <v>44</v>
      </c>
      <c r="C61" s="34">
        <v>38168</v>
      </c>
      <c r="D61" s="34"/>
      <c r="E61" s="34">
        <v>38168</v>
      </c>
      <c r="F61" s="35"/>
      <c r="G61" s="53"/>
      <c r="H61" s="53"/>
      <c r="I61" s="53"/>
      <c r="K61" s="36">
        <v>30164</v>
      </c>
      <c r="L61" s="34">
        <v>37518</v>
      </c>
      <c r="M61" s="35"/>
      <c r="N61" s="37">
        <v>4</v>
      </c>
      <c r="O61" s="34">
        <v>37518</v>
      </c>
      <c r="P61" s="34" t="s">
        <v>44</v>
      </c>
      <c r="Q61" s="37"/>
      <c r="R61" s="37"/>
      <c r="S61" s="33" t="s">
        <v>2</v>
      </c>
      <c r="V61" s="23">
        <f t="shared" si="5"/>
        <v>15</v>
      </c>
      <c r="W61" s="23" t="str">
        <f t="shared" si="6"/>
        <v/>
      </c>
      <c r="AD61" s="24"/>
    </row>
    <row r="62" spans="1:30" ht="30" customHeight="1" x14ac:dyDescent="0.25">
      <c r="A62" s="37" t="s">
        <v>25</v>
      </c>
      <c r="B62" s="34">
        <v>28126</v>
      </c>
      <c r="C62" s="34"/>
      <c r="D62" s="34"/>
      <c r="E62" s="34">
        <v>28126</v>
      </c>
      <c r="F62" s="35"/>
      <c r="G62" s="53"/>
      <c r="H62" s="53"/>
      <c r="I62" s="53"/>
      <c r="K62" s="36"/>
      <c r="L62" s="34">
        <v>35977</v>
      </c>
      <c r="M62" s="35"/>
      <c r="N62" s="37">
        <v>16</v>
      </c>
      <c r="O62" s="34">
        <v>35977</v>
      </c>
      <c r="P62" s="34" t="s">
        <v>44</v>
      </c>
      <c r="Q62" s="37"/>
      <c r="R62" s="37"/>
      <c r="S62" s="33" t="s">
        <v>2</v>
      </c>
      <c r="V62" s="23">
        <f t="shared" si="5"/>
        <v>35</v>
      </c>
      <c r="W62" s="23" t="str">
        <f t="shared" si="6"/>
        <v/>
      </c>
      <c r="AD62" s="24"/>
    </row>
    <row r="63" spans="1:30" ht="30" customHeight="1" x14ac:dyDescent="0.25">
      <c r="A63" s="37" t="s">
        <v>25</v>
      </c>
      <c r="B63" s="34" t="s">
        <v>44</v>
      </c>
      <c r="C63" s="34">
        <v>33774</v>
      </c>
      <c r="D63" s="34"/>
      <c r="E63" s="34">
        <v>33774</v>
      </c>
      <c r="F63" s="35"/>
      <c r="G63" s="53"/>
      <c r="H63" s="53"/>
      <c r="I63" s="53"/>
      <c r="K63" s="36">
        <v>32143</v>
      </c>
      <c r="L63" s="34">
        <v>42125</v>
      </c>
      <c r="M63" s="37">
        <v>17</v>
      </c>
      <c r="N63" s="37"/>
      <c r="O63" s="34" t="s">
        <v>44</v>
      </c>
      <c r="P63" s="34">
        <v>42125</v>
      </c>
      <c r="Q63" s="37"/>
      <c r="R63" s="37"/>
      <c r="S63" s="33"/>
      <c r="V63" s="23" t="str">
        <f t="shared" si="5"/>
        <v/>
      </c>
      <c r="W63" s="23">
        <f t="shared" si="6"/>
        <v>35</v>
      </c>
      <c r="AD63" s="24"/>
    </row>
    <row r="64" spans="1:30" ht="30" customHeight="1" x14ac:dyDescent="0.25">
      <c r="A64" s="37" t="s">
        <v>25</v>
      </c>
      <c r="B64" s="34" t="s">
        <v>44</v>
      </c>
      <c r="C64" s="34"/>
      <c r="D64" s="34">
        <v>41782</v>
      </c>
      <c r="E64" s="34">
        <v>41782</v>
      </c>
      <c r="F64" s="35"/>
      <c r="G64" s="53"/>
      <c r="H64" s="53"/>
      <c r="I64" s="53"/>
      <c r="K64" s="36"/>
      <c r="L64" s="34">
        <v>35997</v>
      </c>
      <c r="M64" s="33"/>
      <c r="N64" s="37">
        <v>6</v>
      </c>
      <c r="O64" s="34">
        <v>35997</v>
      </c>
      <c r="P64" s="34" t="s">
        <v>44</v>
      </c>
      <c r="Q64" s="37"/>
      <c r="R64" s="37"/>
      <c r="S64" s="33" t="s">
        <v>2</v>
      </c>
      <c r="V64" s="23">
        <f t="shared" si="5"/>
        <v>15</v>
      </c>
      <c r="W64" s="23" t="str">
        <f t="shared" si="6"/>
        <v/>
      </c>
      <c r="AD64" s="24"/>
    </row>
    <row r="65" spans="1:30" ht="30" customHeight="1" x14ac:dyDescent="0.25">
      <c r="A65" s="37" t="s">
        <v>26</v>
      </c>
      <c r="B65" s="34">
        <v>28126</v>
      </c>
      <c r="C65" s="34"/>
      <c r="D65" s="34"/>
      <c r="E65" s="34">
        <v>28126</v>
      </c>
      <c r="F65" s="35"/>
      <c r="G65" s="53"/>
      <c r="H65" s="53"/>
      <c r="I65" s="53"/>
      <c r="K65" s="36"/>
      <c r="L65" s="34">
        <v>33725</v>
      </c>
      <c r="M65" s="33"/>
      <c r="N65" s="37">
        <v>4</v>
      </c>
      <c r="O65" s="34">
        <v>33725</v>
      </c>
      <c r="P65" s="34" t="s">
        <v>44</v>
      </c>
      <c r="Q65" s="37"/>
      <c r="R65" s="37"/>
      <c r="S65" s="33" t="s">
        <v>32</v>
      </c>
      <c r="V65" s="23">
        <f t="shared" si="5"/>
        <v>15</v>
      </c>
      <c r="W65" s="23" t="str">
        <f t="shared" si="6"/>
        <v/>
      </c>
      <c r="AD65" s="24"/>
    </row>
    <row r="66" spans="1:30" ht="30" customHeight="1" x14ac:dyDescent="0.25">
      <c r="A66" s="37" t="s">
        <v>26</v>
      </c>
      <c r="B66" s="34" t="s">
        <v>44</v>
      </c>
      <c r="C66" s="34">
        <v>34639</v>
      </c>
      <c r="D66" s="34"/>
      <c r="E66" s="34">
        <v>34639</v>
      </c>
      <c r="F66" s="35"/>
      <c r="G66" s="53"/>
      <c r="H66" s="53"/>
      <c r="I66" s="53"/>
      <c r="K66" s="36"/>
      <c r="L66" s="34"/>
      <c r="M66" s="33"/>
      <c r="N66" s="37"/>
      <c r="O66" s="34"/>
      <c r="P66" s="34"/>
      <c r="Q66" s="37"/>
      <c r="R66" s="37"/>
      <c r="S66" s="33"/>
      <c r="AD66" s="24"/>
    </row>
    <row r="67" spans="1:30" ht="30" customHeight="1" x14ac:dyDescent="0.25">
      <c r="A67" s="37" t="s">
        <v>26</v>
      </c>
      <c r="B67" s="34" t="s">
        <v>44</v>
      </c>
      <c r="C67" s="34">
        <v>37083</v>
      </c>
      <c r="D67" s="34"/>
      <c r="E67" s="34">
        <v>37083</v>
      </c>
      <c r="F67" s="35"/>
      <c r="G67" s="53"/>
      <c r="H67" s="53"/>
      <c r="I67" s="53"/>
      <c r="K67" s="36"/>
      <c r="L67" s="34"/>
      <c r="M67" s="33"/>
      <c r="N67" s="37"/>
      <c r="O67" s="34"/>
      <c r="P67" s="34"/>
      <c r="Q67" s="37"/>
      <c r="R67" s="37"/>
      <c r="S67" s="33"/>
      <c r="AD67" s="24"/>
    </row>
    <row r="68" spans="1:30" ht="30" customHeight="1" x14ac:dyDescent="0.25">
      <c r="A68" s="40" t="s">
        <v>26</v>
      </c>
      <c r="B68" s="41" t="s">
        <v>44</v>
      </c>
      <c r="C68" s="41"/>
      <c r="D68" s="34">
        <v>40438</v>
      </c>
      <c r="E68" s="41">
        <v>40438</v>
      </c>
      <c r="F68" s="42"/>
      <c r="G68" s="60"/>
      <c r="H68" s="60"/>
      <c r="I68" s="53"/>
      <c r="K68" s="43"/>
      <c r="L68" s="41"/>
      <c r="M68" s="44"/>
      <c r="N68" s="40"/>
      <c r="O68" s="41"/>
      <c r="P68" s="41"/>
      <c r="Q68" s="40"/>
      <c r="R68" s="40"/>
      <c r="S68" s="44"/>
      <c r="AD68" s="24"/>
    </row>
    <row r="69" spans="1:30" ht="30" customHeight="1" x14ac:dyDescent="0.25">
      <c r="A69" s="40" t="s">
        <v>27</v>
      </c>
      <c r="B69" s="41">
        <v>28126</v>
      </c>
      <c r="C69" s="41"/>
      <c r="D69" s="34"/>
      <c r="E69" s="41">
        <v>28126</v>
      </c>
      <c r="F69" s="42"/>
      <c r="G69" s="60"/>
      <c r="H69" s="60"/>
      <c r="I69" s="53"/>
      <c r="K69" s="43"/>
      <c r="L69" s="41"/>
      <c r="M69" s="44"/>
      <c r="N69" s="40"/>
      <c r="O69" s="41"/>
      <c r="P69" s="41"/>
      <c r="Q69" s="40"/>
      <c r="R69" s="40"/>
      <c r="S69" s="44"/>
      <c r="AD69" s="24"/>
    </row>
    <row r="70" spans="1:30" ht="30" customHeight="1" x14ac:dyDescent="0.25">
      <c r="A70" s="40" t="s">
        <v>27</v>
      </c>
      <c r="B70" s="41" t="s">
        <v>44</v>
      </c>
      <c r="C70" s="41">
        <v>33695</v>
      </c>
      <c r="D70" s="34"/>
      <c r="E70" s="41">
        <v>33695</v>
      </c>
      <c r="F70" s="42"/>
      <c r="G70" s="60"/>
      <c r="H70" s="60"/>
      <c r="I70" s="53"/>
      <c r="K70" s="43"/>
      <c r="L70" s="41"/>
      <c r="M70" s="44"/>
      <c r="N70" s="40"/>
      <c r="O70" s="41"/>
      <c r="P70" s="41"/>
      <c r="Q70" s="40"/>
      <c r="R70" s="40"/>
      <c r="S70" s="44"/>
      <c r="AD70" s="24"/>
    </row>
    <row r="71" spans="1:30" ht="30" customHeight="1" x14ac:dyDescent="0.25">
      <c r="A71" s="40" t="s">
        <v>27</v>
      </c>
      <c r="B71" s="41" t="s">
        <v>44</v>
      </c>
      <c r="C71" s="41">
        <v>34575</v>
      </c>
      <c r="D71" s="34"/>
      <c r="E71" s="41">
        <v>34575</v>
      </c>
      <c r="F71" s="42"/>
      <c r="G71" s="60"/>
      <c r="H71" s="60"/>
      <c r="I71" s="53"/>
      <c r="K71" s="43"/>
      <c r="L71" s="41"/>
      <c r="M71" s="44"/>
      <c r="N71" s="40"/>
      <c r="O71" s="41"/>
      <c r="P71" s="41"/>
      <c r="Q71" s="40"/>
      <c r="R71" s="40"/>
      <c r="S71" s="44"/>
      <c r="AD71" s="24"/>
    </row>
    <row r="72" spans="1:30" ht="30" customHeight="1" x14ac:dyDescent="0.25">
      <c r="A72" s="40" t="s">
        <v>27</v>
      </c>
      <c r="B72" s="41" t="s">
        <v>44</v>
      </c>
      <c r="C72" s="41">
        <v>37032</v>
      </c>
      <c r="D72" s="34"/>
      <c r="E72" s="41">
        <v>37032</v>
      </c>
      <c r="F72" s="42"/>
      <c r="G72" s="60"/>
      <c r="H72" s="60"/>
      <c r="I72" s="53"/>
      <c r="K72" s="43"/>
      <c r="L72" s="41"/>
      <c r="M72" s="44"/>
      <c r="N72" s="40"/>
      <c r="O72" s="41"/>
      <c r="P72" s="41"/>
      <c r="Q72" s="40"/>
      <c r="R72" s="40"/>
      <c r="S72" s="44"/>
      <c r="AD72" s="24"/>
    </row>
    <row r="73" spans="1:30" ht="30" customHeight="1" x14ac:dyDescent="0.25">
      <c r="A73" s="40" t="s">
        <v>27</v>
      </c>
      <c r="B73" s="41" t="s">
        <v>44</v>
      </c>
      <c r="C73" s="41"/>
      <c r="D73" s="34">
        <v>40800</v>
      </c>
      <c r="E73" s="41">
        <v>40800</v>
      </c>
      <c r="F73" s="42"/>
      <c r="G73" s="60"/>
      <c r="H73" s="60"/>
      <c r="I73" s="53"/>
      <c r="K73" s="43"/>
      <c r="L73" s="41"/>
      <c r="M73" s="44"/>
      <c r="N73" s="40"/>
      <c r="O73" s="41"/>
      <c r="P73" s="41"/>
      <c r="Q73" s="40"/>
      <c r="R73" s="40"/>
      <c r="S73" s="44"/>
      <c r="AD73" s="24"/>
    </row>
    <row r="74" spans="1:30" ht="30" customHeight="1" x14ac:dyDescent="0.25">
      <c r="A74" s="40" t="s">
        <v>28</v>
      </c>
      <c r="B74" s="41">
        <v>28126</v>
      </c>
      <c r="C74" s="41"/>
      <c r="D74" s="34"/>
      <c r="E74" s="41">
        <v>28126</v>
      </c>
      <c r="F74" s="42"/>
      <c r="G74" s="60"/>
      <c r="H74" s="60"/>
      <c r="I74" s="53"/>
      <c r="K74" s="43"/>
      <c r="L74" s="41"/>
      <c r="M74" s="44"/>
      <c r="N74" s="40"/>
      <c r="O74" s="41"/>
      <c r="P74" s="41"/>
      <c r="Q74" s="40"/>
      <c r="R74" s="40"/>
      <c r="S74" s="44"/>
      <c r="AD74" s="24"/>
    </row>
    <row r="75" spans="1:30" ht="30" customHeight="1" x14ac:dyDescent="0.25">
      <c r="A75" s="40" t="s">
        <v>28</v>
      </c>
      <c r="B75" s="41" t="s">
        <v>44</v>
      </c>
      <c r="C75" s="41">
        <v>34151</v>
      </c>
      <c r="D75" s="34"/>
      <c r="E75" s="41">
        <v>34151</v>
      </c>
      <c r="F75" s="42"/>
      <c r="G75" s="60"/>
      <c r="H75" s="60"/>
      <c r="I75" s="53"/>
      <c r="K75" s="43"/>
      <c r="L75" s="41"/>
      <c r="M75" s="44"/>
      <c r="N75" s="40"/>
      <c r="O75" s="41"/>
      <c r="P75" s="41"/>
      <c r="Q75" s="40"/>
      <c r="R75" s="40"/>
      <c r="S75" s="44"/>
      <c r="AD75" s="24"/>
    </row>
    <row r="76" spans="1:30" ht="30" customHeight="1" x14ac:dyDescent="0.25">
      <c r="A76" s="40" t="s">
        <v>28</v>
      </c>
      <c r="B76" s="41" t="s">
        <v>44</v>
      </c>
      <c r="C76" s="41">
        <v>35298</v>
      </c>
      <c r="D76" s="34"/>
      <c r="E76" s="41">
        <v>35298</v>
      </c>
      <c r="F76" s="42"/>
      <c r="G76" s="60"/>
      <c r="H76" s="60"/>
      <c r="I76" s="53"/>
      <c r="K76" s="43"/>
      <c r="L76" s="41"/>
      <c r="M76" s="44"/>
      <c r="N76" s="40"/>
      <c r="O76" s="41"/>
      <c r="P76" s="41"/>
      <c r="Q76" s="40"/>
      <c r="R76" s="40"/>
      <c r="S76" s="44"/>
      <c r="AD76" s="24"/>
    </row>
    <row r="77" spans="1:30" ht="30" customHeight="1" x14ac:dyDescent="0.25">
      <c r="A77" s="40" t="s">
        <v>28</v>
      </c>
      <c r="B77" s="41" t="s">
        <v>44</v>
      </c>
      <c r="C77" s="41"/>
      <c r="D77" s="34">
        <v>41039</v>
      </c>
      <c r="E77" s="41">
        <v>41039</v>
      </c>
      <c r="F77" s="42"/>
      <c r="G77" s="60"/>
      <c r="H77" s="60"/>
      <c r="I77" s="53"/>
      <c r="K77" s="43"/>
      <c r="L77" s="41"/>
      <c r="M77" s="44"/>
      <c r="N77" s="40"/>
      <c r="O77" s="41"/>
      <c r="P77" s="41"/>
      <c r="Q77" s="40"/>
      <c r="R77" s="40"/>
      <c r="S77" s="44"/>
      <c r="AD77" s="24"/>
    </row>
    <row r="78" spans="1:30" ht="30" customHeight="1" x14ac:dyDescent="0.25">
      <c r="A78" s="40" t="s">
        <v>29</v>
      </c>
      <c r="B78" s="41">
        <v>28126</v>
      </c>
      <c r="C78" s="41"/>
      <c r="D78" s="34"/>
      <c r="E78" s="41">
        <v>28126</v>
      </c>
      <c r="F78" s="42"/>
      <c r="G78" s="60"/>
      <c r="H78" s="60"/>
      <c r="I78" s="53"/>
      <c r="K78" s="43"/>
      <c r="L78" s="41"/>
      <c r="M78" s="44"/>
      <c r="N78" s="40"/>
      <c r="O78" s="41"/>
      <c r="P78" s="41"/>
      <c r="Q78" s="40"/>
      <c r="R78" s="40"/>
      <c r="S78" s="44"/>
      <c r="AD78" s="24"/>
    </row>
    <row r="79" spans="1:30" ht="30" customHeight="1" x14ac:dyDescent="0.25">
      <c r="A79" s="40" t="s">
        <v>29</v>
      </c>
      <c r="B79" s="41" t="s">
        <v>44</v>
      </c>
      <c r="C79" s="41">
        <v>35921</v>
      </c>
      <c r="D79" s="34"/>
      <c r="E79" s="41">
        <v>35921</v>
      </c>
      <c r="F79" s="42"/>
      <c r="G79" s="60"/>
      <c r="H79" s="60"/>
      <c r="I79" s="53"/>
      <c r="K79" s="43"/>
      <c r="L79" s="41"/>
      <c r="M79" s="44"/>
      <c r="N79" s="40"/>
      <c r="O79" s="41"/>
      <c r="P79" s="41"/>
      <c r="Q79" s="40"/>
      <c r="R79" s="40"/>
      <c r="S79" s="44"/>
      <c r="AD79" s="24"/>
    </row>
    <row r="80" spans="1:30" ht="30" customHeight="1" x14ac:dyDescent="0.25">
      <c r="A80" s="40" t="s">
        <v>29</v>
      </c>
      <c r="B80" s="41" t="s">
        <v>44</v>
      </c>
      <c r="C80" s="41">
        <v>37763</v>
      </c>
      <c r="D80" s="34"/>
      <c r="E80" s="41">
        <v>37763</v>
      </c>
      <c r="F80" s="42"/>
      <c r="G80" s="60"/>
      <c r="H80" s="60"/>
      <c r="I80" s="53"/>
      <c r="K80" s="43"/>
      <c r="L80" s="41"/>
      <c r="M80" s="44"/>
      <c r="N80" s="40"/>
      <c r="O80" s="41"/>
      <c r="P80" s="41"/>
      <c r="Q80" s="40"/>
      <c r="R80" s="40"/>
      <c r="S80" s="44"/>
      <c r="AD80" s="24"/>
    </row>
    <row r="81" spans="1:30" ht="30" customHeight="1" x14ac:dyDescent="0.25">
      <c r="A81" s="40" t="s">
        <v>29</v>
      </c>
      <c r="B81" s="41" t="s">
        <v>44</v>
      </c>
      <c r="C81" s="41"/>
      <c r="D81" s="34">
        <v>42492</v>
      </c>
      <c r="E81" s="41">
        <v>42492</v>
      </c>
      <c r="F81" s="42"/>
      <c r="G81" s="60"/>
      <c r="H81" s="60"/>
      <c r="I81" s="53"/>
      <c r="K81" s="43"/>
      <c r="L81" s="41"/>
      <c r="M81" s="44"/>
      <c r="N81" s="40"/>
      <c r="O81" s="41"/>
      <c r="P81" s="41"/>
      <c r="Q81" s="40"/>
      <c r="R81" s="40"/>
      <c r="S81" s="44"/>
      <c r="AD81" s="24"/>
    </row>
    <row r="82" spans="1:30" ht="30" customHeight="1" x14ac:dyDescent="0.25">
      <c r="A82" s="40" t="s">
        <v>30</v>
      </c>
      <c r="B82" s="41">
        <v>30164</v>
      </c>
      <c r="C82" s="41"/>
      <c r="D82" s="34"/>
      <c r="E82" s="41">
        <v>30164</v>
      </c>
      <c r="F82" s="42"/>
      <c r="G82" s="60"/>
      <c r="H82" s="60"/>
      <c r="I82" s="53"/>
      <c r="K82" s="43"/>
      <c r="L82" s="41"/>
      <c r="M82" s="44"/>
      <c r="N82" s="40"/>
      <c r="O82" s="41"/>
      <c r="P82" s="41"/>
      <c r="Q82" s="40"/>
      <c r="R82" s="40"/>
      <c r="S82" s="44"/>
      <c r="AD82" s="24"/>
    </row>
    <row r="83" spans="1:30" ht="30" customHeight="1" x14ac:dyDescent="0.25">
      <c r="A83" s="40" t="s">
        <v>30</v>
      </c>
      <c r="B83" s="41" t="s">
        <v>44</v>
      </c>
      <c r="C83" s="41">
        <v>35977</v>
      </c>
      <c r="D83" s="34"/>
      <c r="E83" s="41">
        <v>35977</v>
      </c>
      <c r="F83" s="42"/>
      <c r="G83" s="60"/>
      <c r="H83" s="60"/>
      <c r="I83" s="53"/>
      <c r="K83" s="43"/>
      <c r="L83" s="41"/>
      <c r="M83" s="44"/>
      <c r="N83" s="40"/>
      <c r="O83" s="41"/>
      <c r="P83" s="41"/>
      <c r="Q83" s="40"/>
      <c r="R83" s="40"/>
      <c r="S83" s="44"/>
      <c r="AD83" s="24"/>
    </row>
    <row r="84" spans="1:30" ht="30" customHeight="1" x14ac:dyDescent="0.25">
      <c r="A84" s="40" t="s">
        <v>30</v>
      </c>
      <c r="B84" s="41" t="s">
        <v>44</v>
      </c>
      <c r="C84" s="41"/>
      <c r="D84" s="34">
        <v>37518</v>
      </c>
      <c r="E84" s="41">
        <v>37518</v>
      </c>
      <c r="F84" s="42"/>
      <c r="G84" s="60"/>
      <c r="H84" s="60"/>
      <c r="I84" s="53"/>
      <c r="K84" s="43"/>
      <c r="L84" s="41"/>
      <c r="M84" s="44"/>
      <c r="N84" s="40"/>
      <c r="O84" s="41"/>
      <c r="P84" s="41"/>
      <c r="Q84" s="40"/>
      <c r="R84" s="40"/>
      <c r="S84" s="44"/>
      <c r="AD84" s="24"/>
    </row>
    <row r="85" spans="1:30" ht="30" customHeight="1" x14ac:dyDescent="0.25">
      <c r="A85" s="40" t="s">
        <v>31</v>
      </c>
      <c r="B85" s="41">
        <v>32143</v>
      </c>
      <c r="C85" s="41"/>
      <c r="D85" s="34"/>
      <c r="E85" s="41">
        <v>32143</v>
      </c>
      <c r="F85" s="42"/>
      <c r="G85" s="60"/>
      <c r="H85" s="60"/>
      <c r="I85" s="53"/>
      <c r="K85" s="43"/>
      <c r="L85" s="41"/>
      <c r="M85" s="44"/>
      <c r="N85" s="40"/>
      <c r="O85" s="41"/>
      <c r="P85" s="41"/>
      <c r="Q85" s="40"/>
      <c r="R85" s="40"/>
      <c r="S85" s="44"/>
      <c r="AD85" s="24"/>
    </row>
    <row r="86" spans="1:30" ht="30" customHeight="1" x14ac:dyDescent="0.25">
      <c r="A86" s="40" t="s">
        <v>31</v>
      </c>
      <c r="B86" s="41" t="s">
        <v>44</v>
      </c>
      <c r="C86" s="41">
        <v>33725</v>
      </c>
      <c r="D86" s="34"/>
      <c r="E86" s="41">
        <v>33725</v>
      </c>
      <c r="F86" s="42"/>
      <c r="G86" s="60"/>
      <c r="H86" s="60"/>
      <c r="I86" s="53"/>
      <c r="K86" s="43"/>
      <c r="L86" s="41"/>
      <c r="M86" s="44"/>
      <c r="N86" s="40"/>
      <c r="O86" s="41"/>
      <c r="P86" s="41"/>
      <c r="Q86" s="40"/>
      <c r="R86" s="40"/>
      <c r="S86" s="44"/>
      <c r="AD86" s="24"/>
    </row>
    <row r="87" spans="1:30" ht="30" customHeight="1" x14ac:dyDescent="0.25">
      <c r="A87" s="40" t="s">
        <v>31</v>
      </c>
      <c r="B87" s="41" t="s">
        <v>44</v>
      </c>
      <c r="C87" s="41">
        <v>35997</v>
      </c>
      <c r="D87" s="34"/>
      <c r="E87" s="41">
        <v>35997</v>
      </c>
      <c r="F87" s="42"/>
      <c r="G87" s="60"/>
      <c r="H87" s="60"/>
      <c r="I87" s="53"/>
      <c r="K87" s="43"/>
      <c r="L87" s="41"/>
      <c r="M87" s="44"/>
      <c r="N87" s="40"/>
      <c r="O87" s="41"/>
      <c r="P87" s="41"/>
      <c r="Q87" s="40"/>
      <c r="R87" s="40"/>
      <c r="S87" s="44"/>
      <c r="AD87" s="24"/>
    </row>
    <row r="88" spans="1:30" ht="30" customHeight="1" x14ac:dyDescent="0.25">
      <c r="A88" s="40" t="s">
        <v>31</v>
      </c>
      <c r="B88" s="41" t="s">
        <v>44</v>
      </c>
      <c r="C88" s="41"/>
      <c r="D88" s="34">
        <v>42125</v>
      </c>
      <c r="E88" s="41">
        <v>42125</v>
      </c>
      <c r="F88" s="42"/>
      <c r="G88" s="60"/>
      <c r="H88" s="60"/>
      <c r="I88" s="53"/>
      <c r="K88" s="43"/>
      <c r="L88" s="41"/>
      <c r="M88" s="44"/>
      <c r="N88" s="40"/>
      <c r="O88" s="41"/>
      <c r="P88" s="41"/>
      <c r="Q88" s="40"/>
      <c r="R88" s="40"/>
      <c r="S88" s="44"/>
      <c r="AD88" s="24"/>
    </row>
    <row r="89" spans="1:30" ht="30" customHeight="1" x14ac:dyDescent="0.25">
      <c r="A89" s="40" t="s">
        <v>55</v>
      </c>
      <c r="B89" s="41" t="s">
        <v>44</v>
      </c>
      <c r="C89" s="41"/>
      <c r="D89" s="41"/>
      <c r="E89" s="41"/>
      <c r="F89" s="42"/>
      <c r="G89" s="44">
        <v>17</v>
      </c>
      <c r="H89" s="44">
        <v>30</v>
      </c>
      <c r="I89" s="42"/>
      <c r="J89" s="65"/>
      <c r="K89" s="43"/>
      <c r="L89" s="41"/>
      <c r="M89" s="44"/>
      <c r="N89" s="40"/>
      <c r="O89" s="41"/>
      <c r="P89" s="41"/>
      <c r="Q89" s="40"/>
      <c r="R89" s="40"/>
      <c r="S89" s="44"/>
      <c r="AD89" s="24"/>
    </row>
    <row r="90" spans="1:30" ht="30" customHeight="1" x14ac:dyDescent="0.25">
      <c r="A90" s="27"/>
      <c r="B90" s="26"/>
      <c r="C90" s="26"/>
      <c r="D90" s="26"/>
      <c r="E90" s="26"/>
      <c r="G90" s="24"/>
      <c r="H90" s="24"/>
      <c r="I90" s="24"/>
      <c r="J90" s="65"/>
      <c r="K90" s="25"/>
      <c r="L90" s="26"/>
      <c r="M90" s="23"/>
      <c r="N90" s="27"/>
      <c r="O90" s="26"/>
      <c r="P90" s="26"/>
      <c r="Q90" s="27"/>
      <c r="R90" s="27"/>
      <c r="AD90" s="24"/>
    </row>
    <row r="91" spans="1:30" ht="30" customHeight="1" x14ac:dyDescent="0.25">
      <c r="G91" s="24"/>
      <c r="H91" s="24"/>
      <c r="I91" s="24"/>
      <c r="J91" s="65"/>
      <c r="L91" s="30" t="s">
        <v>35</v>
      </c>
      <c r="M91" s="23">
        <f>AVERAGE(M11:N65)</f>
        <v>9.581818181818182</v>
      </c>
      <c r="N91" s="23"/>
      <c r="Q91" s="23"/>
      <c r="R91" s="23"/>
      <c r="AD91" s="24"/>
    </row>
    <row r="92" spans="1:30" ht="30" customHeight="1" x14ac:dyDescent="0.25">
      <c r="G92" s="24"/>
      <c r="H92" s="24"/>
      <c r="I92" s="24"/>
      <c r="J92" s="65"/>
      <c r="L92" s="30" t="s">
        <v>34</v>
      </c>
      <c r="M92" s="23">
        <f>COUNT(M11:M65)</f>
        <v>18</v>
      </c>
      <c r="N92" s="23">
        <f>COUNT(N11:N65)</f>
        <v>37</v>
      </c>
      <c r="Q92" s="23"/>
      <c r="R92" s="23"/>
      <c r="S92" s="23" t="s">
        <v>37</v>
      </c>
      <c r="AD92" s="24"/>
    </row>
    <row r="93" spans="1:30" ht="30" customHeight="1" x14ac:dyDescent="0.25">
      <c r="G93" s="24"/>
      <c r="H93" s="24"/>
      <c r="I93" s="24"/>
      <c r="J93" s="65"/>
      <c r="S93" s="23" t="s">
        <v>36</v>
      </c>
      <c r="AD93" s="24"/>
    </row>
    <row r="94" spans="1:30" ht="30" customHeight="1" x14ac:dyDescent="0.25">
      <c r="G94" s="24"/>
      <c r="H94" s="24"/>
      <c r="I94" s="24"/>
      <c r="J94" s="65"/>
      <c r="AD94" s="24"/>
    </row>
  </sheetData>
  <autoFilter ref="A10:I89">
    <sortState ref="A11:I105">
      <sortCondition ref="A11:A105"/>
      <sortCondition ref="E11:E105"/>
      <sortCondition ref="F11:F105"/>
    </sortState>
  </autoFilter>
  <dataValidations count="1">
    <dataValidation type="list" allowBlank="1" showInputMessage="1" sqref="G89:H90 J89:J90 F11:F90 I11:I90">
      <formula1>"Commissioning,Repair,Replace"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List by Event</vt:lpstr>
      <vt:lpstr>Summary</vt:lpstr>
      <vt:lpstr>List by Vessel</vt:lpstr>
      <vt:lpstr>'List by Event'!Print_Area</vt:lpstr>
      <vt:lpstr>Summary!Print_Area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Razzak, Muhammad /JC</dc:creator>
  <cp:lastModifiedBy>Duane Aubin</cp:lastModifiedBy>
  <cp:lastPrinted>2017-04-06T17:35:24Z</cp:lastPrinted>
  <dcterms:created xsi:type="dcterms:W3CDTF">2017-03-30T15:54:35Z</dcterms:created>
  <dcterms:modified xsi:type="dcterms:W3CDTF">2017-04-07T19:45:03Z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-1495917245</vt:i4>
  </property>
  <property fmtid="{D5CDD505-2E9C-101B-9397-08002B2CF9AE}" pid="3" name="_NewReviewCycle">
    <vt:lpwstr/>
  </property>
  <property fmtid="{D5CDD505-2E9C-101B-9397-08002B2CF9AE}" pid="4" name="_EmailSubject">
    <vt:lpwstr>31-0Z103</vt:lpwstr>
  </property>
  <property fmtid="{D5CDD505-2E9C-101B-9397-08002B2CF9AE}" pid="5" name="_AuthorEmail">
    <vt:lpwstr>razzak.muhammad@syncrude.com</vt:lpwstr>
  </property>
  <property fmtid="{D5CDD505-2E9C-101B-9397-08002B2CF9AE}" pid="6" name="_AuthorEmailDisplayName">
    <vt:lpwstr>Razzak, Muhammad /JC</vt:lpwstr>
  </property>
  <property fmtid="{D5CDD505-2E9C-101B-9397-08002B2CF9AE}" pid="7" name="_ReviewingToolsShownOnce">
    <vt:lpwstr/>
  </property>
</Properties>
</file>